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codeName="ThisWorkbook"/>
  <mc:AlternateContent xmlns:mc="http://schemas.openxmlformats.org/markup-compatibility/2006">
    <mc:Choice Requires="x15">
      <x15ac:absPath xmlns:x15ac="http://schemas.microsoft.com/office/spreadsheetml/2010/11/ac" url="C:\Users\lpineda\Documents\HECTOR ACUÑA PERALTA\gore cusco\"/>
    </mc:Choice>
  </mc:AlternateContent>
  <bookViews>
    <workbookView xWindow="0" yWindow="0" windowWidth="7470" windowHeight="2700" tabRatio="825"/>
  </bookViews>
  <sheets>
    <sheet name="Índice" sheetId="55" r:id="rId1"/>
    <sheet name="F-01" sheetId="62" r:id="rId2"/>
    <sheet name="F-02" sheetId="73" r:id="rId3"/>
    <sheet name="F-03" sheetId="70" r:id="rId4"/>
    <sheet name="F-04" sheetId="30" r:id="rId5"/>
    <sheet name="F-05" sheetId="76" r:id="rId6"/>
    <sheet name="F-06" sheetId="57" r:id="rId7"/>
    <sheet name="F-07" sheetId="9" r:id="rId8"/>
    <sheet name="F-08" sheetId="21" r:id="rId9"/>
    <sheet name="F-09" sheetId="60" r:id="rId10"/>
    <sheet name="F-10" sheetId="32" r:id="rId11"/>
    <sheet name="F-11" sheetId="45" r:id="rId12"/>
    <sheet name="F-12" sheetId="33" r:id="rId13"/>
    <sheet name="F-13" sheetId="50" r:id="rId14"/>
    <sheet name="F-14" sheetId="51" r:id="rId15"/>
    <sheet name="F-15" sheetId="39" r:id="rId16"/>
    <sheet name="F-16" sheetId="79" r:id="rId17"/>
    <sheet name="F-17" sheetId="53" r:id="rId18"/>
    <sheet name="F-18" sheetId="64" r:id="rId19"/>
    <sheet name="Hoja2" sheetId="80" r:id="rId20"/>
    <sheet name="Hoja1" sheetId="78" state="hidden" r:id="rId21"/>
  </sheets>
  <definedNames>
    <definedName name="_xlnm.Print_Area" localSheetId="1">'F-01'!$A$1:$N$26</definedName>
    <definedName name="_xlnm.Print_Area" localSheetId="2">'F-02'!$A$1:$D$21</definedName>
    <definedName name="_xlnm.Print_Area" localSheetId="3">'F-03'!$A$1:$D$369</definedName>
    <definedName name="_xlnm.Print_Area" localSheetId="5">'F-05'!$A$1:$D$132</definedName>
    <definedName name="_xlnm.Print_Area" localSheetId="6">'F-06'!$A$1:$N$51</definedName>
    <definedName name="_xlnm.Print_Area" localSheetId="7">'F-07'!$A$1:$Q$25</definedName>
    <definedName name="_xlnm.Print_Area" localSheetId="8">'F-08'!$A$1:$R$109</definedName>
    <definedName name="_xlnm.Print_Area" localSheetId="9">'F-09'!$A$1:$W$158</definedName>
    <definedName name="_xlnm.Print_Area" localSheetId="10">'F-10'!$A$1:$I$24</definedName>
    <definedName name="_xlnm.Print_Area" localSheetId="11">'F-11'!$A$1:$AI$246</definedName>
    <definedName name="_xlnm.Print_Area" localSheetId="12">'F-12'!$A$1:$J$278</definedName>
    <definedName name="_xlnm.Print_Area" localSheetId="13">'F-13'!$A$1:$N$15</definedName>
    <definedName name="_xlnm.Print_Area" localSheetId="14">'F-14'!$A$1:$J$3158</definedName>
    <definedName name="_xlnm.Print_Area" localSheetId="15">'F-15'!$A$1:$H$91</definedName>
    <definedName name="_xlnm.Print_Area" localSheetId="16">'F-16'!$A$1:$H$263</definedName>
    <definedName name="_xlnm.Print_Area" localSheetId="17">'F-17'!$A$1:$P$4527</definedName>
    <definedName name="_xlnm.Print_Area" localSheetId="18">'F-18'!$A$1:$L$139</definedName>
    <definedName name="_xlnm.Print_Area" localSheetId="0">Índice!$A$1:$E$35</definedName>
    <definedName name="dd" localSheetId="2">#REF!</definedName>
    <definedName name="dd" localSheetId="3">#REF!</definedName>
    <definedName name="dd" localSheetId="5">#REF!</definedName>
    <definedName name="dd">#REF!</definedName>
    <definedName name="DIRECREC" localSheetId="1">#REF!</definedName>
    <definedName name="DIRECREC" localSheetId="2">#REF!</definedName>
    <definedName name="DIRECREC" localSheetId="3">#REF!</definedName>
    <definedName name="DIRECREC" localSheetId="5">#REF!</definedName>
    <definedName name="DIRECREC" localSheetId="6">#REF!</definedName>
    <definedName name="DIRECREC" localSheetId="9">#REF!</definedName>
    <definedName name="DIRECREC" localSheetId="18">#REF!</definedName>
    <definedName name="DIRECREC">#REF!</definedName>
    <definedName name="DONAC" localSheetId="1">#REF!</definedName>
    <definedName name="DONAC" localSheetId="2">#REF!</definedName>
    <definedName name="DONAC" localSheetId="3">#REF!</definedName>
    <definedName name="DONAC" localSheetId="5">#REF!</definedName>
    <definedName name="DONAC" localSheetId="6">#REF!</definedName>
    <definedName name="DONAC" localSheetId="9">#REF!</definedName>
    <definedName name="DONAC" localSheetId="18">#REF!</definedName>
    <definedName name="DONAC">#REF!</definedName>
    <definedName name="EE" localSheetId="2">#REF!</definedName>
    <definedName name="EE" localSheetId="3">#REF!</definedName>
    <definedName name="EE" localSheetId="5">#REF!</definedName>
    <definedName name="EE">#REF!</definedName>
    <definedName name="RECORD" localSheetId="1">#REF!</definedName>
    <definedName name="RECORD" localSheetId="2">#REF!</definedName>
    <definedName name="RECORD" localSheetId="3">#REF!</definedName>
    <definedName name="RECORD" localSheetId="5">#REF!</definedName>
    <definedName name="RECORD" localSheetId="6">#REF!</definedName>
    <definedName name="RECORD" localSheetId="9">#REF!</definedName>
    <definedName name="RECORD" localSheetId="18">#REF!</definedName>
    <definedName name="RECORD">#REF!</definedName>
    <definedName name="RECPUB" localSheetId="1">#REF!</definedName>
    <definedName name="RECPUB" localSheetId="2">#REF!</definedName>
    <definedName name="RECPUB" localSheetId="3">#REF!</definedName>
    <definedName name="RECPUB" localSheetId="5">#REF!</definedName>
    <definedName name="RECPUB" localSheetId="6">#REF!</definedName>
    <definedName name="RECPUB" localSheetId="9">#REF!</definedName>
    <definedName name="RECPUB" localSheetId="18">#REF!</definedName>
    <definedName name="RECPUB">#REF!</definedName>
    <definedName name="_xlnm.Print_Titles" localSheetId="1">'F-01'!$1:$4</definedName>
    <definedName name="_xlnm.Print_Titles" localSheetId="6">'F-06'!$1:$4</definedName>
    <definedName name="_xlnm.Print_Titles" localSheetId="8">'F-08'!$1:$4</definedName>
    <definedName name="_xlnm.Print_Titles" localSheetId="9">'F-09'!$3:$6</definedName>
    <definedName name="_xlnm.Print_Titles" localSheetId="11">'F-11'!$2:$6</definedName>
    <definedName name="_xlnm.Print_Titles" localSheetId="15">'F-15'!$1:$5</definedName>
    <definedName name="_xlnm.Print_Titles" localSheetId="16">'F-16'!$1:$5</definedName>
    <definedName name="_xlnm.Print_Titles" localSheetId="17">'F-17'!$3:$5</definedName>
    <definedName name="_xlnm.Print_Titles" localSheetId="18">'F-18'!$1:$5</definedName>
    <definedName name="_xlnm.Print_Titles" localSheetId="0">Índice!$1:$1</definedName>
    <definedName name="XPRINT" localSheetId="1">#REF!</definedName>
    <definedName name="XPRINT" localSheetId="2">#REF!</definedName>
    <definedName name="XPRINT" localSheetId="3">#REF!</definedName>
    <definedName name="XPRINT" localSheetId="5">#REF!</definedName>
    <definedName name="XPRINT" localSheetId="6">#REF!</definedName>
    <definedName name="XPRINT" localSheetId="9">#REF!</definedName>
    <definedName name="XPRINT" localSheetId="18">#REF!</definedName>
    <definedName name="XPRINT">#REF!</definedName>
    <definedName name="XPRINT2" localSheetId="1">#REF!</definedName>
    <definedName name="XPRINT2" localSheetId="2">#REF!</definedName>
    <definedName name="XPRINT2" localSheetId="3">#REF!</definedName>
    <definedName name="XPRINT2" localSheetId="5">#REF!</definedName>
    <definedName name="XPRINT2" localSheetId="6">#REF!</definedName>
    <definedName name="XPRINT2" localSheetId="9">#REF!</definedName>
    <definedName name="XPRINT2" localSheetId="18">#REF!</definedName>
    <definedName name="XPRINT2">#REF!</definedName>
    <definedName name="XPRINT3" localSheetId="1">#REF!</definedName>
    <definedName name="XPRINT3" localSheetId="2">#REF!</definedName>
    <definedName name="XPRINT3" localSheetId="3">#REF!</definedName>
    <definedName name="XPRINT3" localSheetId="5">#REF!</definedName>
    <definedName name="XPRINT3" localSheetId="6">#REF!</definedName>
    <definedName name="XPRINT3" localSheetId="9">#REF!</definedName>
    <definedName name="XPRINT3" localSheetId="18">#REF!</definedName>
    <definedName name="XPRINT3">#REF!</definedName>
    <definedName name="XPRINT4" localSheetId="1">#REF!</definedName>
    <definedName name="XPRINT4" localSheetId="2">#REF!</definedName>
    <definedName name="XPRINT4" localSheetId="3">#REF!</definedName>
    <definedName name="XPRINT4" localSheetId="5">#REF!</definedName>
    <definedName name="XPRINT4" localSheetId="6">#REF!</definedName>
    <definedName name="XPRINT4" localSheetId="9">#REF!</definedName>
    <definedName name="XPRINT4" localSheetId="18">#REF!</definedName>
    <definedName name="XPRINT4">#REF!</definedName>
  </definedNames>
  <calcPr calcId="162913"/>
  <fileRecoveryPr autoRecover="0"/>
</workbook>
</file>

<file path=xl/calcChain.xml><?xml version="1.0" encoding="utf-8"?>
<calcChain xmlns="http://schemas.openxmlformats.org/spreadsheetml/2006/main">
  <c r="N31" i="57" l="1"/>
  <c r="M31" i="57"/>
  <c r="L31" i="57"/>
  <c r="K31" i="57"/>
  <c r="J31" i="57"/>
  <c r="I31" i="57"/>
  <c r="N27" i="57"/>
  <c r="M27" i="57"/>
  <c r="M48" i="57" s="1"/>
  <c r="L27" i="57"/>
  <c r="K27" i="57"/>
  <c r="J27" i="57"/>
  <c r="I27" i="57"/>
  <c r="N22" i="57"/>
  <c r="N48" i="57" s="1"/>
  <c r="M22" i="57"/>
  <c r="L22" i="57"/>
  <c r="L48" i="57" s="1"/>
  <c r="K22" i="57"/>
  <c r="K48" i="57" s="1"/>
  <c r="J22" i="57"/>
  <c r="J48" i="57" s="1"/>
  <c r="I22" i="57"/>
  <c r="I48" i="57" s="1"/>
  <c r="G31" i="57" l="1"/>
  <c r="F31" i="57"/>
  <c r="E31" i="57"/>
  <c r="C31" i="57"/>
  <c r="B31" i="57"/>
  <c r="G27" i="57"/>
  <c r="F27" i="57"/>
  <c r="E27" i="57"/>
  <c r="C27" i="57"/>
  <c r="B27" i="57"/>
  <c r="H22" i="57"/>
  <c r="H48" i="57" s="1"/>
  <c r="G22" i="57"/>
  <c r="G48" i="57" s="1"/>
  <c r="F22" i="57"/>
  <c r="F48" i="57" s="1"/>
  <c r="E22" i="57"/>
  <c r="E48" i="57" s="1"/>
  <c r="D22" i="57"/>
  <c r="D48" i="57" s="1"/>
  <c r="C22" i="57"/>
  <c r="C48" i="57" s="1"/>
  <c r="B22" i="57"/>
  <c r="B48" i="57" s="1"/>
  <c r="H32" i="57"/>
  <c r="H31" i="57" s="1"/>
  <c r="D32" i="57"/>
  <c r="D31" i="57" s="1"/>
  <c r="H28" i="57"/>
  <c r="H27" i="57" s="1"/>
  <c r="D28" i="57"/>
  <c r="D27" i="57" s="1"/>
  <c r="H23" i="57"/>
  <c r="D23" i="57"/>
  <c r="N111" i="64" l="1"/>
  <c r="N110" i="64"/>
  <c r="M109" i="64"/>
  <c r="N108" i="64" l="1"/>
  <c r="N135" i="64" l="1"/>
  <c r="N134" i="64"/>
  <c r="F169" i="33" l="1"/>
  <c r="C219" i="33"/>
  <c r="G218" i="33"/>
  <c r="G217" i="33"/>
  <c r="G216" i="33"/>
  <c r="G215" i="33"/>
  <c r="G214" i="33"/>
  <c r="G213" i="33"/>
  <c r="G212" i="33"/>
  <c r="G211" i="33"/>
  <c r="G210" i="33"/>
  <c r="G209" i="33"/>
  <c r="G208" i="33"/>
  <c r="G207" i="33"/>
  <c r="G206" i="33"/>
  <c r="G205" i="33"/>
  <c r="G204" i="33"/>
  <c r="G203" i="33"/>
  <c r="G202" i="33"/>
  <c r="G201" i="33"/>
  <c r="G200" i="33"/>
  <c r="G199" i="33"/>
  <c r="G198" i="33"/>
  <c r="G197" i="33"/>
  <c r="G196" i="33"/>
  <c r="G195" i="33"/>
  <c r="G194" i="33"/>
  <c r="G193" i="33"/>
  <c r="G192" i="33"/>
  <c r="G191" i="33"/>
  <c r="G190" i="33"/>
  <c r="G189" i="33"/>
  <c r="G219" i="33" s="1"/>
  <c r="G188" i="33"/>
  <c r="G187" i="33"/>
  <c r="F271" i="33"/>
  <c r="E271" i="33"/>
  <c r="D271" i="33"/>
  <c r="C271" i="33"/>
  <c r="B271" i="33"/>
  <c r="I270" i="33"/>
  <c r="G270" i="33"/>
  <c r="I269" i="33"/>
  <c r="G269" i="33"/>
  <c r="I268" i="33"/>
  <c r="G268" i="33"/>
  <c r="I267" i="33"/>
  <c r="G267" i="33"/>
  <c r="I266" i="33"/>
  <c r="G266" i="33"/>
  <c r="I265" i="33"/>
  <c r="G265" i="33"/>
  <c r="I264" i="33"/>
  <c r="G264" i="33"/>
  <c r="I263" i="33"/>
  <c r="J263" i="33" s="1"/>
  <c r="G263" i="33"/>
  <c r="I262" i="33"/>
  <c r="G262" i="33"/>
  <c r="I261" i="33"/>
  <c r="G261" i="33"/>
  <c r="I260" i="33"/>
  <c r="G260" i="33"/>
  <c r="I259" i="33"/>
  <c r="G259" i="33"/>
  <c r="I258" i="33"/>
  <c r="J258" i="33" s="1"/>
  <c r="G258" i="33"/>
  <c r="I257" i="33"/>
  <c r="G257" i="33"/>
  <c r="I256" i="33"/>
  <c r="G256" i="33"/>
  <c r="I255" i="33"/>
  <c r="G255" i="33"/>
  <c r="I254" i="33"/>
  <c r="G254" i="33"/>
  <c r="I253" i="33"/>
  <c r="G253" i="33"/>
  <c r="I252" i="33"/>
  <c r="G252" i="33"/>
  <c r="I251" i="33"/>
  <c r="G251" i="33"/>
  <c r="I250" i="33"/>
  <c r="G250" i="33"/>
  <c r="I249" i="33"/>
  <c r="G249" i="33"/>
  <c r="I248" i="33"/>
  <c r="G248" i="33"/>
  <c r="I247" i="33"/>
  <c r="G247" i="33"/>
  <c r="I246" i="33"/>
  <c r="G246" i="33"/>
  <c r="I245" i="33"/>
  <c r="G245" i="33"/>
  <c r="I244" i="33"/>
  <c r="G244" i="33"/>
  <c r="I243" i="33"/>
  <c r="G243" i="33"/>
  <c r="I242" i="33"/>
  <c r="G242" i="33"/>
  <c r="I241" i="33"/>
  <c r="G241" i="33"/>
  <c r="I240" i="33"/>
  <c r="G240" i="33"/>
  <c r="I239" i="33"/>
  <c r="G239" i="33"/>
  <c r="F219" i="33"/>
  <c r="E219" i="33"/>
  <c r="D219" i="33"/>
  <c r="I218" i="33"/>
  <c r="I217" i="33"/>
  <c r="I216" i="33"/>
  <c r="J216" i="33" s="1"/>
  <c r="I215" i="33"/>
  <c r="I214" i="33"/>
  <c r="I213" i="33"/>
  <c r="J213" i="33" s="1"/>
  <c r="I212" i="33"/>
  <c r="J212" i="33" s="1"/>
  <c r="I211" i="33"/>
  <c r="J211" i="33" s="1"/>
  <c r="I210" i="33"/>
  <c r="I209" i="33"/>
  <c r="I208" i="33"/>
  <c r="I207" i="33"/>
  <c r="I206" i="33"/>
  <c r="J206" i="33" s="1"/>
  <c r="I205" i="33"/>
  <c r="I204" i="33"/>
  <c r="I203" i="33"/>
  <c r="I202" i="33"/>
  <c r="I201" i="33"/>
  <c r="I200" i="33"/>
  <c r="I199" i="33"/>
  <c r="I198" i="33"/>
  <c r="I197" i="33"/>
  <c r="J197" i="33" s="1"/>
  <c r="I196" i="33"/>
  <c r="I195" i="33"/>
  <c r="I194" i="33"/>
  <c r="I193" i="33"/>
  <c r="J193" i="33" s="1"/>
  <c r="I192" i="33"/>
  <c r="I191" i="33"/>
  <c r="I190" i="33"/>
  <c r="I189" i="33"/>
  <c r="I188" i="33"/>
  <c r="I187" i="33"/>
  <c r="E169" i="33"/>
  <c r="B169" i="33"/>
  <c r="I168" i="33"/>
  <c r="G168" i="33"/>
  <c r="G167" i="33"/>
  <c r="G166" i="33"/>
  <c r="G165" i="33"/>
  <c r="G164" i="33"/>
  <c r="G163" i="33"/>
  <c r="G162" i="33"/>
  <c r="G161" i="33"/>
  <c r="G160" i="33"/>
  <c r="G159" i="33"/>
  <c r="G158" i="33"/>
  <c r="G157" i="33"/>
  <c r="G156" i="33"/>
  <c r="G155" i="33"/>
  <c r="G154" i="33"/>
  <c r="G153" i="33"/>
  <c r="G152" i="33"/>
  <c r="G151" i="33"/>
  <c r="G150" i="33"/>
  <c r="G149" i="33"/>
  <c r="G148" i="33"/>
  <c r="G147" i="33"/>
  <c r="G146" i="33"/>
  <c r="G145" i="33"/>
  <c r="G144" i="33"/>
  <c r="G143" i="33"/>
  <c r="G142" i="33"/>
  <c r="G141" i="33"/>
  <c r="G140" i="33"/>
  <c r="I169" i="33"/>
  <c r="G139" i="33"/>
  <c r="G169" i="33" s="1"/>
  <c r="G138" i="33"/>
  <c r="G137" i="33"/>
  <c r="F124" i="33"/>
  <c r="E124" i="33"/>
  <c r="D124" i="33"/>
  <c r="C124" i="33"/>
  <c r="B124" i="33"/>
  <c r="I123" i="33"/>
  <c r="G123" i="33"/>
  <c r="I122" i="33"/>
  <c r="G122" i="33"/>
  <c r="I121" i="33"/>
  <c r="J121" i="33" s="1"/>
  <c r="G121" i="33"/>
  <c r="H121" i="33" s="1"/>
  <c r="I120" i="33"/>
  <c r="G120" i="33"/>
  <c r="J119" i="33"/>
  <c r="I119" i="33"/>
  <c r="G119" i="33"/>
  <c r="H119" i="33" s="1"/>
  <c r="I118" i="33"/>
  <c r="J118" i="33" s="1"/>
  <c r="G118" i="33"/>
  <c r="H118" i="33" s="1"/>
  <c r="I117" i="33"/>
  <c r="J117" i="33" s="1"/>
  <c r="G117" i="33"/>
  <c r="H117" i="33" s="1"/>
  <c r="I116" i="33"/>
  <c r="J116" i="33" s="1"/>
  <c r="G116" i="33"/>
  <c r="H116" i="33" s="1"/>
  <c r="I115" i="33"/>
  <c r="G115" i="33"/>
  <c r="I114" i="33"/>
  <c r="J114" i="33" s="1"/>
  <c r="G114" i="33"/>
  <c r="H114" i="33" s="1"/>
  <c r="I113" i="33"/>
  <c r="J113" i="33" s="1"/>
  <c r="G113" i="33"/>
  <c r="H113" i="33" s="1"/>
  <c r="I112" i="33"/>
  <c r="J112" i="33" s="1"/>
  <c r="G112" i="33"/>
  <c r="H112" i="33" s="1"/>
  <c r="I111" i="33"/>
  <c r="J111" i="33" s="1"/>
  <c r="G111" i="33"/>
  <c r="H111" i="33" s="1"/>
  <c r="I110" i="33"/>
  <c r="G110" i="33"/>
  <c r="I109" i="33"/>
  <c r="G109" i="33"/>
  <c r="I108" i="33"/>
  <c r="J108" i="33" s="1"/>
  <c r="G108" i="33"/>
  <c r="H108" i="33" s="1"/>
  <c r="I107" i="33"/>
  <c r="G107" i="33"/>
  <c r="I106" i="33"/>
  <c r="G106" i="33"/>
  <c r="I105" i="33"/>
  <c r="G105" i="33"/>
  <c r="I104" i="33"/>
  <c r="G104" i="33"/>
  <c r="I103" i="33"/>
  <c r="J103" i="33" s="1"/>
  <c r="G103" i="33"/>
  <c r="H103" i="33" s="1"/>
  <c r="I102" i="33"/>
  <c r="J102" i="33" s="1"/>
  <c r="G102" i="33"/>
  <c r="H102" i="33" s="1"/>
  <c r="I101" i="33"/>
  <c r="J101" i="33" s="1"/>
  <c r="G101" i="33"/>
  <c r="H101" i="33" s="1"/>
  <c r="I100" i="33"/>
  <c r="J100" i="33" s="1"/>
  <c r="G100" i="33"/>
  <c r="I99" i="33"/>
  <c r="G99" i="33"/>
  <c r="I98" i="33"/>
  <c r="J98" i="33" s="1"/>
  <c r="G98" i="33"/>
  <c r="H98" i="33" s="1"/>
  <c r="I97" i="33"/>
  <c r="J97" i="33" s="1"/>
  <c r="G97" i="33"/>
  <c r="H97" i="33" s="1"/>
  <c r="I96" i="33"/>
  <c r="G96" i="33"/>
  <c r="I95" i="33"/>
  <c r="G95" i="33"/>
  <c r="I94" i="33"/>
  <c r="G94" i="33"/>
  <c r="I93" i="33"/>
  <c r="J93" i="33" s="1"/>
  <c r="G93" i="33"/>
  <c r="H93" i="33" s="1"/>
  <c r="I92" i="33"/>
  <c r="J92" i="33" s="1"/>
  <c r="G92" i="33"/>
  <c r="F80" i="33"/>
  <c r="E80" i="33"/>
  <c r="D80" i="33"/>
  <c r="C80" i="33"/>
  <c r="B80" i="33"/>
  <c r="I79" i="33"/>
  <c r="G79" i="33"/>
  <c r="I78" i="33"/>
  <c r="G78" i="33"/>
  <c r="I77" i="33"/>
  <c r="J77" i="33" s="1"/>
  <c r="G77" i="33"/>
  <c r="H77" i="33" s="1"/>
  <c r="I76" i="33"/>
  <c r="G76" i="33"/>
  <c r="I75" i="33"/>
  <c r="J75" i="33" s="1"/>
  <c r="G75" i="33"/>
  <c r="H75" i="33" s="1"/>
  <c r="I74" i="33"/>
  <c r="J74" i="33" s="1"/>
  <c r="G74" i="33"/>
  <c r="H74" i="33" s="1"/>
  <c r="I73" i="33"/>
  <c r="J73" i="33" s="1"/>
  <c r="G73" i="33"/>
  <c r="H73" i="33" s="1"/>
  <c r="I72" i="33"/>
  <c r="J72" i="33" s="1"/>
  <c r="G72" i="33"/>
  <c r="H72" i="33" s="1"/>
  <c r="I71" i="33"/>
  <c r="G71" i="33"/>
  <c r="I70" i="33"/>
  <c r="J70" i="33" s="1"/>
  <c r="G70" i="33"/>
  <c r="H70" i="33" s="1"/>
  <c r="I69" i="33"/>
  <c r="J69" i="33" s="1"/>
  <c r="G69" i="33"/>
  <c r="H69" i="33" s="1"/>
  <c r="I68" i="33"/>
  <c r="J68" i="33" s="1"/>
  <c r="G68" i="33"/>
  <c r="H68" i="33" s="1"/>
  <c r="I67" i="33"/>
  <c r="J67" i="33" s="1"/>
  <c r="G67" i="33"/>
  <c r="H67" i="33" s="1"/>
  <c r="I66" i="33"/>
  <c r="G66" i="33"/>
  <c r="I65" i="33"/>
  <c r="G65" i="33"/>
  <c r="I64" i="33"/>
  <c r="J64" i="33" s="1"/>
  <c r="G64" i="33"/>
  <c r="H64" i="33" s="1"/>
  <c r="I63" i="33"/>
  <c r="G63" i="33"/>
  <c r="I62" i="33"/>
  <c r="G62" i="33"/>
  <c r="I61" i="33"/>
  <c r="G61" i="33"/>
  <c r="I60" i="33"/>
  <c r="G60" i="33"/>
  <c r="I59" i="33"/>
  <c r="J59" i="33" s="1"/>
  <c r="G59" i="33"/>
  <c r="H59" i="33" s="1"/>
  <c r="I58" i="33"/>
  <c r="J58" i="33" s="1"/>
  <c r="G58" i="33"/>
  <c r="H58" i="33" s="1"/>
  <c r="I57" i="33"/>
  <c r="J57" i="33" s="1"/>
  <c r="G57" i="33"/>
  <c r="H57" i="33" s="1"/>
  <c r="I56" i="33"/>
  <c r="J56" i="33" s="1"/>
  <c r="G56" i="33"/>
  <c r="H56" i="33" s="1"/>
  <c r="G55" i="33"/>
  <c r="I54" i="33"/>
  <c r="J54" i="33" s="1"/>
  <c r="G54" i="33"/>
  <c r="H54" i="33" s="1"/>
  <c r="I53" i="33"/>
  <c r="J53" i="33" s="1"/>
  <c r="G53" i="33"/>
  <c r="H53" i="33" s="1"/>
  <c r="I52" i="33"/>
  <c r="G52" i="33"/>
  <c r="I51" i="33"/>
  <c r="G51" i="33"/>
  <c r="I50" i="33"/>
  <c r="G50" i="33"/>
  <c r="I49" i="33"/>
  <c r="J49" i="33" s="1"/>
  <c r="G49" i="33"/>
  <c r="H49" i="33" s="1"/>
  <c r="I48" i="33"/>
  <c r="J48" i="33" s="1"/>
  <c r="G48" i="33"/>
  <c r="G80" i="33" l="1"/>
  <c r="G271" i="33"/>
  <c r="H271" i="33" s="1"/>
  <c r="H80" i="33"/>
  <c r="H258" i="33"/>
  <c r="G124" i="33"/>
  <c r="H124" i="33" s="1"/>
  <c r="H92" i="33"/>
  <c r="I271" i="33"/>
  <c r="J271" i="33" s="1"/>
  <c r="I124" i="33"/>
  <c r="J124" i="33" s="1"/>
  <c r="I219" i="33"/>
  <c r="J219" i="33" s="1"/>
  <c r="H48" i="33"/>
  <c r="I80" i="33"/>
  <c r="J80" i="33" s="1"/>
  <c r="P4526" i="53"/>
  <c r="M4526" i="53"/>
  <c r="P4525" i="53"/>
  <c r="M4525" i="53"/>
  <c r="P4524" i="53"/>
  <c r="M4524" i="53"/>
  <c r="P4523" i="53"/>
  <c r="M4523" i="53"/>
  <c r="P4522" i="53"/>
  <c r="M4522" i="53"/>
  <c r="P4521" i="53"/>
  <c r="M4521" i="53"/>
  <c r="P4520" i="53"/>
  <c r="M4520" i="53"/>
  <c r="P4519" i="53"/>
  <c r="M4519" i="53"/>
  <c r="P4518" i="53"/>
  <c r="M4518" i="53"/>
  <c r="P4517" i="53"/>
  <c r="M4517" i="53"/>
  <c r="P4516" i="53"/>
  <c r="M4516" i="53"/>
  <c r="P4515" i="53"/>
  <c r="M4515" i="53"/>
  <c r="P4514" i="53"/>
  <c r="M4514" i="53"/>
  <c r="P4513" i="53"/>
  <c r="M4513" i="53"/>
  <c r="P4512" i="53"/>
  <c r="M4512" i="53"/>
  <c r="P4511" i="53"/>
  <c r="M4511" i="53"/>
  <c r="P4510" i="53"/>
  <c r="M4510" i="53"/>
  <c r="P4509" i="53"/>
  <c r="M4509" i="53"/>
  <c r="P4508" i="53"/>
  <c r="M4508" i="53"/>
  <c r="P4507" i="53"/>
  <c r="M4507" i="53"/>
  <c r="P4506" i="53"/>
  <c r="M4506" i="53"/>
  <c r="P4505" i="53"/>
  <c r="M4505" i="53"/>
  <c r="P4504" i="53"/>
  <c r="M4504" i="53"/>
  <c r="P4503" i="53"/>
  <c r="M4503" i="53"/>
  <c r="P4502" i="53"/>
  <c r="M4502" i="53"/>
  <c r="P4501" i="53"/>
  <c r="M4501" i="53"/>
  <c r="P4500" i="53"/>
  <c r="M4500" i="53"/>
  <c r="P4499" i="53"/>
  <c r="M4499" i="53"/>
  <c r="P4498" i="53"/>
  <c r="M4498" i="53"/>
  <c r="P4497" i="53"/>
  <c r="M4497" i="53"/>
  <c r="P4496" i="53"/>
  <c r="M4496" i="53"/>
  <c r="P4495" i="53"/>
  <c r="M4495" i="53"/>
  <c r="P4494" i="53"/>
  <c r="M4494" i="53"/>
  <c r="P4493" i="53"/>
  <c r="M4493" i="53"/>
  <c r="P4492" i="53"/>
  <c r="M4492" i="53"/>
  <c r="P4491" i="53"/>
  <c r="M4491" i="53"/>
  <c r="P4490" i="53"/>
  <c r="M4490" i="53"/>
  <c r="P4489" i="53"/>
  <c r="M4489" i="53"/>
  <c r="P4488" i="53"/>
  <c r="M4488" i="53"/>
  <c r="P4487" i="53"/>
  <c r="M4487" i="53"/>
  <c r="P4486" i="53"/>
  <c r="M4486" i="53"/>
  <c r="P4485" i="53"/>
  <c r="M4485" i="53"/>
  <c r="P4484" i="53"/>
  <c r="M4484" i="53"/>
  <c r="P4483" i="53"/>
  <c r="M4483" i="53"/>
  <c r="P4482" i="53"/>
  <c r="M4482" i="53"/>
  <c r="P4481" i="53"/>
  <c r="M4481" i="53"/>
  <c r="P4480" i="53"/>
  <c r="M4480" i="53"/>
  <c r="P4479" i="53"/>
  <c r="M4479" i="53"/>
  <c r="P4478" i="53"/>
  <c r="M4478" i="53"/>
  <c r="P4477" i="53"/>
  <c r="M4477" i="53"/>
  <c r="P4476" i="53"/>
  <c r="M4476" i="53"/>
  <c r="P4475" i="53"/>
  <c r="M4475" i="53"/>
  <c r="P4474" i="53"/>
  <c r="M4474" i="53"/>
  <c r="P4473" i="53"/>
  <c r="M4473" i="53"/>
  <c r="P4472" i="53"/>
  <c r="M4472" i="53"/>
  <c r="P4471" i="53"/>
  <c r="M4471" i="53"/>
  <c r="P4470" i="53"/>
  <c r="M4470" i="53"/>
  <c r="P4469" i="53"/>
  <c r="M4469" i="53"/>
  <c r="P4468" i="53"/>
  <c r="M4468" i="53"/>
  <c r="P4467" i="53"/>
  <c r="M4467" i="53"/>
  <c r="P4466" i="53"/>
  <c r="M4466" i="53"/>
  <c r="P4465" i="53"/>
  <c r="M4465" i="53"/>
  <c r="P4464" i="53"/>
  <c r="M4464" i="53"/>
  <c r="P4463" i="53"/>
  <c r="M4463" i="53"/>
  <c r="P4462" i="53"/>
  <c r="M4462" i="53"/>
  <c r="P4461" i="53"/>
  <c r="M4461" i="53"/>
  <c r="P4460" i="53"/>
  <c r="M4460" i="53"/>
  <c r="P4459" i="53"/>
  <c r="M4459" i="53"/>
  <c r="P4458" i="53"/>
  <c r="M4458" i="53"/>
  <c r="P4457" i="53"/>
  <c r="M4457" i="53"/>
  <c r="P4456" i="53"/>
  <c r="M4456" i="53"/>
  <c r="P4455" i="53"/>
  <c r="M4455" i="53"/>
  <c r="P4454" i="53"/>
  <c r="M4454" i="53"/>
  <c r="P4453" i="53"/>
  <c r="M4453" i="53"/>
  <c r="P4452" i="53"/>
  <c r="M4452" i="53"/>
  <c r="P4451" i="53"/>
  <c r="M4451" i="53"/>
  <c r="P4450" i="53"/>
  <c r="M4450" i="53"/>
  <c r="P4449" i="53"/>
  <c r="M4449" i="53"/>
  <c r="P4448" i="53"/>
  <c r="M4448" i="53"/>
  <c r="P4447" i="53"/>
  <c r="M4447" i="53"/>
  <c r="P4446" i="53"/>
  <c r="M4446" i="53"/>
  <c r="P4445" i="53"/>
  <c r="M4445" i="53"/>
  <c r="P4444" i="53"/>
  <c r="M4444" i="53"/>
  <c r="P4443" i="53"/>
  <c r="M4443" i="53"/>
  <c r="P4442" i="53"/>
  <c r="M4442" i="53"/>
  <c r="P4441" i="53"/>
  <c r="M4441" i="53"/>
  <c r="P4440" i="53"/>
  <c r="M4440" i="53"/>
  <c r="P4439" i="53"/>
  <c r="M4439" i="53"/>
  <c r="P4438" i="53"/>
  <c r="M4438" i="53"/>
  <c r="P4437" i="53"/>
  <c r="M4437" i="53"/>
  <c r="P4436" i="53"/>
  <c r="M4436" i="53"/>
  <c r="P4435" i="53"/>
  <c r="M4435" i="53"/>
  <c r="P4434" i="53"/>
  <c r="M4434" i="53"/>
  <c r="P4433" i="53"/>
  <c r="M4433" i="53"/>
  <c r="P4432" i="53"/>
  <c r="M4432" i="53"/>
  <c r="P4431" i="53"/>
  <c r="M4431" i="53"/>
  <c r="P4430" i="53"/>
  <c r="M4430" i="53"/>
  <c r="P4429" i="53"/>
  <c r="M4429" i="53"/>
  <c r="P4428" i="53"/>
  <c r="M4428" i="53"/>
  <c r="P4427" i="53"/>
  <c r="M4427" i="53"/>
  <c r="P4426" i="53"/>
  <c r="M4426" i="53"/>
  <c r="P4425" i="53"/>
  <c r="M4425" i="53"/>
  <c r="P4424" i="53"/>
  <c r="M4424" i="53"/>
  <c r="P4423" i="53"/>
  <c r="M4423" i="53"/>
  <c r="P4422" i="53"/>
  <c r="M4422" i="53"/>
  <c r="P4421" i="53"/>
  <c r="M4421" i="53"/>
  <c r="P4420" i="53"/>
  <c r="M4420" i="53"/>
  <c r="P4419" i="53"/>
  <c r="M4419" i="53"/>
  <c r="P4418" i="53"/>
  <c r="M4418" i="53"/>
  <c r="P4417" i="53"/>
  <c r="M4417" i="53"/>
  <c r="P4416" i="53"/>
  <c r="M4416" i="53"/>
  <c r="P4415" i="53"/>
  <c r="M4415" i="53"/>
  <c r="P4414" i="53"/>
  <c r="M4414" i="53"/>
  <c r="P4413" i="53"/>
  <c r="M4413" i="53"/>
  <c r="P4412" i="53"/>
  <c r="M4412" i="53"/>
  <c r="P4411" i="53"/>
  <c r="M4411" i="53"/>
  <c r="P4410" i="53"/>
  <c r="M4410" i="53"/>
  <c r="P4409" i="53"/>
  <c r="M4409" i="53"/>
  <c r="P4408" i="53"/>
  <c r="M4408" i="53"/>
  <c r="P4407" i="53"/>
  <c r="M4407" i="53"/>
  <c r="P4406" i="53"/>
  <c r="M4406" i="53"/>
  <c r="P4405" i="53"/>
  <c r="M4405" i="53"/>
  <c r="P4404" i="53"/>
  <c r="M4404" i="53"/>
  <c r="P4403" i="53"/>
  <c r="M4403" i="53"/>
  <c r="P4402" i="53"/>
  <c r="M4402" i="53"/>
  <c r="P4401" i="53"/>
  <c r="M4401" i="53"/>
  <c r="P4400" i="53"/>
  <c r="M4400" i="53"/>
  <c r="P4399" i="53"/>
  <c r="M4399" i="53"/>
  <c r="P4398" i="53"/>
  <c r="M4398" i="53"/>
  <c r="P4397" i="53"/>
  <c r="M4397" i="53"/>
  <c r="P4396" i="53"/>
  <c r="M4396" i="53"/>
  <c r="P4395" i="53"/>
  <c r="M4395" i="53"/>
  <c r="P4394" i="53"/>
  <c r="M4394" i="53"/>
  <c r="P4393" i="53"/>
  <c r="M4393" i="53"/>
  <c r="P4392" i="53"/>
  <c r="M4392" i="53"/>
  <c r="P4391" i="53"/>
  <c r="M4391" i="53"/>
  <c r="P4390" i="53"/>
  <c r="M4390" i="53"/>
  <c r="P4389" i="53"/>
  <c r="M4389" i="53"/>
  <c r="P4388" i="53"/>
  <c r="M4388" i="53"/>
  <c r="P4387" i="53"/>
  <c r="M4387" i="53"/>
  <c r="P4386" i="53"/>
  <c r="M4386" i="53"/>
  <c r="P4385" i="53"/>
  <c r="M4385" i="53"/>
  <c r="P4384" i="53"/>
  <c r="M4384" i="53"/>
  <c r="P4383" i="53"/>
  <c r="M4383" i="53"/>
  <c r="P4382" i="53"/>
  <c r="M4382" i="53"/>
  <c r="P4381" i="53"/>
  <c r="M4381" i="53"/>
  <c r="P4380" i="53"/>
  <c r="M4380" i="53"/>
  <c r="P4379" i="53"/>
  <c r="M4379" i="53"/>
  <c r="P4378" i="53"/>
  <c r="M4378" i="53"/>
  <c r="P4377" i="53"/>
  <c r="M4377" i="53"/>
  <c r="P4376" i="53"/>
  <c r="M4376" i="53"/>
  <c r="P4375" i="53"/>
  <c r="M4375" i="53"/>
  <c r="P4374" i="53"/>
  <c r="M4374" i="53"/>
  <c r="P4373" i="53"/>
  <c r="M4373" i="53"/>
  <c r="P4372" i="53"/>
  <c r="M4372" i="53"/>
  <c r="P4371" i="53"/>
  <c r="M4371" i="53"/>
  <c r="P4370" i="53"/>
  <c r="M4370" i="53"/>
  <c r="P4369" i="53"/>
  <c r="M4369" i="53"/>
  <c r="P4368" i="53"/>
  <c r="M4368" i="53"/>
  <c r="P4367" i="53"/>
  <c r="M4367" i="53"/>
  <c r="P4366" i="53"/>
  <c r="M4366" i="53"/>
  <c r="P4365" i="53"/>
  <c r="M4365" i="53"/>
  <c r="P4364" i="53"/>
  <c r="M4364" i="53"/>
  <c r="P4363" i="53"/>
  <c r="M4363" i="53"/>
  <c r="P4362" i="53"/>
  <c r="M4362" i="53"/>
  <c r="P4361" i="53"/>
  <c r="M4361" i="53"/>
  <c r="P4360" i="53"/>
  <c r="M4360" i="53"/>
  <c r="P4359" i="53"/>
  <c r="M4359" i="53"/>
  <c r="P4358" i="53"/>
  <c r="M4358" i="53"/>
  <c r="P4357" i="53"/>
  <c r="M4357" i="53"/>
  <c r="P4356" i="53"/>
  <c r="M4356" i="53"/>
  <c r="P4355" i="53"/>
  <c r="M4355" i="53"/>
  <c r="P4354" i="53"/>
  <c r="M4354" i="53"/>
  <c r="P4353" i="53"/>
  <c r="M4353" i="53"/>
  <c r="P4352" i="53"/>
  <c r="M4352" i="53"/>
  <c r="P4351" i="53"/>
  <c r="M4351" i="53"/>
  <c r="P4350" i="53"/>
  <c r="M4350" i="53"/>
  <c r="P4349" i="53"/>
  <c r="M4349" i="53"/>
  <c r="P4348" i="53"/>
  <c r="M4348" i="53"/>
  <c r="P4347" i="53"/>
  <c r="M4347" i="53"/>
  <c r="P4346" i="53"/>
  <c r="M4346" i="53"/>
  <c r="P4345" i="53"/>
  <c r="M4345" i="53"/>
  <c r="P4344" i="53"/>
  <c r="M4344" i="53"/>
  <c r="P4343" i="53"/>
  <c r="M4343" i="53"/>
  <c r="P4342" i="53"/>
  <c r="M4342" i="53"/>
  <c r="P4341" i="53"/>
  <c r="M4341" i="53"/>
  <c r="P4340" i="53"/>
  <c r="M4340" i="53"/>
  <c r="P4339" i="53"/>
  <c r="M4339" i="53"/>
  <c r="P4338" i="53"/>
  <c r="M4338" i="53"/>
  <c r="P4337" i="53"/>
  <c r="M4337" i="53"/>
  <c r="P4336" i="53"/>
  <c r="M4336" i="53"/>
  <c r="P4335" i="53"/>
  <c r="M4335" i="53"/>
  <c r="P4334" i="53"/>
  <c r="M4334" i="53"/>
  <c r="P4333" i="53"/>
  <c r="M4333" i="53"/>
  <c r="P4332" i="53"/>
  <c r="M4332" i="53"/>
  <c r="P4331" i="53"/>
  <c r="M4331" i="53"/>
  <c r="P4330" i="53"/>
  <c r="M4330" i="53"/>
  <c r="P4329" i="53"/>
  <c r="M4329" i="53"/>
  <c r="P4328" i="53"/>
  <c r="M4328" i="53"/>
  <c r="P4327" i="53"/>
  <c r="M4327" i="53"/>
  <c r="P4326" i="53"/>
  <c r="M4326" i="53"/>
  <c r="P4325" i="53"/>
  <c r="M4325" i="53"/>
  <c r="P4324" i="53"/>
  <c r="M4324" i="53"/>
  <c r="P4323" i="53"/>
  <c r="M4323" i="53"/>
  <c r="P4322" i="53"/>
  <c r="M4322" i="53"/>
  <c r="P4321" i="53"/>
  <c r="M4321" i="53"/>
  <c r="P4320" i="53"/>
  <c r="M4320" i="53"/>
  <c r="P4319" i="53"/>
  <c r="M4319" i="53"/>
  <c r="P4318" i="53"/>
  <c r="M4318" i="53"/>
  <c r="P4317" i="53"/>
  <c r="M4317" i="53"/>
  <c r="P4316" i="53"/>
  <c r="M4316" i="53"/>
  <c r="P4315" i="53"/>
  <c r="M4315" i="53"/>
  <c r="P4314" i="53"/>
  <c r="M4314" i="53"/>
  <c r="P4313" i="53"/>
  <c r="M4313" i="53"/>
  <c r="P4312" i="53"/>
  <c r="M4312" i="53"/>
  <c r="P4311" i="53"/>
  <c r="M4311" i="53"/>
  <c r="P4310" i="53"/>
  <c r="M4310" i="53"/>
  <c r="P4309" i="53"/>
  <c r="M4309" i="53"/>
  <c r="P4308" i="53"/>
  <c r="M4308" i="53"/>
  <c r="P4307" i="53"/>
  <c r="M4307" i="53"/>
  <c r="P4306" i="53"/>
  <c r="M4306" i="53"/>
  <c r="P4305" i="53"/>
  <c r="M4305" i="53"/>
  <c r="P4304" i="53"/>
  <c r="M4304" i="53"/>
  <c r="P4303" i="53"/>
  <c r="M4303" i="53"/>
  <c r="P4302" i="53"/>
  <c r="M4302" i="53"/>
  <c r="P4301" i="53"/>
  <c r="M4301" i="53"/>
  <c r="P4300" i="53"/>
  <c r="M4300" i="53"/>
  <c r="P4299" i="53"/>
  <c r="M4299" i="53"/>
  <c r="P4298" i="53"/>
  <c r="M4298" i="53"/>
  <c r="P4297" i="53"/>
  <c r="M4297" i="53"/>
  <c r="P4296" i="53"/>
  <c r="M4296" i="53"/>
  <c r="P4295" i="53"/>
  <c r="M4295" i="53"/>
  <c r="P4294" i="53"/>
  <c r="M4294" i="53"/>
  <c r="P4293" i="53"/>
  <c r="M4293" i="53"/>
  <c r="P4292" i="53"/>
  <c r="M4292" i="53"/>
  <c r="P4291" i="53"/>
  <c r="M4291" i="53"/>
  <c r="P4290" i="53"/>
  <c r="M4290" i="53"/>
  <c r="P4289" i="53"/>
  <c r="M4289" i="53"/>
  <c r="P4288" i="53"/>
  <c r="M4288" i="53"/>
  <c r="P4287" i="53"/>
  <c r="M4287" i="53"/>
  <c r="P4286" i="53"/>
  <c r="M4286" i="53"/>
  <c r="P4285" i="53"/>
  <c r="M4285" i="53"/>
  <c r="P4284" i="53"/>
  <c r="M4284" i="53"/>
  <c r="P4283" i="53"/>
  <c r="M4283" i="53"/>
  <c r="P4282" i="53"/>
  <c r="M4282" i="53"/>
  <c r="P4281" i="53"/>
  <c r="M4281" i="53"/>
  <c r="P4280" i="53"/>
  <c r="M4280" i="53"/>
  <c r="P4279" i="53"/>
  <c r="M4279" i="53"/>
  <c r="P4278" i="53"/>
  <c r="M4278" i="53"/>
  <c r="P4277" i="53"/>
  <c r="M4277" i="53"/>
  <c r="P4276" i="53"/>
  <c r="M4276" i="53"/>
  <c r="P4275" i="53"/>
  <c r="M4275" i="53"/>
  <c r="P4274" i="53"/>
  <c r="M4274" i="53"/>
  <c r="P4273" i="53"/>
  <c r="M4273" i="53"/>
  <c r="P4272" i="53"/>
  <c r="M4272" i="53"/>
  <c r="P4271" i="53"/>
  <c r="M4271" i="53"/>
  <c r="P4270" i="53"/>
  <c r="M4270" i="53"/>
  <c r="P4269" i="53"/>
  <c r="M4269" i="53"/>
  <c r="P4268" i="53"/>
  <c r="M4268" i="53"/>
  <c r="P4267" i="53"/>
  <c r="M4267" i="53"/>
  <c r="P4266" i="53"/>
  <c r="M4266" i="53"/>
  <c r="P4265" i="53"/>
  <c r="M4265" i="53"/>
  <c r="P4264" i="53"/>
  <c r="M4264" i="53"/>
  <c r="P4263" i="53"/>
  <c r="M4263" i="53"/>
  <c r="P4262" i="53"/>
  <c r="M4262" i="53"/>
  <c r="P4261" i="53"/>
  <c r="M4261" i="53"/>
  <c r="P4260" i="53"/>
  <c r="M4260" i="53"/>
  <c r="P4259" i="53"/>
  <c r="M4259" i="53"/>
  <c r="P4258" i="53"/>
  <c r="M4258" i="53"/>
  <c r="P4257" i="53"/>
  <c r="M4257" i="53"/>
  <c r="P4256" i="53"/>
  <c r="M4256" i="53"/>
  <c r="P4255" i="53"/>
  <c r="M4255" i="53"/>
  <c r="P4254" i="53"/>
  <c r="M4254" i="53"/>
  <c r="P4253" i="53"/>
  <c r="M4253" i="53"/>
  <c r="P4252" i="53"/>
  <c r="M4252" i="53"/>
  <c r="P4251" i="53"/>
  <c r="M4251" i="53"/>
  <c r="P4250" i="53"/>
  <c r="M4250" i="53"/>
  <c r="P4249" i="53"/>
  <c r="M4249" i="53"/>
  <c r="P4248" i="53"/>
  <c r="M4248" i="53"/>
  <c r="P4247" i="53"/>
  <c r="M4247" i="53"/>
  <c r="P4246" i="53"/>
  <c r="M4246" i="53"/>
  <c r="P4245" i="53"/>
  <c r="M4245" i="53"/>
  <c r="P4244" i="53"/>
  <c r="M4244" i="53"/>
  <c r="P4243" i="53"/>
  <c r="M4243" i="53"/>
  <c r="P4242" i="53"/>
  <c r="M4242" i="53"/>
  <c r="P4241" i="53"/>
  <c r="M4241" i="53"/>
  <c r="P4240" i="53"/>
  <c r="M4240" i="53"/>
  <c r="P4239" i="53"/>
  <c r="M4239" i="53"/>
  <c r="P4238" i="53"/>
  <c r="M4238" i="53"/>
  <c r="P4237" i="53"/>
  <c r="M4237" i="53"/>
  <c r="P4236" i="53"/>
  <c r="M4236" i="53"/>
  <c r="P4235" i="53"/>
  <c r="M4235" i="53"/>
  <c r="P4234" i="53"/>
  <c r="M4234" i="53"/>
  <c r="P4233" i="53"/>
  <c r="M4233" i="53"/>
  <c r="P4232" i="53"/>
  <c r="M4232" i="53"/>
  <c r="P4231" i="53"/>
  <c r="M4231" i="53"/>
  <c r="P4230" i="53"/>
  <c r="M4230" i="53"/>
  <c r="P4229" i="53"/>
  <c r="M4229" i="53"/>
  <c r="P4228" i="53"/>
  <c r="M4228" i="53"/>
  <c r="P4227" i="53"/>
  <c r="M4227" i="53"/>
  <c r="P4226" i="53"/>
  <c r="M4226" i="53"/>
  <c r="P4225" i="53"/>
  <c r="M4225" i="53"/>
  <c r="P4224" i="53"/>
  <c r="M4224" i="53"/>
  <c r="P4223" i="53"/>
  <c r="M4223" i="53"/>
  <c r="P4222" i="53"/>
  <c r="M4222" i="53"/>
  <c r="P4221" i="53"/>
  <c r="M4221" i="53"/>
  <c r="P4220" i="53"/>
  <c r="M4220" i="53"/>
  <c r="P4219" i="53"/>
  <c r="M4219" i="53"/>
  <c r="P4218" i="53"/>
  <c r="M4218" i="53"/>
  <c r="P4217" i="53"/>
  <c r="M4217" i="53"/>
  <c r="P4216" i="53"/>
  <c r="M4216" i="53"/>
  <c r="P4215" i="53"/>
  <c r="M4215" i="53"/>
  <c r="P4214" i="53"/>
  <c r="M4214" i="53"/>
  <c r="P4213" i="53"/>
  <c r="M4213" i="53"/>
  <c r="P4212" i="53"/>
  <c r="M4212" i="53"/>
  <c r="P4211" i="53"/>
  <c r="M4211" i="53"/>
  <c r="P4210" i="53"/>
  <c r="M4210" i="53"/>
  <c r="P4209" i="53"/>
  <c r="M4209" i="53"/>
  <c r="P4208" i="53"/>
  <c r="M4208" i="53"/>
  <c r="P4207" i="53"/>
  <c r="M4207" i="53"/>
  <c r="P4206" i="53"/>
  <c r="M4206" i="53"/>
  <c r="P4205" i="53"/>
  <c r="M4205" i="53"/>
  <c r="P4204" i="53"/>
  <c r="M4204" i="53"/>
  <c r="P4203" i="53"/>
  <c r="M4203" i="53"/>
  <c r="P4202" i="53"/>
  <c r="M4202" i="53"/>
  <c r="P4201" i="53"/>
  <c r="M4201" i="53"/>
  <c r="P4200" i="53"/>
  <c r="M4200" i="53"/>
  <c r="P4199" i="53"/>
  <c r="M4199" i="53"/>
  <c r="P4198" i="53"/>
  <c r="M4198" i="53"/>
  <c r="P4197" i="53"/>
  <c r="M4197" i="53"/>
  <c r="P4196" i="53"/>
  <c r="M4196" i="53"/>
  <c r="P4195" i="53"/>
  <c r="M4195" i="53"/>
  <c r="P4194" i="53"/>
  <c r="M4194" i="53"/>
  <c r="P4193" i="53"/>
  <c r="M4193" i="53"/>
  <c r="P4192" i="53"/>
  <c r="M4192" i="53"/>
  <c r="P4191" i="53"/>
  <c r="M4191" i="53"/>
  <c r="P4190" i="53"/>
  <c r="M4190" i="53"/>
  <c r="P4189" i="53"/>
  <c r="M4189" i="53"/>
  <c r="P4188" i="53"/>
  <c r="M4188" i="53"/>
  <c r="P4187" i="53"/>
  <c r="M4187" i="53"/>
  <c r="P4186" i="53"/>
  <c r="M4186" i="53"/>
  <c r="P4185" i="53"/>
  <c r="M4185" i="53"/>
  <c r="P4184" i="53"/>
  <c r="M4184" i="53"/>
  <c r="P4183" i="53"/>
  <c r="M4183" i="53"/>
  <c r="P4182" i="53"/>
  <c r="M4182" i="53"/>
  <c r="P4181" i="53"/>
  <c r="M4181" i="53"/>
  <c r="P4180" i="53"/>
  <c r="M4180" i="53"/>
  <c r="P4179" i="53"/>
  <c r="M4179" i="53"/>
  <c r="P4178" i="53"/>
  <c r="M4178" i="53"/>
  <c r="P4177" i="53"/>
  <c r="M4177" i="53"/>
  <c r="P4176" i="53"/>
  <c r="M4176" i="53"/>
  <c r="P4175" i="53"/>
  <c r="M4175" i="53"/>
  <c r="P4174" i="53"/>
  <c r="M4174" i="53"/>
  <c r="P4173" i="53"/>
  <c r="M4173" i="53"/>
  <c r="P4172" i="53"/>
  <c r="M4172" i="53"/>
  <c r="P4171" i="53"/>
  <c r="M4171" i="53"/>
  <c r="P4170" i="53"/>
  <c r="M4170" i="53"/>
  <c r="P4169" i="53"/>
  <c r="M4169" i="53"/>
  <c r="P4168" i="53"/>
  <c r="M4168" i="53"/>
  <c r="P4167" i="53"/>
  <c r="M4167" i="53"/>
  <c r="P4166" i="53"/>
  <c r="M4166" i="53"/>
  <c r="P4165" i="53"/>
  <c r="M4165" i="53"/>
  <c r="P4164" i="53"/>
  <c r="M4164" i="53"/>
  <c r="P4163" i="53"/>
  <c r="M4163" i="53"/>
  <c r="P4162" i="53"/>
  <c r="M4162" i="53"/>
  <c r="P4161" i="53"/>
  <c r="M4161" i="53"/>
  <c r="P4160" i="53"/>
  <c r="M4160" i="53"/>
  <c r="P4159" i="53"/>
  <c r="M4159" i="53"/>
  <c r="P4158" i="53"/>
  <c r="M4158" i="53"/>
  <c r="P4157" i="53"/>
  <c r="M4157" i="53"/>
  <c r="P4156" i="53"/>
  <c r="M4156" i="53"/>
  <c r="P4155" i="53"/>
  <c r="M4155" i="53"/>
  <c r="P4154" i="53"/>
  <c r="M4154" i="53"/>
  <c r="P4153" i="53"/>
  <c r="M4153" i="53"/>
  <c r="P4152" i="53"/>
  <c r="M4152" i="53"/>
  <c r="P4151" i="53"/>
  <c r="M4151" i="53"/>
  <c r="P4150" i="53"/>
  <c r="M4150" i="53"/>
  <c r="P4149" i="53"/>
  <c r="M4149" i="53"/>
  <c r="P4148" i="53"/>
  <c r="M4148" i="53"/>
  <c r="P4147" i="53"/>
  <c r="M4147" i="53"/>
  <c r="P4146" i="53"/>
  <c r="M4146" i="53"/>
  <c r="P4145" i="53"/>
  <c r="M4145" i="53"/>
  <c r="P4144" i="53"/>
  <c r="M4144" i="53"/>
  <c r="P4143" i="53"/>
  <c r="M4143" i="53"/>
  <c r="P4142" i="53"/>
  <c r="M4142" i="53"/>
  <c r="P4141" i="53"/>
  <c r="M4141" i="53"/>
  <c r="P4140" i="53"/>
  <c r="M4140" i="53"/>
  <c r="P4139" i="53"/>
  <c r="M4139" i="53"/>
  <c r="P4138" i="53"/>
  <c r="M4138" i="53"/>
  <c r="P4137" i="53"/>
  <c r="M4137" i="53"/>
  <c r="P4136" i="53"/>
  <c r="M4136" i="53"/>
  <c r="P4135" i="53"/>
  <c r="M4135" i="53"/>
  <c r="P4134" i="53"/>
  <c r="M4134" i="53"/>
  <c r="P4133" i="53"/>
  <c r="M4133" i="53"/>
  <c r="P4132" i="53"/>
  <c r="M4132" i="53"/>
  <c r="P4131" i="53"/>
  <c r="M4131" i="53"/>
  <c r="P4130" i="53"/>
  <c r="M4130" i="53"/>
  <c r="P4129" i="53"/>
  <c r="M4129" i="53"/>
  <c r="P4128" i="53"/>
  <c r="M4128" i="53"/>
  <c r="P4127" i="53"/>
  <c r="M4127" i="53"/>
  <c r="P4126" i="53"/>
  <c r="M4126" i="53"/>
  <c r="P4125" i="53"/>
  <c r="M4125" i="53"/>
  <c r="P4124" i="53"/>
  <c r="M4124" i="53"/>
  <c r="P4123" i="53"/>
  <c r="M4123" i="53"/>
  <c r="P4122" i="53"/>
  <c r="M4122" i="53"/>
  <c r="P4121" i="53"/>
  <c r="M4121" i="53"/>
  <c r="P4120" i="53"/>
  <c r="M4120" i="53"/>
  <c r="P4119" i="53"/>
  <c r="M4119" i="53"/>
  <c r="P4118" i="53"/>
  <c r="M4118" i="53"/>
  <c r="P4117" i="53"/>
  <c r="M4117" i="53"/>
  <c r="P4116" i="53"/>
  <c r="M4116" i="53"/>
  <c r="P4115" i="53"/>
  <c r="M4115" i="53"/>
  <c r="P4114" i="53"/>
  <c r="M4114" i="53"/>
  <c r="P4113" i="53"/>
  <c r="M4113" i="53"/>
  <c r="P4112" i="53"/>
  <c r="M4112" i="53"/>
  <c r="P4111" i="53"/>
  <c r="M4111" i="53"/>
  <c r="P4110" i="53"/>
  <c r="M4110" i="53"/>
  <c r="P4109" i="53"/>
  <c r="M4109" i="53"/>
  <c r="P4108" i="53"/>
  <c r="M4108" i="53"/>
  <c r="P4107" i="53"/>
  <c r="M4107" i="53"/>
  <c r="P4106" i="53"/>
  <c r="M4106" i="53"/>
  <c r="P4105" i="53"/>
  <c r="M4105" i="53"/>
  <c r="P4104" i="53"/>
  <c r="M4104" i="53"/>
  <c r="P4103" i="53"/>
  <c r="M4103" i="53"/>
  <c r="P4102" i="53"/>
  <c r="M4102" i="53"/>
  <c r="P4101" i="53"/>
  <c r="M4101" i="53"/>
  <c r="P4100" i="53"/>
  <c r="M4100" i="53"/>
  <c r="P4099" i="53"/>
  <c r="M4099" i="53"/>
  <c r="P4098" i="53"/>
  <c r="M4098" i="53"/>
  <c r="P4097" i="53"/>
  <c r="M4097" i="53"/>
  <c r="P4096" i="53"/>
  <c r="M4096" i="53"/>
  <c r="P4095" i="53"/>
  <c r="M4095" i="53"/>
  <c r="P4094" i="53"/>
  <c r="M4094" i="53"/>
  <c r="P4093" i="53"/>
  <c r="M4093" i="53"/>
  <c r="P4092" i="53"/>
  <c r="M4092" i="53"/>
  <c r="P4091" i="53"/>
  <c r="M4091" i="53"/>
  <c r="P4090" i="53"/>
  <c r="M4090" i="53"/>
  <c r="P4089" i="53"/>
  <c r="M4089" i="53"/>
  <c r="P4088" i="53"/>
  <c r="M4088" i="53"/>
  <c r="P4087" i="53"/>
  <c r="M4087" i="53"/>
  <c r="P4086" i="53"/>
  <c r="M4086" i="53"/>
  <c r="P4085" i="53"/>
  <c r="M4085" i="53"/>
  <c r="P4084" i="53"/>
  <c r="M4084" i="53"/>
  <c r="P4083" i="53"/>
  <c r="M4083" i="53"/>
  <c r="P4082" i="53"/>
  <c r="M4082" i="53"/>
  <c r="P4081" i="53"/>
  <c r="M4081" i="53"/>
  <c r="P4080" i="53"/>
  <c r="M4080" i="53"/>
  <c r="P4079" i="53"/>
  <c r="M4079" i="53"/>
  <c r="P4078" i="53"/>
  <c r="M4078" i="53"/>
  <c r="P4077" i="53"/>
  <c r="M4077" i="53"/>
  <c r="P4076" i="53"/>
  <c r="M4076" i="53"/>
  <c r="P4075" i="53"/>
  <c r="M4075" i="53"/>
  <c r="P4074" i="53"/>
  <c r="M4074" i="53"/>
  <c r="P4073" i="53"/>
  <c r="M4073" i="53"/>
  <c r="P4072" i="53"/>
  <c r="M4072" i="53"/>
  <c r="P4071" i="53"/>
  <c r="M4071" i="53"/>
  <c r="P4070" i="53"/>
  <c r="M4070" i="53"/>
  <c r="P4069" i="53"/>
  <c r="M4069" i="53"/>
  <c r="P4068" i="53"/>
  <c r="M4068" i="53"/>
  <c r="P4067" i="53"/>
  <c r="M4067" i="53"/>
  <c r="P4066" i="53"/>
  <c r="M4066" i="53"/>
  <c r="P4065" i="53"/>
  <c r="M4065" i="53"/>
  <c r="P4064" i="53"/>
  <c r="M4064" i="53"/>
  <c r="P4063" i="53"/>
  <c r="M4063" i="53"/>
  <c r="P4062" i="53"/>
  <c r="M4062" i="53"/>
  <c r="P4061" i="53"/>
  <c r="M4061" i="53"/>
  <c r="P4060" i="53"/>
  <c r="M4060" i="53"/>
  <c r="P4059" i="53"/>
  <c r="M4059" i="53"/>
  <c r="P4058" i="53"/>
  <c r="M4058" i="53"/>
  <c r="P4057" i="53"/>
  <c r="M4057" i="53"/>
  <c r="P4056" i="53"/>
  <c r="M4056" i="53"/>
  <c r="P4055" i="53"/>
  <c r="M4055" i="53"/>
  <c r="P4054" i="53"/>
  <c r="M4054" i="53"/>
  <c r="P4053" i="53"/>
  <c r="M4053" i="53"/>
  <c r="P4052" i="53"/>
  <c r="M4052" i="53"/>
  <c r="P4051" i="53"/>
  <c r="M4051" i="53"/>
  <c r="P4050" i="53"/>
  <c r="M4050" i="53"/>
  <c r="P4049" i="53"/>
  <c r="M4049" i="53"/>
  <c r="P4048" i="53"/>
  <c r="M4048" i="53"/>
  <c r="P4047" i="53"/>
  <c r="M4047" i="53"/>
  <c r="P4046" i="53"/>
  <c r="M4046" i="53"/>
  <c r="P4045" i="53"/>
  <c r="M4045" i="53"/>
  <c r="P4044" i="53"/>
  <c r="M4044" i="53"/>
  <c r="P4043" i="53"/>
  <c r="M4043" i="53"/>
  <c r="P4042" i="53"/>
  <c r="M4042" i="53"/>
  <c r="P4041" i="53"/>
  <c r="M4041" i="53"/>
  <c r="P4040" i="53"/>
  <c r="M4040" i="53"/>
  <c r="P4039" i="53"/>
  <c r="M4039" i="53"/>
  <c r="P4038" i="53"/>
  <c r="M4038" i="53"/>
  <c r="P4037" i="53"/>
  <c r="M4037" i="53"/>
  <c r="P4036" i="53"/>
  <c r="M4036" i="53"/>
  <c r="P4035" i="53"/>
  <c r="M4035" i="53"/>
  <c r="P4034" i="53"/>
  <c r="M4034" i="53"/>
  <c r="P4033" i="53"/>
  <c r="M4033" i="53"/>
  <c r="P4032" i="53"/>
  <c r="M4032" i="53"/>
  <c r="P4031" i="53"/>
  <c r="M4031" i="53"/>
  <c r="P4030" i="53"/>
  <c r="M4030" i="53"/>
  <c r="P4029" i="53"/>
  <c r="M4029" i="53"/>
  <c r="P4028" i="53"/>
  <c r="M4028" i="53"/>
  <c r="P4027" i="53"/>
  <c r="M4027" i="53"/>
  <c r="P4026" i="53"/>
  <c r="M4026" i="53"/>
  <c r="P4025" i="53"/>
  <c r="M4025" i="53"/>
  <c r="P4024" i="53"/>
  <c r="M4024" i="53"/>
  <c r="P4023" i="53"/>
  <c r="M4023" i="53"/>
  <c r="P4022" i="53"/>
  <c r="M4022" i="53"/>
  <c r="P4021" i="53"/>
  <c r="M4021" i="53"/>
  <c r="P4020" i="53"/>
  <c r="M4020" i="53"/>
  <c r="P4019" i="53"/>
  <c r="M4019" i="53"/>
  <c r="P4018" i="53"/>
  <c r="M4018" i="53"/>
  <c r="P4017" i="53"/>
  <c r="M4017" i="53"/>
  <c r="P4016" i="53"/>
  <c r="M4016" i="53"/>
  <c r="P4015" i="53"/>
  <c r="M4015" i="53"/>
  <c r="P4014" i="53"/>
  <c r="M4014" i="53"/>
  <c r="P4013" i="53"/>
  <c r="M4013" i="53"/>
  <c r="P4012" i="53"/>
  <c r="M4012" i="53"/>
  <c r="P4011" i="53"/>
  <c r="M4011" i="53"/>
  <c r="P4010" i="53"/>
  <c r="M4010" i="53"/>
  <c r="P4009" i="53"/>
  <c r="M4009" i="53"/>
  <c r="P4008" i="53"/>
  <c r="M4008" i="53"/>
  <c r="P4007" i="53"/>
  <c r="M4007" i="53"/>
  <c r="P4006" i="53"/>
  <c r="M4006" i="53"/>
  <c r="P4005" i="53"/>
  <c r="M4005" i="53"/>
  <c r="P4004" i="53"/>
  <c r="M4004" i="53"/>
  <c r="P4003" i="53"/>
  <c r="M4003" i="53"/>
  <c r="P4002" i="53"/>
  <c r="M4002" i="53"/>
  <c r="P4001" i="53"/>
  <c r="M4001" i="53"/>
  <c r="P4000" i="53"/>
  <c r="M4000" i="53"/>
  <c r="P3999" i="53"/>
  <c r="M3999" i="53"/>
  <c r="P3998" i="53"/>
  <c r="M3998" i="53"/>
  <c r="P3997" i="53"/>
  <c r="M3997" i="53"/>
  <c r="P3996" i="53"/>
  <c r="M3996" i="53"/>
  <c r="P3995" i="53"/>
  <c r="M3995" i="53"/>
  <c r="P3994" i="53"/>
  <c r="M3994" i="53"/>
  <c r="P3993" i="53"/>
  <c r="M3993" i="53"/>
  <c r="P3992" i="53"/>
  <c r="M3992" i="53"/>
  <c r="P3991" i="53"/>
  <c r="M3991" i="53"/>
  <c r="P3990" i="53"/>
  <c r="M3990" i="53"/>
  <c r="P3989" i="53"/>
  <c r="M3989" i="53"/>
  <c r="P3988" i="53"/>
  <c r="M3988" i="53"/>
  <c r="P3987" i="53"/>
  <c r="M3987" i="53"/>
  <c r="P3986" i="53"/>
  <c r="M3986" i="53"/>
  <c r="P3985" i="53"/>
  <c r="M3985" i="53"/>
  <c r="P3984" i="53"/>
  <c r="M3984" i="53"/>
  <c r="P3983" i="53"/>
  <c r="M3983" i="53"/>
  <c r="P3982" i="53"/>
  <c r="M3982" i="53"/>
  <c r="P3981" i="53"/>
  <c r="M3981" i="53"/>
  <c r="P3980" i="53"/>
  <c r="M3980" i="53"/>
  <c r="P3979" i="53"/>
  <c r="M3979" i="53"/>
  <c r="P3978" i="53"/>
  <c r="M3978" i="53"/>
  <c r="P3977" i="53"/>
  <c r="M3977" i="53"/>
  <c r="P3976" i="53"/>
  <c r="M3976" i="53"/>
  <c r="P3975" i="53"/>
  <c r="M3975" i="53"/>
  <c r="P3974" i="53"/>
  <c r="M3974" i="53"/>
  <c r="P3973" i="53"/>
  <c r="M3973" i="53"/>
  <c r="P3972" i="53"/>
  <c r="M3972" i="53"/>
  <c r="P3971" i="53"/>
  <c r="M3971" i="53"/>
  <c r="P3970" i="53"/>
  <c r="M3970" i="53"/>
  <c r="P3969" i="53"/>
  <c r="M3969" i="53"/>
  <c r="P3968" i="53"/>
  <c r="M3968" i="53"/>
  <c r="P3967" i="53"/>
  <c r="M3967" i="53"/>
  <c r="P3966" i="53"/>
  <c r="M3966" i="53"/>
  <c r="P3965" i="53"/>
  <c r="M3965" i="53"/>
  <c r="P3964" i="53"/>
  <c r="M3964" i="53"/>
  <c r="P3963" i="53"/>
  <c r="M3963" i="53"/>
  <c r="P3962" i="53"/>
  <c r="M3962" i="53"/>
  <c r="P3961" i="53"/>
  <c r="M3961" i="53"/>
  <c r="P3960" i="53"/>
  <c r="M3960" i="53"/>
  <c r="P3959" i="53"/>
  <c r="M3959" i="53"/>
  <c r="P3958" i="53"/>
  <c r="M3958" i="53"/>
  <c r="P3957" i="53"/>
  <c r="M3957" i="53"/>
  <c r="P3956" i="53"/>
  <c r="M3956" i="53"/>
  <c r="P3955" i="53"/>
  <c r="M3955" i="53"/>
  <c r="P3954" i="53"/>
  <c r="M3954" i="53"/>
  <c r="P3953" i="53"/>
  <c r="M3953" i="53"/>
  <c r="P3952" i="53"/>
  <c r="M3952" i="53"/>
  <c r="P3951" i="53"/>
  <c r="M3951" i="53"/>
  <c r="P3950" i="53"/>
  <c r="M3950" i="53"/>
  <c r="P3949" i="53"/>
  <c r="M3949" i="53"/>
  <c r="P3948" i="53"/>
  <c r="M3948" i="53"/>
  <c r="P3947" i="53"/>
  <c r="M3947" i="53"/>
  <c r="P3946" i="53"/>
  <c r="M3946" i="53"/>
  <c r="P3945" i="53"/>
  <c r="M3945" i="53"/>
  <c r="P3944" i="53"/>
  <c r="M3944" i="53"/>
  <c r="P3943" i="53"/>
  <c r="M3943" i="53"/>
  <c r="P3942" i="53"/>
  <c r="M3942" i="53"/>
  <c r="P3941" i="53"/>
  <c r="M3941" i="53"/>
  <c r="P3940" i="53"/>
  <c r="M3940" i="53"/>
  <c r="P3939" i="53"/>
  <c r="M3939" i="53"/>
  <c r="P3938" i="53"/>
  <c r="M3938" i="53"/>
  <c r="P3937" i="53"/>
  <c r="M3937" i="53"/>
  <c r="P3936" i="53"/>
  <c r="M3936" i="53"/>
  <c r="P3935" i="53"/>
  <c r="M3935" i="53"/>
  <c r="P3934" i="53"/>
  <c r="M3934" i="53"/>
  <c r="P3933" i="53"/>
  <c r="M3933" i="53"/>
  <c r="P3932" i="53"/>
  <c r="M3932" i="53"/>
  <c r="P3931" i="53"/>
  <c r="M3931" i="53"/>
  <c r="P3930" i="53"/>
  <c r="M3930" i="53"/>
  <c r="P3929" i="53"/>
  <c r="M3929" i="53"/>
  <c r="P3928" i="53"/>
  <c r="M3928" i="53"/>
  <c r="P3927" i="53"/>
  <c r="M3927" i="53"/>
  <c r="P3926" i="53"/>
  <c r="M3926" i="53"/>
  <c r="P3925" i="53"/>
  <c r="M3925" i="53"/>
  <c r="P3924" i="53"/>
  <c r="M3924" i="53"/>
  <c r="P3923" i="53"/>
  <c r="M3923" i="53"/>
  <c r="P3922" i="53"/>
  <c r="M3922" i="53"/>
  <c r="P3921" i="53"/>
  <c r="M3921" i="53"/>
  <c r="P3920" i="53"/>
  <c r="M3920" i="53"/>
  <c r="P3919" i="53"/>
  <c r="M3919" i="53"/>
  <c r="P3918" i="53"/>
  <c r="M3918" i="53"/>
  <c r="P3917" i="53"/>
  <c r="M3917" i="53"/>
  <c r="P3916" i="53"/>
  <c r="M3916" i="53"/>
  <c r="P3915" i="53"/>
  <c r="M3915" i="53"/>
  <c r="P3914" i="53"/>
  <c r="M3914" i="53"/>
  <c r="P3913" i="53"/>
  <c r="M3913" i="53"/>
  <c r="P3912" i="53"/>
  <c r="M3912" i="53"/>
  <c r="P3911" i="53"/>
  <c r="M3911" i="53"/>
  <c r="P3910" i="53"/>
  <c r="M3910" i="53"/>
  <c r="P3909" i="53"/>
  <c r="M3909" i="53"/>
  <c r="P3908" i="53"/>
  <c r="M3908" i="53"/>
  <c r="P3907" i="53"/>
  <c r="M3907" i="53"/>
  <c r="P3906" i="53"/>
  <c r="M3906" i="53"/>
  <c r="P3905" i="53"/>
  <c r="M3905" i="53"/>
  <c r="P3904" i="53"/>
  <c r="M3904" i="53"/>
  <c r="P3903" i="53"/>
  <c r="M3903" i="53"/>
  <c r="P3902" i="53"/>
  <c r="M3902" i="53"/>
  <c r="P3901" i="53"/>
  <c r="M3901" i="53"/>
  <c r="P3900" i="53"/>
  <c r="M3900" i="53"/>
  <c r="P3899" i="53"/>
  <c r="M3899" i="53"/>
  <c r="P3898" i="53"/>
  <c r="M3898" i="53"/>
  <c r="P3897" i="53"/>
  <c r="M3897" i="53"/>
  <c r="P3896" i="53"/>
  <c r="M3896" i="53"/>
  <c r="P3895" i="53"/>
  <c r="M3895" i="53"/>
  <c r="P3894" i="53"/>
  <c r="M3894" i="53"/>
  <c r="P3893" i="53"/>
  <c r="M3893" i="53"/>
  <c r="P3892" i="53"/>
  <c r="M3892" i="53"/>
  <c r="P3891" i="53"/>
  <c r="M3891" i="53"/>
  <c r="P3890" i="53"/>
  <c r="M3890" i="53"/>
  <c r="P3889" i="53"/>
  <c r="M3889" i="53"/>
  <c r="P3888" i="53"/>
  <c r="M3888" i="53"/>
  <c r="P3887" i="53"/>
  <c r="M3887" i="53"/>
  <c r="P3886" i="53"/>
  <c r="M3886" i="53"/>
  <c r="P3885" i="53"/>
  <c r="M3885" i="53"/>
  <c r="P3884" i="53"/>
  <c r="M3884" i="53"/>
  <c r="P3883" i="53"/>
  <c r="M3883" i="53"/>
  <c r="P3882" i="53"/>
  <c r="M3882" i="53"/>
  <c r="P3881" i="53"/>
  <c r="M3881" i="53"/>
  <c r="P3880" i="53"/>
  <c r="M3880" i="53"/>
  <c r="P3879" i="53"/>
  <c r="M3879" i="53"/>
  <c r="P3878" i="53"/>
  <c r="M3878" i="53"/>
  <c r="P3877" i="53"/>
  <c r="M3877" i="53"/>
  <c r="P3876" i="53"/>
  <c r="M3876" i="53"/>
  <c r="P3875" i="53"/>
  <c r="M3875" i="53"/>
  <c r="P3874" i="53"/>
  <c r="M3874" i="53"/>
  <c r="P3873" i="53"/>
  <c r="M3873" i="53"/>
  <c r="P3872" i="53"/>
  <c r="M3872" i="53"/>
  <c r="P3871" i="53"/>
  <c r="M3871" i="53"/>
  <c r="P3870" i="53"/>
  <c r="M3870" i="53"/>
  <c r="P3869" i="53"/>
  <c r="M3869" i="53"/>
  <c r="P3868" i="53"/>
  <c r="M3868" i="53"/>
  <c r="P3867" i="53"/>
  <c r="M3867" i="53"/>
  <c r="P3866" i="53"/>
  <c r="M3866" i="53"/>
  <c r="P3865" i="53"/>
  <c r="M3865" i="53"/>
  <c r="P3864" i="53"/>
  <c r="M3864" i="53"/>
  <c r="P3863" i="53"/>
  <c r="M3863" i="53"/>
  <c r="P3862" i="53"/>
  <c r="M3862" i="53"/>
  <c r="P3861" i="53"/>
  <c r="M3861" i="53"/>
  <c r="P3860" i="53"/>
  <c r="M3860" i="53"/>
  <c r="P3859" i="53"/>
  <c r="M3859" i="53"/>
  <c r="P3858" i="53"/>
  <c r="M3858" i="53"/>
  <c r="P3857" i="53"/>
  <c r="M3857" i="53"/>
  <c r="P3856" i="53"/>
  <c r="M3856" i="53"/>
  <c r="P3855" i="53"/>
  <c r="M3855" i="53"/>
  <c r="P3854" i="53"/>
  <c r="M3854" i="53"/>
  <c r="P3853" i="53"/>
  <c r="M3853" i="53"/>
  <c r="P3852" i="53"/>
  <c r="M3852" i="53"/>
  <c r="P3851" i="53"/>
  <c r="M3851" i="53"/>
  <c r="P3850" i="53"/>
  <c r="M3850" i="53"/>
  <c r="P3849" i="53"/>
  <c r="M3849" i="53"/>
  <c r="P3848" i="53"/>
  <c r="M3848" i="53"/>
  <c r="P3847" i="53"/>
  <c r="M3847" i="53"/>
  <c r="P3846" i="53"/>
  <c r="M3846" i="53"/>
  <c r="P3845" i="53"/>
  <c r="M3845" i="53"/>
  <c r="P3844" i="53"/>
  <c r="M3844" i="53"/>
  <c r="P3843" i="53"/>
  <c r="M3843" i="53"/>
  <c r="P3842" i="53"/>
  <c r="M3842" i="53"/>
  <c r="P3841" i="53"/>
  <c r="M3841" i="53"/>
  <c r="P3840" i="53"/>
  <c r="M3840" i="53"/>
  <c r="P3839" i="53"/>
  <c r="M3839" i="53"/>
  <c r="P3838" i="53"/>
  <c r="M3838" i="53"/>
  <c r="P3837" i="53"/>
  <c r="M3837" i="53"/>
  <c r="P3836" i="53"/>
  <c r="M3836" i="53"/>
  <c r="P3835" i="53"/>
  <c r="M3835" i="53"/>
  <c r="P3834" i="53"/>
  <c r="M3834" i="53"/>
  <c r="P3833" i="53"/>
  <c r="M3833" i="53"/>
  <c r="P3832" i="53"/>
  <c r="M3832" i="53"/>
  <c r="P3831" i="53"/>
  <c r="M3831" i="53"/>
  <c r="P3830" i="53"/>
  <c r="M3830" i="53"/>
  <c r="P3829" i="53"/>
  <c r="M3829" i="53"/>
  <c r="P3828" i="53"/>
  <c r="M3828" i="53"/>
  <c r="P3827" i="53"/>
  <c r="M3827" i="53"/>
  <c r="P3826" i="53"/>
  <c r="M3826" i="53"/>
  <c r="P3825" i="53"/>
  <c r="M3825" i="53"/>
  <c r="P3824" i="53"/>
  <c r="M3824" i="53"/>
  <c r="P3823" i="53"/>
  <c r="M3823" i="53"/>
  <c r="P3822" i="53"/>
  <c r="M3822" i="53"/>
  <c r="P3821" i="53"/>
  <c r="M3821" i="53"/>
  <c r="P3820" i="53"/>
  <c r="M3820" i="53"/>
  <c r="P3819" i="53"/>
  <c r="M3819" i="53"/>
  <c r="P3818" i="53"/>
  <c r="M3818" i="53"/>
  <c r="P3817" i="53"/>
  <c r="M3817" i="53"/>
  <c r="P3816" i="53"/>
  <c r="M3816" i="53"/>
  <c r="P3815" i="53"/>
  <c r="M3815" i="53"/>
  <c r="P3814" i="53"/>
  <c r="M3814" i="53"/>
  <c r="P3813" i="53"/>
  <c r="M3813" i="53"/>
  <c r="P3812" i="53"/>
  <c r="M3812" i="53"/>
  <c r="P3811" i="53"/>
  <c r="M3811" i="53"/>
  <c r="P3810" i="53"/>
  <c r="M3810" i="53"/>
  <c r="P3809" i="53"/>
  <c r="M3809" i="53"/>
  <c r="P3808" i="53"/>
  <c r="M3808" i="53"/>
  <c r="P3807" i="53"/>
  <c r="M3807" i="53"/>
  <c r="P3806" i="53"/>
  <c r="M3806" i="53"/>
  <c r="P3805" i="53"/>
  <c r="M3805" i="53"/>
  <c r="P3804" i="53"/>
  <c r="M3804" i="53"/>
  <c r="P3803" i="53"/>
  <c r="M3803" i="53"/>
  <c r="P3802" i="53"/>
  <c r="M3802" i="53"/>
  <c r="P3801" i="53"/>
  <c r="M3801" i="53"/>
  <c r="P3800" i="53"/>
  <c r="M3800" i="53"/>
  <c r="P3799" i="53"/>
  <c r="M3799" i="53"/>
  <c r="P3798" i="53"/>
  <c r="M3798" i="53"/>
  <c r="P3797" i="53"/>
  <c r="M3797" i="53"/>
  <c r="P3796" i="53"/>
  <c r="M3796" i="53"/>
  <c r="P3795" i="53"/>
  <c r="M3795" i="53"/>
  <c r="P3794" i="53"/>
  <c r="M3794" i="53"/>
  <c r="P3793" i="53"/>
  <c r="M3793" i="53"/>
  <c r="P3792" i="53"/>
  <c r="M3792" i="53"/>
  <c r="P3791" i="53"/>
  <c r="M3791" i="53"/>
  <c r="P3790" i="53"/>
  <c r="M3790" i="53"/>
  <c r="P3789" i="53"/>
  <c r="M3789" i="53"/>
  <c r="P3788" i="53"/>
  <c r="M3788" i="53"/>
  <c r="P3787" i="53"/>
  <c r="M3787" i="53"/>
  <c r="P3786" i="53"/>
  <c r="M3786" i="53"/>
  <c r="P3785" i="53"/>
  <c r="M3785" i="53"/>
  <c r="P3784" i="53"/>
  <c r="M3784" i="53"/>
  <c r="P3783" i="53"/>
  <c r="M3783" i="53"/>
  <c r="P3782" i="53"/>
  <c r="M3782" i="53"/>
  <c r="P3781" i="53"/>
  <c r="M3781" i="53"/>
  <c r="P3780" i="53"/>
  <c r="M3780" i="53"/>
  <c r="P3779" i="53"/>
  <c r="M3779" i="53"/>
  <c r="P3778" i="53"/>
  <c r="M3778" i="53"/>
  <c r="P3777" i="53"/>
  <c r="M3777" i="53"/>
  <c r="P3776" i="53"/>
  <c r="M3776" i="53"/>
  <c r="P3775" i="53"/>
  <c r="M3775" i="53"/>
  <c r="P3774" i="53"/>
  <c r="M3774" i="53"/>
  <c r="P3773" i="53"/>
  <c r="M3773" i="53"/>
  <c r="P3772" i="53"/>
  <c r="M3772" i="53"/>
  <c r="P3771" i="53"/>
  <c r="M3771" i="53"/>
  <c r="P3770" i="53"/>
  <c r="M3770" i="53"/>
  <c r="P3769" i="53"/>
  <c r="M3769" i="53"/>
  <c r="P3768" i="53"/>
  <c r="M3768" i="53"/>
  <c r="P3767" i="53"/>
  <c r="M3767" i="53"/>
  <c r="P3766" i="53"/>
  <c r="M3766" i="53"/>
  <c r="P3765" i="53"/>
  <c r="M3765" i="53"/>
  <c r="P3764" i="53"/>
  <c r="M3764" i="53"/>
  <c r="P3763" i="53"/>
  <c r="M3763" i="53"/>
  <c r="P3762" i="53"/>
  <c r="M3762" i="53"/>
  <c r="P3761" i="53"/>
  <c r="M3761" i="53"/>
  <c r="P3760" i="53"/>
  <c r="M3760" i="53"/>
  <c r="P3759" i="53"/>
  <c r="M3759" i="53"/>
  <c r="P3758" i="53"/>
  <c r="M3758" i="53"/>
  <c r="P3757" i="53"/>
  <c r="M3757" i="53"/>
  <c r="P3756" i="53"/>
  <c r="M3756" i="53"/>
  <c r="P3755" i="53"/>
  <c r="M3755" i="53"/>
  <c r="P3754" i="53"/>
  <c r="M3754" i="53"/>
  <c r="P3753" i="53"/>
  <c r="M3753" i="53"/>
  <c r="P3752" i="53"/>
  <c r="M3752" i="53"/>
  <c r="P3751" i="53"/>
  <c r="M3751" i="53"/>
  <c r="P3750" i="53"/>
  <c r="M3750" i="53"/>
  <c r="P3749" i="53"/>
  <c r="M3749" i="53"/>
  <c r="P3748" i="53"/>
  <c r="M3748" i="53"/>
  <c r="P3747" i="53"/>
  <c r="M3747" i="53"/>
  <c r="P3746" i="53"/>
  <c r="M3746" i="53"/>
  <c r="P3745" i="53"/>
  <c r="M3745" i="53"/>
  <c r="P3744" i="53"/>
  <c r="M3744" i="53"/>
  <c r="P3743" i="53"/>
  <c r="M3743" i="53"/>
  <c r="P3742" i="53"/>
  <c r="M3742" i="53"/>
  <c r="P3741" i="53"/>
  <c r="M3741" i="53"/>
  <c r="P3740" i="53"/>
  <c r="M3740" i="53"/>
  <c r="P3739" i="53"/>
  <c r="M3739" i="53"/>
  <c r="P3738" i="53"/>
  <c r="M3738" i="53"/>
  <c r="P3737" i="53"/>
  <c r="M3737" i="53"/>
  <c r="P3736" i="53"/>
  <c r="M3736" i="53"/>
  <c r="P3735" i="53"/>
  <c r="M3735" i="53"/>
  <c r="P3734" i="53"/>
  <c r="M3734" i="53"/>
  <c r="P3733" i="53"/>
  <c r="M3733" i="53"/>
  <c r="P3732" i="53"/>
  <c r="M3732" i="53"/>
  <c r="P3731" i="53"/>
  <c r="M3731" i="53"/>
  <c r="P3730" i="53"/>
  <c r="M3730" i="53"/>
  <c r="P3729" i="53"/>
  <c r="M3729" i="53"/>
  <c r="P3728" i="53"/>
  <c r="M3728" i="53"/>
  <c r="P3727" i="53"/>
  <c r="M3727" i="53"/>
  <c r="P3726" i="53"/>
  <c r="M3726" i="53"/>
  <c r="P3725" i="53"/>
  <c r="M3725" i="53"/>
  <c r="P3724" i="53"/>
  <c r="M3724" i="53"/>
  <c r="P3723" i="53"/>
  <c r="M3723" i="53"/>
  <c r="P3722" i="53"/>
  <c r="M3722" i="53"/>
  <c r="P3721" i="53"/>
  <c r="M3721" i="53"/>
  <c r="P3720" i="53"/>
  <c r="M3720" i="53"/>
  <c r="P3719" i="53"/>
  <c r="M3719" i="53"/>
  <c r="P3718" i="53"/>
  <c r="M3718" i="53"/>
  <c r="P3717" i="53"/>
  <c r="M3717" i="53"/>
  <c r="P3716" i="53"/>
  <c r="M3716" i="53"/>
  <c r="P3715" i="53"/>
  <c r="M3715" i="53"/>
  <c r="P3714" i="53"/>
  <c r="M3714" i="53"/>
  <c r="P3713" i="53"/>
  <c r="M3713" i="53"/>
  <c r="P3712" i="53"/>
  <c r="M3712" i="53"/>
  <c r="P3711" i="53"/>
  <c r="M3711" i="53"/>
  <c r="P3710" i="53"/>
  <c r="M3710" i="53"/>
  <c r="P3709" i="53"/>
  <c r="M3709" i="53"/>
  <c r="P3708" i="53"/>
  <c r="M3708" i="53"/>
  <c r="P3707" i="53"/>
  <c r="M3707" i="53"/>
  <c r="P3706" i="53"/>
  <c r="M3706" i="53"/>
  <c r="P3705" i="53"/>
  <c r="M3705" i="53"/>
  <c r="P3704" i="53"/>
  <c r="M3704" i="53"/>
  <c r="P3703" i="53"/>
  <c r="M3703" i="53"/>
  <c r="P3702" i="53"/>
  <c r="M3702" i="53"/>
  <c r="P3701" i="53"/>
  <c r="M3701" i="53"/>
  <c r="P3700" i="53"/>
  <c r="M3700" i="53"/>
  <c r="P3699" i="53"/>
  <c r="M3699" i="53"/>
  <c r="P3698" i="53"/>
  <c r="M3698" i="53"/>
  <c r="P3697" i="53"/>
  <c r="M3697" i="53"/>
  <c r="P3696" i="53"/>
  <c r="M3696" i="53"/>
  <c r="P3695" i="53"/>
  <c r="M3695" i="53"/>
  <c r="P3694" i="53"/>
  <c r="M3694" i="53"/>
  <c r="P3693" i="53"/>
  <c r="M3693" i="53"/>
  <c r="P3692" i="53"/>
  <c r="M3692" i="53"/>
  <c r="P3691" i="53"/>
  <c r="M3691" i="53"/>
  <c r="P3690" i="53"/>
  <c r="M3690" i="53"/>
  <c r="P3689" i="53"/>
  <c r="M3689" i="53"/>
  <c r="P3688" i="53"/>
  <c r="M3688" i="53"/>
  <c r="P3687" i="53"/>
  <c r="M3687" i="53"/>
  <c r="P3686" i="53"/>
  <c r="M3686" i="53"/>
  <c r="P3685" i="53"/>
  <c r="M3685" i="53"/>
  <c r="P3684" i="53"/>
  <c r="M3684" i="53"/>
  <c r="P3683" i="53"/>
  <c r="M3683" i="53"/>
  <c r="P3682" i="53"/>
  <c r="M3682" i="53"/>
  <c r="P3681" i="53"/>
  <c r="M3681" i="53"/>
  <c r="P3680" i="53"/>
  <c r="M3680" i="53"/>
  <c r="P3679" i="53"/>
  <c r="M3679" i="53"/>
  <c r="P3678" i="53"/>
  <c r="M3678" i="53"/>
  <c r="P3677" i="53"/>
  <c r="M3677" i="53"/>
  <c r="P3676" i="53"/>
  <c r="M3676" i="53"/>
  <c r="P3675" i="53"/>
  <c r="M3675" i="53"/>
  <c r="P3674" i="53"/>
  <c r="M3674" i="53"/>
  <c r="P3673" i="53"/>
  <c r="M3673" i="53"/>
  <c r="P3672" i="53"/>
  <c r="M3672" i="53"/>
  <c r="P3671" i="53"/>
  <c r="M3671" i="53"/>
  <c r="P3670" i="53"/>
  <c r="M3670" i="53"/>
  <c r="P3669" i="53"/>
  <c r="M3669" i="53"/>
  <c r="P3668" i="53"/>
  <c r="M3668" i="53"/>
  <c r="P3667" i="53"/>
  <c r="M3667" i="53"/>
  <c r="P3666" i="53"/>
  <c r="M3666" i="53"/>
  <c r="P3665" i="53"/>
  <c r="M3665" i="53"/>
  <c r="P3664" i="53"/>
  <c r="M3664" i="53"/>
  <c r="P3663" i="53"/>
  <c r="M3663" i="53"/>
  <c r="P3662" i="53"/>
  <c r="M3662" i="53"/>
  <c r="P3661" i="53"/>
  <c r="M3661" i="53"/>
  <c r="P3660" i="53"/>
  <c r="M3660" i="53"/>
  <c r="P3659" i="53"/>
  <c r="M3659" i="53"/>
  <c r="P3658" i="53"/>
  <c r="M3658" i="53"/>
  <c r="P3657" i="53"/>
  <c r="M3657" i="53"/>
  <c r="P3656" i="53"/>
  <c r="M3656" i="53"/>
  <c r="P3655" i="53"/>
  <c r="M3655" i="53"/>
  <c r="P3654" i="53"/>
  <c r="M3654" i="53"/>
  <c r="P3653" i="53"/>
  <c r="M3653" i="53"/>
  <c r="P3652" i="53"/>
  <c r="M3652" i="53"/>
  <c r="P3651" i="53"/>
  <c r="M3651" i="53"/>
  <c r="P3650" i="53"/>
  <c r="M3650" i="53"/>
  <c r="P3649" i="53"/>
  <c r="M3649" i="53"/>
  <c r="P3648" i="53"/>
  <c r="M3648" i="53"/>
  <c r="P3647" i="53"/>
  <c r="M3647" i="53"/>
  <c r="P3646" i="53"/>
  <c r="M3646" i="53"/>
  <c r="P3645" i="53"/>
  <c r="M3645" i="53"/>
  <c r="P3644" i="53"/>
  <c r="M3644" i="53"/>
  <c r="P3643" i="53"/>
  <c r="M3643" i="53"/>
  <c r="P3642" i="53"/>
  <c r="M3642" i="53"/>
  <c r="P3641" i="53"/>
  <c r="M3641" i="53"/>
  <c r="P3640" i="53"/>
  <c r="M3640" i="53"/>
  <c r="P3639" i="53"/>
  <c r="M3639" i="53"/>
  <c r="P3638" i="53"/>
  <c r="M3638" i="53"/>
  <c r="P3637" i="53"/>
  <c r="M3637" i="53"/>
  <c r="P3636" i="53"/>
  <c r="M3636" i="53"/>
  <c r="P3635" i="53"/>
  <c r="M3635" i="53"/>
  <c r="P3634" i="53"/>
  <c r="M3634" i="53"/>
  <c r="P3633" i="53"/>
  <c r="M3633" i="53"/>
  <c r="P3632" i="53"/>
  <c r="M3632" i="53"/>
  <c r="P3631" i="53"/>
  <c r="M3631" i="53"/>
  <c r="P3630" i="53"/>
  <c r="M3630" i="53"/>
  <c r="P3629" i="53"/>
  <c r="M3629" i="53"/>
  <c r="P3628" i="53"/>
  <c r="M3628" i="53"/>
  <c r="P3627" i="53"/>
  <c r="M3627" i="53"/>
  <c r="P3626" i="53"/>
  <c r="M3626" i="53"/>
  <c r="P3625" i="53"/>
  <c r="M3625" i="53"/>
  <c r="P3624" i="53"/>
  <c r="M3624" i="53"/>
  <c r="P3623" i="53"/>
  <c r="M3623" i="53"/>
  <c r="P3622" i="53"/>
  <c r="M3622" i="53"/>
  <c r="P3621" i="53"/>
  <c r="M3621" i="53"/>
  <c r="P3620" i="53"/>
  <c r="M3620" i="53"/>
  <c r="P3619" i="53"/>
  <c r="M3619" i="53"/>
  <c r="P3618" i="53"/>
  <c r="M3618" i="53"/>
  <c r="P3617" i="53"/>
  <c r="M3617" i="53"/>
  <c r="P3616" i="53"/>
  <c r="M3616" i="53"/>
  <c r="P3615" i="53"/>
  <c r="M3615" i="53"/>
  <c r="P3614" i="53"/>
  <c r="M3614" i="53"/>
  <c r="P3613" i="53"/>
  <c r="M3613" i="53"/>
  <c r="P3612" i="53"/>
  <c r="M3612" i="53"/>
  <c r="P3611" i="53"/>
  <c r="M3611" i="53"/>
  <c r="P3610" i="53"/>
  <c r="M3610" i="53"/>
  <c r="P3609" i="53"/>
  <c r="M3609" i="53"/>
  <c r="P3608" i="53"/>
  <c r="M3608" i="53"/>
  <c r="P3607" i="53"/>
  <c r="M3607" i="53"/>
  <c r="P3606" i="53"/>
  <c r="M3606" i="53"/>
  <c r="P3605" i="53"/>
  <c r="M3605" i="53"/>
  <c r="P3604" i="53"/>
  <c r="M3604" i="53"/>
  <c r="P3603" i="53"/>
  <c r="M3603" i="53"/>
  <c r="P3602" i="53"/>
  <c r="M3602" i="53"/>
  <c r="P3601" i="53"/>
  <c r="M3601" i="53"/>
  <c r="P3600" i="53"/>
  <c r="M3600" i="53"/>
  <c r="P3599" i="53"/>
  <c r="M3599" i="53"/>
  <c r="P3598" i="53"/>
  <c r="M3598" i="53"/>
  <c r="P3597" i="53"/>
  <c r="M3597" i="53"/>
  <c r="P3596" i="53"/>
  <c r="M3596" i="53"/>
  <c r="P3595" i="53"/>
  <c r="M3595" i="53"/>
  <c r="P3594" i="53"/>
  <c r="M3594" i="53"/>
  <c r="P3593" i="53"/>
  <c r="M3593" i="53"/>
  <c r="P3592" i="53"/>
  <c r="M3592" i="53"/>
  <c r="P3591" i="53"/>
  <c r="M3591" i="53"/>
  <c r="P3590" i="53"/>
  <c r="M3590" i="53"/>
  <c r="P3589" i="53"/>
  <c r="M3589" i="53"/>
  <c r="P3588" i="53"/>
  <c r="M3588" i="53"/>
  <c r="P3587" i="53"/>
  <c r="M3587" i="53"/>
  <c r="P3586" i="53"/>
  <c r="M3586" i="53"/>
  <c r="P3585" i="53"/>
  <c r="M3585" i="53"/>
  <c r="P3584" i="53"/>
  <c r="M3584" i="53"/>
  <c r="P3583" i="53"/>
  <c r="M3583" i="53"/>
  <c r="P3582" i="53"/>
  <c r="M3582" i="53"/>
  <c r="P3581" i="53"/>
  <c r="M3581" i="53"/>
  <c r="P3580" i="53"/>
  <c r="M3580" i="53"/>
  <c r="P3579" i="53"/>
  <c r="M3579" i="53"/>
  <c r="P3578" i="53"/>
  <c r="M3578" i="53"/>
  <c r="P3577" i="53"/>
  <c r="M3577" i="53"/>
  <c r="P3576" i="53"/>
  <c r="M3576" i="53"/>
  <c r="P3575" i="53"/>
  <c r="M3575" i="53"/>
  <c r="P3574" i="53"/>
  <c r="M3574" i="53"/>
  <c r="P3573" i="53"/>
  <c r="M3573" i="53"/>
  <c r="P3572" i="53"/>
  <c r="M3572" i="53"/>
  <c r="P3571" i="53"/>
  <c r="M3571" i="53"/>
  <c r="P3570" i="53"/>
  <c r="M3570" i="53"/>
  <c r="P3569" i="53"/>
  <c r="M3569" i="53"/>
  <c r="P3568" i="53"/>
  <c r="M3568" i="53"/>
  <c r="P3567" i="53"/>
  <c r="M3567" i="53"/>
  <c r="P3566" i="53"/>
  <c r="M3566" i="53"/>
  <c r="P3565" i="53"/>
  <c r="M3565" i="53"/>
  <c r="P3564" i="53"/>
  <c r="M3564" i="53"/>
  <c r="P3563" i="53"/>
  <c r="M3563" i="53"/>
  <c r="P3562" i="53"/>
  <c r="M3562" i="53"/>
  <c r="P3561" i="53"/>
  <c r="M3561" i="53"/>
  <c r="P3560" i="53"/>
  <c r="M3560" i="53"/>
  <c r="P3559" i="53"/>
  <c r="M3559" i="53"/>
  <c r="P3558" i="53"/>
  <c r="M3558" i="53"/>
  <c r="P3557" i="53"/>
  <c r="M3557" i="53"/>
  <c r="P3556" i="53"/>
  <c r="M3556" i="53"/>
  <c r="P3555" i="53"/>
  <c r="M3555" i="53"/>
  <c r="P3554" i="53"/>
  <c r="M3554" i="53"/>
  <c r="P3553" i="53"/>
  <c r="M3553" i="53"/>
  <c r="P3552" i="53"/>
  <c r="M3552" i="53"/>
  <c r="P3551" i="53"/>
  <c r="M3551" i="53"/>
  <c r="P3550" i="53"/>
  <c r="M3550" i="53"/>
  <c r="P3549" i="53"/>
  <c r="M3549" i="53"/>
  <c r="P3548" i="53"/>
  <c r="M3548" i="53"/>
  <c r="P3547" i="53"/>
  <c r="M3547" i="53"/>
  <c r="P3546" i="53"/>
  <c r="M3546" i="53"/>
  <c r="P3545" i="53"/>
  <c r="M3545" i="53"/>
  <c r="P3544" i="53"/>
  <c r="M3544" i="53"/>
  <c r="P3543" i="53"/>
  <c r="M3543" i="53"/>
  <c r="P3542" i="53"/>
  <c r="M3542" i="53"/>
  <c r="P3541" i="53"/>
  <c r="M3541" i="53"/>
  <c r="P3540" i="53"/>
  <c r="M3540" i="53"/>
  <c r="P3539" i="53"/>
  <c r="M3539" i="53"/>
  <c r="P3538" i="53"/>
  <c r="M3538" i="53"/>
  <c r="P3537" i="53"/>
  <c r="M3537" i="53"/>
  <c r="P3536" i="53"/>
  <c r="M3536" i="53"/>
  <c r="P3535" i="53"/>
  <c r="M3535" i="53"/>
  <c r="P3534" i="53"/>
  <c r="M3534" i="53"/>
  <c r="P3533" i="53"/>
  <c r="M3533" i="53"/>
  <c r="P3532" i="53"/>
  <c r="M3532" i="53"/>
  <c r="P3531" i="53"/>
  <c r="M3531" i="53"/>
  <c r="P3530" i="53"/>
  <c r="M3530" i="53"/>
  <c r="P3529" i="53"/>
  <c r="M3529" i="53"/>
  <c r="P3528" i="53"/>
  <c r="M3528" i="53"/>
  <c r="P3527" i="53"/>
  <c r="M3527" i="53"/>
  <c r="P3526" i="53"/>
  <c r="M3526" i="53"/>
  <c r="P3525" i="53"/>
  <c r="M3525" i="53"/>
  <c r="P3524" i="53"/>
  <c r="M3524" i="53"/>
  <c r="P3523" i="53"/>
  <c r="M3523" i="53"/>
  <c r="P3522" i="53"/>
  <c r="M3522" i="53"/>
  <c r="P3521" i="53"/>
  <c r="M3521" i="53"/>
  <c r="P3520" i="53"/>
  <c r="M3520" i="53"/>
  <c r="P3519" i="53"/>
  <c r="M3519" i="53"/>
  <c r="P3518" i="53"/>
  <c r="M3518" i="53"/>
  <c r="P3517" i="53"/>
  <c r="M3517" i="53"/>
  <c r="P3516" i="53"/>
  <c r="M3516" i="53"/>
  <c r="P3515" i="53"/>
  <c r="M3515" i="53"/>
  <c r="P3514" i="53"/>
  <c r="M3514" i="53"/>
  <c r="P3513" i="53"/>
  <c r="M3513" i="53"/>
  <c r="P3512" i="53"/>
  <c r="M3512" i="53"/>
  <c r="P3511" i="53"/>
  <c r="M3511" i="53"/>
  <c r="P3510" i="53"/>
  <c r="M3510" i="53"/>
  <c r="P3509" i="53"/>
  <c r="M3509" i="53"/>
  <c r="P3508" i="53"/>
  <c r="M3508" i="53"/>
  <c r="P3507" i="53"/>
  <c r="M3507" i="53"/>
  <c r="P3506" i="53"/>
  <c r="M3506" i="53"/>
  <c r="P3505" i="53"/>
  <c r="M3505" i="53"/>
  <c r="P3504" i="53"/>
  <c r="M3504" i="53"/>
  <c r="P3503" i="53"/>
  <c r="M3503" i="53"/>
  <c r="P3502" i="53"/>
  <c r="M3502" i="53"/>
  <c r="P3501" i="53"/>
  <c r="M3501" i="53"/>
  <c r="P3500" i="53"/>
  <c r="M3500" i="53"/>
  <c r="P3499" i="53"/>
  <c r="M3499" i="53"/>
  <c r="P3498" i="53"/>
  <c r="M3498" i="53"/>
  <c r="P3497" i="53"/>
  <c r="M3497" i="53"/>
  <c r="P3496" i="53"/>
  <c r="M3496" i="53"/>
  <c r="P3495" i="53"/>
  <c r="M3495" i="53"/>
  <c r="P3494" i="53"/>
  <c r="M3494" i="53"/>
  <c r="P3493" i="53"/>
  <c r="M3493" i="53"/>
  <c r="P3492" i="53"/>
  <c r="M3492" i="53"/>
  <c r="P3491" i="53"/>
  <c r="M3491" i="53"/>
  <c r="P3490" i="53"/>
  <c r="M3490" i="53"/>
  <c r="P3489" i="53"/>
  <c r="M3489" i="53"/>
  <c r="P3488" i="53"/>
  <c r="M3488" i="53"/>
  <c r="P3487" i="53"/>
  <c r="M3487" i="53"/>
  <c r="P3486" i="53"/>
  <c r="M3486" i="53"/>
  <c r="P3485" i="53"/>
  <c r="M3485" i="53"/>
  <c r="P3484" i="53"/>
  <c r="M3484" i="53"/>
  <c r="P3483" i="53"/>
  <c r="M3483" i="53"/>
  <c r="P3482" i="53"/>
  <c r="M3482" i="53"/>
  <c r="P3481" i="53"/>
  <c r="M3481" i="53"/>
  <c r="P3480" i="53"/>
  <c r="M3480" i="53"/>
  <c r="P3479" i="53"/>
  <c r="M3479" i="53"/>
  <c r="P3478" i="53"/>
  <c r="M3478" i="53"/>
  <c r="P3477" i="53"/>
  <c r="M3477" i="53"/>
  <c r="P3476" i="53"/>
  <c r="M3476" i="53"/>
  <c r="P3475" i="53"/>
  <c r="M3475" i="53"/>
  <c r="P3474" i="53"/>
  <c r="M3474" i="53"/>
  <c r="P3473" i="53"/>
  <c r="M3473" i="53"/>
  <c r="P3472" i="53"/>
  <c r="M3472" i="53"/>
  <c r="P3471" i="53"/>
  <c r="M3471" i="53"/>
  <c r="P3470" i="53"/>
  <c r="M3470" i="53"/>
  <c r="P3469" i="53"/>
  <c r="M3469" i="53"/>
  <c r="P3468" i="53"/>
  <c r="M3468" i="53"/>
  <c r="P3467" i="53"/>
  <c r="M3467" i="53"/>
  <c r="P3466" i="53"/>
  <c r="M3466" i="53"/>
  <c r="P3465" i="53"/>
  <c r="M3465" i="53"/>
  <c r="P3464" i="53"/>
  <c r="M3464" i="53"/>
  <c r="P3463" i="53"/>
  <c r="M3463" i="53"/>
  <c r="P3462" i="53"/>
  <c r="M3462" i="53"/>
  <c r="P3461" i="53"/>
  <c r="M3461" i="53"/>
  <c r="P3460" i="53"/>
  <c r="M3460" i="53"/>
  <c r="P3459" i="53"/>
  <c r="M3459" i="53"/>
  <c r="P3458" i="53"/>
  <c r="M3458" i="53"/>
  <c r="P3457" i="53"/>
  <c r="M3457" i="53"/>
  <c r="P3456" i="53"/>
  <c r="M3456" i="53"/>
  <c r="P3455" i="53"/>
  <c r="M3455" i="53"/>
  <c r="P3454" i="53"/>
  <c r="M3454" i="53"/>
  <c r="P3453" i="53"/>
  <c r="M3453" i="53"/>
  <c r="P3452" i="53"/>
  <c r="M3452" i="53"/>
  <c r="P3451" i="53"/>
  <c r="M3451" i="53"/>
  <c r="P3450" i="53"/>
  <c r="M3450" i="53"/>
  <c r="P3449" i="53"/>
  <c r="M3449" i="53"/>
  <c r="P3448" i="53"/>
  <c r="M3448" i="53"/>
  <c r="P3447" i="53"/>
  <c r="M3447" i="53"/>
  <c r="P3446" i="53"/>
  <c r="M3446" i="53"/>
  <c r="P3445" i="53"/>
  <c r="M3445" i="53"/>
  <c r="P3444" i="53"/>
  <c r="M3444" i="53"/>
  <c r="P3443" i="53"/>
  <c r="M3443" i="53"/>
  <c r="P3442" i="53"/>
  <c r="M3442" i="53"/>
  <c r="P3441" i="53"/>
  <c r="M3441" i="53"/>
  <c r="P3440" i="53"/>
  <c r="M3440" i="53"/>
  <c r="P3439" i="53"/>
  <c r="M3439" i="53"/>
  <c r="P3438" i="53"/>
  <c r="M3438" i="53"/>
  <c r="P3437" i="53"/>
  <c r="M3437" i="53"/>
  <c r="P3436" i="53"/>
  <c r="M3436" i="53"/>
  <c r="P3435" i="53"/>
  <c r="M3435" i="53"/>
  <c r="P3434" i="53"/>
  <c r="M3434" i="53"/>
  <c r="P3433" i="53"/>
  <c r="M3433" i="53"/>
  <c r="P3432" i="53"/>
  <c r="M3432" i="53"/>
  <c r="P3431" i="53"/>
  <c r="M3431" i="53"/>
  <c r="P3430" i="53"/>
  <c r="M3430" i="53"/>
  <c r="P3429" i="53"/>
  <c r="M3429" i="53"/>
  <c r="P3428" i="53"/>
  <c r="M3428" i="53"/>
  <c r="P3427" i="53"/>
  <c r="M3427" i="53"/>
  <c r="P3426" i="53"/>
  <c r="M3426" i="53"/>
  <c r="P3425" i="53"/>
  <c r="M3425" i="53"/>
  <c r="P3424" i="53"/>
  <c r="M3424" i="53"/>
  <c r="P3423" i="53"/>
  <c r="M3423" i="53"/>
  <c r="P3422" i="53"/>
  <c r="M3422" i="53"/>
  <c r="P3421" i="53"/>
  <c r="M3421" i="53"/>
  <c r="P3420" i="53"/>
  <c r="M3420" i="53"/>
  <c r="P3419" i="53"/>
  <c r="M3419" i="53"/>
  <c r="P3418" i="53"/>
  <c r="M3418" i="53"/>
  <c r="P3417" i="53"/>
  <c r="M3417" i="53"/>
  <c r="P3416" i="53"/>
  <c r="M3416" i="53"/>
  <c r="P3415" i="53"/>
  <c r="M3415" i="53"/>
  <c r="P3414" i="53"/>
  <c r="M3414" i="53"/>
  <c r="P3413" i="53"/>
  <c r="M3413" i="53"/>
  <c r="P3412" i="53"/>
  <c r="M3412" i="53"/>
  <c r="P3411" i="53"/>
  <c r="M3411" i="53"/>
  <c r="P3410" i="53"/>
  <c r="M3410" i="53"/>
  <c r="P3409" i="53"/>
  <c r="M3409" i="53"/>
  <c r="P3408" i="53"/>
  <c r="M3408" i="53"/>
  <c r="P3407" i="53"/>
  <c r="M3407" i="53"/>
  <c r="P3406" i="53"/>
  <c r="M3406" i="53"/>
  <c r="P3405" i="53"/>
  <c r="M3405" i="53"/>
  <c r="P3404" i="53"/>
  <c r="M3404" i="53"/>
  <c r="P3403" i="53"/>
  <c r="M3403" i="53"/>
  <c r="P3402" i="53"/>
  <c r="M3402" i="53"/>
  <c r="P3401" i="53"/>
  <c r="M3401" i="53"/>
  <c r="P3400" i="53"/>
  <c r="M3400" i="53"/>
  <c r="P3399" i="53"/>
  <c r="M3399" i="53"/>
  <c r="P3398" i="53"/>
  <c r="M3398" i="53"/>
  <c r="P3397" i="53"/>
  <c r="M3397" i="53"/>
  <c r="P3396" i="53"/>
  <c r="M3396" i="53"/>
  <c r="P3395" i="53"/>
  <c r="M3395" i="53"/>
  <c r="P3394" i="53"/>
  <c r="M3394" i="53"/>
  <c r="P3393" i="53"/>
  <c r="M3393" i="53"/>
  <c r="P3392" i="53"/>
  <c r="M3392" i="53"/>
  <c r="P3391" i="53"/>
  <c r="M3391" i="53"/>
  <c r="P3390" i="53"/>
  <c r="M3390" i="53"/>
  <c r="P3389" i="53"/>
  <c r="M3389" i="53"/>
  <c r="P3388" i="53"/>
  <c r="M3388" i="53"/>
  <c r="P3387" i="53"/>
  <c r="M3387" i="53"/>
  <c r="P3386" i="53"/>
  <c r="M3386" i="53"/>
  <c r="P3385" i="53"/>
  <c r="M3385" i="53"/>
  <c r="P3384" i="53"/>
  <c r="M3384" i="53"/>
  <c r="P3383" i="53"/>
  <c r="M3383" i="53"/>
  <c r="P3382" i="53"/>
  <c r="M3382" i="53"/>
  <c r="P3381" i="53"/>
  <c r="M3381" i="53"/>
  <c r="P3380" i="53"/>
  <c r="M3380" i="53"/>
  <c r="P3379" i="53"/>
  <c r="M3379" i="53"/>
  <c r="P3378" i="53"/>
  <c r="M3378" i="53"/>
  <c r="P3377" i="53"/>
  <c r="M3377" i="53"/>
  <c r="P3376" i="53"/>
  <c r="M3376" i="53"/>
  <c r="P3375" i="53"/>
  <c r="M3375" i="53"/>
  <c r="P3374" i="53"/>
  <c r="M3374" i="53"/>
  <c r="P3373" i="53"/>
  <c r="M3373" i="53"/>
  <c r="P3372" i="53"/>
  <c r="M3372" i="53"/>
  <c r="P3371" i="53"/>
  <c r="M3371" i="53"/>
  <c r="P3370" i="53"/>
  <c r="M3370" i="53"/>
  <c r="P3369" i="53"/>
  <c r="M3369" i="53"/>
  <c r="P3368" i="53"/>
  <c r="M3368" i="53"/>
  <c r="P3367" i="53"/>
  <c r="M3367" i="53"/>
  <c r="P3366" i="53"/>
  <c r="M3366" i="53"/>
  <c r="P3365" i="53"/>
  <c r="M3365" i="53"/>
  <c r="P3364" i="53"/>
  <c r="M3364" i="53"/>
  <c r="P3363" i="53"/>
  <c r="M3363" i="53"/>
  <c r="P3362" i="53"/>
  <c r="M3362" i="53"/>
  <c r="P3361" i="53"/>
  <c r="M3361" i="53"/>
  <c r="P3360" i="53"/>
  <c r="M3360" i="53"/>
  <c r="P3359" i="53"/>
  <c r="M3359" i="53"/>
  <c r="P3358" i="53"/>
  <c r="M3358" i="53"/>
  <c r="P3357" i="53"/>
  <c r="M3357" i="53"/>
  <c r="P3356" i="53"/>
  <c r="M3356" i="53"/>
  <c r="P3355" i="53"/>
  <c r="M3355" i="53"/>
  <c r="P3354" i="53"/>
  <c r="M3354" i="53"/>
  <c r="P3353" i="53"/>
  <c r="M3353" i="53"/>
  <c r="P3352" i="53"/>
  <c r="M3352" i="53"/>
  <c r="P3351" i="53"/>
  <c r="M3351" i="53"/>
  <c r="P3350" i="53"/>
  <c r="M3350" i="53"/>
  <c r="P3349" i="53"/>
  <c r="M3349" i="53"/>
  <c r="P3348" i="53"/>
  <c r="M3348" i="53"/>
  <c r="P3347" i="53"/>
  <c r="M3347" i="53"/>
  <c r="P3346" i="53"/>
  <c r="M3346" i="53"/>
  <c r="P3345" i="53"/>
  <c r="M3345" i="53"/>
  <c r="P3344" i="53"/>
  <c r="M3344" i="53"/>
  <c r="P3343" i="53"/>
  <c r="M3343" i="53"/>
  <c r="P3342" i="53"/>
  <c r="M3342" i="53"/>
  <c r="P3341" i="53"/>
  <c r="M3341" i="53"/>
  <c r="P3340" i="53"/>
  <c r="M3340" i="53"/>
  <c r="P3339" i="53"/>
  <c r="M3339" i="53"/>
  <c r="P3338" i="53"/>
  <c r="M3338" i="53"/>
  <c r="P3337" i="53"/>
  <c r="M3337" i="53"/>
  <c r="P3336" i="53"/>
  <c r="M3336" i="53"/>
  <c r="P3335" i="53"/>
  <c r="M3335" i="53"/>
  <c r="P3334" i="53"/>
  <c r="M3334" i="53"/>
  <c r="P3333" i="53"/>
  <c r="M3333" i="53"/>
  <c r="P3332" i="53"/>
  <c r="M3332" i="53"/>
  <c r="P3331" i="53"/>
  <c r="M3331" i="53"/>
  <c r="P3330" i="53"/>
  <c r="M3330" i="53"/>
  <c r="P3329" i="53"/>
  <c r="M3329" i="53"/>
  <c r="P3328" i="53"/>
  <c r="M3328" i="53"/>
  <c r="P3327" i="53"/>
  <c r="M3327" i="53"/>
  <c r="P3326" i="53"/>
  <c r="M3326" i="53"/>
  <c r="P3325" i="53"/>
  <c r="M3325" i="53"/>
  <c r="P3324" i="53"/>
  <c r="M3324" i="53"/>
  <c r="P3323" i="53"/>
  <c r="M3323" i="53"/>
  <c r="P3322" i="53"/>
  <c r="M3322" i="53"/>
  <c r="P3321" i="53"/>
  <c r="M3321" i="53"/>
  <c r="P3320" i="53"/>
  <c r="M3320" i="53"/>
  <c r="P3319" i="53"/>
  <c r="M3319" i="53"/>
  <c r="P3318" i="53"/>
  <c r="M3318" i="53"/>
  <c r="P3317" i="53"/>
  <c r="M3317" i="53"/>
  <c r="P3316" i="53"/>
  <c r="M3316" i="53"/>
  <c r="P3315" i="53"/>
  <c r="M3315" i="53"/>
  <c r="P3314" i="53"/>
  <c r="M3314" i="53"/>
  <c r="P3313" i="53"/>
  <c r="M3313" i="53"/>
  <c r="P3312" i="53"/>
  <c r="M3312" i="53"/>
  <c r="P3311" i="53"/>
  <c r="M3311" i="53"/>
  <c r="P3310" i="53"/>
  <c r="M3310" i="53"/>
  <c r="P3309" i="53"/>
  <c r="M3309" i="53"/>
  <c r="P3308" i="53"/>
  <c r="M3308" i="53"/>
  <c r="P3307" i="53"/>
  <c r="M3307" i="53"/>
  <c r="P3306" i="53"/>
  <c r="M3306" i="53"/>
  <c r="P3305" i="53"/>
  <c r="M3305" i="53"/>
  <c r="P3304" i="53"/>
  <c r="M3304" i="53"/>
  <c r="P3303" i="53"/>
  <c r="M3303" i="53"/>
  <c r="P3302" i="53"/>
  <c r="M3302" i="53"/>
  <c r="P3301" i="53"/>
  <c r="M3301" i="53"/>
  <c r="P3300" i="53"/>
  <c r="M3300" i="53"/>
  <c r="P3299" i="53"/>
  <c r="M3299" i="53"/>
  <c r="P3298" i="53"/>
  <c r="M3298" i="53"/>
  <c r="P3297" i="53"/>
  <c r="M3297" i="53"/>
  <c r="P3296" i="53"/>
  <c r="M3296" i="53"/>
  <c r="P3295" i="53"/>
  <c r="M3295" i="53"/>
  <c r="P3294" i="53"/>
  <c r="M3294" i="53"/>
  <c r="P3293" i="53"/>
  <c r="M3293" i="53"/>
  <c r="P3292" i="53"/>
  <c r="M3292" i="53"/>
  <c r="P3291" i="53"/>
  <c r="M3291" i="53"/>
  <c r="P3290" i="53"/>
  <c r="M3290" i="53"/>
  <c r="P3289" i="53"/>
  <c r="M3289" i="53"/>
  <c r="P3288" i="53"/>
  <c r="M3288" i="53"/>
  <c r="P3287" i="53"/>
  <c r="M3287" i="53"/>
  <c r="P3286" i="53"/>
  <c r="M3286" i="53"/>
  <c r="P3285" i="53"/>
  <c r="M3285" i="53"/>
  <c r="P3284" i="53"/>
  <c r="M3284" i="53"/>
  <c r="P3283" i="53"/>
  <c r="M3283" i="53"/>
  <c r="P3282" i="53"/>
  <c r="M3282" i="53"/>
  <c r="P3281" i="53"/>
  <c r="M3281" i="53"/>
  <c r="P3280" i="53"/>
  <c r="M3280" i="53"/>
  <c r="P3279" i="53"/>
  <c r="M3279" i="53"/>
  <c r="P3278" i="53"/>
  <c r="M3278" i="53"/>
  <c r="P3277" i="53"/>
  <c r="M3277" i="53"/>
  <c r="P3276" i="53"/>
  <c r="M3276" i="53"/>
  <c r="P3275" i="53"/>
  <c r="M3275" i="53"/>
  <c r="P3274" i="53"/>
  <c r="M3274" i="53"/>
  <c r="P3273" i="53"/>
  <c r="M3273" i="53"/>
  <c r="P3272" i="53"/>
  <c r="M3272" i="53"/>
  <c r="P3271" i="53"/>
  <c r="M3271" i="53"/>
  <c r="P3270" i="53"/>
  <c r="M3270" i="53"/>
  <c r="P3269" i="53"/>
  <c r="M3269" i="53"/>
  <c r="P3268" i="53"/>
  <c r="M3268" i="53"/>
  <c r="P3267" i="53"/>
  <c r="M3267" i="53"/>
  <c r="P3266" i="53"/>
  <c r="M3266" i="53"/>
  <c r="P3265" i="53"/>
  <c r="M3265" i="53"/>
  <c r="P3264" i="53"/>
  <c r="M3264" i="53"/>
  <c r="P3263" i="53"/>
  <c r="M3263" i="53"/>
  <c r="P3262" i="53"/>
  <c r="M3262" i="53"/>
  <c r="P3261" i="53"/>
  <c r="M3261" i="53"/>
  <c r="P3260" i="53"/>
  <c r="M3260" i="53"/>
  <c r="P3259" i="53"/>
  <c r="M3259" i="53"/>
  <c r="P3258" i="53"/>
  <c r="M3258" i="53"/>
  <c r="P3257" i="53"/>
  <c r="M3257" i="53"/>
  <c r="P3256" i="53"/>
  <c r="M3256" i="53"/>
  <c r="P3255" i="53"/>
  <c r="M3255" i="53"/>
  <c r="P3254" i="53"/>
  <c r="M3254" i="53"/>
  <c r="P3253" i="53"/>
  <c r="M3253" i="53"/>
  <c r="P3252" i="53"/>
  <c r="M3252" i="53"/>
  <c r="P3251" i="53"/>
  <c r="M3251" i="53"/>
  <c r="P3250" i="53"/>
  <c r="M3250" i="53"/>
  <c r="P3249" i="53"/>
  <c r="M3249" i="53"/>
  <c r="P3248" i="53"/>
  <c r="M3248" i="53"/>
  <c r="P3247" i="53"/>
  <c r="M3247" i="53"/>
  <c r="P3246" i="53"/>
  <c r="M3246" i="53"/>
  <c r="P3245" i="53"/>
  <c r="M3245" i="53"/>
  <c r="P3244" i="53"/>
  <c r="M3244" i="53"/>
  <c r="P3243" i="53"/>
  <c r="M3243" i="53"/>
  <c r="P3242" i="53"/>
  <c r="M3242" i="53"/>
  <c r="P3241" i="53"/>
  <c r="M3241" i="53"/>
  <c r="P3240" i="53"/>
  <c r="M3240" i="53"/>
  <c r="P3239" i="53"/>
  <c r="M3239" i="53"/>
  <c r="P3238" i="53"/>
  <c r="M3238" i="53"/>
  <c r="P3237" i="53"/>
  <c r="M3237" i="53"/>
  <c r="P3236" i="53"/>
  <c r="M3236" i="53"/>
  <c r="P3235" i="53"/>
  <c r="M3235" i="53"/>
  <c r="P3234" i="53"/>
  <c r="M3234" i="53"/>
  <c r="P3233" i="53"/>
  <c r="M3233" i="53"/>
  <c r="P3232" i="53"/>
  <c r="M3232" i="53"/>
  <c r="P3231" i="53"/>
  <c r="M3231" i="53"/>
  <c r="P3230" i="53"/>
  <c r="M3230" i="53"/>
  <c r="P3229" i="53"/>
  <c r="M3229" i="53"/>
  <c r="P3228" i="53"/>
  <c r="M3228" i="53"/>
  <c r="P3227" i="53"/>
  <c r="M3227" i="53"/>
  <c r="P3226" i="53"/>
  <c r="M3226" i="53"/>
  <c r="P3225" i="53"/>
  <c r="M3225" i="53"/>
  <c r="P3224" i="53"/>
  <c r="M3224" i="53"/>
  <c r="P3223" i="53"/>
  <c r="M3223" i="53"/>
  <c r="P3222" i="53"/>
  <c r="M3222" i="53"/>
  <c r="P3221" i="53"/>
  <c r="M3221" i="53"/>
  <c r="P3220" i="53"/>
  <c r="M3220" i="53"/>
  <c r="P3219" i="53"/>
  <c r="M3219" i="53"/>
  <c r="P3218" i="53"/>
  <c r="M3218" i="53"/>
  <c r="P3217" i="53"/>
  <c r="M3217" i="53"/>
  <c r="P3216" i="53"/>
  <c r="M3216" i="53"/>
  <c r="P3215" i="53"/>
  <c r="M3215" i="53"/>
  <c r="P3214" i="53"/>
  <c r="M3214" i="53"/>
  <c r="P3213" i="53"/>
  <c r="M3213" i="53"/>
  <c r="P3212" i="53"/>
  <c r="M3212" i="53"/>
  <c r="P3211" i="53"/>
  <c r="M3211" i="53"/>
  <c r="P3210" i="53"/>
  <c r="M3210" i="53"/>
  <c r="P3209" i="53"/>
  <c r="M3209" i="53"/>
  <c r="P3208" i="53"/>
  <c r="M3208" i="53"/>
  <c r="P3207" i="53"/>
  <c r="M3207" i="53"/>
  <c r="P3206" i="53"/>
  <c r="M3206" i="53"/>
  <c r="P3205" i="53"/>
  <c r="M3205" i="53"/>
  <c r="P3204" i="53"/>
  <c r="M3204" i="53"/>
  <c r="P3203" i="53"/>
  <c r="M3203" i="53"/>
  <c r="P3202" i="53"/>
  <c r="M3202" i="53"/>
  <c r="P3201" i="53"/>
  <c r="M3201" i="53"/>
  <c r="P3200" i="53"/>
  <c r="M3200" i="53"/>
  <c r="P3199" i="53"/>
  <c r="M3199" i="53"/>
  <c r="P3198" i="53"/>
  <c r="M3198" i="53"/>
  <c r="P3197" i="53"/>
  <c r="M3197" i="53"/>
  <c r="P3196" i="53"/>
  <c r="M3196" i="53"/>
  <c r="P3195" i="53"/>
  <c r="M3195" i="53"/>
  <c r="P3194" i="53"/>
  <c r="M3194" i="53"/>
  <c r="P3193" i="53"/>
  <c r="M3193" i="53"/>
  <c r="P3192" i="53"/>
  <c r="M3192" i="53"/>
  <c r="P3191" i="53"/>
  <c r="M3191" i="53"/>
  <c r="P3190" i="53"/>
  <c r="M3190" i="53"/>
  <c r="P3189" i="53"/>
  <c r="M3189" i="53"/>
  <c r="P3188" i="53"/>
  <c r="M3188" i="53"/>
  <c r="P3187" i="53"/>
  <c r="M3187" i="53"/>
  <c r="P3186" i="53"/>
  <c r="M3186" i="53"/>
  <c r="P3185" i="53"/>
  <c r="M3185" i="53"/>
  <c r="P3184" i="53"/>
  <c r="M3184" i="53"/>
  <c r="P3183" i="53"/>
  <c r="M3183" i="53"/>
  <c r="P3182" i="53"/>
  <c r="M3182" i="53"/>
  <c r="P3181" i="53"/>
  <c r="M3181" i="53"/>
  <c r="P3180" i="53"/>
  <c r="M3180" i="53"/>
  <c r="P3179" i="53"/>
  <c r="M3179" i="53"/>
  <c r="P3178" i="53"/>
  <c r="M3178" i="53"/>
  <c r="P3177" i="53"/>
  <c r="M3177" i="53"/>
  <c r="P3176" i="53"/>
  <c r="M3176" i="53"/>
  <c r="P3175" i="53"/>
  <c r="M3175" i="53"/>
  <c r="P3174" i="53"/>
  <c r="M3174" i="53"/>
  <c r="P3173" i="53"/>
  <c r="M3173" i="53"/>
  <c r="P3172" i="53"/>
  <c r="M3172" i="53"/>
  <c r="P3171" i="53"/>
  <c r="M3171" i="53"/>
  <c r="P3170" i="53"/>
  <c r="M3170" i="53"/>
  <c r="P3169" i="53"/>
  <c r="M3169" i="53"/>
  <c r="P3168" i="53"/>
  <c r="M3168" i="53"/>
  <c r="P3167" i="53"/>
  <c r="M3167" i="53"/>
  <c r="P3166" i="53"/>
  <c r="M3166" i="53"/>
  <c r="P3165" i="53"/>
  <c r="M3165" i="53"/>
  <c r="P3164" i="53"/>
  <c r="M3164" i="53"/>
  <c r="P3163" i="53"/>
  <c r="M3163" i="53"/>
  <c r="P3162" i="53"/>
  <c r="M3162" i="53"/>
  <c r="P3161" i="53"/>
  <c r="M3161" i="53"/>
  <c r="P3160" i="53"/>
  <c r="M3160" i="53"/>
  <c r="P3159" i="53"/>
  <c r="M3159" i="53"/>
  <c r="P3158" i="53"/>
  <c r="M3158" i="53"/>
  <c r="P3157" i="53"/>
  <c r="M3157" i="53"/>
  <c r="P3156" i="53"/>
  <c r="M3156" i="53"/>
  <c r="P3155" i="53"/>
  <c r="M3155" i="53"/>
  <c r="P3154" i="53"/>
  <c r="M3154" i="53"/>
  <c r="P3153" i="53"/>
  <c r="M3153" i="53"/>
  <c r="P3152" i="53"/>
  <c r="M3152" i="53"/>
  <c r="P3151" i="53"/>
  <c r="M3151" i="53"/>
  <c r="P3150" i="53"/>
  <c r="M3150" i="53"/>
  <c r="P3149" i="53"/>
  <c r="M3149" i="53"/>
  <c r="P3148" i="53"/>
  <c r="M3148" i="53"/>
  <c r="P3147" i="53"/>
  <c r="M3147" i="53"/>
  <c r="P3146" i="53"/>
  <c r="M3146" i="53"/>
  <c r="P3145" i="53"/>
  <c r="M3145" i="53"/>
  <c r="P3144" i="53"/>
  <c r="M3144" i="53"/>
  <c r="P3143" i="53"/>
  <c r="M3143" i="53"/>
  <c r="P3142" i="53"/>
  <c r="M3142" i="53"/>
  <c r="P3141" i="53"/>
  <c r="M3141" i="53"/>
  <c r="P3140" i="53"/>
  <c r="M3140" i="53"/>
  <c r="P3139" i="53"/>
  <c r="M3139" i="53"/>
  <c r="P3138" i="53"/>
  <c r="M3138" i="53"/>
  <c r="P3137" i="53"/>
  <c r="M3137" i="53"/>
  <c r="P3136" i="53"/>
  <c r="M3136" i="53"/>
  <c r="P3135" i="53"/>
  <c r="M3135" i="53"/>
  <c r="P3134" i="53"/>
  <c r="M3134" i="53"/>
  <c r="P3133" i="53"/>
  <c r="M3133" i="53"/>
  <c r="P3132" i="53"/>
  <c r="M3132" i="53"/>
  <c r="P3131" i="53"/>
  <c r="M3131" i="53"/>
  <c r="P3130" i="53"/>
  <c r="M3130" i="53"/>
  <c r="P3129" i="53"/>
  <c r="M3129" i="53"/>
  <c r="P3128" i="53"/>
  <c r="M3128" i="53"/>
  <c r="P3127" i="53"/>
  <c r="M3127" i="53"/>
  <c r="P3126" i="53"/>
  <c r="M3126" i="53"/>
  <c r="P3125" i="53"/>
  <c r="M3125" i="53"/>
  <c r="P3124" i="53"/>
  <c r="M3124" i="53"/>
  <c r="P3123" i="53"/>
  <c r="M3123" i="53"/>
  <c r="P3122" i="53"/>
  <c r="M3122" i="53"/>
  <c r="P3121" i="53"/>
  <c r="M3121" i="53"/>
  <c r="P3120" i="53"/>
  <c r="M3120" i="53"/>
  <c r="P3119" i="53"/>
  <c r="M3119" i="53"/>
  <c r="P3118" i="53"/>
  <c r="M3118" i="53"/>
  <c r="P3117" i="53"/>
  <c r="M3117" i="53"/>
  <c r="P3116" i="53"/>
  <c r="M3116" i="53"/>
  <c r="P3115" i="53"/>
  <c r="M3115" i="53"/>
  <c r="P3114" i="53"/>
  <c r="M3114" i="53"/>
  <c r="P3113" i="53"/>
  <c r="M3113" i="53"/>
  <c r="P3112" i="53"/>
  <c r="M3112" i="53"/>
  <c r="P3111" i="53"/>
  <c r="M3111" i="53"/>
  <c r="P3110" i="53"/>
  <c r="M3110" i="53"/>
  <c r="P3109" i="53"/>
  <c r="M3109" i="53"/>
  <c r="P3108" i="53"/>
  <c r="M3108" i="53"/>
  <c r="P3107" i="53"/>
  <c r="M3107" i="53"/>
  <c r="P3106" i="53"/>
  <c r="M3106" i="53"/>
  <c r="P3105" i="53"/>
  <c r="M3105" i="53"/>
  <c r="P3104" i="53"/>
  <c r="M3104" i="53"/>
  <c r="P3103" i="53"/>
  <c r="M3103" i="53"/>
  <c r="P3102" i="53"/>
  <c r="M3102" i="53"/>
  <c r="P3101" i="53"/>
  <c r="M3101" i="53"/>
  <c r="P3100" i="53"/>
  <c r="M3100" i="53"/>
  <c r="P3099" i="53"/>
  <c r="M3099" i="53"/>
  <c r="P3098" i="53"/>
  <c r="M3098" i="53"/>
  <c r="P3097" i="53"/>
  <c r="M3097" i="53"/>
  <c r="P3096" i="53"/>
  <c r="M3096" i="53"/>
  <c r="P3095" i="53"/>
  <c r="M3095" i="53"/>
  <c r="P3094" i="53"/>
  <c r="M3094" i="53"/>
  <c r="P3093" i="53"/>
  <c r="M3093" i="53"/>
  <c r="P3092" i="53"/>
  <c r="M3092" i="53"/>
  <c r="P3091" i="53"/>
  <c r="M3091" i="53"/>
  <c r="P3090" i="53"/>
  <c r="M3090" i="53"/>
  <c r="P3089" i="53"/>
  <c r="M3089" i="53"/>
  <c r="P3088" i="53"/>
  <c r="M3088" i="53"/>
  <c r="P3087" i="53"/>
  <c r="M3087" i="53"/>
  <c r="P3086" i="53"/>
  <c r="M3086" i="53"/>
  <c r="P3085" i="53"/>
  <c r="M3085" i="53"/>
  <c r="P3084" i="53"/>
  <c r="M3084" i="53"/>
  <c r="P3083" i="53"/>
  <c r="M3083" i="53"/>
  <c r="P3082" i="53"/>
  <c r="M3082" i="53"/>
  <c r="P3081" i="53"/>
  <c r="M3081" i="53"/>
  <c r="P3080" i="53"/>
  <c r="M3080" i="53"/>
  <c r="P3079" i="53"/>
  <c r="M3079" i="53"/>
  <c r="P3078" i="53"/>
  <c r="M3078" i="53"/>
  <c r="P3077" i="53"/>
  <c r="M3077" i="53"/>
  <c r="P3076" i="53"/>
  <c r="M3076" i="53"/>
  <c r="P3075" i="53"/>
  <c r="M3075" i="53"/>
  <c r="P3074" i="53"/>
  <c r="M3074" i="53"/>
  <c r="P3073" i="53"/>
  <c r="M3073" i="53"/>
  <c r="P3072" i="53"/>
  <c r="M3072" i="53"/>
  <c r="P3071" i="53"/>
  <c r="M3071" i="53"/>
  <c r="P3070" i="53"/>
  <c r="M3070" i="53"/>
  <c r="P3069" i="53"/>
  <c r="M3069" i="53"/>
  <c r="P3068" i="53"/>
  <c r="M3068" i="53"/>
  <c r="P3067" i="53"/>
  <c r="M3067" i="53"/>
  <c r="P3066" i="53"/>
  <c r="M3066" i="53"/>
  <c r="P3065" i="53"/>
  <c r="M3065" i="53"/>
  <c r="P3064" i="53"/>
  <c r="M3064" i="53"/>
  <c r="P3063" i="53"/>
  <c r="M3063" i="53"/>
  <c r="P3062" i="53"/>
  <c r="M3062" i="53"/>
  <c r="P3061" i="53"/>
  <c r="M3061" i="53"/>
  <c r="P3060" i="53"/>
  <c r="M3060" i="53"/>
  <c r="P3059" i="53"/>
  <c r="M3059" i="53"/>
  <c r="P3058" i="53"/>
  <c r="M3058" i="53"/>
  <c r="P3057" i="53"/>
  <c r="M3057" i="53"/>
  <c r="P3056" i="53"/>
  <c r="M3056" i="53"/>
  <c r="P3055" i="53"/>
  <c r="M3055" i="53"/>
  <c r="P3054" i="53"/>
  <c r="M3054" i="53"/>
  <c r="P3053" i="53"/>
  <c r="M3053" i="53"/>
  <c r="P3052" i="53"/>
  <c r="M3052" i="53"/>
  <c r="P3051" i="53"/>
  <c r="M3051" i="53"/>
  <c r="P3050" i="53"/>
  <c r="M3050" i="53"/>
  <c r="P3049" i="53"/>
  <c r="M3049" i="53"/>
  <c r="P3048" i="53"/>
  <c r="M3048" i="53"/>
  <c r="P3047" i="53"/>
  <c r="M3047" i="53"/>
  <c r="P3046" i="53"/>
  <c r="M3046" i="53"/>
  <c r="P3045" i="53"/>
  <c r="M3045" i="53"/>
  <c r="P3044" i="53"/>
  <c r="M3044" i="53"/>
  <c r="P3043" i="53"/>
  <c r="M3043" i="53"/>
  <c r="P3042" i="53"/>
  <c r="M3042" i="53"/>
  <c r="P3041" i="53"/>
  <c r="M3041" i="53"/>
  <c r="P3040" i="53"/>
  <c r="M3040" i="53"/>
  <c r="P3039" i="53"/>
  <c r="M3039" i="53"/>
  <c r="P3038" i="53"/>
  <c r="M3038" i="53"/>
  <c r="P3037" i="53"/>
  <c r="M3037" i="53"/>
  <c r="P3036" i="53"/>
  <c r="M3036" i="53"/>
  <c r="P3035" i="53"/>
  <c r="M3035" i="53"/>
  <c r="P3034" i="53"/>
  <c r="M3034" i="53"/>
  <c r="P3033" i="53"/>
  <c r="M3033" i="53"/>
  <c r="P3032" i="53"/>
  <c r="M3032" i="53"/>
  <c r="P3031" i="53"/>
  <c r="M3031" i="53"/>
  <c r="P3030" i="53"/>
  <c r="M3030" i="53"/>
  <c r="P3029" i="53"/>
  <c r="M3029" i="53"/>
  <c r="P3028" i="53"/>
  <c r="M3028" i="53"/>
  <c r="P3027" i="53"/>
  <c r="M3027" i="53"/>
  <c r="P3026" i="53"/>
  <c r="M3026" i="53"/>
  <c r="P3025" i="53"/>
  <c r="M3025" i="53"/>
  <c r="P3024" i="53"/>
  <c r="M3024" i="53"/>
  <c r="P3023" i="53"/>
  <c r="M3023" i="53"/>
  <c r="P3022" i="53"/>
  <c r="M3022" i="53"/>
  <c r="P3021" i="53"/>
  <c r="M3021" i="53"/>
  <c r="P3020" i="53"/>
  <c r="M3020" i="53"/>
  <c r="P3019" i="53"/>
  <c r="M3019" i="53"/>
  <c r="P3018" i="53"/>
  <c r="M3018" i="53"/>
  <c r="P3017" i="53"/>
  <c r="M3017" i="53"/>
  <c r="P3016" i="53"/>
  <c r="M3016" i="53"/>
  <c r="P3015" i="53"/>
  <c r="M3015" i="53"/>
  <c r="P3014" i="53"/>
  <c r="M3014" i="53"/>
  <c r="P3013" i="53"/>
  <c r="M3013" i="53"/>
  <c r="P3012" i="53"/>
  <c r="M3012" i="53"/>
  <c r="P3011" i="53"/>
  <c r="M3011" i="53"/>
  <c r="P3010" i="53"/>
  <c r="M3010" i="53"/>
  <c r="P3009" i="53"/>
  <c r="M3009" i="53"/>
  <c r="P3008" i="53"/>
  <c r="M3008" i="53"/>
  <c r="P3007" i="53"/>
  <c r="M3007" i="53"/>
  <c r="P3006" i="53"/>
  <c r="M3006" i="53"/>
  <c r="P3005" i="53"/>
  <c r="M3005" i="53"/>
  <c r="P3004" i="53"/>
  <c r="M3004" i="53"/>
  <c r="P3003" i="53"/>
  <c r="M3003" i="53"/>
  <c r="P3002" i="53"/>
  <c r="M3002" i="53"/>
  <c r="P3001" i="53"/>
  <c r="M3001" i="53"/>
  <c r="P3000" i="53"/>
  <c r="M3000" i="53"/>
  <c r="P2999" i="53"/>
  <c r="M2999" i="53"/>
  <c r="P2998" i="53"/>
  <c r="M2998" i="53"/>
  <c r="P2997" i="53"/>
  <c r="M2997" i="53"/>
  <c r="P2996" i="53"/>
  <c r="M2996" i="53"/>
  <c r="P2995" i="53"/>
  <c r="M2995" i="53"/>
  <c r="P2994" i="53"/>
  <c r="M2994" i="53"/>
  <c r="P2993" i="53"/>
  <c r="M2993" i="53"/>
  <c r="P2992" i="53"/>
  <c r="M2992" i="53"/>
  <c r="P2991" i="53"/>
  <c r="M2991" i="53"/>
  <c r="P2990" i="53"/>
  <c r="M2990" i="53"/>
  <c r="P2989" i="53"/>
  <c r="M2989" i="53"/>
  <c r="P2988" i="53"/>
  <c r="M2988" i="53"/>
  <c r="P2987" i="53"/>
  <c r="M2987" i="53"/>
  <c r="P2986" i="53"/>
  <c r="M2986" i="53"/>
  <c r="P2985" i="53"/>
  <c r="M2985" i="53"/>
  <c r="P2984" i="53"/>
  <c r="M2984" i="53"/>
  <c r="P2983" i="53"/>
  <c r="M2983" i="53"/>
  <c r="P2982" i="53"/>
  <c r="M2982" i="53"/>
  <c r="P2981" i="53"/>
  <c r="M2981" i="53"/>
  <c r="P2980" i="53"/>
  <c r="M2980" i="53"/>
  <c r="P2979" i="53"/>
  <c r="M2979" i="53"/>
  <c r="P2978" i="53"/>
  <c r="M2978" i="53"/>
  <c r="P2977" i="53"/>
  <c r="M2977" i="53"/>
  <c r="P2976" i="53"/>
  <c r="M2976" i="53"/>
  <c r="P2975" i="53"/>
  <c r="M2975" i="53"/>
  <c r="P2974" i="53"/>
  <c r="M2974" i="53"/>
  <c r="P2973" i="53"/>
  <c r="M2973" i="53"/>
  <c r="P2972" i="53"/>
  <c r="M2972" i="53"/>
  <c r="P2971" i="53"/>
  <c r="M2971" i="53"/>
  <c r="P2970" i="53"/>
  <c r="M2970" i="53"/>
  <c r="P2969" i="53"/>
  <c r="M2969" i="53"/>
  <c r="P2968" i="53"/>
  <c r="M2968" i="53"/>
  <c r="P2967" i="53"/>
  <c r="M2967" i="53"/>
  <c r="P2966" i="53"/>
  <c r="M2966" i="53"/>
  <c r="P2965" i="53"/>
  <c r="M2965" i="53"/>
  <c r="P2964" i="53"/>
  <c r="M2964" i="53"/>
  <c r="P2963" i="53"/>
  <c r="M2963" i="53"/>
  <c r="P2962" i="53"/>
  <c r="M2962" i="53"/>
  <c r="P2961" i="53"/>
  <c r="M2961" i="53"/>
  <c r="P2960" i="53"/>
  <c r="M2960" i="53"/>
  <c r="P2959" i="53"/>
  <c r="M2959" i="53"/>
  <c r="P2958" i="53"/>
  <c r="M2958" i="53"/>
  <c r="P2957" i="53"/>
  <c r="M2957" i="53"/>
  <c r="P2956" i="53"/>
  <c r="M2956" i="53"/>
  <c r="P2955" i="53"/>
  <c r="M2955" i="53"/>
  <c r="P2954" i="53"/>
  <c r="M2954" i="53"/>
  <c r="P2953" i="53"/>
  <c r="M2953" i="53"/>
  <c r="P2952" i="53"/>
  <c r="M2952" i="53"/>
  <c r="P2951" i="53"/>
  <c r="M2951" i="53"/>
  <c r="P2950" i="53"/>
  <c r="M2950" i="53"/>
  <c r="P2949" i="53"/>
  <c r="M2949" i="53"/>
  <c r="P2948" i="53"/>
  <c r="M2948" i="53"/>
  <c r="P2947" i="53"/>
  <c r="M2947" i="53"/>
  <c r="P2946" i="53"/>
  <c r="M2946" i="53"/>
  <c r="P2945" i="53"/>
  <c r="M2945" i="53"/>
  <c r="P2944" i="53"/>
  <c r="M2944" i="53"/>
  <c r="P2943" i="53"/>
  <c r="M2943" i="53"/>
  <c r="P2942" i="53"/>
  <c r="M2942" i="53"/>
  <c r="P2941" i="53"/>
  <c r="M2941" i="53"/>
  <c r="P2940" i="53"/>
  <c r="M2940" i="53"/>
  <c r="P2939" i="53"/>
  <c r="M2939" i="53"/>
  <c r="P2938" i="53"/>
  <c r="M2938" i="53"/>
  <c r="P2937" i="53"/>
  <c r="M2937" i="53"/>
  <c r="P2936" i="53"/>
  <c r="M2936" i="53"/>
  <c r="P2935" i="53"/>
  <c r="M2935" i="53"/>
  <c r="P2934" i="53"/>
  <c r="M2934" i="53"/>
  <c r="P2933" i="53"/>
  <c r="M2933" i="53"/>
  <c r="P2932" i="53"/>
  <c r="M2932" i="53"/>
  <c r="P2931" i="53"/>
  <c r="M2931" i="53"/>
  <c r="P2930" i="53"/>
  <c r="M2930" i="53"/>
  <c r="P2929" i="53"/>
  <c r="M2929" i="53"/>
  <c r="P2928" i="53"/>
  <c r="M2928" i="53"/>
  <c r="P2927" i="53"/>
  <c r="M2927" i="53"/>
  <c r="P2926" i="53"/>
  <c r="M2926" i="53"/>
  <c r="P2925" i="53"/>
  <c r="M2925" i="53"/>
  <c r="P2924" i="53"/>
  <c r="M2924" i="53"/>
  <c r="P2923" i="53"/>
  <c r="M2923" i="53"/>
  <c r="P2922" i="53"/>
  <c r="M2922" i="53"/>
  <c r="P2921" i="53"/>
  <c r="M2921" i="53"/>
  <c r="P2920" i="53"/>
  <c r="M2920" i="53"/>
  <c r="P2919" i="53"/>
  <c r="M2919" i="53"/>
  <c r="P2918" i="53"/>
  <c r="M2918" i="53"/>
  <c r="P2917" i="53"/>
  <c r="M2917" i="53"/>
  <c r="P2916" i="53"/>
  <c r="M2916" i="53"/>
  <c r="P2915" i="53"/>
  <c r="M2915" i="53"/>
  <c r="P2914" i="53"/>
  <c r="M2914" i="53"/>
  <c r="P2913" i="53"/>
  <c r="M2913" i="53"/>
  <c r="P2912" i="53"/>
  <c r="M2912" i="53"/>
  <c r="P2911" i="53"/>
  <c r="M2911" i="53"/>
  <c r="P2910" i="53"/>
  <c r="M2910" i="53"/>
  <c r="P2909" i="53"/>
  <c r="M2909" i="53"/>
  <c r="P2908" i="53"/>
  <c r="M2908" i="53"/>
  <c r="P2907" i="53"/>
  <c r="M2907" i="53"/>
  <c r="P2906" i="53"/>
  <c r="M2906" i="53"/>
  <c r="P2905" i="53"/>
  <c r="M2905" i="53"/>
  <c r="P2904" i="53"/>
  <c r="M2904" i="53"/>
  <c r="P2903" i="53"/>
  <c r="M2903" i="53"/>
  <c r="P2902" i="53"/>
  <c r="M2902" i="53"/>
  <c r="P2901" i="53"/>
  <c r="M2901" i="53"/>
  <c r="P2900" i="53"/>
  <c r="M2900" i="53"/>
  <c r="P2899" i="53"/>
  <c r="M2899" i="53"/>
  <c r="P2898" i="53"/>
  <c r="M2898" i="53"/>
  <c r="P2897" i="53"/>
  <c r="M2897" i="53"/>
  <c r="P2896" i="53"/>
  <c r="M2896" i="53"/>
  <c r="P2895" i="53"/>
  <c r="M2895" i="53"/>
  <c r="P2894" i="53"/>
  <c r="M2894" i="53"/>
  <c r="P2893" i="53"/>
  <c r="M2893" i="53"/>
  <c r="P2892" i="53"/>
  <c r="M2892" i="53"/>
  <c r="P2891" i="53"/>
  <c r="M2891" i="53"/>
  <c r="P2890" i="53"/>
  <c r="M2890" i="53"/>
  <c r="P2889" i="53"/>
  <c r="M2889" i="53"/>
  <c r="P2888" i="53"/>
  <c r="M2888" i="53"/>
  <c r="P2887" i="53"/>
  <c r="M2887" i="53"/>
  <c r="P2886" i="53"/>
  <c r="M2886" i="53"/>
  <c r="P2885" i="53"/>
  <c r="M2885" i="53"/>
  <c r="P2884" i="53"/>
  <c r="M2884" i="53"/>
  <c r="P2883" i="53"/>
  <c r="M2883" i="53"/>
  <c r="P2882" i="53"/>
  <c r="M2882" i="53"/>
  <c r="P2881" i="53"/>
  <c r="M2881" i="53"/>
  <c r="P2880" i="53"/>
  <c r="M2880" i="53"/>
  <c r="P2879" i="53"/>
  <c r="M2879" i="53"/>
  <c r="P2878" i="53"/>
  <c r="M2878" i="53"/>
  <c r="P2877" i="53"/>
  <c r="M2877" i="53"/>
  <c r="P2876" i="53"/>
  <c r="M2876" i="53"/>
  <c r="P2875" i="53"/>
  <c r="M2875" i="53"/>
  <c r="P2874" i="53"/>
  <c r="M2874" i="53"/>
  <c r="P2873" i="53"/>
  <c r="M2873" i="53"/>
  <c r="P2872" i="53"/>
  <c r="M2872" i="53"/>
  <c r="P2871" i="53"/>
  <c r="M2871" i="53"/>
  <c r="P2870" i="53"/>
  <c r="M2870" i="53"/>
  <c r="P2869" i="53"/>
  <c r="M2869" i="53"/>
  <c r="P2868" i="53"/>
  <c r="M2868" i="53"/>
  <c r="P2867" i="53"/>
  <c r="M2867" i="53"/>
  <c r="P2866" i="53"/>
  <c r="M2866" i="53"/>
  <c r="P2865" i="53"/>
  <c r="M2865" i="53"/>
  <c r="P2864" i="53"/>
  <c r="M2864" i="53"/>
  <c r="P2863" i="53"/>
  <c r="M2863" i="53"/>
  <c r="P2862" i="53"/>
  <c r="M2862" i="53"/>
  <c r="P2861" i="53"/>
  <c r="M2861" i="53"/>
  <c r="P2860" i="53"/>
  <c r="M2860" i="53"/>
  <c r="P2859" i="53"/>
  <c r="M2859" i="53"/>
  <c r="P2858" i="53"/>
  <c r="M2858" i="53"/>
  <c r="P2857" i="53"/>
  <c r="M2857" i="53"/>
  <c r="P2856" i="53"/>
  <c r="M2856" i="53"/>
  <c r="P2855" i="53"/>
  <c r="M2855" i="53"/>
  <c r="P2854" i="53"/>
  <c r="M2854" i="53"/>
  <c r="P2853" i="53"/>
  <c r="M2853" i="53"/>
  <c r="P2852" i="53"/>
  <c r="M2852" i="53"/>
  <c r="P2851" i="53"/>
  <c r="M2851" i="53"/>
  <c r="P2850" i="53"/>
  <c r="M2850" i="53"/>
  <c r="P2849" i="53"/>
  <c r="M2849" i="53"/>
  <c r="P2848" i="53"/>
  <c r="M2848" i="53"/>
  <c r="P2847" i="53"/>
  <c r="M2847" i="53"/>
  <c r="P2846" i="53"/>
  <c r="M2846" i="53"/>
  <c r="P2845" i="53"/>
  <c r="M2845" i="53"/>
  <c r="P2844" i="53"/>
  <c r="M2844" i="53"/>
  <c r="P2843" i="53"/>
  <c r="M2843" i="53"/>
  <c r="P2842" i="53"/>
  <c r="M2842" i="53"/>
  <c r="P2841" i="53"/>
  <c r="M2841" i="53"/>
  <c r="P2840" i="53"/>
  <c r="M2840" i="53"/>
  <c r="P2839" i="53"/>
  <c r="M2839" i="53"/>
  <c r="P2838" i="53"/>
  <c r="M2838" i="53"/>
  <c r="P2837" i="53"/>
  <c r="M2837" i="53"/>
  <c r="P2836" i="53"/>
  <c r="M2836" i="53"/>
  <c r="P2835" i="53"/>
  <c r="M2835" i="53"/>
  <c r="P2834" i="53"/>
  <c r="M2834" i="53"/>
  <c r="P2833" i="53"/>
  <c r="M2833" i="53"/>
  <c r="P2832" i="53"/>
  <c r="M2832" i="53"/>
  <c r="P2831" i="53"/>
  <c r="M2831" i="53"/>
  <c r="P2830" i="53"/>
  <c r="M2830" i="53"/>
  <c r="P2829" i="53"/>
  <c r="M2829" i="53"/>
  <c r="P2828" i="53"/>
  <c r="M2828" i="53"/>
  <c r="P2827" i="53"/>
  <c r="M2827" i="53"/>
  <c r="P2826" i="53"/>
  <c r="M2826" i="53"/>
  <c r="P2825" i="53"/>
  <c r="M2825" i="53"/>
  <c r="P2824" i="53"/>
  <c r="M2824" i="53"/>
  <c r="P2823" i="53"/>
  <c r="M2823" i="53"/>
  <c r="P2822" i="53"/>
  <c r="M2822" i="53"/>
  <c r="P2821" i="53"/>
  <c r="M2821" i="53"/>
  <c r="P2820" i="53"/>
  <c r="M2820" i="53"/>
  <c r="P2819" i="53"/>
  <c r="M2819" i="53"/>
  <c r="P2818" i="53"/>
  <c r="M2818" i="53"/>
  <c r="P2817" i="53"/>
  <c r="M2817" i="53"/>
  <c r="P2816" i="53"/>
  <c r="M2816" i="53"/>
  <c r="P2815" i="53"/>
  <c r="M2815" i="53"/>
  <c r="P2814" i="53"/>
  <c r="M2814" i="53"/>
  <c r="P2813" i="53"/>
  <c r="M2813" i="53"/>
  <c r="P2812" i="53"/>
  <c r="M2812" i="53"/>
  <c r="P2811" i="53"/>
  <c r="M2811" i="53"/>
  <c r="P2810" i="53"/>
  <c r="M2810" i="53"/>
  <c r="P2809" i="53"/>
  <c r="M2809" i="53"/>
  <c r="P2808" i="53"/>
  <c r="M2808" i="53"/>
  <c r="P2807" i="53"/>
  <c r="M2807" i="53"/>
  <c r="P2806" i="53"/>
  <c r="M2806" i="53"/>
  <c r="P2805" i="53"/>
  <c r="M2805" i="53"/>
  <c r="P2804" i="53"/>
  <c r="M2804" i="53"/>
  <c r="P2803" i="53"/>
  <c r="M2803" i="53"/>
  <c r="P2802" i="53"/>
  <c r="M2802" i="53"/>
  <c r="P2801" i="53"/>
  <c r="M2801" i="53"/>
  <c r="P2800" i="53"/>
  <c r="M2800" i="53"/>
  <c r="P2799" i="53"/>
  <c r="M2799" i="53"/>
  <c r="P2798" i="53"/>
  <c r="M2798" i="53"/>
  <c r="P2797" i="53"/>
  <c r="M2797" i="53"/>
  <c r="P2796" i="53"/>
  <c r="M2796" i="53"/>
  <c r="P2795" i="53"/>
  <c r="M2795" i="53"/>
  <c r="P2794" i="53"/>
  <c r="M2794" i="53"/>
  <c r="P2793" i="53"/>
  <c r="M2793" i="53"/>
  <c r="P2792" i="53"/>
  <c r="M2792" i="53"/>
  <c r="P2791" i="53"/>
  <c r="M2791" i="53"/>
  <c r="P2790" i="53"/>
  <c r="M2790" i="53"/>
  <c r="P2789" i="53"/>
  <c r="M2789" i="53"/>
  <c r="P2788" i="53"/>
  <c r="M2788" i="53"/>
  <c r="P2787" i="53"/>
  <c r="M2787" i="53"/>
  <c r="P2786" i="53"/>
  <c r="M2786" i="53"/>
  <c r="P2785" i="53"/>
  <c r="M2785" i="53"/>
  <c r="P2784" i="53"/>
  <c r="M2784" i="53"/>
  <c r="P2783" i="53"/>
  <c r="M2783" i="53"/>
  <c r="P2782" i="53"/>
  <c r="M2782" i="53"/>
  <c r="P2781" i="53"/>
  <c r="M2781" i="53"/>
  <c r="P2780" i="53"/>
  <c r="M2780" i="53"/>
  <c r="P2779" i="53"/>
  <c r="M2779" i="53"/>
  <c r="P2778" i="53"/>
  <c r="M2778" i="53"/>
  <c r="P2777" i="53"/>
  <c r="M2777" i="53"/>
  <c r="P2776" i="53"/>
  <c r="M2776" i="53"/>
  <c r="P2775" i="53"/>
  <c r="M2775" i="53"/>
  <c r="P2774" i="53"/>
  <c r="M2774" i="53"/>
  <c r="P2773" i="53"/>
  <c r="M2773" i="53"/>
  <c r="P2772" i="53"/>
  <c r="M2772" i="53"/>
  <c r="P2771" i="53"/>
  <c r="M2771" i="53"/>
  <c r="P2770" i="53"/>
  <c r="M2770" i="53"/>
  <c r="P2769" i="53"/>
  <c r="M2769" i="53"/>
  <c r="P2768" i="53"/>
  <c r="M2768" i="53"/>
  <c r="P2767" i="53"/>
  <c r="M2767" i="53"/>
  <c r="P2766" i="53"/>
  <c r="M2766" i="53"/>
  <c r="P2765" i="53"/>
  <c r="M2765" i="53"/>
  <c r="P2764" i="53"/>
  <c r="M2764" i="53"/>
  <c r="P2763" i="53"/>
  <c r="M2763" i="53"/>
  <c r="P2762" i="53"/>
  <c r="M2762" i="53"/>
  <c r="P2761" i="53"/>
  <c r="M2761" i="53"/>
  <c r="P2760" i="53"/>
  <c r="M2760" i="53"/>
  <c r="P2759" i="53"/>
  <c r="M2759" i="53"/>
  <c r="P2758" i="53"/>
  <c r="M2758" i="53"/>
  <c r="P2757" i="53"/>
  <c r="M2757" i="53"/>
  <c r="P2756" i="53"/>
  <c r="M2756" i="53"/>
  <c r="P2755" i="53"/>
  <c r="M2755" i="53"/>
  <c r="P2754" i="53"/>
  <c r="M2754" i="53"/>
  <c r="P2753" i="53"/>
  <c r="M2753" i="53"/>
  <c r="P2752" i="53"/>
  <c r="M2752" i="53"/>
  <c r="P2751" i="53"/>
  <c r="M2751" i="53"/>
  <c r="P2750" i="53"/>
  <c r="M2750" i="53"/>
  <c r="P2749" i="53"/>
  <c r="M2749" i="53"/>
  <c r="P2748" i="53"/>
  <c r="M2748" i="53"/>
  <c r="P2747" i="53"/>
  <c r="M2747" i="53"/>
  <c r="P2746" i="53"/>
  <c r="M2746" i="53"/>
  <c r="P2745" i="53"/>
  <c r="M2745" i="53"/>
  <c r="P2744" i="53"/>
  <c r="M2744" i="53"/>
  <c r="P2743" i="53"/>
  <c r="M2743" i="53"/>
  <c r="P2742" i="53"/>
  <c r="M2742" i="53"/>
  <c r="P2741" i="53"/>
  <c r="M2741" i="53"/>
  <c r="P2740" i="53"/>
  <c r="M2740" i="53"/>
  <c r="P2739" i="53"/>
  <c r="M2739" i="53"/>
  <c r="P2738" i="53"/>
  <c r="M2738" i="53"/>
  <c r="P2737" i="53"/>
  <c r="M2737" i="53"/>
  <c r="P2736" i="53"/>
  <c r="M2736" i="53"/>
  <c r="P2735" i="53"/>
  <c r="M2735" i="53"/>
  <c r="P2734" i="53"/>
  <c r="M2734" i="53"/>
  <c r="P2733" i="53"/>
  <c r="M2733" i="53"/>
  <c r="P2732" i="53"/>
  <c r="M2732" i="53"/>
  <c r="P2731" i="53"/>
  <c r="M2731" i="53"/>
  <c r="P2730" i="53"/>
  <c r="M2730" i="53"/>
  <c r="P2729" i="53"/>
  <c r="M2729" i="53"/>
  <c r="P2728" i="53"/>
  <c r="M2728" i="53"/>
  <c r="P2727" i="53"/>
  <c r="M2727" i="53"/>
  <c r="P2726" i="53"/>
  <c r="M2726" i="53"/>
  <c r="P2725" i="53"/>
  <c r="M2725" i="53"/>
  <c r="P2724" i="53"/>
  <c r="M2724" i="53"/>
  <c r="P2723" i="53"/>
  <c r="M2723" i="53"/>
  <c r="P2722" i="53"/>
  <c r="M2722" i="53"/>
  <c r="P2721" i="53"/>
  <c r="M2721" i="53"/>
  <c r="P2720" i="53"/>
  <c r="M2720" i="53"/>
  <c r="P2719" i="53"/>
  <c r="M2719" i="53"/>
  <c r="P2718" i="53"/>
  <c r="M2718" i="53"/>
  <c r="P2717" i="53"/>
  <c r="M2717" i="53"/>
  <c r="P2716" i="53"/>
  <c r="M2716" i="53"/>
  <c r="P2715" i="53"/>
  <c r="M2715" i="53"/>
  <c r="P2714" i="53"/>
  <c r="M2714" i="53"/>
  <c r="P2713" i="53"/>
  <c r="M2713" i="53"/>
  <c r="P2712" i="53"/>
  <c r="M2712" i="53"/>
  <c r="P2711" i="53"/>
  <c r="M2711" i="53"/>
  <c r="P2710" i="53"/>
  <c r="M2710" i="53"/>
  <c r="P2709" i="53"/>
  <c r="M2709" i="53"/>
  <c r="P2708" i="53"/>
  <c r="M2708" i="53"/>
  <c r="P2707" i="53"/>
  <c r="M2707" i="53"/>
  <c r="P2706" i="53"/>
  <c r="M2706" i="53"/>
  <c r="P2705" i="53"/>
  <c r="M2705" i="53"/>
  <c r="P2704" i="53"/>
  <c r="M2704" i="53"/>
  <c r="P2703" i="53"/>
  <c r="M2703" i="53"/>
  <c r="P2702" i="53"/>
  <c r="M2702" i="53"/>
  <c r="P2701" i="53"/>
  <c r="M2701" i="53"/>
  <c r="P2700" i="53"/>
  <c r="M2700" i="53"/>
  <c r="P2699" i="53"/>
  <c r="M2699" i="53"/>
  <c r="P2698" i="53"/>
  <c r="M2698" i="53"/>
  <c r="P2697" i="53"/>
  <c r="M2697" i="53"/>
  <c r="P2696" i="53"/>
  <c r="M2696" i="53"/>
  <c r="P2695" i="53"/>
  <c r="M2695" i="53"/>
  <c r="P2694" i="53"/>
  <c r="M2694" i="53"/>
  <c r="P2693" i="53"/>
  <c r="M2693" i="53"/>
  <c r="P2692" i="53"/>
  <c r="M2692" i="53"/>
  <c r="P2691" i="53"/>
  <c r="M2691" i="53"/>
  <c r="P2690" i="53"/>
  <c r="M2690" i="53"/>
  <c r="P2689" i="53"/>
  <c r="M2689" i="53"/>
  <c r="P2688" i="53"/>
  <c r="M2688" i="53"/>
  <c r="P2687" i="53"/>
  <c r="M2687" i="53"/>
  <c r="P2686" i="53"/>
  <c r="M2686" i="53"/>
  <c r="P2685" i="53"/>
  <c r="M2685" i="53"/>
  <c r="P2684" i="53"/>
  <c r="M2684" i="53"/>
  <c r="P2683" i="53"/>
  <c r="M2683" i="53"/>
  <c r="P2682" i="53"/>
  <c r="M2682" i="53"/>
  <c r="P2681" i="53"/>
  <c r="M2681" i="53"/>
  <c r="P2680" i="53"/>
  <c r="M2680" i="53"/>
  <c r="P2679" i="53"/>
  <c r="M2679" i="53"/>
  <c r="P2678" i="53"/>
  <c r="M2678" i="53"/>
  <c r="P2677" i="53"/>
  <c r="M2677" i="53"/>
  <c r="P2676" i="53"/>
  <c r="M2676" i="53"/>
  <c r="P2675" i="53"/>
  <c r="M2675" i="53"/>
  <c r="P2674" i="53"/>
  <c r="M2674" i="53"/>
  <c r="P2673" i="53"/>
  <c r="M2673" i="53"/>
  <c r="P2672" i="53"/>
  <c r="M2672" i="53"/>
  <c r="P2671" i="53"/>
  <c r="M2671" i="53"/>
  <c r="P2670" i="53"/>
  <c r="M2670" i="53"/>
  <c r="P2669" i="53"/>
  <c r="M2669" i="53"/>
  <c r="P2668" i="53"/>
  <c r="M2668" i="53"/>
  <c r="P2667" i="53"/>
  <c r="M2667" i="53"/>
  <c r="P2666" i="53"/>
  <c r="M2666" i="53"/>
  <c r="P2665" i="53"/>
  <c r="M2665" i="53"/>
  <c r="P2664" i="53"/>
  <c r="M2664" i="53"/>
  <c r="P2663" i="53"/>
  <c r="M2663" i="53"/>
  <c r="P2662" i="53"/>
  <c r="M2662" i="53"/>
  <c r="P2661" i="53"/>
  <c r="M2661" i="53"/>
  <c r="P2660" i="53"/>
  <c r="M2660" i="53"/>
  <c r="P2659" i="53"/>
  <c r="M2659" i="53"/>
  <c r="P2658" i="53"/>
  <c r="M2658" i="53"/>
  <c r="P2657" i="53"/>
  <c r="M2657" i="53"/>
  <c r="P2656" i="53"/>
  <c r="M2656" i="53"/>
  <c r="P2655" i="53"/>
  <c r="M2655" i="53"/>
  <c r="P2654" i="53"/>
  <c r="M2654" i="53"/>
  <c r="P2653" i="53"/>
  <c r="M2653" i="53"/>
  <c r="P2652" i="53"/>
  <c r="M2652" i="53"/>
  <c r="P2651" i="53"/>
  <c r="M2651" i="53"/>
  <c r="P2650" i="53"/>
  <c r="M2650" i="53"/>
  <c r="P2649" i="53"/>
  <c r="M2649" i="53"/>
  <c r="P2648" i="53"/>
  <c r="M2648" i="53"/>
  <c r="P2647" i="53"/>
  <c r="M2647" i="53"/>
  <c r="P2646" i="53"/>
  <c r="M2646" i="53"/>
  <c r="P2645" i="53"/>
  <c r="M2645" i="53"/>
  <c r="P2644" i="53"/>
  <c r="M2644" i="53"/>
  <c r="P2643" i="53"/>
  <c r="M2643" i="53"/>
  <c r="P2642" i="53"/>
  <c r="M2642" i="53"/>
  <c r="P2641" i="53"/>
  <c r="M2641" i="53"/>
  <c r="P2640" i="53"/>
  <c r="M2640" i="53"/>
  <c r="P2639" i="53"/>
  <c r="M2639" i="53"/>
  <c r="P2638" i="53"/>
  <c r="M2638" i="53"/>
  <c r="P2637" i="53"/>
  <c r="M2637" i="53"/>
  <c r="P2636" i="53"/>
  <c r="M2636" i="53"/>
  <c r="P2635" i="53"/>
  <c r="M2635" i="53"/>
  <c r="P2634" i="53"/>
  <c r="M2634" i="53"/>
  <c r="P2633" i="53"/>
  <c r="M2633" i="53"/>
  <c r="P2632" i="53"/>
  <c r="M2632" i="53"/>
  <c r="P2631" i="53"/>
  <c r="M2631" i="53"/>
  <c r="P2630" i="53"/>
  <c r="M2630" i="53"/>
  <c r="P2629" i="53"/>
  <c r="M2629" i="53"/>
  <c r="P2628" i="53"/>
  <c r="M2628" i="53"/>
  <c r="P2627" i="53"/>
  <c r="M2627" i="53"/>
  <c r="P2626" i="53"/>
  <c r="M2626" i="53"/>
  <c r="P2625" i="53"/>
  <c r="M2625" i="53"/>
  <c r="P2624" i="53"/>
  <c r="M2624" i="53"/>
  <c r="P2623" i="53"/>
  <c r="M2623" i="53"/>
  <c r="P2622" i="53"/>
  <c r="M2622" i="53"/>
  <c r="P2621" i="53"/>
  <c r="M2621" i="53"/>
  <c r="P2620" i="53"/>
  <c r="M2620" i="53"/>
  <c r="P2619" i="53"/>
  <c r="M2619" i="53"/>
  <c r="P2618" i="53"/>
  <c r="M2618" i="53"/>
  <c r="P2617" i="53"/>
  <c r="M2617" i="53"/>
  <c r="P2616" i="53"/>
  <c r="M2616" i="53"/>
  <c r="P2615" i="53"/>
  <c r="M2615" i="53"/>
  <c r="P2614" i="53"/>
  <c r="M2614" i="53"/>
  <c r="P2613" i="53"/>
  <c r="M2613" i="53"/>
  <c r="P2612" i="53"/>
  <c r="M2612" i="53"/>
  <c r="P2611" i="53"/>
  <c r="M2611" i="53"/>
  <c r="P2610" i="53"/>
  <c r="M2610" i="53"/>
  <c r="P2609" i="53"/>
  <c r="M2609" i="53"/>
  <c r="P2608" i="53"/>
  <c r="M2608" i="53"/>
  <c r="P2607" i="53"/>
  <c r="M2607" i="53"/>
  <c r="P2606" i="53"/>
  <c r="M2606" i="53"/>
  <c r="P2605" i="53"/>
  <c r="M2605" i="53"/>
  <c r="P2604" i="53"/>
  <c r="M2604" i="53"/>
  <c r="P2603" i="53"/>
  <c r="M2603" i="53"/>
  <c r="P2602" i="53"/>
  <c r="M2602" i="53"/>
  <c r="P2601" i="53"/>
  <c r="M2601" i="53"/>
  <c r="P2600" i="53"/>
  <c r="M2600" i="53"/>
  <c r="P2599" i="53"/>
  <c r="M2599" i="53"/>
  <c r="P2598" i="53"/>
  <c r="M2598" i="53"/>
  <c r="P2597" i="53"/>
  <c r="M2597" i="53"/>
  <c r="P2596" i="53"/>
  <c r="M2596" i="53"/>
  <c r="P2595" i="53"/>
  <c r="M2595" i="53"/>
  <c r="P2594" i="53"/>
  <c r="M2594" i="53"/>
  <c r="P2593" i="53"/>
  <c r="M2593" i="53"/>
  <c r="P2592" i="53"/>
  <c r="M2592" i="53"/>
  <c r="P2591" i="53"/>
  <c r="M2591" i="53"/>
  <c r="P2590" i="53"/>
  <c r="M2590" i="53"/>
  <c r="P2589" i="53"/>
  <c r="M2589" i="53"/>
  <c r="P2588" i="53"/>
  <c r="M2588" i="53"/>
  <c r="P2587" i="53"/>
  <c r="M2587" i="53"/>
  <c r="P2586" i="53"/>
  <c r="M2586" i="53"/>
  <c r="P2585" i="53"/>
  <c r="M2585" i="53"/>
  <c r="P2584" i="53"/>
  <c r="M2584" i="53"/>
  <c r="P2583" i="53"/>
  <c r="M2583" i="53"/>
  <c r="P2582" i="53"/>
  <c r="M2582" i="53"/>
  <c r="P2581" i="53"/>
  <c r="M2581" i="53"/>
  <c r="P2580" i="53"/>
  <c r="M2580" i="53"/>
  <c r="P2579" i="53"/>
  <c r="M2579" i="53"/>
  <c r="P2578" i="53"/>
  <c r="M2578" i="53"/>
  <c r="P2577" i="53"/>
  <c r="M2577" i="53"/>
  <c r="P2576" i="53"/>
  <c r="M2576" i="53"/>
  <c r="P2575" i="53"/>
  <c r="M2575" i="53"/>
  <c r="P2574" i="53"/>
  <c r="M2574" i="53"/>
  <c r="P2573" i="53"/>
  <c r="M2573" i="53"/>
  <c r="P2572" i="53"/>
  <c r="M2572" i="53"/>
  <c r="P2571" i="53"/>
  <c r="M2571" i="53"/>
  <c r="P2570" i="53"/>
  <c r="M2570" i="53"/>
  <c r="P2569" i="53"/>
  <c r="M2569" i="53"/>
  <c r="P2568" i="53"/>
  <c r="M2568" i="53"/>
  <c r="P2567" i="53"/>
  <c r="M2567" i="53"/>
  <c r="P2566" i="53"/>
  <c r="M2566" i="53"/>
  <c r="P2565" i="53"/>
  <c r="M2565" i="53"/>
  <c r="P2564" i="53"/>
  <c r="M2564" i="53"/>
  <c r="P2563" i="53"/>
  <c r="M2563" i="53"/>
  <c r="P2562" i="53"/>
  <c r="M2562" i="53"/>
  <c r="P2561" i="53"/>
  <c r="M2561" i="53"/>
  <c r="P2560" i="53"/>
  <c r="M2560" i="53"/>
  <c r="P2559" i="53"/>
  <c r="M2559" i="53"/>
  <c r="P2558" i="53"/>
  <c r="M2558" i="53"/>
  <c r="P2557" i="53"/>
  <c r="M2557" i="53"/>
  <c r="P2556" i="53"/>
  <c r="M2556" i="53"/>
  <c r="P2555" i="53"/>
  <c r="M2555" i="53"/>
  <c r="P2554" i="53"/>
  <c r="M2554" i="53"/>
  <c r="P2553" i="53"/>
  <c r="M2553" i="53"/>
  <c r="P2552" i="53"/>
  <c r="M2552" i="53"/>
  <c r="P2551" i="53"/>
  <c r="M2551" i="53"/>
  <c r="P2550" i="53"/>
  <c r="M2550" i="53"/>
  <c r="P2549" i="53"/>
  <c r="M2549" i="53"/>
  <c r="P2548" i="53"/>
  <c r="M2548" i="53"/>
  <c r="P2547" i="53"/>
  <c r="M2547" i="53"/>
  <c r="P2546" i="53"/>
  <c r="M2546" i="53"/>
  <c r="P2545" i="53"/>
  <c r="M2545" i="53"/>
  <c r="P2544" i="53"/>
  <c r="M2544" i="53"/>
  <c r="P2543" i="53"/>
  <c r="M2543" i="53"/>
  <c r="P2542" i="53"/>
  <c r="M2542" i="53"/>
  <c r="P2541" i="53"/>
  <c r="M2541" i="53"/>
  <c r="P2540" i="53"/>
  <c r="M2540" i="53"/>
  <c r="P2539" i="53"/>
  <c r="M2539" i="53"/>
  <c r="P2538" i="53"/>
  <c r="M2538" i="53"/>
  <c r="P2537" i="53"/>
  <c r="M2537" i="53"/>
  <c r="P2536" i="53"/>
  <c r="M2536" i="53"/>
  <c r="P2535" i="53"/>
  <c r="M2535" i="53"/>
  <c r="P2534" i="53"/>
  <c r="M2534" i="53"/>
  <c r="P2533" i="53"/>
  <c r="M2533" i="53"/>
  <c r="P2532" i="53"/>
  <c r="M2532" i="53"/>
  <c r="P2531" i="53"/>
  <c r="M2531" i="53"/>
  <c r="P2530" i="53"/>
  <c r="M2530" i="53"/>
  <c r="P2529" i="53"/>
  <c r="M2529" i="53"/>
  <c r="P2528" i="53"/>
  <c r="M2528" i="53"/>
  <c r="P2527" i="53"/>
  <c r="M2527" i="53"/>
  <c r="P2526" i="53"/>
  <c r="M2526" i="53"/>
  <c r="P2525" i="53"/>
  <c r="M2525" i="53"/>
  <c r="P2524" i="53"/>
  <c r="M2524" i="53"/>
  <c r="P2523" i="53"/>
  <c r="M2523" i="53"/>
  <c r="P2522" i="53"/>
  <c r="M2522" i="53"/>
  <c r="P2521" i="53"/>
  <c r="M2521" i="53"/>
  <c r="P2520" i="53"/>
  <c r="M2520" i="53"/>
  <c r="P2519" i="53"/>
  <c r="M2519" i="53"/>
  <c r="P2518" i="53"/>
  <c r="M2518" i="53"/>
  <c r="P2517" i="53"/>
  <c r="M2517" i="53"/>
  <c r="P2516" i="53"/>
  <c r="M2516" i="53"/>
  <c r="P2515" i="53"/>
  <c r="M2515" i="53"/>
  <c r="P2514" i="53"/>
  <c r="M2514" i="53"/>
  <c r="P2513" i="53"/>
  <c r="M2513" i="53"/>
  <c r="P2512" i="53"/>
  <c r="M2512" i="53"/>
  <c r="P2511" i="53"/>
  <c r="M2511" i="53"/>
  <c r="P2510" i="53"/>
  <c r="M2510" i="53"/>
  <c r="P2509" i="53"/>
  <c r="M2509" i="53"/>
  <c r="P2508" i="53"/>
  <c r="M2508" i="53"/>
  <c r="P2507" i="53"/>
  <c r="M2507" i="53"/>
  <c r="P2506" i="53"/>
  <c r="M2506" i="53"/>
  <c r="P2505" i="53"/>
  <c r="M2505" i="53"/>
  <c r="P2504" i="53"/>
  <c r="M2504" i="53"/>
  <c r="P2503" i="53"/>
  <c r="M2503" i="53"/>
  <c r="P2502" i="53"/>
  <c r="M2502" i="53"/>
  <c r="P2501" i="53"/>
  <c r="M2501" i="53"/>
  <c r="P2500" i="53"/>
  <c r="M2500" i="53"/>
  <c r="P2499" i="53"/>
  <c r="M2499" i="53"/>
  <c r="P2498" i="53"/>
  <c r="M2498" i="53"/>
  <c r="P2497" i="53"/>
  <c r="M2497" i="53"/>
  <c r="P2496" i="53"/>
  <c r="M2496" i="53"/>
  <c r="P2495" i="53"/>
  <c r="M2495" i="53"/>
  <c r="P2494" i="53"/>
  <c r="M2494" i="53"/>
  <c r="P2493" i="53"/>
  <c r="M2493" i="53"/>
  <c r="P2492" i="53"/>
  <c r="M2492" i="53"/>
  <c r="P2491" i="53"/>
  <c r="M2491" i="53"/>
  <c r="P2490" i="53"/>
  <c r="M2490" i="53"/>
  <c r="P2489" i="53"/>
  <c r="M2489" i="53"/>
  <c r="P2488" i="53"/>
  <c r="M2488" i="53"/>
  <c r="P2487" i="53"/>
  <c r="M2487" i="53"/>
  <c r="P2486" i="53"/>
  <c r="M2486" i="53"/>
  <c r="P2485" i="53"/>
  <c r="M2485" i="53"/>
  <c r="P2484" i="53"/>
  <c r="M2484" i="53"/>
  <c r="P2483" i="53"/>
  <c r="M2483" i="53"/>
  <c r="P2482" i="53"/>
  <c r="M2482" i="53"/>
  <c r="P2481" i="53"/>
  <c r="M2481" i="53"/>
  <c r="P2480" i="53"/>
  <c r="M2480" i="53"/>
  <c r="P2479" i="53"/>
  <c r="M2479" i="53"/>
  <c r="P2478" i="53"/>
  <c r="M2478" i="53"/>
  <c r="P2477" i="53"/>
  <c r="M2477" i="53"/>
  <c r="P2476" i="53"/>
  <c r="M2476" i="53"/>
  <c r="P2475" i="53"/>
  <c r="M2475" i="53"/>
  <c r="P2474" i="53"/>
  <c r="M2474" i="53"/>
  <c r="P2473" i="53"/>
  <c r="M2473" i="53"/>
  <c r="P2472" i="53"/>
  <c r="M2472" i="53"/>
  <c r="P2471" i="53"/>
  <c r="M2471" i="53"/>
  <c r="P2470" i="53"/>
  <c r="M2470" i="53"/>
  <c r="P2469" i="53"/>
  <c r="M2469" i="53"/>
  <c r="P2468" i="53"/>
  <c r="M2468" i="53"/>
  <c r="P2467" i="53"/>
  <c r="M2467" i="53"/>
  <c r="P2466" i="53"/>
  <c r="M2466" i="53"/>
  <c r="P2465" i="53"/>
  <c r="M2465" i="53"/>
  <c r="P2464" i="53"/>
  <c r="M2464" i="53"/>
  <c r="P2463" i="53"/>
  <c r="M2463" i="53"/>
  <c r="P2462" i="53"/>
  <c r="M2462" i="53"/>
  <c r="P2461" i="53"/>
  <c r="M2461" i="53"/>
  <c r="P2460" i="53"/>
  <c r="M2460" i="53"/>
  <c r="P2459" i="53"/>
  <c r="M2459" i="53"/>
  <c r="P2458" i="53"/>
  <c r="M2458" i="53"/>
  <c r="P2457" i="53"/>
  <c r="M2457" i="53"/>
  <c r="P2456" i="53"/>
  <c r="M2456" i="53"/>
  <c r="P2455" i="53"/>
  <c r="M2455" i="53"/>
  <c r="P2454" i="53"/>
  <c r="M2454" i="53"/>
  <c r="P2453" i="53"/>
  <c r="M2453" i="53"/>
  <c r="P2452" i="53"/>
  <c r="M2452" i="53"/>
  <c r="P2451" i="53"/>
  <c r="M2451" i="53"/>
  <c r="P2450" i="53"/>
  <c r="M2450" i="53"/>
  <c r="P2449" i="53"/>
  <c r="M2449" i="53"/>
  <c r="P2448" i="53"/>
  <c r="M2448" i="53"/>
  <c r="P2447" i="53"/>
  <c r="M2447" i="53"/>
  <c r="P2446" i="53"/>
  <c r="M2446" i="53"/>
  <c r="P2445" i="53"/>
  <c r="M2445" i="53"/>
  <c r="P2444" i="53"/>
  <c r="M2444" i="53"/>
  <c r="P2443" i="53"/>
  <c r="M2443" i="53"/>
  <c r="P2442" i="53"/>
  <c r="M2442" i="53"/>
  <c r="P2441" i="53"/>
  <c r="M2441" i="53"/>
  <c r="P2440" i="53"/>
  <c r="M2440" i="53"/>
  <c r="P2439" i="53"/>
  <c r="M2439" i="53"/>
  <c r="P2438" i="53"/>
  <c r="M2438" i="53"/>
  <c r="P2437" i="53"/>
  <c r="M2437" i="53"/>
  <c r="P2436" i="53"/>
  <c r="M2436" i="53"/>
  <c r="P2435" i="53"/>
  <c r="M2435" i="53"/>
  <c r="P2434" i="53"/>
  <c r="M2434" i="53"/>
  <c r="P2433" i="53"/>
  <c r="M2433" i="53"/>
  <c r="P2432" i="53"/>
  <c r="M2432" i="53"/>
  <c r="P2431" i="53"/>
  <c r="M2431" i="53"/>
  <c r="P2430" i="53"/>
  <c r="M2430" i="53"/>
  <c r="P2429" i="53"/>
  <c r="M2429" i="53"/>
  <c r="P2428" i="53"/>
  <c r="M2428" i="53"/>
  <c r="P2427" i="53"/>
  <c r="M2427" i="53"/>
  <c r="P2426" i="53"/>
  <c r="M2426" i="53"/>
  <c r="P2425" i="53"/>
  <c r="M2425" i="53"/>
  <c r="P2424" i="53"/>
  <c r="M2424" i="53"/>
  <c r="P2423" i="53"/>
  <c r="M2423" i="53"/>
  <c r="P2422" i="53"/>
  <c r="M2422" i="53"/>
  <c r="P2421" i="53"/>
  <c r="M2421" i="53"/>
  <c r="P2420" i="53"/>
  <c r="M2420" i="53"/>
  <c r="P2419" i="53"/>
  <c r="M2419" i="53"/>
  <c r="P2418" i="53"/>
  <c r="M2418" i="53"/>
  <c r="P2417" i="53"/>
  <c r="M2417" i="53"/>
  <c r="P2416" i="53"/>
  <c r="M2416" i="53"/>
  <c r="P2415" i="53"/>
  <c r="M2415" i="53"/>
  <c r="P2414" i="53"/>
  <c r="M2414" i="53"/>
  <c r="P2413" i="53"/>
  <c r="M2413" i="53"/>
  <c r="P2412" i="53"/>
  <c r="M2412" i="53"/>
  <c r="P2411" i="53"/>
  <c r="M2411" i="53"/>
  <c r="P2410" i="53"/>
  <c r="M2410" i="53"/>
  <c r="P2409" i="53"/>
  <c r="M2409" i="53"/>
  <c r="P2408" i="53"/>
  <c r="M2408" i="53"/>
  <c r="P2407" i="53"/>
  <c r="M2407" i="53"/>
  <c r="P2406" i="53"/>
  <c r="M2406" i="53"/>
  <c r="P2405" i="53"/>
  <c r="M2405" i="53"/>
  <c r="P2404" i="53"/>
  <c r="M2404" i="53"/>
  <c r="P2403" i="53"/>
  <c r="M2403" i="53"/>
  <c r="P2402" i="53"/>
  <c r="M2402" i="53"/>
  <c r="P2401" i="53"/>
  <c r="M2401" i="53"/>
  <c r="P2400" i="53"/>
  <c r="M2400" i="53"/>
  <c r="P2399" i="53"/>
  <c r="M2399" i="53"/>
  <c r="P2398" i="53"/>
  <c r="M2398" i="53"/>
  <c r="P2397" i="53"/>
  <c r="M2397" i="53"/>
  <c r="P2396" i="53"/>
  <c r="M2396" i="53"/>
  <c r="P2395" i="53"/>
  <c r="M2395" i="53"/>
  <c r="P2394" i="53"/>
  <c r="M2394" i="53"/>
  <c r="P2393" i="53"/>
  <c r="M2393" i="53"/>
  <c r="P2392" i="53"/>
  <c r="M2392" i="53"/>
  <c r="P2391" i="53"/>
  <c r="M2391" i="53"/>
  <c r="P2390" i="53"/>
  <c r="M2390" i="53"/>
  <c r="P2389" i="53"/>
  <c r="M2389" i="53"/>
  <c r="P2388" i="53"/>
  <c r="M2388" i="53"/>
  <c r="P2387" i="53"/>
  <c r="M2387" i="53"/>
  <c r="P2386" i="53"/>
  <c r="M2386" i="53"/>
  <c r="P2385" i="53"/>
  <c r="M2385" i="53"/>
  <c r="P2384" i="53"/>
  <c r="M2384" i="53"/>
  <c r="P2383" i="53"/>
  <c r="M2383" i="53"/>
  <c r="P2382" i="53"/>
  <c r="M2382" i="53"/>
  <c r="P2381" i="53"/>
  <c r="M2381" i="53"/>
  <c r="P2380" i="53"/>
  <c r="M2380" i="53"/>
  <c r="P2379" i="53"/>
  <c r="M2379" i="53"/>
  <c r="P2378" i="53"/>
  <c r="M2378" i="53"/>
  <c r="P2377" i="53"/>
  <c r="M2377" i="53"/>
  <c r="P2376" i="53"/>
  <c r="M2376" i="53"/>
  <c r="P2375" i="53"/>
  <c r="M2375" i="53"/>
  <c r="P2374" i="53"/>
  <c r="M2374" i="53"/>
  <c r="P2373" i="53"/>
  <c r="M2373" i="53"/>
  <c r="P2372" i="53"/>
  <c r="M2372" i="53"/>
  <c r="P2371" i="53"/>
  <c r="M2371" i="53"/>
  <c r="P2370" i="53"/>
  <c r="M2370" i="53"/>
  <c r="P2369" i="53"/>
  <c r="M2369" i="53"/>
  <c r="P2368" i="53"/>
  <c r="M2368" i="53"/>
  <c r="P2367" i="53"/>
  <c r="M2367" i="53"/>
  <c r="P2366" i="53"/>
  <c r="M2366" i="53"/>
  <c r="P2365" i="53"/>
  <c r="M2365" i="53"/>
  <c r="P2364" i="53"/>
  <c r="M2364" i="53"/>
  <c r="P2363" i="53"/>
  <c r="M2363" i="53"/>
  <c r="P2362" i="53"/>
  <c r="M2362" i="53"/>
  <c r="P2361" i="53"/>
  <c r="M2361" i="53"/>
  <c r="P2360" i="53"/>
  <c r="M2360" i="53"/>
  <c r="P2359" i="53"/>
  <c r="M2359" i="53"/>
  <c r="P2358" i="53"/>
  <c r="M2358" i="53"/>
  <c r="P2357" i="53"/>
  <c r="M2357" i="53"/>
  <c r="P2356" i="53"/>
  <c r="M2356" i="53"/>
  <c r="P2355" i="53"/>
  <c r="M2355" i="53"/>
  <c r="P2354" i="53"/>
  <c r="M2354" i="53"/>
  <c r="P2353" i="53"/>
  <c r="M2353" i="53"/>
  <c r="P2352" i="53"/>
  <c r="M2352" i="53"/>
  <c r="P2351" i="53"/>
  <c r="M2351" i="53"/>
  <c r="P2350" i="53"/>
  <c r="M2350" i="53"/>
  <c r="P2349" i="53"/>
  <c r="M2349" i="53"/>
  <c r="P2348" i="53"/>
  <c r="M2348" i="53"/>
  <c r="P2347" i="53"/>
  <c r="M2347" i="53"/>
  <c r="P2346" i="53"/>
  <c r="M2346" i="53"/>
  <c r="P2345" i="53"/>
  <c r="M2345" i="53"/>
  <c r="P2344" i="53"/>
  <c r="M2344" i="53"/>
  <c r="P2343" i="53"/>
  <c r="M2343" i="53"/>
  <c r="P2342" i="53"/>
  <c r="M2342" i="53"/>
  <c r="P2341" i="53"/>
  <c r="M2341" i="53"/>
  <c r="P2340" i="53"/>
  <c r="M2340" i="53"/>
  <c r="P2339" i="53"/>
  <c r="M2339" i="53"/>
  <c r="P2338" i="53"/>
  <c r="M2338" i="53"/>
  <c r="P2337" i="53"/>
  <c r="M2337" i="53"/>
  <c r="P2336" i="53"/>
  <c r="M2336" i="53"/>
  <c r="P2335" i="53"/>
  <c r="M2335" i="53"/>
  <c r="P2334" i="53"/>
  <c r="M2334" i="53"/>
  <c r="P2333" i="53"/>
  <c r="M2333" i="53"/>
  <c r="P2332" i="53"/>
  <c r="M2332" i="53"/>
  <c r="P2331" i="53"/>
  <c r="M2331" i="53"/>
  <c r="P2330" i="53"/>
  <c r="M2330" i="53"/>
  <c r="P2329" i="53"/>
  <c r="M2329" i="53"/>
  <c r="P2328" i="53"/>
  <c r="M2328" i="53"/>
  <c r="P2327" i="53"/>
  <c r="M2327" i="53"/>
  <c r="P2326" i="53"/>
  <c r="M2326" i="53"/>
  <c r="P2325" i="53"/>
  <c r="M2325" i="53"/>
  <c r="P2324" i="53"/>
  <c r="M2324" i="53"/>
  <c r="P2323" i="53"/>
  <c r="M2323" i="53"/>
  <c r="P2322" i="53"/>
  <c r="M2322" i="53"/>
  <c r="P2321" i="53"/>
  <c r="M2321" i="53"/>
  <c r="P2320" i="53"/>
  <c r="M2320" i="53"/>
  <c r="P2319" i="53"/>
  <c r="M2319" i="53"/>
  <c r="P2318" i="53"/>
  <c r="M2318" i="53"/>
  <c r="P2317" i="53"/>
  <c r="M2317" i="53"/>
  <c r="P2316" i="53"/>
  <c r="M2316" i="53"/>
  <c r="P2315" i="53"/>
  <c r="M2315" i="53"/>
  <c r="P2314" i="53"/>
  <c r="M2314" i="53"/>
  <c r="P2313" i="53"/>
  <c r="M2313" i="53"/>
  <c r="P2312" i="53"/>
  <c r="M2312" i="53"/>
  <c r="P2311" i="53"/>
  <c r="M2311" i="53"/>
  <c r="P2310" i="53"/>
  <c r="M2310" i="53"/>
  <c r="P2309" i="53"/>
  <c r="M2309" i="53"/>
  <c r="P2308" i="53"/>
  <c r="M2308" i="53"/>
  <c r="P2307" i="53"/>
  <c r="M2307" i="53"/>
  <c r="P2306" i="53"/>
  <c r="M2306" i="53"/>
  <c r="P2305" i="53"/>
  <c r="M2305" i="53"/>
  <c r="P2304" i="53"/>
  <c r="M2304" i="53"/>
  <c r="P2303" i="53"/>
  <c r="M2303" i="53"/>
  <c r="P2302" i="53"/>
  <c r="M2302" i="53"/>
  <c r="P2301" i="53"/>
  <c r="M2301" i="53"/>
  <c r="P2300" i="53"/>
  <c r="M2300" i="53"/>
  <c r="P2299" i="53"/>
  <c r="M2299" i="53"/>
  <c r="P2298" i="53"/>
  <c r="M2298" i="53"/>
  <c r="P2297" i="53"/>
  <c r="M2297" i="53"/>
  <c r="P2296" i="53"/>
  <c r="M2296" i="53"/>
  <c r="P2295" i="53"/>
  <c r="M2295" i="53"/>
  <c r="P2294" i="53"/>
  <c r="M2294" i="53"/>
  <c r="P2293" i="53"/>
  <c r="M2293" i="53"/>
  <c r="P2292" i="53"/>
  <c r="M2292" i="53"/>
  <c r="P2291" i="53"/>
  <c r="M2291" i="53"/>
  <c r="P2290" i="53"/>
  <c r="M2290" i="53"/>
  <c r="P2289" i="53"/>
  <c r="M2289" i="53"/>
  <c r="P2288" i="53"/>
  <c r="M2288" i="53"/>
  <c r="P2287" i="53"/>
  <c r="M2287" i="53"/>
  <c r="P2286" i="53"/>
  <c r="M2286" i="53"/>
  <c r="P2285" i="53"/>
  <c r="M2285" i="53"/>
  <c r="P2284" i="53"/>
  <c r="M2284" i="53"/>
  <c r="P2283" i="53"/>
  <c r="M2283" i="53"/>
  <c r="P2282" i="53"/>
  <c r="M2282" i="53"/>
  <c r="P2281" i="53"/>
  <c r="M2281" i="53"/>
  <c r="P2280" i="53"/>
  <c r="M2280" i="53"/>
  <c r="P2279" i="53"/>
  <c r="M2279" i="53"/>
  <c r="P2278" i="53"/>
  <c r="M2278" i="53"/>
  <c r="P2277" i="53"/>
  <c r="M2277" i="53"/>
  <c r="P2276" i="53"/>
  <c r="M2276" i="53"/>
  <c r="P2275" i="53"/>
  <c r="M2275" i="53"/>
  <c r="P2274" i="53"/>
  <c r="M2274" i="53"/>
  <c r="P2273" i="53"/>
  <c r="M2273" i="53"/>
  <c r="P2272" i="53"/>
  <c r="M2272" i="53"/>
  <c r="P2271" i="53"/>
  <c r="M2271" i="53"/>
  <c r="P2270" i="53"/>
  <c r="M2270" i="53"/>
  <c r="P2269" i="53"/>
  <c r="M2269" i="53"/>
  <c r="P2268" i="53"/>
  <c r="M2268" i="53"/>
  <c r="P2267" i="53"/>
  <c r="M2267" i="53"/>
  <c r="P2266" i="53"/>
  <c r="M2266" i="53"/>
  <c r="P2265" i="53"/>
  <c r="M2265" i="53"/>
  <c r="P2264" i="53"/>
  <c r="M2264" i="53"/>
  <c r="P2263" i="53"/>
  <c r="M2263" i="53"/>
  <c r="P2262" i="53"/>
  <c r="M2262" i="53"/>
  <c r="P2261" i="53"/>
  <c r="M2261" i="53"/>
  <c r="P2260" i="53"/>
  <c r="M2260" i="53"/>
  <c r="P2259" i="53"/>
  <c r="M2259" i="53"/>
  <c r="P2258" i="53"/>
  <c r="M2258" i="53"/>
  <c r="P2257" i="53"/>
  <c r="M2257" i="53"/>
  <c r="P2256" i="53"/>
  <c r="M2256" i="53"/>
  <c r="P2255" i="53"/>
  <c r="M2255" i="53"/>
  <c r="P2254" i="53"/>
  <c r="M2254" i="53"/>
  <c r="P2253" i="53"/>
  <c r="M2253" i="53"/>
  <c r="P2252" i="53"/>
  <c r="M2252" i="53"/>
  <c r="P2251" i="53"/>
  <c r="M2251" i="53"/>
  <c r="P2250" i="53"/>
  <c r="M2250" i="53"/>
  <c r="P2249" i="53"/>
  <c r="M2249" i="53"/>
  <c r="P2248" i="53"/>
  <c r="M2248" i="53"/>
  <c r="P2247" i="53"/>
  <c r="M2247" i="53"/>
  <c r="P2246" i="53"/>
  <c r="M2246" i="53"/>
  <c r="P2245" i="53"/>
  <c r="M2245" i="53"/>
  <c r="P2244" i="53"/>
  <c r="M2244" i="53"/>
  <c r="P2243" i="53"/>
  <c r="M2243" i="53"/>
  <c r="P2242" i="53"/>
  <c r="M2242" i="53"/>
  <c r="P2241" i="53"/>
  <c r="M2241" i="53"/>
  <c r="P2240" i="53"/>
  <c r="M2240" i="53"/>
  <c r="P2239" i="53"/>
  <c r="M2239" i="53"/>
  <c r="P2238" i="53"/>
  <c r="M2238" i="53"/>
  <c r="P2237" i="53"/>
  <c r="M2237" i="53"/>
  <c r="P2236" i="53"/>
  <c r="M2236" i="53"/>
  <c r="P2235" i="53"/>
  <c r="M2235" i="53"/>
  <c r="P2234" i="53"/>
  <c r="M2234" i="53"/>
  <c r="P2233" i="53"/>
  <c r="M2233" i="53"/>
  <c r="P2232" i="53"/>
  <c r="M2232" i="53"/>
  <c r="P2231" i="53"/>
  <c r="M2231" i="53"/>
  <c r="P2230" i="53"/>
  <c r="M2230" i="53"/>
  <c r="P2229" i="53"/>
  <c r="M2229" i="53"/>
  <c r="P2228" i="53"/>
  <c r="M2228" i="53"/>
  <c r="P2227" i="53"/>
  <c r="M2227" i="53"/>
  <c r="P2226" i="53"/>
  <c r="M2226" i="53"/>
  <c r="P2225" i="53"/>
  <c r="M2225" i="53"/>
  <c r="P2224" i="53"/>
  <c r="M2224" i="53"/>
  <c r="P2223" i="53"/>
  <c r="M2223" i="53"/>
  <c r="P2222" i="53"/>
  <c r="M2222" i="53"/>
  <c r="P2221" i="53"/>
  <c r="M2221" i="53"/>
  <c r="P2220" i="53"/>
  <c r="M2220" i="53"/>
  <c r="P2219" i="53"/>
  <c r="M2219" i="53"/>
  <c r="P2218" i="53"/>
  <c r="M2218" i="53"/>
  <c r="P2217" i="53"/>
  <c r="M2217" i="53"/>
  <c r="P2216" i="53"/>
  <c r="M2216" i="53"/>
  <c r="P2215" i="53"/>
  <c r="M2215" i="53"/>
  <c r="P2214" i="53"/>
  <c r="M2214" i="53"/>
  <c r="P2213" i="53"/>
  <c r="M2213" i="53"/>
  <c r="P2212" i="53"/>
  <c r="M2212" i="53"/>
  <c r="P2211" i="53"/>
  <c r="M2211" i="53"/>
  <c r="P2210" i="53"/>
  <c r="M2210" i="53"/>
  <c r="P2209" i="53"/>
  <c r="M2209" i="53"/>
  <c r="P2208" i="53"/>
  <c r="M2208" i="53"/>
  <c r="P2207" i="53"/>
  <c r="M2207" i="53"/>
  <c r="P2206" i="53"/>
  <c r="M2206" i="53"/>
  <c r="P2205" i="53"/>
  <c r="M2205" i="53"/>
  <c r="P2204" i="53"/>
  <c r="M2204" i="53"/>
  <c r="P2203" i="53"/>
  <c r="M2203" i="53"/>
  <c r="P2202" i="53"/>
  <c r="M2202" i="53"/>
  <c r="P2201" i="53"/>
  <c r="M2201" i="53"/>
  <c r="P2200" i="53"/>
  <c r="M2200" i="53"/>
  <c r="P2199" i="53"/>
  <c r="M2199" i="53"/>
  <c r="P2198" i="53"/>
  <c r="M2198" i="53"/>
  <c r="P2197" i="53"/>
  <c r="M2197" i="53"/>
  <c r="P2196" i="53"/>
  <c r="M2196" i="53"/>
  <c r="P2195" i="53"/>
  <c r="M2195" i="53"/>
  <c r="P2194" i="53"/>
  <c r="M2194" i="53"/>
  <c r="P2193" i="53"/>
  <c r="M2193" i="53"/>
  <c r="P2192" i="53"/>
  <c r="M2192" i="53"/>
  <c r="P2191" i="53"/>
  <c r="M2191" i="53"/>
  <c r="P2190" i="53"/>
  <c r="M2190" i="53"/>
  <c r="P2189" i="53"/>
  <c r="M2189" i="53"/>
  <c r="P2188" i="53"/>
  <c r="M2188" i="53"/>
  <c r="P2187" i="53"/>
  <c r="M2187" i="53"/>
  <c r="P2186" i="53"/>
  <c r="M2186" i="53"/>
  <c r="P2185" i="53"/>
  <c r="M2185" i="53"/>
  <c r="P2184" i="53"/>
  <c r="M2184" i="53"/>
  <c r="P2183" i="53"/>
  <c r="M2183" i="53"/>
  <c r="P2182" i="53"/>
  <c r="M2182" i="53"/>
  <c r="P2181" i="53"/>
  <c r="M2181" i="53"/>
  <c r="P2180" i="53"/>
  <c r="M2180" i="53"/>
  <c r="P2179" i="53"/>
  <c r="M2179" i="53"/>
  <c r="P2178" i="53"/>
  <c r="M2178" i="53"/>
  <c r="P2177" i="53"/>
  <c r="M2177" i="53"/>
  <c r="P2176" i="53"/>
  <c r="M2176" i="53"/>
  <c r="P2175" i="53"/>
  <c r="M2175" i="53"/>
  <c r="P2174" i="53"/>
  <c r="M2174" i="53"/>
  <c r="P2173" i="53"/>
  <c r="M2173" i="53"/>
  <c r="P2172" i="53"/>
  <c r="M2172" i="53"/>
  <c r="P2171" i="53"/>
  <c r="M2171" i="53"/>
  <c r="P2170" i="53"/>
  <c r="M2170" i="53"/>
  <c r="P2169" i="53"/>
  <c r="M2169" i="53"/>
  <c r="P2168" i="53"/>
  <c r="M2168" i="53"/>
  <c r="P2167" i="53"/>
  <c r="M2167" i="53"/>
  <c r="P2166" i="53"/>
  <c r="M2166" i="53"/>
  <c r="P2165" i="53"/>
  <c r="M2165" i="53"/>
  <c r="P2164" i="53"/>
  <c r="M2164" i="53"/>
  <c r="P2163" i="53"/>
  <c r="M2163" i="53"/>
  <c r="P2162" i="53"/>
  <c r="M2162" i="53"/>
  <c r="P2161" i="53"/>
  <c r="M2161" i="53"/>
  <c r="P2160" i="53"/>
  <c r="M2160" i="53"/>
  <c r="P2159" i="53"/>
  <c r="M2159" i="53"/>
  <c r="P2158" i="53"/>
  <c r="M2158" i="53"/>
  <c r="P2157" i="53"/>
  <c r="M2157" i="53"/>
  <c r="P2156" i="53"/>
  <c r="M2156" i="53"/>
  <c r="P2155" i="53"/>
  <c r="M2155" i="53"/>
  <c r="P2154" i="53"/>
  <c r="M2154" i="53"/>
  <c r="P2153" i="53"/>
  <c r="M2153" i="53"/>
  <c r="P2152" i="53"/>
  <c r="M2152" i="53"/>
  <c r="P2151" i="53"/>
  <c r="M2151" i="53"/>
  <c r="P2150" i="53"/>
  <c r="M2150" i="53"/>
  <c r="P2149" i="53"/>
  <c r="M2149" i="53"/>
  <c r="P2148" i="53"/>
  <c r="M2148" i="53"/>
  <c r="P2147" i="53"/>
  <c r="M2147" i="53"/>
  <c r="P2146" i="53"/>
  <c r="M2146" i="53"/>
  <c r="P2145" i="53"/>
  <c r="M2145" i="53"/>
  <c r="P2144" i="53"/>
  <c r="M2144" i="53"/>
  <c r="P2143" i="53"/>
  <c r="M2143" i="53"/>
  <c r="P2142" i="53"/>
  <c r="M2142" i="53"/>
  <c r="P2141" i="53"/>
  <c r="M2141" i="53"/>
  <c r="P2140" i="53"/>
  <c r="M2140" i="53"/>
  <c r="P2139" i="53"/>
  <c r="M2139" i="53"/>
  <c r="P2138" i="53"/>
  <c r="M2138" i="53"/>
  <c r="P2137" i="53"/>
  <c r="M2137" i="53"/>
  <c r="P2136" i="53"/>
  <c r="M2136" i="53"/>
  <c r="P2135" i="53"/>
  <c r="M2135" i="53"/>
  <c r="P2134" i="53"/>
  <c r="M2134" i="53"/>
  <c r="P2133" i="53"/>
  <c r="M2133" i="53"/>
  <c r="P2132" i="53"/>
  <c r="M2132" i="53"/>
  <c r="P2131" i="53"/>
  <c r="M2131" i="53"/>
  <c r="P2130" i="53"/>
  <c r="M2130" i="53"/>
  <c r="P2129" i="53"/>
  <c r="M2129" i="53"/>
  <c r="P2128" i="53"/>
  <c r="M2128" i="53"/>
  <c r="P2127" i="53"/>
  <c r="M2127" i="53"/>
  <c r="P2126" i="53"/>
  <c r="M2126" i="53"/>
  <c r="P2125" i="53"/>
  <c r="M2125" i="53"/>
  <c r="P2124" i="53"/>
  <c r="M2124" i="53"/>
  <c r="P2123" i="53"/>
  <c r="M2123" i="53"/>
  <c r="P2122" i="53"/>
  <c r="M2122" i="53"/>
  <c r="P2121" i="53"/>
  <c r="M2121" i="53"/>
  <c r="P2120" i="53"/>
  <c r="M2120" i="53"/>
  <c r="P2119" i="53"/>
  <c r="M2119" i="53"/>
  <c r="P2118" i="53"/>
  <c r="M2118" i="53"/>
  <c r="P2117" i="53"/>
  <c r="M2117" i="53"/>
  <c r="P2116" i="53"/>
  <c r="M2116" i="53"/>
  <c r="P2115" i="53"/>
  <c r="M2115" i="53"/>
  <c r="P2114" i="53"/>
  <c r="M2114" i="53"/>
  <c r="P2113" i="53"/>
  <c r="M2113" i="53"/>
  <c r="P2112" i="53"/>
  <c r="M2112" i="53"/>
  <c r="P2111" i="53"/>
  <c r="M2111" i="53"/>
  <c r="P2110" i="53"/>
  <c r="M2110" i="53"/>
  <c r="P2109" i="53"/>
  <c r="M2109" i="53"/>
  <c r="P2108" i="53"/>
  <c r="M2108" i="53"/>
  <c r="P2107" i="53"/>
  <c r="M2107" i="53"/>
  <c r="P2106" i="53"/>
  <c r="M2106" i="53"/>
  <c r="P2105" i="53"/>
  <c r="M2105" i="53"/>
  <c r="P2104" i="53"/>
  <c r="M2104" i="53"/>
  <c r="P2103" i="53"/>
  <c r="M2103" i="53"/>
  <c r="P2102" i="53"/>
  <c r="M2102" i="53"/>
  <c r="P2101" i="53"/>
  <c r="M2101" i="53"/>
  <c r="P2100" i="53"/>
  <c r="M2100" i="53"/>
  <c r="P2099" i="53"/>
  <c r="M2099" i="53"/>
  <c r="P2098" i="53"/>
  <c r="M2098" i="53"/>
  <c r="P2097" i="53"/>
  <c r="M2097" i="53"/>
  <c r="P2096" i="53"/>
  <c r="M2096" i="53"/>
  <c r="P2095" i="53"/>
  <c r="M2095" i="53"/>
  <c r="P2094" i="53"/>
  <c r="M2094" i="53"/>
  <c r="P2093" i="53"/>
  <c r="M2093" i="53"/>
  <c r="P2092" i="53"/>
  <c r="M2092" i="53"/>
  <c r="P2091" i="53"/>
  <c r="M2091" i="53"/>
  <c r="P2090" i="53"/>
  <c r="M2090" i="53"/>
  <c r="P2089" i="53"/>
  <c r="M2089" i="53"/>
  <c r="P2088" i="53"/>
  <c r="M2088" i="53"/>
  <c r="P2087" i="53"/>
  <c r="M2087" i="53"/>
  <c r="P2086" i="53"/>
  <c r="M2086" i="53"/>
  <c r="P2085" i="53"/>
  <c r="M2085" i="53"/>
  <c r="P2084" i="53"/>
  <c r="M2084" i="53"/>
  <c r="P2083" i="53"/>
  <c r="M2083" i="53"/>
  <c r="P2082" i="53"/>
  <c r="M2082" i="53"/>
  <c r="P2081" i="53"/>
  <c r="M2081" i="53"/>
  <c r="P2080" i="53"/>
  <c r="M2080" i="53"/>
  <c r="P2079" i="53"/>
  <c r="M2079" i="53"/>
  <c r="P2078" i="53"/>
  <c r="M2078" i="53"/>
  <c r="P2077" i="53"/>
  <c r="M2077" i="53"/>
  <c r="P2076" i="53"/>
  <c r="M2076" i="53"/>
  <c r="P2075" i="53"/>
  <c r="M2075" i="53"/>
  <c r="P2074" i="53"/>
  <c r="M2074" i="53"/>
  <c r="P2073" i="53"/>
  <c r="M2073" i="53"/>
  <c r="P2072" i="53"/>
  <c r="M2072" i="53"/>
  <c r="P2071" i="53"/>
  <c r="M2071" i="53"/>
  <c r="P2070" i="53"/>
  <c r="M2070" i="53"/>
  <c r="P2069" i="53"/>
  <c r="M2069" i="53"/>
  <c r="P2068" i="53"/>
  <c r="M2068" i="53"/>
  <c r="P2067" i="53"/>
  <c r="M2067" i="53"/>
  <c r="P2066" i="53"/>
  <c r="M2066" i="53"/>
  <c r="P2065" i="53"/>
  <c r="M2065" i="53"/>
  <c r="P2064" i="53"/>
  <c r="M2064" i="53"/>
  <c r="P2063" i="53"/>
  <c r="M2063" i="53"/>
  <c r="P2062" i="53"/>
  <c r="M2062" i="53"/>
  <c r="P2061" i="53"/>
  <c r="M2061" i="53"/>
  <c r="P2060" i="53"/>
  <c r="M2060" i="53"/>
  <c r="P2059" i="53"/>
  <c r="M2059" i="53"/>
  <c r="P2058" i="53"/>
  <c r="M2058" i="53"/>
  <c r="P2057" i="53"/>
  <c r="M2057" i="53"/>
  <c r="P2056" i="53"/>
  <c r="M2056" i="53"/>
  <c r="P2055" i="53"/>
  <c r="M2055" i="53"/>
  <c r="P2054" i="53"/>
  <c r="M2054" i="53"/>
  <c r="P2053" i="53"/>
  <c r="M2053" i="53"/>
  <c r="P2052" i="53"/>
  <c r="M2052" i="53"/>
  <c r="P2051" i="53"/>
  <c r="M2051" i="53"/>
  <c r="P2050" i="53"/>
  <c r="M2050" i="53"/>
  <c r="P2049" i="53"/>
  <c r="M2049" i="53"/>
  <c r="P2048" i="53"/>
  <c r="M2048" i="53"/>
  <c r="P2047" i="53"/>
  <c r="M2047" i="53"/>
  <c r="P2046" i="53"/>
  <c r="M2046" i="53"/>
  <c r="P2045" i="53"/>
  <c r="M2045" i="53"/>
  <c r="P2044" i="53"/>
  <c r="M2044" i="53"/>
  <c r="P2043" i="53"/>
  <c r="M2043" i="53"/>
  <c r="P2042" i="53"/>
  <c r="M2042" i="53"/>
  <c r="P2041" i="53"/>
  <c r="M2041" i="53"/>
  <c r="P2040" i="53"/>
  <c r="M2040" i="53"/>
  <c r="P2039" i="53"/>
  <c r="M2039" i="53"/>
  <c r="P2038" i="53"/>
  <c r="M2038" i="53"/>
  <c r="P2037" i="53"/>
  <c r="M2037" i="53"/>
  <c r="P2036" i="53"/>
  <c r="M2036" i="53"/>
  <c r="P2035" i="53"/>
  <c r="M2035" i="53"/>
  <c r="P2034" i="53"/>
  <c r="M2034" i="53"/>
  <c r="P2033" i="53"/>
  <c r="M2033" i="53"/>
  <c r="P2032" i="53"/>
  <c r="M2032" i="53"/>
  <c r="P2031" i="53"/>
  <c r="M2031" i="53"/>
  <c r="P2030" i="53"/>
  <c r="M2030" i="53"/>
  <c r="P2029" i="53"/>
  <c r="M2029" i="53"/>
  <c r="P2028" i="53"/>
  <c r="M2028" i="53"/>
  <c r="P2027" i="53"/>
  <c r="M2027" i="53"/>
  <c r="P2026" i="53"/>
  <c r="M2026" i="53"/>
  <c r="P2025" i="53"/>
  <c r="M2025" i="53"/>
  <c r="P2024" i="53"/>
  <c r="M2024" i="53"/>
  <c r="P2023" i="53"/>
  <c r="M2023" i="53"/>
  <c r="P2022" i="53"/>
  <c r="M2022" i="53"/>
  <c r="P2021" i="53"/>
  <c r="M2021" i="53"/>
  <c r="P2020" i="53"/>
  <c r="M2020" i="53"/>
  <c r="P2019" i="53"/>
  <c r="M2019" i="53"/>
  <c r="P2018" i="53"/>
  <c r="M2018" i="53"/>
  <c r="P2017" i="53"/>
  <c r="M2017" i="53"/>
  <c r="P2016" i="53"/>
  <c r="M2016" i="53"/>
  <c r="P2015" i="53"/>
  <c r="M2015" i="53"/>
  <c r="P2014" i="53"/>
  <c r="M2014" i="53"/>
  <c r="P2013" i="53"/>
  <c r="M2013" i="53"/>
  <c r="P2012" i="53"/>
  <c r="M2012" i="53"/>
  <c r="P2011" i="53"/>
  <c r="M2011" i="53"/>
  <c r="P2010" i="53"/>
  <c r="M2010" i="53"/>
  <c r="P2009" i="53"/>
  <c r="M2009" i="53"/>
  <c r="P2008" i="53"/>
  <c r="M2008" i="53"/>
  <c r="P2007" i="53"/>
  <c r="M2007" i="53"/>
  <c r="P2006" i="53"/>
  <c r="M2006" i="53"/>
  <c r="P2005" i="53"/>
  <c r="M2005" i="53"/>
  <c r="P2004" i="53"/>
  <c r="M2004" i="53"/>
  <c r="P2003" i="53"/>
  <c r="M2003" i="53"/>
  <c r="P2002" i="53"/>
  <c r="M2002" i="53"/>
  <c r="P2001" i="53"/>
  <c r="M2001" i="53"/>
  <c r="P2000" i="53"/>
  <c r="M2000" i="53"/>
  <c r="P1999" i="53"/>
  <c r="M1999" i="53"/>
  <c r="P1998" i="53"/>
  <c r="M1998" i="53"/>
  <c r="P1997" i="53"/>
  <c r="M1997" i="53"/>
  <c r="P1996" i="53"/>
  <c r="M1996" i="53"/>
  <c r="P1995" i="53"/>
  <c r="M1995" i="53"/>
  <c r="P1994" i="53"/>
  <c r="M1994" i="53"/>
  <c r="P1993" i="53"/>
  <c r="M1993" i="53"/>
  <c r="P1992" i="53"/>
  <c r="M1992" i="53"/>
  <c r="P1991" i="53"/>
  <c r="M1991" i="53"/>
  <c r="P1990" i="53"/>
  <c r="M1990" i="53"/>
  <c r="P1989" i="53"/>
  <c r="M1989" i="53"/>
  <c r="P1988" i="53"/>
  <c r="M1988" i="53"/>
  <c r="P1987" i="53"/>
  <c r="M1987" i="53"/>
  <c r="P1986" i="53"/>
  <c r="M1986" i="53"/>
  <c r="P1985" i="53"/>
  <c r="M1985" i="53"/>
  <c r="P1984" i="53"/>
  <c r="M1984" i="53"/>
  <c r="P1983" i="53"/>
  <c r="M1983" i="53"/>
  <c r="P1982" i="53"/>
  <c r="M1982" i="53"/>
  <c r="P1981" i="53"/>
  <c r="M1981" i="53"/>
  <c r="P1980" i="53"/>
  <c r="M1980" i="53"/>
  <c r="P1979" i="53"/>
  <c r="M1979" i="53"/>
  <c r="P1978" i="53"/>
  <c r="M1978" i="53"/>
  <c r="P1977" i="53"/>
  <c r="M1977" i="53"/>
  <c r="P1976" i="53"/>
  <c r="M1976" i="53"/>
  <c r="P1975" i="53"/>
  <c r="M1975" i="53"/>
  <c r="P1974" i="53"/>
  <c r="M1974" i="53"/>
  <c r="P1973" i="53"/>
  <c r="M1973" i="53"/>
  <c r="P1972" i="53"/>
  <c r="M1972" i="53"/>
  <c r="P1971" i="53"/>
  <c r="M1971" i="53"/>
  <c r="P1970" i="53"/>
  <c r="M1970" i="53"/>
  <c r="P1969" i="53"/>
  <c r="M1969" i="53"/>
  <c r="P1968" i="53"/>
  <c r="M1968" i="53"/>
  <c r="P1967" i="53"/>
  <c r="M1967" i="53"/>
  <c r="P1966" i="53"/>
  <c r="M1966" i="53"/>
  <c r="P1965" i="53"/>
  <c r="M1965" i="53"/>
  <c r="P1964" i="53"/>
  <c r="M1964" i="53"/>
  <c r="P1963" i="53"/>
  <c r="M1963" i="53"/>
  <c r="P1962" i="53"/>
  <c r="M1962" i="53"/>
  <c r="P1961" i="53"/>
  <c r="M1961" i="53"/>
  <c r="P1960" i="53"/>
  <c r="M1960" i="53"/>
  <c r="P1959" i="53"/>
  <c r="M1959" i="53"/>
  <c r="P1958" i="53"/>
  <c r="M1958" i="53"/>
  <c r="P1957" i="53"/>
  <c r="M1957" i="53"/>
  <c r="P1956" i="53"/>
  <c r="M1956" i="53"/>
  <c r="P1955" i="53"/>
  <c r="M1955" i="53"/>
  <c r="P1954" i="53"/>
  <c r="M1954" i="53"/>
  <c r="P1953" i="53"/>
  <c r="M1953" i="53"/>
  <c r="P1952" i="53"/>
  <c r="M1952" i="53"/>
  <c r="P1951" i="53"/>
  <c r="M1951" i="53"/>
  <c r="P1950" i="53"/>
  <c r="M1950" i="53"/>
  <c r="P1949" i="53"/>
  <c r="M1949" i="53"/>
  <c r="P1948" i="53"/>
  <c r="M1948" i="53"/>
  <c r="P1947" i="53"/>
  <c r="M1947" i="53"/>
  <c r="P1946" i="53"/>
  <c r="M1946" i="53"/>
  <c r="P1945" i="53"/>
  <c r="M1945" i="53"/>
  <c r="P1944" i="53"/>
  <c r="M1944" i="53"/>
  <c r="P1943" i="53"/>
  <c r="M1943" i="53"/>
  <c r="P1942" i="53"/>
  <c r="M1942" i="53"/>
  <c r="P1941" i="53"/>
  <c r="M1941" i="53"/>
  <c r="P1940" i="53"/>
  <c r="M1940" i="53"/>
  <c r="P1939" i="53"/>
  <c r="M1939" i="53"/>
  <c r="P1938" i="53"/>
  <c r="M1938" i="53"/>
  <c r="P1937" i="53"/>
  <c r="M1937" i="53"/>
  <c r="P1936" i="53"/>
  <c r="M1936" i="53"/>
  <c r="P1935" i="53"/>
  <c r="M1935" i="53"/>
  <c r="P1934" i="53"/>
  <c r="M1934" i="53"/>
  <c r="P1933" i="53"/>
  <c r="M1933" i="53"/>
  <c r="P1932" i="53"/>
  <c r="M1932" i="53"/>
  <c r="P1931" i="53"/>
  <c r="M1931" i="53"/>
  <c r="P1930" i="53"/>
  <c r="M1930" i="53"/>
  <c r="P1929" i="53"/>
  <c r="M1929" i="53"/>
  <c r="P1928" i="53"/>
  <c r="M1928" i="53"/>
  <c r="P1927" i="53"/>
  <c r="M1927" i="53"/>
  <c r="P1926" i="53"/>
  <c r="M1926" i="53"/>
  <c r="P1925" i="53"/>
  <c r="M1925" i="53"/>
  <c r="P1924" i="53"/>
  <c r="M1924" i="53"/>
  <c r="P1923" i="53"/>
  <c r="M1923" i="53"/>
  <c r="P1922" i="53"/>
  <c r="M1922" i="53"/>
  <c r="P1921" i="53"/>
  <c r="M1921" i="53"/>
  <c r="P1920" i="53"/>
  <c r="M1920" i="53"/>
  <c r="P1919" i="53"/>
  <c r="M1919" i="53"/>
  <c r="P1918" i="53"/>
  <c r="M1918" i="53"/>
  <c r="P1917" i="53"/>
  <c r="M1917" i="53"/>
  <c r="P1916" i="53"/>
  <c r="M1916" i="53"/>
  <c r="P1915" i="53"/>
  <c r="M1915" i="53"/>
  <c r="P1914" i="53"/>
  <c r="M1914" i="53"/>
  <c r="P1913" i="53"/>
  <c r="M1913" i="53"/>
  <c r="P1912" i="53"/>
  <c r="M1912" i="53"/>
  <c r="P1911" i="53"/>
  <c r="M1911" i="53"/>
  <c r="P1910" i="53"/>
  <c r="M1910" i="53"/>
  <c r="P1909" i="53"/>
  <c r="M1909" i="53"/>
  <c r="P1908" i="53"/>
  <c r="M1908" i="53"/>
  <c r="P1907" i="53"/>
  <c r="M1907" i="53"/>
  <c r="P1906" i="53"/>
  <c r="M1906" i="53"/>
  <c r="P1905" i="53"/>
  <c r="M1905" i="53"/>
  <c r="P1904" i="53"/>
  <c r="M1904" i="53"/>
  <c r="P1903" i="53"/>
  <c r="M1903" i="53"/>
  <c r="P1902" i="53"/>
  <c r="M1902" i="53"/>
  <c r="P1901" i="53"/>
  <c r="M1901" i="53"/>
  <c r="P1900" i="53"/>
  <c r="M1900" i="53"/>
  <c r="P1899" i="53"/>
  <c r="M1899" i="53"/>
  <c r="P1898" i="53"/>
  <c r="M1898" i="53"/>
  <c r="P1897" i="53"/>
  <c r="M1897" i="53"/>
  <c r="P1896" i="53"/>
  <c r="M1896" i="53"/>
  <c r="P1895" i="53"/>
  <c r="M1895" i="53"/>
  <c r="P1894" i="53"/>
  <c r="M1894" i="53"/>
  <c r="P1893" i="53"/>
  <c r="M1893" i="53"/>
  <c r="P1892" i="53"/>
  <c r="M1892" i="53"/>
  <c r="P1891" i="53"/>
  <c r="M1891" i="53"/>
  <c r="P1890" i="53"/>
  <c r="M1890" i="53"/>
  <c r="P1889" i="53"/>
  <c r="M1889" i="53"/>
  <c r="P1888" i="53"/>
  <c r="M1888" i="53"/>
  <c r="P1887" i="53"/>
  <c r="M1887" i="53"/>
  <c r="P1886" i="53"/>
  <c r="M1886" i="53"/>
  <c r="P1885" i="53"/>
  <c r="M1885" i="53"/>
  <c r="P1884" i="53"/>
  <c r="M1884" i="53"/>
  <c r="P1883" i="53"/>
  <c r="M1883" i="53"/>
  <c r="P1882" i="53"/>
  <c r="M1882" i="53"/>
  <c r="P1881" i="53"/>
  <c r="M1881" i="53"/>
  <c r="P1880" i="53"/>
  <c r="M1880" i="53"/>
  <c r="P1879" i="53"/>
  <c r="M1879" i="53"/>
  <c r="P1878" i="53"/>
  <c r="M1878" i="53"/>
  <c r="P1877" i="53"/>
  <c r="M1877" i="53"/>
  <c r="P1876" i="53"/>
  <c r="M1876" i="53"/>
  <c r="P1875" i="53"/>
  <c r="M1875" i="53"/>
  <c r="P1874" i="53"/>
  <c r="M1874" i="53"/>
  <c r="P1873" i="53"/>
  <c r="M1873" i="53"/>
  <c r="P1872" i="53"/>
  <c r="M1872" i="53"/>
  <c r="P1871" i="53"/>
  <c r="M1871" i="53"/>
  <c r="P1870" i="53"/>
  <c r="M1870" i="53"/>
  <c r="P1869" i="53"/>
  <c r="M1869" i="53"/>
  <c r="P1868" i="53"/>
  <c r="M1868" i="53"/>
  <c r="P1867" i="53"/>
  <c r="M1867" i="53"/>
  <c r="P1866" i="53"/>
  <c r="M1866" i="53"/>
  <c r="P1865" i="53"/>
  <c r="M1865" i="53"/>
  <c r="P1864" i="53"/>
  <c r="M1864" i="53"/>
  <c r="P1863" i="53"/>
  <c r="M1863" i="53"/>
  <c r="P1862" i="53"/>
  <c r="M1862" i="53"/>
  <c r="P1861" i="53"/>
  <c r="M1861" i="53"/>
  <c r="P1860" i="53"/>
  <c r="M1860" i="53"/>
  <c r="P1859" i="53"/>
  <c r="M1859" i="53"/>
  <c r="P1858" i="53"/>
  <c r="M1858" i="53"/>
  <c r="P1857" i="53"/>
  <c r="M1857" i="53"/>
  <c r="P1856" i="53"/>
  <c r="M1856" i="53"/>
  <c r="P1855" i="53"/>
  <c r="M1855" i="53"/>
  <c r="P1854" i="53"/>
  <c r="M1854" i="53"/>
  <c r="P1853" i="53"/>
  <c r="M1853" i="53"/>
  <c r="P1852" i="53"/>
  <c r="M1852" i="53"/>
  <c r="P1851" i="53"/>
  <c r="M1851" i="53"/>
  <c r="P1850" i="53"/>
  <c r="M1850" i="53"/>
  <c r="P1849" i="53"/>
  <c r="M1849" i="53"/>
  <c r="P1848" i="53"/>
  <c r="M1848" i="53"/>
  <c r="P1847" i="53"/>
  <c r="M1847" i="53"/>
  <c r="P1846" i="53"/>
  <c r="M1846" i="53"/>
  <c r="P1845" i="53"/>
  <c r="M1845" i="53"/>
  <c r="P1844" i="53"/>
  <c r="M1844" i="53"/>
  <c r="P1843" i="53"/>
  <c r="M1843" i="53"/>
  <c r="P1842" i="53"/>
  <c r="M1842" i="53"/>
  <c r="P1841" i="53"/>
  <c r="M1841" i="53"/>
  <c r="P1840" i="53"/>
  <c r="M1840" i="53"/>
  <c r="P1839" i="53"/>
  <c r="M1839" i="53"/>
  <c r="P1838" i="53"/>
  <c r="M1838" i="53"/>
  <c r="P1837" i="53"/>
  <c r="M1837" i="53"/>
  <c r="P1836" i="53"/>
  <c r="M1836" i="53"/>
  <c r="P1835" i="53"/>
  <c r="M1835" i="53"/>
  <c r="P1834" i="53"/>
  <c r="M1834" i="53"/>
  <c r="P1833" i="53"/>
  <c r="M1833" i="53"/>
  <c r="P1832" i="53"/>
  <c r="M1832" i="53"/>
  <c r="P1831" i="53"/>
  <c r="M1831" i="53"/>
  <c r="P1830" i="53"/>
  <c r="M1830" i="53"/>
  <c r="P1829" i="53"/>
  <c r="M1829" i="53"/>
  <c r="P1828" i="53"/>
  <c r="M1828" i="53"/>
  <c r="P1827" i="53"/>
  <c r="M1827" i="53"/>
  <c r="P1826" i="53"/>
  <c r="M1826" i="53"/>
  <c r="P1825" i="53"/>
  <c r="M1825" i="53"/>
  <c r="P1824" i="53"/>
  <c r="M1824" i="53"/>
  <c r="P1823" i="53"/>
  <c r="M1823" i="53"/>
  <c r="P1822" i="53"/>
  <c r="M1822" i="53"/>
  <c r="P1821" i="53"/>
  <c r="M1821" i="53"/>
  <c r="P1820" i="53"/>
  <c r="M1820" i="53"/>
  <c r="P1819" i="53"/>
  <c r="M1819" i="53"/>
  <c r="P1818" i="53"/>
  <c r="M1818" i="53"/>
  <c r="P1817" i="53"/>
  <c r="M1817" i="53"/>
  <c r="P1816" i="53"/>
  <c r="M1816" i="53"/>
  <c r="P1815" i="53"/>
  <c r="M1815" i="53"/>
  <c r="P1814" i="53"/>
  <c r="M1814" i="53"/>
  <c r="P1813" i="53"/>
  <c r="M1813" i="53"/>
  <c r="P1812" i="53"/>
  <c r="M1812" i="53"/>
  <c r="P1811" i="53"/>
  <c r="M1811" i="53"/>
  <c r="P1810" i="53"/>
  <c r="M1810" i="53"/>
  <c r="P1809" i="53"/>
  <c r="M1809" i="53"/>
  <c r="P1808" i="53"/>
  <c r="M1808" i="53"/>
  <c r="P1807" i="53"/>
  <c r="M1807" i="53"/>
  <c r="P1806" i="53"/>
  <c r="M1806" i="53"/>
  <c r="P1805" i="53"/>
  <c r="M1805" i="53"/>
  <c r="P1804" i="53"/>
  <c r="M1804" i="53"/>
  <c r="P1803" i="53"/>
  <c r="M1803" i="53"/>
  <c r="P1802" i="53"/>
  <c r="M1802" i="53"/>
  <c r="P1801" i="53"/>
  <c r="M1801" i="53"/>
  <c r="P1800" i="53"/>
  <c r="M1800" i="53"/>
  <c r="P1799" i="53"/>
  <c r="M1799" i="53"/>
  <c r="P1798" i="53"/>
  <c r="M1798" i="53"/>
  <c r="P1797" i="53"/>
  <c r="M1797" i="53"/>
  <c r="P1796" i="53"/>
  <c r="M1796" i="53"/>
  <c r="P1795" i="53"/>
  <c r="M1795" i="53"/>
  <c r="P1794" i="53"/>
  <c r="M1794" i="53"/>
  <c r="P1793" i="53"/>
  <c r="M1793" i="53"/>
  <c r="P1792" i="53"/>
  <c r="M1792" i="53"/>
  <c r="P1791" i="53"/>
  <c r="M1791" i="53"/>
  <c r="P1790" i="53"/>
  <c r="M1790" i="53"/>
  <c r="P1789" i="53"/>
  <c r="M1789" i="53"/>
  <c r="P1788" i="53"/>
  <c r="M1788" i="53"/>
  <c r="P1787" i="53"/>
  <c r="M1787" i="53"/>
  <c r="P1786" i="53"/>
  <c r="M1786" i="53"/>
  <c r="P1785" i="53"/>
  <c r="M1785" i="53"/>
  <c r="P1784" i="53"/>
  <c r="M1784" i="53"/>
  <c r="P1783" i="53"/>
  <c r="M1783" i="53"/>
  <c r="P1782" i="53"/>
  <c r="M1782" i="53"/>
  <c r="P1781" i="53"/>
  <c r="M1781" i="53"/>
  <c r="P1780" i="53"/>
  <c r="M1780" i="53"/>
  <c r="P1779" i="53"/>
  <c r="M1779" i="53"/>
  <c r="P1778" i="53"/>
  <c r="M1778" i="53"/>
  <c r="P1777" i="53"/>
  <c r="M1777" i="53"/>
  <c r="P1776" i="53"/>
  <c r="M1776" i="53"/>
  <c r="P1775" i="53"/>
  <c r="M1775" i="53"/>
  <c r="P1774" i="53"/>
  <c r="M1774" i="53"/>
  <c r="P1773" i="53"/>
  <c r="M1773" i="53"/>
  <c r="P1772" i="53"/>
  <c r="M1772" i="53"/>
  <c r="P1771" i="53"/>
  <c r="M1771" i="53"/>
  <c r="P1770" i="53"/>
  <c r="M1770" i="53"/>
  <c r="P1769" i="53"/>
  <c r="M1769" i="53"/>
  <c r="P1768" i="53"/>
  <c r="M1768" i="53"/>
  <c r="P1767" i="53"/>
  <c r="M1767" i="53"/>
  <c r="P1766" i="53"/>
  <c r="M1766" i="53"/>
  <c r="P1765" i="53"/>
  <c r="M1765" i="53"/>
  <c r="P1764" i="53"/>
  <c r="M1764" i="53"/>
  <c r="P1763" i="53"/>
  <c r="M1763" i="53"/>
  <c r="P1762" i="53"/>
  <c r="M1762" i="53"/>
  <c r="P1761" i="53"/>
  <c r="M1761" i="53"/>
  <c r="P1760" i="53"/>
  <c r="M1760" i="53"/>
  <c r="P1759" i="53"/>
  <c r="M1759" i="53"/>
  <c r="P1758" i="53"/>
  <c r="M1758" i="53"/>
  <c r="P1757" i="53"/>
  <c r="M1757" i="53"/>
  <c r="P1756" i="53"/>
  <c r="M1756" i="53"/>
  <c r="P1755" i="53"/>
  <c r="M1755" i="53"/>
  <c r="P1754" i="53"/>
  <c r="M1754" i="53"/>
  <c r="P1753" i="53"/>
  <c r="M1753" i="53"/>
  <c r="P1752" i="53"/>
  <c r="M1752" i="53"/>
  <c r="P1751" i="53"/>
  <c r="M1751" i="53"/>
  <c r="P1750" i="53"/>
  <c r="M1750" i="53"/>
  <c r="P1749" i="53"/>
  <c r="M1749" i="53"/>
  <c r="P1748" i="53"/>
  <c r="M1748" i="53"/>
  <c r="P1747" i="53"/>
  <c r="M1747" i="53"/>
  <c r="P1746" i="53"/>
  <c r="M1746" i="53"/>
  <c r="P1745" i="53"/>
  <c r="M1745" i="53"/>
  <c r="P1744" i="53"/>
  <c r="M1744" i="53"/>
  <c r="P1743" i="53"/>
  <c r="M1743" i="53"/>
  <c r="P1742" i="53"/>
  <c r="M1742" i="53"/>
  <c r="P1741" i="53"/>
  <c r="M1741" i="53"/>
  <c r="P1740" i="53"/>
  <c r="M1740" i="53"/>
  <c r="P1739" i="53"/>
  <c r="M1739" i="53"/>
  <c r="P1738" i="53"/>
  <c r="M1738" i="53"/>
  <c r="P1737" i="53"/>
  <c r="M1737" i="53"/>
  <c r="P1736" i="53"/>
  <c r="M1736" i="53"/>
  <c r="P1735" i="53"/>
  <c r="M1735" i="53"/>
  <c r="P1734" i="53"/>
  <c r="M1734" i="53"/>
  <c r="P1733" i="53"/>
  <c r="M1733" i="53"/>
  <c r="P1732" i="53"/>
  <c r="M1732" i="53"/>
  <c r="P1731" i="53"/>
  <c r="M1731" i="53"/>
  <c r="P1730" i="53"/>
  <c r="M1730" i="53"/>
  <c r="P1729" i="53"/>
  <c r="M1729" i="53"/>
  <c r="P1728" i="53"/>
  <c r="M1728" i="53"/>
  <c r="P1727" i="53"/>
  <c r="M1727" i="53"/>
  <c r="P1726" i="53"/>
  <c r="M1726" i="53"/>
  <c r="P1725" i="53"/>
  <c r="M1725" i="53"/>
  <c r="P1724" i="53"/>
  <c r="M1724" i="53"/>
  <c r="P1723" i="53"/>
  <c r="M1723" i="53"/>
  <c r="P1722" i="53"/>
  <c r="M1722" i="53"/>
  <c r="P1721" i="53"/>
  <c r="M1721" i="53"/>
  <c r="P1720" i="53"/>
  <c r="M1720" i="53"/>
  <c r="P1719" i="53"/>
  <c r="M1719" i="53"/>
  <c r="P1718" i="53"/>
  <c r="M1718" i="53"/>
  <c r="P1717" i="53"/>
  <c r="M1717" i="53"/>
  <c r="P1716" i="53"/>
  <c r="M1716" i="53"/>
  <c r="P1715" i="53"/>
  <c r="M1715" i="53"/>
  <c r="P1714" i="53"/>
  <c r="M1714" i="53"/>
  <c r="P1713" i="53"/>
  <c r="M1713" i="53"/>
  <c r="P1712" i="53"/>
  <c r="M1712" i="53"/>
  <c r="P1711" i="53"/>
  <c r="M1711" i="53"/>
  <c r="P1710" i="53"/>
  <c r="M1710" i="53"/>
  <c r="P1709" i="53"/>
  <c r="M1709" i="53"/>
  <c r="P1708" i="53"/>
  <c r="M1708" i="53"/>
  <c r="P1707" i="53"/>
  <c r="M1707" i="53"/>
  <c r="P1706" i="53"/>
  <c r="M1706" i="53"/>
  <c r="P1705" i="53"/>
  <c r="M1705" i="53"/>
  <c r="P1704" i="53"/>
  <c r="M1704" i="53"/>
  <c r="P1703" i="53"/>
  <c r="M1703" i="53"/>
  <c r="P1702" i="53"/>
  <c r="M1702" i="53"/>
  <c r="P1701" i="53"/>
  <c r="M1701" i="53"/>
  <c r="P1700" i="53"/>
  <c r="M1700" i="53"/>
  <c r="P1699" i="53"/>
  <c r="M1699" i="53"/>
  <c r="P1698" i="53"/>
  <c r="M1698" i="53"/>
  <c r="P1697" i="53"/>
  <c r="M1697" i="53"/>
  <c r="P1696" i="53"/>
  <c r="M1696" i="53"/>
  <c r="P1695" i="53"/>
  <c r="M1695" i="53"/>
  <c r="P1694" i="53"/>
  <c r="M1694" i="53"/>
  <c r="P1693" i="53"/>
  <c r="M1693" i="53"/>
  <c r="P1692" i="53"/>
  <c r="M1692" i="53"/>
  <c r="P1691" i="53"/>
  <c r="M1691" i="53"/>
  <c r="P1690" i="53"/>
  <c r="M1690" i="53"/>
  <c r="P1689" i="53"/>
  <c r="M1689" i="53"/>
  <c r="P1688" i="53"/>
  <c r="M1688" i="53"/>
  <c r="P1687" i="53"/>
  <c r="M1687" i="53"/>
  <c r="P1686" i="53"/>
  <c r="M1686" i="53"/>
  <c r="P1685" i="53"/>
  <c r="M1685" i="53"/>
  <c r="P1684" i="53"/>
  <c r="M1684" i="53"/>
  <c r="P1683" i="53"/>
  <c r="M1683" i="53"/>
  <c r="P1682" i="53"/>
  <c r="M1682" i="53"/>
  <c r="P1681" i="53"/>
  <c r="M1681" i="53"/>
  <c r="P1680" i="53"/>
  <c r="M1680" i="53"/>
  <c r="P1679" i="53"/>
  <c r="M1679" i="53"/>
  <c r="P1678" i="53"/>
  <c r="M1678" i="53"/>
  <c r="P1677" i="53"/>
  <c r="M1677" i="53"/>
  <c r="P1676" i="53"/>
  <c r="M1676" i="53"/>
  <c r="P1675" i="53"/>
  <c r="M1675" i="53"/>
  <c r="P1674" i="53"/>
  <c r="M1674" i="53"/>
  <c r="P1673" i="53"/>
  <c r="M1673" i="53"/>
  <c r="P1672" i="53"/>
  <c r="M1672" i="53"/>
  <c r="P1671" i="53"/>
  <c r="M1671" i="53"/>
  <c r="P1670" i="53"/>
  <c r="M1670" i="53"/>
  <c r="P1669" i="53"/>
  <c r="M1669" i="53"/>
  <c r="P1668" i="53"/>
  <c r="M1668" i="53"/>
  <c r="P1667" i="53"/>
  <c r="M1667" i="53"/>
  <c r="P1666" i="53"/>
  <c r="M1666" i="53"/>
  <c r="P1665" i="53"/>
  <c r="M1665" i="53"/>
  <c r="P1664" i="53"/>
  <c r="M1664" i="53"/>
  <c r="P1663" i="53"/>
  <c r="M1663" i="53"/>
  <c r="P1662" i="53"/>
  <c r="M1662" i="53"/>
  <c r="P1661" i="53"/>
  <c r="M1661" i="53"/>
  <c r="P1660" i="53"/>
  <c r="M1660" i="53"/>
  <c r="P1659" i="53"/>
  <c r="M1659" i="53"/>
  <c r="P1658" i="53"/>
  <c r="M1658" i="53"/>
  <c r="P1657" i="53"/>
  <c r="M1657" i="53"/>
  <c r="P1656" i="53"/>
  <c r="M1656" i="53"/>
  <c r="P1655" i="53"/>
  <c r="M1655" i="53"/>
  <c r="P1654" i="53"/>
  <c r="M1654" i="53"/>
  <c r="P1653" i="53"/>
  <c r="M1653" i="53"/>
  <c r="P1652" i="53"/>
  <c r="M1652" i="53"/>
  <c r="P1651" i="53"/>
  <c r="M1651" i="53"/>
  <c r="P1650" i="53"/>
  <c r="M1650" i="53"/>
  <c r="P1649" i="53"/>
  <c r="M1649" i="53"/>
  <c r="P1648" i="53"/>
  <c r="M1648" i="53"/>
  <c r="P1647" i="53"/>
  <c r="M1647" i="53"/>
  <c r="P1646" i="53"/>
  <c r="M1646" i="53"/>
  <c r="P1645" i="53"/>
  <c r="M1645" i="53"/>
  <c r="P1644" i="53"/>
  <c r="M1644" i="53"/>
  <c r="P1643" i="53"/>
  <c r="M1643" i="53"/>
  <c r="P1642" i="53"/>
  <c r="M1642" i="53"/>
  <c r="P1641" i="53"/>
  <c r="M1641" i="53"/>
  <c r="P1640" i="53"/>
  <c r="M1640" i="53"/>
  <c r="P1639" i="53"/>
  <c r="M1639" i="53"/>
  <c r="P1638" i="53"/>
  <c r="M1638" i="53"/>
  <c r="P1637" i="53"/>
  <c r="M1637" i="53"/>
  <c r="P1636" i="53"/>
  <c r="M1636" i="53"/>
  <c r="P1635" i="53"/>
  <c r="M1635" i="53"/>
  <c r="P1634" i="53"/>
  <c r="M1634" i="53"/>
  <c r="P1633" i="53"/>
  <c r="M1633" i="53"/>
  <c r="P1632" i="53"/>
  <c r="M1632" i="53"/>
  <c r="P1631" i="53"/>
  <c r="M1631" i="53"/>
  <c r="P1630" i="53"/>
  <c r="M1630" i="53"/>
  <c r="P1629" i="53"/>
  <c r="M1629" i="53"/>
  <c r="P1628" i="53"/>
  <c r="M1628" i="53"/>
  <c r="P1627" i="53"/>
  <c r="M1627" i="53"/>
  <c r="P1626" i="53"/>
  <c r="M1626" i="53"/>
  <c r="P1625" i="53"/>
  <c r="M1625" i="53"/>
  <c r="P1624" i="53"/>
  <c r="M1624" i="53"/>
  <c r="P1623" i="53"/>
  <c r="M1623" i="53"/>
  <c r="P1622" i="53"/>
  <c r="M1622" i="53"/>
  <c r="P1621" i="53"/>
  <c r="M1621" i="53"/>
  <c r="P1620" i="53"/>
  <c r="M1620" i="53"/>
  <c r="P1619" i="53"/>
  <c r="M1619" i="53"/>
  <c r="P1618" i="53"/>
  <c r="M1618" i="53"/>
  <c r="P1617" i="53"/>
  <c r="M1617" i="53"/>
  <c r="P1616" i="53"/>
  <c r="M1616" i="53"/>
  <c r="P1615" i="53"/>
  <c r="M1615" i="53"/>
  <c r="P1614" i="53"/>
  <c r="M1614" i="53"/>
  <c r="P1613" i="53"/>
  <c r="M1613" i="53"/>
  <c r="P1612" i="53"/>
  <c r="M1612" i="53"/>
  <c r="P1611" i="53"/>
  <c r="M1611" i="53"/>
  <c r="P1610" i="53"/>
  <c r="M1610" i="53"/>
  <c r="P1609" i="53"/>
  <c r="M1609" i="53"/>
  <c r="P1608" i="53"/>
  <c r="M1608" i="53"/>
  <c r="P1607" i="53"/>
  <c r="M1607" i="53"/>
  <c r="P1606" i="53"/>
  <c r="M1606" i="53"/>
  <c r="P1605" i="53"/>
  <c r="M1605" i="53"/>
  <c r="P1604" i="53"/>
  <c r="M1604" i="53"/>
  <c r="P1603" i="53"/>
  <c r="M1603" i="53"/>
  <c r="P1602" i="53"/>
  <c r="M1602" i="53"/>
  <c r="P1601" i="53"/>
  <c r="M1601" i="53"/>
  <c r="P1600" i="53"/>
  <c r="M1600" i="53"/>
  <c r="P1599" i="53"/>
  <c r="M1599" i="53"/>
  <c r="P1598" i="53"/>
  <c r="M1598" i="53"/>
  <c r="P1597" i="53"/>
  <c r="M1597" i="53"/>
  <c r="P1596" i="53"/>
  <c r="M1596" i="53"/>
  <c r="P1595" i="53"/>
  <c r="M1595" i="53"/>
  <c r="P1594" i="53"/>
  <c r="M1594" i="53"/>
  <c r="P1593" i="53"/>
  <c r="M1593" i="53"/>
  <c r="P1592" i="53"/>
  <c r="M1592" i="53"/>
  <c r="P1591" i="53"/>
  <c r="M1591" i="53"/>
  <c r="P1590" i="53"/>
  <c r="M1590" i="53"/>
  <c r="P1589" i="53"/>
  <c r="M1589" i="53"/>
  <c r="P1588" i="53"/>
  <c r="M1588" i="53"/>
  <c r="P1587" i="53"/>
  <c r="M1587" i="53"/>
  <c r="P1586" i="53"/>
  <c r="M1586" i="53"/>
  <c r="P1585" i="53"/>
  <c r="M1585" i="53"/>
  <c r="P1584" i="53"/>
  <c r="M1584" i="53"/>
  <c r="P1583" i="53"/>
  <c r="M1583" i="53"/>
  <c r="P1582" i="53"/>
  <c r="M1582" i="53"/>
  <c r="P1581" i="53"/>
  <c r="M1581" i="53"/>
  <c r="P1580" i="53"/>
  <c r="M1580" i="53"/>
  <c r="P1579" i="53"/>
  <c r="M1579" i="53"/>
  <c r="P1578" i="53"/>
  <c r="M1578" i="53"/>
  <c r="P1577" i="53"/>
  <c r="M1577" i="53"/>
  <c r="P1576" i="53"/>
  <c r="M1576" i="53"/>
  <c r="P1575" i="53"/>
  <c r="M1575" i="53"/>
  <c r="P1574" i="53"/>
  <c r="M1574" i="53"/>
  <c r="P1573" i="53"/>
  <c r="M1573" i="53"/>
  <c r="P1572" i="53"/>
  <c r="M1572" i="53"/>
  <c r="P1571" i="53"/>
  <c r="M1571" i="53"/>
  <c r="P1570" i="53"/>
  <c r="M1570" i="53"/>
  <c r="P1569" i="53"/>
  <c r="M1569" i="53"/>
  <c r="P1568" i="53"/>
  <c r="M1568" i="53"/>
  <c r="P1567" i="53"/>
  <c r="M1567" i="53"/>
  <c r="P1566" i="53"/>
  <c r="M1566" i="53"/>
  <c r="P1565" i="53"/>
  <c r="M1565" i="53"/>
  <c r="P1564" i="53"/>
  <c r="M1564" i="53"/>
  <c r="P1563" i="53"/>
  <c r="M1563" i="53"/>
  <c r="P1562" i="53"/>
  <c r="M1562" i="53"/>
  <c r="P1561" i="53"/>
  <c r="M1561" i="53"/>
  <c r="P1560" i="53"/>
  <c r="M1560" i="53"/>
  <c r="P1559" i="53"/>
  <c r="M1559" i="53"/>
  <c r="P1558" i="53"/>
  <c r="M1558" i="53"/>
  <c r="P1557" i="53"/>
  <c r="M1557" i="53"/>
  <c r="P1556" i="53"/>
  <c r="M1556" i="53"/>
  <c r="P1555" i="53"/>
  <c r="M1555" i="53"/>
  <c r="P1554" i="53"/>
  <c r="M1554" i="53"/>
  <c r="P1553" i="53"/>
  <c r="M1553" i="53"/>
  <c r="P1552" i="53"/>
  <c r="M1552" i="53"/>
  <c r="P1551" i="53"/>
  <c r="M1551" i="53"/>
  <c r="P1550" i="53"/>
  <c r="M1550" i="53"/>
  <c r="P1549" i="53"/>
  <c r="M1549" i="53"/>
  <c r="P1548" i="53"/>
  <c r="M1548" i="53"/>
  <c r="P1547" i="53"/>
  <c r="M1547" i="53"/>
  <c r="P1546" i="53"/>
  <c r="M1546" i="53"/>
  <c r="P1545" i="53"/>
  <c r="M1545" i="53"/>
  <c r="P1544" i="53"/>
  <c r="M1544" i="53"/>
  <c r="P1543" i="53"/>
  <c r="M1543" i="53"/>
  <c r="P1542" i="53"/>
  <c r="M1542" i="53"/>
  <c r="P1541" i="53"/>
  <c r="M1541" i="53"/>
  <c r="P1540" i="53"/>
  <c r="M1540" i="53"/>
  <c r="P1539" i="53"/>
  <c r="M1539" i="53"/>
  <c r="P1538" i="53"/>
  <c r="M1538" i="53"/>
  <c r="P1537" i="53"/>
  <c r="M1537" i="53"/>
  <c r="P1536" i="53"/>
  <c r="M1536" i="53"/>
  <c r="P1535" i="53"/>
  <c r="M1535" i="53"/>
  <c r="P1534" i="53"/>
  <c r="M1534" i="53"/>
  <c r="P1533" i="53"/>
  <c r="M1533" i="53"/>
  <c r="P1532" i="53"/>
  <c r="M1532" i="53"/>
  <c r="P1531" i="53"/>
  <c r="M1531" i="53"/>
  <c r="P1530" i="53"/>
  <c r="M1530" i="53"/>
  <c r="P1529" i="53"/>
  <c r="M1529" i="53"/>
  <c r="P1528" i="53"/>
  <c r="M1528" i="53"/>
  <c r="P1527" i="53"/>
  <c r="M1527" i="53"/>
  <c r="P1526" i="53"/>
  <c r="M1526" i="53"/>
  <c r="P1525" i="53"/>
  <c r="M1525" i="53"/>
  <c r="P1524" i="53"/>
  <c r="M1524" i="53"/>
  <c r="P1523" i="53"/>
  <c r="M1523" i="53"/>
  <c r="P1522" i="53"/>
  <c r="M1522" i="53"/>
  <c r="P1521" i="53"/>
  <c r="M1521" i="53"/>
  <c r="P1520" i="53"/>
  <c r="M1520" i="53"/>
  <c r="P1519" i="53"/>
  <c r="M1519" i="53"/>
  <c r="P1518" i="53"/>
  <c r="M1518" i="53"/>
  <c r="P1517" i="53"/>
  <c r="M1517" i="53"/>
  <c r="P1516" i="53"/>
  <c r="M1516" i="53"/>
  <c r="P1515" i="53"/>
  <c r="M1515" i="53"/>
  <c r="P1514" i="53"/>
  <c r="M1514" i="53"/>
  <c r="P1513" i="53"/>
  <c r="M1513" i="53"/>
  <c r="P1512" i="53"/>
  <c r="M1512" i="53"/>
  <c r="P1511" i="53"/>
  <c r="M1511" i="53"/>
  <c r="P1510" i="53"/>
  <c r="M1510" i="53"/>
  <c r="P1509" i="53"/>
  <c r="M1509" i="53"/>
  <c r="P1508" i="53"/>
  <c r="M1508" i="53"/>
  <c r="P1507" i="53"/>
  <c r="M1507" i="53"/>
  <c r="P1506" i="53"/>
  <c r="M1506" i="53"/>
  <c r="P1505" i="53"/>
  <c r="M1505" i="53"/>
  <c r="P1504" i="53"/>
  <c r="M1504" i="53"/>
  <c r="P1503" i="53"/>
  <c r="M1503" i="53"/>
  <c r="P1502" i="53"/>
  <c r="M1502" i="53"/>
  <c r="P1501" i="53"/>
  <c r="M1501" i="53"/>
  <c r="P1500" i="53"/>
  <c r="M1500" i="53"/>
  <c r="P1499" i="53"/>
  <c r="M1499" i="53"/>
  <c r="P1498" i="53"/>
  <c r="M1498" i="53"/>
  <c r="P1497" i="53"/>
  <c r="M1497" i="53"/>
  <c r="P1496" i="53"/>
  <c r="M1496" i="53"/>
  <c r="P1495" i="53"/>
  <c r="M1495" i="53"/>
  <c r="P1494" i="53"/>
  <c r="M1494" i="53"/>
  <c r="P1493" i="53"/>
  <c r="M1493" i="53"/>
  <c r="P1492" i="53"/>
  <c r="M1492" i="53"/>
  <c r="P1491" i="53"/>
  <c r="M1491" i="53"/>
  <c r="P1490" i="53"/>
  <c r="M1490" i="53"/>
  <c r="P1489" i="53"/>
  <c r="M1489" i="53"/>
  <c r="P1488" i="53"/>
  <c r="M1488" i="53"/>
  <c r="P1487" i="53"/>
  <c r="M1487" i="53"/>
  <c r="P1486" i="53"/>
  <c r="M1486" i="53"/>
  <c r="P1485" i="53"/>
  <c r="M1485" i="53"/>
  <c r="P1484" i="53"/>
  <c r="M1484" i="53"/>
  <c r="P1483" i="53"/>
  <c r="M1483" i="53"/>
  <c r="P1482" i="53"/>
  <c r="M1482" i="53"/>
  <c r="P1481" i="53"/>
  <c r="M1481" i="53"/>
  <c r="P1480" i="53"/>
  <c r="M1480" i="53"/>
  <c r="P1479" i="53"/>
  <c r="M1479" i="53"/>
  <c r="P1478" i="53"/>
  <c r="M1478" i="53"/>
  <c r="P1477" i="53"/>
  <c r="M1477" i="53"/>
  <c r="P1476" i="53"/>
  <c r="M1476" i="53"/>
  <c r="P1475" i="53"/>
  <c r="M1475" i="53"/>
  <c r="P1474" i="53"/>
  <c r="M1474" i="53"/>
  <c r="P1473" i="53"/>
  <c r="M1473" i="53"/>
  <c r="P1472" i="53"/>
  <c r="M1472" i="53"/>
  <c r="P1471" i="53"/>
  <c r="M1471" i="53"/>
  <c r="P1470" i="53"/>
  <c r="M1470" i="53"/>
  <c r="P1469" i="53"/>
  <c r="M1469" i="53"/>
  <c r="P1468" i="53"/>
  <c r="M1468" i="53"/>
  <c r="P1467" i="53"/>
  <c r="M1467" i="53"/>
  <c r="P1466" i="53"/>
  <c r="M1466" i="53"/>
  <c r="P1465" i="53"/>
  <c r="M1465" i="53"/>
  <c r="P1464" i="53"/>
  <c r="M1464" i="53"/>
  <c r="P1463" i="53"/>
  <c r="M1463" i="53"/>
  <c r="P1462" i="53"/>
  <c r="M1462" i="53"/>
  <c r="P1461" i="53"/>
  <c r="M1461" i="53"/>
  <c r="P1460" i="53"/>
  <c r="M1460" i="53"/>
  <c r="P1459" i="53"/>
  <c r="M1459" i="53"/>
  <c r="P1458" i="53"/>
  <c r="M1458" i="53"/>
  <c r="P1457" i="53"/>
  <c r="M1457" i="53"/>
  <c r="P1456" i="53"/>
  <c r="M1456" i="53"/>
  <c r="P1455" i="53"/>
  <c r="M1455" i="53"/>
  <c r="P1454" i="53"/>
  <c r="M1454" i="53"/>
  <c r="P1453" i="53"/>
  <c r="M1453" i="53"/>
  <c r="P1452" i="53"/>
  <c r="M1452" i="53"/>
  <c r="P1451" i="53"/>
  <c r="M1451" i="53"/>
  <c r="P1450" i="53"/>
  <c r="M1450" i="53"/>
  <c r="P1449" i="53"/>
  <c r="M1449" i="53"/>
  <c r="P1448" i="53"/>
  <c r="M1448" i="53"/>
  <c r="P1447" i="53"/>
  <c r="M1447" i="53"/>
  <c r="P1446" i="53"/>
  <c r="M1446" i="53"/>
  <c r="P1445" i="53"/>
  <c r="M1445" i="53"/>
  <c r="P1444" i="53"/>
  <c r="M1444" i="53"/>
  <c r="P1443" i="53"/>
  <c r="M1443" i="53"/>
  <c r="P1442" i="53"/>
  <c r="M1442" i="53"/>
  <c r="P1441" i="53"/>
  <c r="M1441" i="53"/>
  <c r="P1440" i="53"/>
  <c r="M1440" i="53"/>
  <c r="P1439" i="53"/>
  <c r="M1439" i="53"/>
  <c r="P1438" i="53"/>
  <c r="M1438" i="53"/>
  <c r="P1437" i="53"/>
  <c r="M1437" i="53"/>
  <c r="P1436" i="53"/>
  <c r="M1436" i="53"/>
  <c r="P1435" i="53"/>
  <c r="M1435" i="53"/>
  <c r="P1434" i="53"/>
  <c r="M1434" i="53"/>
  <c r="P1433" i="53"/>
  <c r="M1433" i="53"/>
  <c r="P1432" i="53"/>
  <c r="M1432" i="53"/>
  <c r="P1431" i="53"/>
  <c r="M1431" i="53"/>
  <c r="P1430" i="53"/>
  <c r="M1430" i="53"/>
  <c r="P1429" i="53"/>
  <c r="M1429" i="53"/>
  <c r="P1428" i="53"/>
  <c r="M1428" i="53"/>
  <c r="P1427" i="53"/>
  <c r="M1427" i="53"/>
  <c r="P1426" i="53"/>
  <c r="M1426" i="53"/>
  <c r="P1425" i="53"/>
  <c r="M1425" i="53"/>
  <c r="P1424" i="53"/>
  <c r="M1424" i="53"/>
  <c r="P1423" i="53"/>
  <c r="M1423" i="53"/>
  <c r="P1422" i="53"/>
  <c r="M1422" i="53"/>
  <c r="P1421" i="53"/>
  <c r="M1421" i="53"/>
  <c r="P1420" i="53"/>
  <c r="M1420" i="53"/>
  <c r="P1419" i="53"/>
  <c r="M1419" i="53"/>
  <c r="P1418" i="53"/>
  <c r="M1418" i="53"/>
  <c r="P1417" i="53"/>
  <c r="M1417" i="53"/>
  <c r="P1416" i="53"/>
  <c r="M1416" i="53"/>
  <c r="P1415" i="53"/>
  <c r="M1415" i="53"/>
  <c r="P1414" i="53"/>
  <c r="M1414" i="53"/>
  <c r="P1413" i="53"/>
  <c r="M1413" i="53"/>
  <c r="P1412" i="53"/>
  <c r="M1412" i="53"/>
  <c r="P1411" i="53"/>
  <c r="M1411" i="53"/>
  <c r="P1410" i="53"/>
  <c r="M1410" i="53"/>
  <c r="P1409" i="53"/>
  <c r="M1409" i="53"/>
  <c r="P1408" i="53"/>
  <c r="M1408" i="53"/>
  <c r="P1407" i="53"/>
  <c r="M1407" i="53"/>
  <c r="P1406" i="53"/>
  <c r="M1406" i="53"/>
  <c r="P1405" i="53"/>
  <c r="M1405" i="53"/>
  <c r="P1404" i="53"/>
  <c r="M1404" i="53"/>
  <c r="P1403" i="53"/>
  <c r="M1403" i="53"/>
  <c r="P1402" i="53"/>
  <c r="M1402" i="53"/>
  <c r="P1401" i="53"/>
  <c r="M1401" i="53"/>
  <c r="P1400" i="53"/>
  <c r="M1400" i="53"/>
  <c r="P1399" i="53"/>
  <c r="M1399" i="53"/>
  <c r="P1398" i="53"/>
  <c r="M1398" i="53"/>
  <c r="P1397" i="53"/>
  <c r="M1397" i="53"/>
  <c r="P1396" i="53"/>
  <c r="M1396" i="53"/>
  <c r="P1395" i="53"/>
  <c r="M1395" i="53"/>
  <c r="P1394" i="53"/>
  <c r="M1394" i="53"/>
  <c r="P1393" i="53"/>
  <c r="M1393" i="53"/>
  <c r="P1392" i="53"/>
  <c r="M1392" i="53"/>
  <c r="P1391" i="53"/>
  <c r="M1391" i="53"/>
  <c r="P1390" i="53"/>
  <c r="M1390" i="53"/>
  <c r="P1389" i="53"/>
  <c r="M1389" i="53"/>
  <c r="P1388" i="53"/>
  <c r="M1388" i="53"/>
  <c r="P1387" i="53"/>
  <c r="M1387" i="53"/>
  <c r="P1386" i="53"/>
  <c r="M1386" i="53"/>
  <c r="P1385" i="53"/>
  <c r="M1385" i="53"/>
  <c r="P1384" i="53"/>
  <c r="M1384" i="53"/>
  <c r="P1383" i="53"/>
  <c r="M1383" i="53"/>
  <c r="P1382" i="53"/>
  <c r="M1382" i="53"/>
  <c r="P1381" i="53"/>
  <c r="M1381" i="53"/>
  <c r="P1380" i="53"/>
  <c r="M1380" i="53"/>
  <c r="P1379" i="53"/>
  <c r="M1379" i="53"/>
  <c r="P1378" i="53"/>
  <c r="M1378" i="53"/>
  <c r="P1377" i="53"/>
  <c r="M1377" i="53"/>
  <c r="P1376" i="53"/>
  <c r="M1376" i="53"/>
  <c r="P1375" i="53"/>
  <c r="M1375" i="53"/>
  <c r="P1374" i="53"/>
  <c r="M1374" i="53"/>
  <c r="P1373" i="53"/>
  <c r="M1373" i="53"/>
  <c r="P1372" i="53"/>
  <c r="M1372" i="53"/>
  <c r="P1371" i="53"/>
  <c r="M1371" i="53"/>
  <c r="P1370" i="53"/>
  <c r="M1370" i="53"/>
  <c r="P1369" i="53"/>
  <c r="M1369" i="53"/>
  <c r="P1368" i="53"/>
  <c r="M1368" i="53"/>
  <c r="P1367" i="53"/>
  <c r="M1367" i="53"/>
  <c r="P1366" i="53"/>
  <c r="M1366" i="53"/>
  <c r="P1365" i="53"/>
  <c r="M1365" i="53"/>
  <c r="P1364" i="53"/>
  <c r="M1364" i="53"/>
  <c r="P1363" i="53"/>
  <c r="M1363" i="53"/>
  <c r="P1362" i="53"/>
  <c r="M1362" i="53"/>
  <c r="P1361" i="53"/>
  <c r="M1361" i="53"/>
  <c r="P1360" i="53"/>
  <c r="M1360" i="53"/>
  <c r="P1359" i="53"/>
  <c r="M1359" i="53"/>
  <c r="P1358" i="53"/>
  <c r="M1358" i="53"/>
  <c r="P1357" i="53"/>
  <c r="M1357" i="53"/>
  <c r="P1356" i="53"/>
  <c r="M1356" i="53"/>
  <c r="P1355" i="53"/>
  <c r="M1355" i="53"/>
  <c r="P1354" i="53"/>
  <c r="M1354" i="53"/>
  <c r="P1353" i="53"/>
  <c r="M1353" i="53"/>
  <c r="P1352" i="53"/>
  <c r="M1352" i="53"/>
  <c r="P1351" i="53"/>
  <c r="M1351" i="53"/>
  <c r="P1350" i="53"/>
  <c r="M1350" i="53"/>
  <c r="P1349" i="53"/>
  <c r="M1349" i="53"/>
  <c r="P1348" i="53"/>
  <c r="M1348" i="53"/>
  <c r="P1347" i="53"/>
  <c r="M1347" i="53"/>
  <c r="P1346" i="53"/>
  <c r="M1346" i="53"/>
  <c r="P1345" i="53"/>
  <c r="M1345" i="53"/>
  <c r="P1344" i="53"/>
  <c r="M1344" i="53"/>
  <c r="P1343" i="53"/>
  <c r="M1343" i="53"/>
  <c r="P1342" i="53"/>
  <c r="M1342" i="53"/>
  <c r="P1341" i="53"/>
  <c r="M1341" i="53"/>
  <c r="P1340" i="53"/>
  <c r="M1340" i="53"/>
  <c r="P1339" i="53"/>
  <c r="M1339" i="53"/>
  <c r="P1338" i="53"/>
  <c r="M1338" i="53"/>
  <c r="P1337" i="53"/>
  <c r="M1337" i="53"/>
  <c r="P1336" i="53"/>
  <c r="M1336" i="53"/>
  <c r="P1335" i="53"/>
  <c r="M1335" i="53"/>
  <c r="P1334" i="53"/>
  <c r="M1334" i="53"/>
  <c r="P1333" i="53"/>
  <c r="M1333" i="53"/>
  <c r="P1332" i="53"/>
  <c r="M1332" i="53"/>
  <c r="P1331" i="53"/>
  <c r="M1331" i="53"/>
  <c r="P1330" i="53"/>
  <c r="M1330" i="53"/>
  <c r="P1329" i="53"/>
  <c r="M1329" i="53"/>
  <c r="P1328" i="53"/>
  <c r="M1328" i="53"/>
  <c r="P1327" i="53"/>
  <c r="M1327" i="53"/>
  <c r="P1326" i="53"/>
  <c r="M1326" i="53"/>
  <c r="P1325" i="53"/>
  <c r="M1325" i="53"/>
  <c r="P1324" i="53"/>
  <c r="M1324" i="53"/>
  <c r="P1323" i="53"/>
  <c r="M1323" i="53"/>
  <c r="P1322" i="53"/>
  <c r="M1322" i="53"/>
  <c r="P1321" i="53"/>
  <c r="M1321" i="53"/>
  <c r="P1320" i="53"/>
  <c r="M1320" i="53"/>
  <c r="P1319" i="53"/>
  <c r="M1319" i="53"/>
  <c r="P1318" i="53"/>
  <c r="M1318" i="53"/>
  <c r="P1317" i="53"/>
  <c r="M1317" i="53"/>
  <c r="P1316" i="53"/>
  <c r="M1316" i="53"/>
  <c r="P1315" i="53"/>
  <c r="M1315" i="53"/>
  <c r="P1314" i="53"/>
  <c r="M1314" i="53"/>
  <c r="P1313" i="53"/>
  <c r="M1313" i="53"/>
  <c r="P1312" i="53"/>
  <c r="M1312" i="53"/>
  <c r="P1311" i="53"/>
  <c r="M1311" i="53"/>
  <c r="P1310" i="53"/>
  <c r="M1310" i="53"/>
  <c r="P1309" i="53"/>
  <c r="M1309" i="53"/>
  <c r="P1308" i="53"/>
  <c r="M1308" i="53"/>
  <c r="P1307" i="53"/>
  <c r="M1307" i="53"/>
  <c r="P1306" i="53"/>
  <c r="M1306" i="53"/>
  <c r="P1305" i="53"/>
  <c r="M1305" i="53"/>
  <c r="P1304" i="53"/>
  <c r="M1304" i="53"/>
  <c r="P1303" i="53"/>
  <c r="M1303" i="53"/>
  <c r="P1302" i="53"/>
  <c r="M1302" i="53"/>
  <c r="P1301" i="53"/>
  <c r="M1301" i="53"/>
  <c r="P1300" i="53"/>
  <c r="M1300" i="53"/>
  <c r="P1299" i="53"/>
  <c r="M1299" i="53"/>
  <c r="P1298" i="53"/>
  <c r="M1298" i="53"/>
  <c r="P1297" i="53"/>
  <c r="M1297" i="53"/>
  <c r="P1296" i="53"/>
  <c r="M1296" i="53"/>
  <c r="P1295" i="53"/>
  <c r="M1295" i="53"/>
  <c r="P1294" i="53"/>
  <c r="M1294" i="53"/>
  <c r="P1293" i="53"/>
  <c r="M1293" i="53"/>
  <c r="P1292" i="53"/>
  <c r="M1292" i="53"/>
  <c r="P1291" i="53"/>
  <c r="M1291" i="53"/>
  <c r="P1290" i="53"/>
  <c r="M1290" i="53"/>
  <c r="P1289" i="53"/>
  <c r="M1289" i="53"/>
  <c r="P1288" i="53"/>
  <c r="M1288" i="53"/>
  <c r="P1287" i="53"/>
  <c r="M1287" i="53"/>
  <c r="P1286" i="53"/>
  <c r="M1286" i="53"/>
  <c r="P1285" i="53"/>
  <c r="M1285" i="53"/>
  <c r="P1284" i="53"/>
  <c r="M1284" i="53"/>
  <c r="P1283" i="53"/>
  <c r="M1283" i="53"/>
  <c r="P1282" i="53"/>
  <c r="M1282" i="53"/>
  <c r="P1281" i="53"/>
  <c r="M1281" i="53"/>
  <c r="P1280" i="53"/>
  <c r="M1280" i="53"/>
  <c r="P1279" i="53"/>
  <c r="M1279" i="53"/>
  <c r="P1278" i="53"/>
  <c r="M1278" i="53"/>
  <c r="P1277" i="53"/>
  <c r="M1277" i="53"/>
  <c r="P1276" i="53"/>
  <c r="M1276" i="53"/>
  <c r="P1275" i="53"/>
  <c r="M1275" i="53"/>
  <c r="P1274" i="53"/>
  <c r="M1274" i="53"/>
  <c r="P1273" i="53"/>
  <c r="M1273" i="53"/>
  <c r="P1272" i="53"/>
  <c r="M1272" i="53"/>
  <c r="P1271" i="53"/>
  <c r="M1271" i="53"/>
  <c r="P1270" i="53"/>
  <c r="M1270" i="53"/>
  <c r="P1269" i="53"/>
  <c r="M1269" i="53"/>
  <c r="P1268" i="53"/>
  <c r="M1268" i="53"/>
  <c r="P1267" i="53"/>
  <c r="M1267" i="53"/>
  <c r="P1266" i="53"/>
  <c r="M1266" i="53"/>
  <c r="P1265" i="53"/>
  <c r="M1265" i="53"/>
  <c r="P1264" i="53"/>
  <c r="M1264" i="53"/>
  <c r="P1263" i="53"/>
  <c r="M1263" i="53"/>
  <c r="P1262" i="53"/>
  <c r="M1262" i="53"/>
  <c r="P1261" i="53"/>
  <c r="M1261" i="53"/>
  <c r="P1260" i="53"/>
  <c r="M1260" i="53"/>
  <c r="P1259" i="53"/>
  <c r="M1259" i="53"/>
  <c r="P1258" i="53"/>
  <c r="M1258" i="53"/>
  <c r="P1257" i="53"/>
  <c r="M1257" i="53"/>
  <c r="P1256" i="53"/>
  <c r="M1256" i="53"/>
  <c r="P1255" i="53"/>
  <c r="M1255" i="53"/>
  <c r="P1254" i="53"/>
  <c r="M1254" i="53"/>
  <c r="P1253" i="53"/>
  <c r="M1253" i="53"/>
  <c r="P1252" i="53"/>
  <c r="M1252" i="53"/>
  <c r="P1251" i="53"/>
  <c r="M1251" i="53"/>
  <c r="P1250" i="53"/>
  <c r="M1250" i="53"/>
  <c r="P1249" i="53"/>
  <c r="M1249" i="53"/>
  <c r="P1248" i="53"/>
  <c r="M1248" i="53"/>
  <c r="P1247" i="53"/>
  <c r="M1247" i="53"/>
  <c r="P1246" i="53"/>
  <c r="M1246" i="53"/>
  <c r="P1245" i="53"/>
  <c r="M1245" i="53"/>
  <c r="P1244" i="53"/>
  <c r="M1244" i="53"/>
  <c r="P1243" i="53"/>
  <c r="M1243" i="53"/>
  <c r="P1242" i="53"/>
  <c r="M1242" i="53"/>
  <c r="P1241" i="53"/>
  <c r="M1241" i="53"/>
  <c r="P1240" i="53"/>
  <c r="M1240" i="53"/>
  <c r="P1239" i="53"/>
  <c r="M1239" i="53"/>
  <c r="P1238" i="53"/>
  <c r="M1238" i="53"/>
  <c r="P1237" i="53"/>
  <c r="M1237" i="53"/>
  <c r="P1236" i="53"/>
  <c r="M1236" i="53"/>
  <c r="P1235" i="53"/>
  <c r="M1235" i="53"/>
  <c r="P1234" i="53"/>
  <c r="M1234" i="53"/>
  <c r="P1233" i="53"/>
  <c r="M1233" i="53"/>
  <c r="P1232" i="53"/>
  <c r="M1232" i="53"/>
  <c r="P1231" i="53"/>
  <c r="M1231" i="53"/>
  <c r="P1230" i="53"/>
  <c r="M1230" i="53"/>
  <c r="P1229" i="53"/>
  <c r="M1229" i="53"/>
  <c r="P1228" i="53"/>
  <c r="M1228" i="53"/>
  <c r="P1227" i="53"/>
  <c r="M1227" i="53"/>
  <c r="P1226" i="53"/>
  <c r="M1226" i="53"/>
  <c r="P1225" i="53"/>
  <c r="M1225" i="53"/>
  <c r="P1224" i="53"/>
  <c r="M1224" i="53"/>
  <c r="P1223" i="53"/>
  <c r="M1223" i="53"/>
  <c r="P1222" i="53"/>
  <c r="M1222" i="53"/>
  <c r="P1221" i="53"/>
  <c r="M1221" i="53"/>
  <c r="P1220" i="53"/>
  <c r="M1220" i="53"/>
  <c r="P1219" i="53"/>
  <c r="M1219" i="53"/>
  <c r="P1218" i="53"/>
  <c r="M1218" i="53"/>
  <c r="P1217" i="53"/>
  <c r="M1217" i="53"/>
  <c r="P1216" i="53"/>
  <c r="M1216" i="53"/>
  <c r="P1215" i="53"/>
  <c r="M1215" i="53"/>
  <c r="P1214" i="53"/>
  <c r="M1214" i="53"/>
  <c r="P1213" i="53"/>
  <c r="M1213" i="53"/>
  <c r="P1212" i="53"/>
  <c r="M1212" i="53"/>
  <c r="P1211" i="53"/>
  <c r="M1211" i="53"/>
  <c r="P1210" i="53"/>
  <c r="M1210" i="53"/>
  <c r="P1209" i="53"/>
  <c r="M1209" i="53"/>
  <c r="P1208" i="53"/>
  <c r="M1208" i="53"/>
  <c r="P1207" i="53"/>
  <c r="M1207" i="53"/>
  <c r="P1206" i="53"/>
  <c r="M1206" i="53"/>
  <c r="P1205" i="53"/>
  <c r="M1205" i="53"/>
  <c r="P1204" i="53"/>
  <c r="M1204" i="53"/>
  <c r="P1203" i="53"/>
  <c r="M1203" i="53"/>
  <c r="P1202" i="53"/>
  <c r="M1202" i="53"/>
  <c r="P1201" i="53"/>
  <c r="M1201" i="53"/>
  <c r="P1200" i="53"/>
  <c r="M1200" i="53"/>
  <c r="P1199" i="53"/>
  <c r="M1199" i="53"/>
  <c r="P1198" i="53"/>
  <c r="M1198" i="53"/>
  <c r="P1197" i="53"/>
  <c r="M1197" i="53"/>
  <c r="P1196" i="53"/>
  <c r="M1196" i="53"/>
  <c r="P1195" i="53"/>
  <c r="M1195" i="53"/>
  <c r="P1194" i="53"/>
  <c r="M1194" i="53"/>
  <c r="P1193" i="53"/>
  <c r="M1193" i="53"/>
  <c r="P1192" i="53"/>
  <c r="M1192" i="53"/>
  <c r="P1191" i="53"/>
  <c r="M1191" i="53"/>
  <c r="P1190" i="53"/>
  <c r="M1190" i="53"/>
  <c r="P1189" i="53"/>
  <c r="M1189" i="53"/>
  <c r="P1188" i="53"/>
  <c r="M1188" i="53"/>
  <c r="P1187" i="53"/>
  <c r="M1187" i="53"/>
  <c r="P1186" i="53"/>
  <c r="M1186" i="53"/>
  <c r="P1185" i="53"/>
  <c r="M1185" i="53"/>
  <c r="P1184" i="53"/>
  <c r="M1184" i="53"/>
  <c r="P1183" i="53"/>
  <c r="M1183" i="53"/>
  <c r="P1182" i="53"/>
  <c r="M1182" i="53"/>
  <c r="P1181" i="53"/>
  <c r="M1181" i="53"/>
  <c r="P1180" i="53"/>
  <c r="M1180" i="53"/>
  <c r="P1179" i="53"/>
  <c r="M1179" i="53"/>
  <c r="P1178" i="53"/>
  <c r="M1178" i="53"/>
  <c r="P1177" i="53"/>
  <c r="M1177" i="53"/>
  <c r="P1176" i="53"/>
  <c r="M1176" i="53"/>
  <c r="P1175" i="53"/>
  <c r="M1175" i="53"/>
  <c r="P1174" i="53"/>
  <c r="M1174" i="53"/>
  <c r="P1173" i="53"/>
  <c r="M1173" i="53"/>
  <c r="P1172" i="53"/>
  <c r="M1172" i="53"/>
  <c r="P1171" i="53"/>
  <c r="M1171" i="53"/>
  <c r="P1170" i="53"/>
  <c r="M1170" i="53"/>
  <c r="P1169" i="53"/>
  <c r="M1169" i="53"/>
  <c r="P1168" i="53"/>
  <c r="M1168" i="53"/>
  <c r="P1167" i="53"/>
  <c r="M1167" i="53"/>
  <c r="P1166" i="53"/>
  <c r="M1166" i="53"/>
  <c r="P1165" i="53"/>
  <c r="M1165" i="53"/>
  <c r="P1164" i="53"/>
  <c r="M1164" i="53"/>
  <c r="P1163" i="53"/>
  <c r="M1163" i="53"/>
  <c r="P1162" i="53"/>
  <c r="M1162" i="53"/>
  <c r="P1161" i="53"/>
  <c r="M1161" i="53"/>
  <c r="P1160" i="53"/>
  <c r="M1160" i="53"/>
  <c r="P1159" i="53"/>
  <c r="M1159" i="53"/>
  <c r="P1158" i="53"/>
  <c r="M1158" i="53"/>
  <c r="P1157" i="53"/>
  <c r="M1157" i="53"/>
  <c r="P1156" i="53"/>
  <c r="M1156" i="53"/>
  <c r="P1155" i="53"/>
  <c r="M1155" i="53"/>
  <c r="P1154" i="53"/>
  <c r="M1154" i="53"/>
  <c r="P1153" i="53"/>
  <c r="M1153" i="53"/>
  <c r="P1152" i="53"/>
  <c r="M1152" i="53"/>
  <c r="P1151" i="53"/>
  <c r="M1151" i="53"/>
  <c r="P1150" i="53"/>
  <c r="M1150" i="53"/>
  <c r="P1149" i="53"/>
  <c r="M1149" i="53"/>
  <c r="P1148" i="53"/>
  <c r="M1148" i="53"/>
  <c r="P1147" i="53"/>
  <c r="M1147" i="53"/>
  <c r="P1146" i="53"/>
  <c r="M1146" i="53"/>
  <c r="P1145" i="53"/>
  <c r="M1145" i="53"/>
  <c r="P1144" i="53"/>
  <c r="M1144" i="53"/>
  <c r="P1143" i="53"/>
  <c r="M1143" i="53"/>
  <c r="P1142" i="53"/>
  <c r="M1142" i="53"/>
  <c r="P1141" i="53"/>
  <c r="M1141" i="53"/>
  <c r="P1140" i="53"/>
  <c r="M1140" i="53"/>
  <c r="P1139" i="53"/>
  <c r="M1139" i="53"/>
  <c r="P1138" i="53"/>
  <c r="M1138" i="53"/>
  <c r="P1137" i="53"/>
  <c r="M1137" i="53"/>
  <c r="P1136" i="53"/>
  <c r="M1136" i="53"/>
  <c r="P1135" i="53"/>
  <c r="M1135" i="53"/>
  <c r="P1134" i="53"/>
  <c r="M1134" i="53"/>
  <c r="P1133" i="53"/>
  <c r="M1133" i="53"/>
  <c r="P1132" i="53"/>
  <c r="M1132" i="53"/>
  <c r="P1131" i="53"/>
  <c r="M1131" i="53"/>
  <c r="P1130" i="53"/>
  <c r="M1130" i="53"/>
  <c r="P1129" i="53"/>
  <c r="M1129" i="53"/>
  <c r="P1128" i="53"/>
  <c r="M1128" i="53"/>
  <c r="P1127" i="53"/>
  <c r="M1127" i="53"/>
  <c r="P1126" i="53"/>
  <c r="M1126" i="53"/>
  <c r="P1125" i="53"/>
  <c r="M1125" i="53"/>
  <c r="P1124" i="53"/>
  <c r="M1124" i="53"/>
  <c r="P1123" i="53"/>
  <c r="M1123" i="53"/>
  <c r="P1122" i="53"/>
  <c r="M1122" i="53"/>
  <c r="P1121" i="53"/>
  <c r="M1121" i="53"/>
  <c r="P1120" i="53"/>
  <c r="M1120" i="53"/>
  <c r="P1119" i="53"/>
  <c r="M1119" i="53"/>
  <c r="P1118" i="53"/>
  <c r="M1118" i="53"/>
  <c r="P1117" i="53"/>
  <c r="M1117" i="53"/>
  <c r="P1116" i="53"/>
  <c r="M1116" i="53"/>
  <c r="P1115" i="53"/>
  <c r="M1115" i="53"/>
  <c r="P1114" i="53"/>
  <c r="M1114" i="53"/>
  <c r="P1113" i="53"/>
  <c r="M1113" i="53"/>
  <c r="P1112" i="53"/>
  <c r="M1112" i="53"/>
  <c r="P1111" i="53"/>
  <c r="M1111" i="53"/>
  <c r="P1110" i="53"/>
  <c r="M1110" i="53"/>
  <c r="P1109" i="53"/>
  <c r="M1109" i="53"/>
  <c r="P1108" i="53"/>
  <c r="M1108" i="53"/>
  <c r="P1107" i="53"/>
  <c r="M1107" i="53"/>
  <c r="P1106" i="53"/>
  <c r="M1106" i="53"/>
  <c r="P1105" i="53"/>
  <c r="M1105" i="53"/>
  <c r="P1104" i="53"/>
  <c r="M1104" i="53"/>
  <c r="P1103" i="53"/>
  <c r="M1103" i="53"/>
  <c r="P1102" i="53"/>
  <c r="M1102" i="53"/>
  <c r="P1101" i="53"/>
  <c r="M1101" i="53"/>
  <c r="P1100" i="53"/>
  <c r="M1100" i="53"/>
  <c r="P1099" i="53"/>
  <c r="M1099" i="53"/>
  <c r="P1098" i="53"/>
  <c r="M1098" i="53"/>
  <c r="P1097" i="53"/>
  <c r="M1097" i="53"/>
  <c r="P1096" i="53"/>
  <c r="M1096" i="53"/>
  <c r="P1095" i="53"/>
  <c r="M1095" i="53"/>
  <c r="P1094" i="53"/>
  <c r="M1094" i="53"/>
  <c r="P1093" i="53"/>
  <c r="M1093" i="53"/>
  <c r="P1092" i="53"/>
  <c r="M1092" i="53"/>
  <c r="P1091" i="53"/>
  <c r="M1091" i="53"/>
  <c r="P1090" i="53"/>
  <c r="M1090" i="53"/>
  <c r="P1089" i="53"/>
  <c r="M1089" i="53"/>
  <c r="P1088" i="53"/>
  <c r="M1088" i="53"/>
  <c r="P1087" i="53"/>
  <c r="M1087" i="53"/>
  <c r="P1086" i="53"/>
  <c r="M1086" i="53"/>
  <c r="P1085" i="53"/>
  <c r="M1085" i="53"/>
  <c r="P1084" i="53"/>
  <c r="M1084" i="53"/>
  <c r="P1083" i="53"/>
  <c r="M1083" i="53"/>
  <c r="P1082" i="53"/>
  <c r="M1082" i="53"/>
  <c r="P1081" i="53"/>
  <c r="M1081" i="53"/>
  <c r="P1080" i="53"/>
  <c r="M1080" i="53"/>
  <c r="P1079" i="53"/>
  <c r="M1079" i="53"/>
  <c r="P1078" i="53"/>
  <c r="M1078" i="53"/>
  <c r="P1077" i="53"/>
  <c r="M1077" i="53"/>
  <c r="P1076" i="53"/>
  <c r="M1076" i="53"/>
  <c r="P1075" i="53"/>
  <c r="M1075" i="53"/>
  <c r="P1074" i="53"/>
  <c r="M1074" i="53"/>
  <c r="P1073" i="53"/>
  <c r="M1073" i="53"/>
  <c r="P1072" i="53"/>
  <c r="M1072" i="53"/>
  <c r="P1071" i="53"/>
  <c r="M1071" i="53"/>
  <c r="P1070" i="53"/>
  <c r="M1070" i="53"/>
  <c r="P1069" i="53"/>
  <c r="M1069" i="53"/>
  <c r="P1068" i="53"/>
  <c r="M1068" i="53"/>
  <c r="P1067" i="53"/>
  <c r="M1067" i="53"/>
  <c r="P1066" i="53"/>
  <c r="M1066" i="53"/>
  <c r="P1065" i="53"/>
  <c r="M1065" i="53"/>
  <c r="P1064" i="53"/>
  <c r="M1064" i="53"/>
  <c r="P1063" i="53"/>
  <c r="M1063" i="53"/>
  <c r="P1062" i="53"/>
  <c r="M1062" i="53"/>
  <c r="P1061" i="53"/>
  <c r="M1061" i="53"/>
  <c r="P1060" i="53"/>
  <c r="M1060" i="53"/>
  <c r="P1059" i="53"/>
  <c r="M1059" i="53"/>
  <c r="P1058" i="53"/>
  <c r="M1058" i="53"/>
  <c r="P1057" i="53"/>
  <c r="M1057" i="53"/>
  <c r="P1056" i="53"/>
  <c r="M1056" i="53"/>
  <c r="P1055" i="53"/>
  <c r="M1055" i="53"/>
  <c r="P1054" i="53"/>
  <c r="M1054" i="53"/>
  <c r="P1053" i="53"/>
  <c r="M1053" i="53"/>
  <c r="P1052" i="53"/>
  <c r="M1052" i="53"/>
  <c r="P1051" i="53"/>
  <c r="M1051" i="53"/>
  <c r="P1050" i="53"/>
  <c r="M1050" i="53"/>
  <c r="P1049" i="53"/>
  <c r="M1049" i="53"/>
  <c r="P1048" i="53"/>
  <c r="M1048" i="53"/>
  <c r="P1047" i="53"/>
  <c r="M1047" i="53"/>
  <c r="P1046" i="53"/>
  <c r="M1046" i="53"/>
  <c r="P1045" i="53"/>
  <c r="M1045" i="53"/>
  <c r="P1044" i="53"/>
  <c r="M1044" i="53"/>
  <c r="P1043" i="53"/>
  <c r="M1043" i="53"/>
  <c r="P1042" i="53"/>
  <c r="M1042" i="53"/>
  <c r="P1041" i="53"/>
  <c r="M1041" i="53"/>
  <c r="P1040" i="53"/>
  <c r="M1040" i="53"/>
  <c r="P1039" i="53"/>
  <c r="M1039" i="53"/>
  <c r="P1038" i="53"/>
  <c r="M1038" i="53"/>
  <c r="P1037" i="53"/>
  <c r="M1037" i="53"/>
  <c r="P1036" i="53"/>
  <c r="M1036" i="53"/>
  <c r="P1035" i="53"/>
  <c r="M1035" i="53"/>
  <c r="P1034" i="53"/>
  <c r="M1034" i="53"/>
  <c r="P1033" i="53"/>
  <c r="M1033" i="53"/>
  <c r="P1032" i="53"/>
  <c r="M1032" i="53"/>
  <c r="P1031" i="53"/>
  <c r="M1031" i="53"/>
  <c r="P1030" i="53"/>
  <c r="M1030" i="53"/>
  <c r="P1029" i="53"/>
  <c r="M1029" i="53"/>
  <c r="P1028" i="53"/>
  <c r="M1028" i="53"/>
  <c r="P1027" i="53"/>
  <c r="M1027" i="53"/>
  <c r="P1026" i="53"/>
  <c r="M1026" i="53"/>
  <c r="P1025" i="53"/>
  <c r="M1025" i="53"/>
  <c r="P1024" i="53"/>
  <c r="M1024" i="53"/>
  <c r="P1023" i="53"/>
  <c r="M1023" i="53"/>
  <c r="P1022" i="53"/>
  <c r="M1022" i="53"/>
  <c r="P1021" i="53"/>
  <c r="M1021" i="53"/>
  <c r="P1020" i="53"/>
  <c r="M1020" i="53"/>
  <c r="P1019" i="53"/>
  <c r="M1019" i="53"/>
  <c r="P1018" i="53"/>
  <c r="M1018" i="53"/>
  <c r="P1017" i="53"/>
  <c r="M1017" i="53"/>
  <c r="P1016" i="53"/>
  <c r="M1016" i="53"/>
  <c r="P1015" i="53"/>
  <c r="M1015" i="53"/>
  <c r="P1014" i="53"/>
  <c r="M1014" i="53"/>
  <c r="P1013" i="53"/>
  <c r="M1013" i="53"/>
  <c r="P1012" i="53"/>
  <c r="M1012" i="53"/>
  <c r="P1011" i="53"/>
  <c r="M1011" i="53"/>
  <c r="P1010" i="53"/>
  <c r="M1010" i="53"/>
  <c r="P1009" i="53"/>
  <c r="M1009" i="53"/>
  <c r="P1008" i="53"/>
  <c r="M1008" i="53"/>
  <c r="P1007" i="53"/>
  <c r="M1007" i="53"/>
  <c r="P1006" i="53"/>
  <c r="M1006" i="53"/>
  <c r="P1005" i="53"/>
  <c r="M1005" i="53"/>
  <c r="P1004" i="53"/>
  <c r="M1004" i="53"/>
  <c r="P1003" i="53"/>
  <c r="M1003" i="53"/>
  <c r="P1002" i="53"/>
  <c r="M1002" i="53"/>
  <c r="P1001" i="53"/>
  <c r="M1001" i="53"/>
  <c r="P1000" i="53"/>
  <c r="M1000" i="53"/>
  <c r="P999" i="53"/>
  <c r="M999" i="53"/>
  <c r="P998" i="53"/>
  <c r="M998" i="53"/>
  <c r="P997" i="53"/>
  <c r="M997" i="53"/>
  <c r="P996" i="53"/>
  <c r="M996" i="53"/>
  <c r="P995" i="53"/>
  <c r="M995" i="53"/>
  <c r="P994" i="53"/>
  <c r="M994" i="53"/>
  <c r="P993" i="53"/>
  <c r="M993" i="53"/>
  <c r="P992" i="53"/>
  <c r="M992" i="53"/>
  <c r="P991" i="53"/>
  <c r="M991" i="53"/>
  <c r="P990" i="53"/>
  <c r="M990" i="53"/>
  <c r="P989" i="53"/>
  <c r="M989" i="53"/>
  <c r="P988" i="53"/>
  <c r="M988" i="53"/>
  <c r="P987" i="53"/>
  <c r="M987" i="53"/>
  <c r="P986" i="53"/>
  <c r="M986" i="53"/>
  <c r="P985" i="53"/>
  <c r="M985" i="53"/>
  <c r="P984" i="53"/>
  <c r="M984" i="53"/>
  <c r="P983" i="53"/>
  <c r="M983" i="53"/>
  <c r="P982" i="53"/>
  <c r="M982" i="53"/>
  <c r="P981" i="53"/>
  <c r="M981" i="53"/>
  <c r="P980" i="53"/>
  <c r="M980" i="53"/>
  <c r="P979" i="53"/>
  <c r="M979" i="53"/>
  <c r="P978" i="53"/>
  <c r="M978" i="53"/>
  <c r="P977" i="53"/>
  <c r="M977" i="53"/>
  <c r="P976" i="53"/>
  <c r="M976" i="53"/>
  <c r="P975" i="53"/>
  <c r="M975" i="53"/>
  <c r="P974" i="53"/>
  <c r="M974" i="53"/>
  <c r="P973" i="53"/>
  <c r="M973" i="53"/>
  <c r="P972" i="53"/>
  <c r="M972" i="53"/>
  <c r="P971" i="53"/>
  <c r="M971" i="53"/>
  <c r="P970" i="53"/>
  <c r="M970" i="53"/>
  <c r="P969" i="53"/>
  <c r="M969" i="53"/>
  <c r="P968" i="53"/>
  <c r="M968" i="53"/>
  <c r="P967" i="53"/>
  <c r="M967" i="53"/>
  <c r="P966" i="53"/>
  <c r="M966" i="53"/>
  <c r="P965" i="53"/>
  <c r="M965" i="53"/>
  <c r="P964" i="53"/>
  <c r="M964" i="53"/>
  <c r="P963" i="53"/>
  <c r="M963" i="53"/>
  <c r="P962" i="53"/>
  <c r="M962" i="53"/>
  <c r="P961" i="53"/>
  <c r="M961" i="53"/>
  <c r="P960" i="53"/>
  <c r="M960" i="53"/>
  <c r="P959" i="53"/>
  <c r="M959" i="53"/>
  <c r="P958" i="53"/>
  <c r="M958" i="53"/>
  <c r="P957" i="53"/>
  <c r="M957" i="53"/>
  <c r="P956" i="53"/>
  <c r="M956" i="53"/>
  <c r="P955" i="53"/>
  <c r="M955" i="53"/>
  <c r="P954" i="53"/>
  <c r="M954" i="53"/>
  <c r="P953" i="53"/>
  <c r="M953" i="53"/>
  <c r="P952" i="53"/>
  <c r="M952" i="53"/>
  <c r="P951" i="53"/>
  <c r="M951" i="53"/>
  <c r="P950" i="53"/>
  <c r="M950" i="53"/>
  <c r="P949" i="53"/>
  <c r="M949" i="53"/>
  <c r="P948" i="53"/>
  <c r="M948" i="53"/>
  <c r="P947" i="53"/>
  <c r="M947" i="53"/>
  <c r="P946" i="53"/>
  <c r="M946" i="53"/>
  <c r="P945" i="53"/>
  <c r="M945" i="53"/>
  <c r="P944" i="53"/>
  <c r="M944" i="53"/>
  <c r="P943" i="53"/>
  <c r="M943" i="53"/>
  <c r="P942" i="53"/>
  <c r="M942" i="53"/>
  <c r="P941" i="53"/>
  <c r="M941" i="53"/>
  <c r="P940" i="53"/>
  <c r="M940" i="53"/>
  <c r="P939" i="53"/>
  <c r="M939" i="53"/>
  <c r="P938" i="53"/>
  <c r="M938" i="53"/>
  <c r="P937" i="53"/>
  <c r="M937" i="53"/>
  <c r="P936" i="53"/>
  <c r="M936" i="53"/>
  <c r="P935" i="53"/>
  <c r="M935" i="53"/>
  <c r="P934" i="53"/>
  <c r="M934" i="53"/>
  <c r="P933" i="53"/>
  <c r="M933" i="53"/>
  <c r="P932" i="53"/>
  <c r="M932" i="53"/>
  <c r="P931" i="53"/>
  <c r="M931" i="53"/>
  <c r="P930" i="53"/>
  <c r="M930" i="53"/>
  <c r="P929" i="53"/>
  <c r="M929" i="53"/>
  <c r="P928" i="53"/>
  <c r="M928" i="53"/>
  <c r="P927" i="53"/>
  <c r="M927" i="53"/>
  <c r="P926" i="53"/>
  <c r="M926" i="53"/>
  <c r="P925" i="53"/>
  <c r="M925" i="53"/>
  <c r="P924" i="53"/>
  <c r="M924" i="53"/>
  <c r="P923" i="53"/>
  <c r="M923" i="53"/>
  <c r="P922" i="53"/>
  <c r="M922" i="53"/>
  <c r="P921" i="53"/>
  <c r="M921" i="53"/>
  <c r="P920" i="53"/>
  <c r="M920" i="53"/>
  <c r="P919" i="53"/>
  <c r="M919" i="53"/>
  <c r="P918" i="53"/>
  <c r="M918" i="53"/>
  <c r="P917" i="53"/>
  <c r="M917" i="53"/>
  <c r="P916" i="53"/>
  <c r="M916" i="53"/>
  <c r="P915" i="53"/>
  <c r="M915" i="53"/>
  <c r="P914" i="53"/>
  <c r="M914" i="53"/>
  <c r="P913" i="53"/>
  <c r="M913" i="53"/>
  <c r="P912" i="53"/>
  <c r="M912" i="53"/>
  <c r="P911" i="53"/>
  <c r="M911" i="53"/>
  <c r="P910" i="53"/>
  <c r="M910" i="53"/>
  <c r="P909" i="53"/>
  <c r="M909" i="53"/>
  <c r="P908" i="53"/>
  <c r="M908" i="53"/>
  <c r="P907" i="53"/>
  <c r="M907" i="53"/>
  <c r="P906" i="53"/>
  <c r="M906" i="53"/>
  <c r="P905" i="53"/>
  <c r="M905" i="53"/>
  <c r="P904" i="53"/>
  <c r="M904" i="53"/>
  <c r="P903" i="53"/>
  <c r="M903" i="53"/>
  <c r="P902" i="53"/>
  <c r="M902" i="53"/>
  <c r="P901" i="53"/>
  <c r="M901" i="53"/>
  <c r="P900" i="53"/>
  <c r="M900" i="53"/>
  <c r="P899" i="53"/>
  <c r="M899" i="53"/>
  <c r="P898" i="53"/>
  <c r="M898" i="53"/>
  <c r="P897" i="53"/>
  <c r="M897" i="53"/>
  <c r="P896" i="53"/>
  <c r="M896" i="53"/>
  <c r="P895" i="53"/>
  <c r="M895" i="53"/>
  <c r="P894" i="53"/>
  <c r="M894" i="53"/>
  <c r="P893" i="53"/>
  <c r="M893" i="53"/>
  <c r="P892" i="53"/>
  <c r="M892" i="53"/>
  <c r="P891" i="53"/>
  <c r="M891" i="53"/>
  <c r="P890" i="53"/>
  <c r="M890" i="53"/>
  <c r="P889" i="53"/>
  <c r="M889" i="53"/>
  <c r="P888" i="53"/>
  <c r="M888" i="53"/>
  <c r="P887" i="53"/>
  <c r="M887" i="53"/>
  <c r="P886" i="53"/>
  <c r="M886" i="53"/>
  <c r="P885" i="53"/>
  <c r="M885" i="53"/>
  <c r="P884" i="53"/>
  <c r="M884" i="53"/>
  <c r="P883" i="53"/>
  <c r="M883" i="53"/>
  <c r="P882" i="53"/>
  <c r="M882" i="53"/>
  <c r="P881" i="53"/>
  <c r="M881" i="53"/>
  <c r="P880" i="53"/>
  <c r="M880" i="53"/>
  <c r="P879" i="53"/>
  <c r="M879" i="53"/>
  <c r="P878" i="53"/>
  <c r="M878" i="53"/>
  <c r="P877" i="53"/>
  <c r="M877" i="53"/>
  <c r="P876" i="53"/>
  <c r="M876" i="53"/>
  <c r="P875" i="53"/>
  <c r="M875" i="53"/>
  <c r="P874" i="53"/>
  <c r="M874" i="53"/>
  <c r="P873" i="53"/>
  <c r="M873" i="53"/>
  <c r="P872" i="53"/>
  <c r="M872" i="53"/>
  <c r="P871" i="53"/>
  <c r="M871" i="53"/>
  <c r="P870" i="53"/>
  <c r="M870" i="53"/>
  <c r="P869" i="53"/>
  <c r="M869" i="53"/>
  <c r="P868" i="53"/>
  <c r="M868" i="53"/>
  <c r="P867" i="53"/>
  <c r="M867" i="53"/>
  <c r="P866" i="53"/>
  <c r="M866" i="53"/>
  <c r="P865" i="53"/>
  <c r="M865" i="53"/>
  <c r="P864" i="53"/>
  <c r="M864" i="53"/>
  <c r="P863" i="53"/>
  <c r="M863" i="53"/>
  <c r="P862" i="53"/>
  <c r="M862" i="53"/>
  <c r="P861" i="53"/>
  <c r="M861" i="53"/>
  <c r="P860" i="53"/>
  <c r="M860" i="53"/>
  <c r="P859" i="53"/>
  <c r="M859" i="53"/>
  <c r="P858" i="53"/>
  <c r="M858" i="53"/>
  <c r="P857" i="53"/>
  <c r="M857" i="53"/>
  <c r="P856" i="53"/>
  <c r="M856" i="53"/>
  <c r="P855" i="53"/>
  <c r="M855" i="53"/>
  <c r="P854" i="53"/>
  <c r="M854" i="53"/>
  <c r="P853" i="53"/>
  <c r="M853" i="53"/>
  <c r="P852" i="53"/>
  <c r="M852" i="53"/>
  <c r="P851" i="53"/>
  <c r="M851" i="53"/>
  <c r="P850" i="53"/>
  <c r="M850" i="53"/>
  <c r="P849" i="53"/>
  <c r="M849" i="53"/>
  <c r="P848" i="53"/>
  <c r="M848" i="53"/>
  <c r="P847" i="53"/>
  <c r="M847" i="53"/>
  <c r="P846" i="53"/>
  <c r="M846" i="53"/>
  <c r="P845" i="53"/>
  <c r="M845" i="53"/>
  <c r="P844" i="53"/>
  <c r="M844" i="53"/>
  <c r="P843" i="53"/>
  <c r="M843" i="53"/>
  <c r="P842" i="53"/>
  <c r="M842" i="53"/>
  <c r="P841" i="53"/>
  <c r="M841" i="53"/>
  <c r="P840" i="53"/>
  <c r="M840" i="53"/>
  <c r="P839" i="53"/>
  <c r="M839" i="53"/>
  <c r="P838" i="53"/>
  <c r="M838" i="53"/>
  <c r="P837" i="53"/>
  <c r="M837" i="53"/>
  <c r="P836" i="53"/>
  <c r="M836" i="53"/>
  <c r="P835" i="53"/>
  <c r="M835" i="53"/>
  <c r="P834" i="53"/>
  <c r="M834" i="53"/>
  <c r="P833" i="53"/>
  <c r="M833" i="53"/>
  <c r="P832" i="53"/>
  <c r="M832" i="53"/>
  <c r="P831" i="53"/>
  <c r="M831" i="53"/>
  <c r="P830" i="53"/>
  <c r="M830" i="53"/>
  <c r="P829" i="53"/>
  <c r="M829" i="53"/>
  <c r="P828" i="53"/>
  <c r="M828" i="53"/>
  <c r="P827" i="53"/>
  <c r="M827" i="53"/>
  <c r="P826" i="53"/>
  <c r="M826" i="53"/>
  <c r="P825" i="53"/>
  <c r="M825" i="53"/>
  <c r="P824" i="53"/>
  <c r="M824" i="53"/>
  <c r="P823" i="53"/>
  <c r="M823" i="53"/>
  <c r="P822" i="53"/>
  <c r="M822" i="53"/>
  <c r="P821" i="53"/>
  <c r="M821" i="53"/>
  <c r="P820" i="53"/>
  <c r="M820" i="53"/>
  <c r="P819" i="53"/>
  <c r="M819" i="53"/>
  <c r="P818" i="53"/>
  <c r="M818" i="53"/>
  <c r="P817" i="53"/>
  <c r="M817" i="53"/>
  <c r="P816" i="53"/>
  <c r="M816" i="53"/>
  <c r="P815" i="53"/>
  <c r="M815" i="53"/>
  <c r="P814" i="53"/>
  <c r="M814" i="53"/>
  <c r="P813" i="53"/>
  <c r="M813" i="53"/>
  <c r="P812" i="53"/>
  <c r="M812" i="53"/>
  <c r="P811" i="53"/>
  <c r="M811" i="53"/>
  <c r="P810" i="53"/>
  <c r="M810" i="53"/>
  <c r="P809" i="53"/>
  <c r="M809" i="53"/>
  <c r="P808" i="53"/>
  <c r="M808" i="53"/>
  <c r="P807" i="53"/>
  <c r="M807" i="53"/>
  <c r="P806" i="53"/>
  <c r="M806" i="53"/>
  <c r="P805" i="53"/>
  <c r="M805" i="53"/>
  <c r="P804" i="53"/>
  <c r="M804" i="53"/>
  <c r="P803" i="53"/>
  <c r="M803" i="53"/>
  <c r="P802" i="53"/>
  <c r="M802" i="53"/>
  <c r="P801" i="53"/>
  <c r="M801" i="53"/>
  <c r="P800" i="53"/>
  <c r="M800" i="53"/>
  <c r="P799" i="53"/>
  <c r="M799" i="53"/>
  <c r="P798" i="53"/>
  <c r="M798" i="53"/>
  <c r="P797" i="53"/>
  <c r="M797" i="53"/>
  <c r="P796" i="53"/>
  <c r="M796" i="53"/>
  <c r="P795" i="53"/>
  <c r="M795" i="53"/>
  <c r="P794" i="53"/>
  <c r="M794" i="53"/>
  <c r="P793" i="53"/>
  <c r="M793" i="53"/>
  <c r="P792" i="53"/>
  <c r="M792" i="53"/>
  <c r="P791" i="53"/>
  <c r="M791" i="53"/>
  <c r="P790" i="53"/>
  <c r="M790" i="53"/>
  <c r="P789" i="53"/>
  <c r="M789" i="53"/>
  <c r="P788" i="53"/>
  <c r="M788" i="53"/>
  <c r="P787" i="53"/>
  <c r="M787" i="53"/>
  <c r="P786" i="53"/>
  <c r="M786" i="53"/>
  <c r="P785" i="53"/>
  <c r="M785" i="53"/>
  <c r="P784" i="53"/>
  <c r="M784" i="53"/>
  <c r="P783" i="53"/>
  <c r="M783" i="53"/>
  <c r="P782" i="53"/>
  <c r="M782" i="53"/>
  <c r="P781" i="53"/>
  <c r="M781" i="53"/>
  <c r="P780" i="53"/>
  <c r="M780" i="53"/>
  <c r="P779" i="53"/>
  <c r="M779" i="53"/>
  <c r="P778" i="53"/>
  <c r="M778" i="53"/>
  <c r="P777" i="53"/>
  <c r="M777" i="53"/>
  <c r="P776" i="53"/>
  <c r="M776" i="53"/>
  <c r="P775" i="53"/>
  <c r="M775" i="53"/>
  <c r="P774" i="53"/>
  <c r="M774" i="53"/>
  <c r="P773" i="53"/>
  <c r="M773" i="53"/>
  <c r="P772" i="53"/>
  <c r="M772" i="53"/>
  <c r="P771" i="53"/>
  <c r="M771" i="53"/>
  <c r="P770" i="53"/>
  <c r="M770" i="53"/>
  <c r="P769" i="53"/>
  <c r="M769" i="53"/>
  <c r="P768" i="53"/>
  <c r="M768" i="53"/>
  <c r="P767" i="53"/>
  <c r="M767" i="53"/>
  <c r="P766" i="53"/>
  <c r="M766" i="53"/>
  <c r="P765" i="53"/>
  <c r="M765" i="53"/>
  <c r="P764" i="53"/>
  <c r="M764" i="53"/>
  <c r="P763" i="53"/>
  <c r="M763" i="53"/>
  <c r="P762" i="53"/>
  <c r="M762" i="53"/>
  <c r="P761" i="53"/>
  <c r="M761" i="53"/>
  <c r="P760" i="53"/>
  <c r="M760" i="53"/>
  <c r="P759" i="53"/>
  <c r="M759" i="53"/>
  <c r="P758" i="53"/>
  <c r="M758" i="53"/>
  <c r="P757" i="53"/>
  <c r="M757" i="53"/>
  <c r="P756" i="53"/>
  <c r="M756" i="53"/>
  <c r="P755" i="53"/>
  <c r="M755" i="53"/>
  <c r="P754" i="53"/>
  <c r="M754" i="53"/>
  <c r="P753" i="53"/>
  <c r="M753" i="53"/>
  <c r="P752" i="53"/>
  <c r="M752" i="53"/>
  <c r="P751" i="53"/>
  <c r="M751" i="53"/>
  <c r="P750" i="53"/>
  <c r="M750" i="53"/>
  <c r="P749" i="53"/>
  <c r="M749" i="53"/>
  <c r="P748" i="53"/>
  <c r="M748" i="53"/>
  <c r="P747" i="53"/>
  <c r="M747" i="53"/>
  <c r="P746" i="53"/>
  <c r="M746" i="53"/>
  <c r="P745" i="53"/>
  <c r="M745" i="53"/>
  <c r="P744" i="53"/>
  <c r="M744" i="53"/>
  <c r="P743" i="53"/>
  <c r="M743" i="53"/>
  <c r="P742" i="53"/>
  <c r="M742" i="53"/>
  <c r="P741" i="53"/>
  <c r="M741" i="53"/>
  <c r="P740" i="53"/>
  <c r="M740" i="53"/>
  <c r="P739" i="53"/>
  <c r="M739" i="53"/>
  <c r="P738" i="53"/>
  <c r="M738" i="53"/>
  <c r="P737" i="53"/>
  <c r="M737" i="53"/>
  <c r="P736" i="53"/>
  <c r="M736" i="53"/>
  <c r="P735" i="53"/>
  <c r="M735" i="53"/>
  <c r="P734" i="53"/>
  <c r="M734" i="53"/>
  <c r="P733" i="53"/>
  <c r="M733" i="53"/>
  <c r="P732" i="53"/>
  <c r="M732" i="53"/>
  <c r="P731" i="53"/>
  <c r="M731" i="53"/>
  <c r="P730" i="53"/>
  <c r="M730" i="53"/>
  <c r="P729" i="53"/>
  <c r="M729" i="53"/>
  <c r="P728" i="53"/>
  <c r="M728" i="53"/>
  <c r="P727" i="53"/>
  <c r="M727" i="53"/>
  <c r="P726" i="53"/>
  <c r="M726" i="53"/>
  <c r="P725" i="53"/>
  <c r="M725" i="53"/>
  <c r="P724" i="53"/>
  <c r="M724" i="53"/>
  <c r="P723" i="53"/>
  <c r="M723" i="53"/>
  <c r="P722" i="53"/>
  <c r="M722" i="53"/>
  <c r="P721" i="53"/>
  <c r="M721" i="53"/>
  <c r="P720" i="53"/>
  <c r="M720" i="53"/>
  <c r="P719" i="53"/>
  <c r="M719" i="53"/>
  <c r="P718" i="53"/>
  <c r="M718" i="53"/>
  <c r="P717" i="53"/>
  <c r="M717" i="53"/>
  <c r="P716" i="53"/>
  <c r="M716" i="53"/>
  <c r="P715" i="53"/>
  <c r="M715" i="53"/>
  <c r="P714" i="53"/>
  <c r="M714" i="53"/>
  <c r="P713" i="53"/>
  <c r="M713" i="53"/>
  <c r="P712" i="53"/>
  <c r="M712" i="53"/>
  <c r="P711" i="53"/>
  <c r="M711" i="53"/>
  <c r="P710" i="53"/>
  <c r="M710" i="53"/>
  <c r="P709" i="53"/>
  <c r="M709" i="53"/>
  <c r="P708" i="53"/>
  <c r="M708" i="53"/>
  <c r="P707" i="53"/>
  <c r="M707" i="53"/>
  <c r="P706" i="53"/>
  <c r="M706" i="53"/>
  <c r="P705" i="53"/>
  <c r="M705" i="53"/>
  <c r="P704" i="53"/>
  <c r="M704" i="53"/>
  <c r="P703" i="53"/>
  <c r="M703" i="53"/>
  <c r="P702" i="53"/>
  <c r="M702" i="53"/>
  <c r="P701" i="53"/>
  <c r="M701" i="53"/>
  <c r="P700" i="53"/>
  <c r="M700" i="53"/>
  <c r="P699" i="53"/>
  <c r="M699" i="53"/>
  <c r="P698" i="53"/>
  <c r="M698" i="53"/>
  <c r="P697" i="53"/>
  <c r="M697" i="53"/>
  <c r="P696" i="53"/>
  <c r="M696" i="53"/>
  <c r="P695" i="53"/>
  <c r="M695" i="53"/>
  <c r="P694" i="53"/>
  <c r="M694" i="53"/>
  <c r="P693" i="53"/>
  <c r="M693" i="53"/>
  <c r="P692" i="53"/>
  <c r="M692" i="53"/>
  <c r="P691" i="53"/>
  <c r="M691" i="53"/>
  <c r="P690" i="53"/>
  <c r="M690" i="53"/>
  <c r="P689" i="53"/>
  <c r="M689" i="53"/>
  <c r="P688" i="53"/>
  <c r="M688" i="53"/>
  <c r="P687" i="53"/>
  <c r="M687" i="53"/>
  <c r="P686" i="53"/>
  <c r="M686" i="53"/>
  <c r="P685" i="53"/>
  <c r="M685" i="53"/>
  <c r="P684" i="53"/>
  <c r="M684" i="53"/>
  <c r="P683" i="53"/>
  <c r="M683" i="53"/>
  <c r="P682" i="53"/>
  <c r="M682" i="53"/>
  <c r="P681" i="53"/>
  <c r="M681" i="53"/>
  <c r="P680" i="53"/>
  <c r="M680" i="53"/>
  <c r="P679" i="53"/>
  <c r="M679" i="53"/>
  <c r="P678" i="53"/>
  <c r="M678" i="53"/>
  <c r="P677" i="53"/>
  <c r="M677" i="53"/>
  <c r="P676" i="53"/>
  <c r="M676" i="53"/>
  <c r="P675" i="53"/>
  <c r="M675" i="53"/>
  <c r="P674" i="53"/>
  <c r="M674" i="53"/>
  <c r="P673" i="53"/>
  <c r="M673" i="53"/>
  <c r="P672" i="53"/>
  <c r="M672" i="53"/>
  <c r="P671" i="53"/>
  <c r="M671" i="53"/>
  <c r="P670" i="53"/>
  <c r="M670" i="53"/>
  <c r="P669" i="53"/>
  <c r="M669" i="53"/>
  <c r="P668" i="53"/>
  <c r="M668" i="53"/>
  <c r="P667" i="53"/>
  <c r="M667" i="53"/>
  <c r="P666" i="53"/>
  <c r="M666" i="53"/>
  <c r="P665" i="53"/>
  <c r="M665" i="53"/>
  <c r="P664" i="53"/>
  <c r="M664" i="53"/>
  <c r="P663" i="53"/>
  <c r="M663" i="53"/>
  <c r="P662" i="53"/>
  <c r="M662" i="53"/>
  <c r="P661" i="53"/>
  <c r="M661" i="53"/>
  <c r="P660" i="53"/>
  <c r="M660" i="53"/>
  <c r="P659" i="53"/>
  <c r="M659" i="53"/>
  <c r="P658" i="53"/>
  <c r="M658" i="53"/>
  <c r="P657" i="53"/>
  <c r="M657" i="53"/>
  <c r="P656" i="53"/>
  <c r="M656" i="53"/>
  <c r="P655" i="53"/>
  <c r="M655" i="53"/>
  <c r="P654" i="53"/>
  <c r="M654" i="53"/>
  <c r="P653" i="53"/>
  <c r="M653" i="53"/>
  <c r="P652" i="53"/>
  <c r="M652" i="53"/>
  <c r="P651" i="53"/>
  <c r="M651" i="53"/>
  <c r="P650" i="53"/>
  <c r="M650" i="53"/>
  <c r="P649" i="53"/>
  <c r="M649" i="53"/>
  <c r="P648" i="53"/>
  <c r="M648" i="53"/>
  <c r="P647" i="53"/>
  <c r="M647" i="53"/>
  <c r="P646" i="53"/>
  <c r="M646" i="53"/>
  <c r="P645" i="53"/>
  <c r="M645" i="53"/>
  <c r="P644" i="53"/>
  <c r="M644" i="53"/>
  <c r="P643" i="53"/>
  <c r="M643" i="53"/>
  <c r="P642" i="53"/>
  <c r="M642" i="53"/>
  <c r="P641" i="53"/>
  <c r="M641" i="53"/>
  <c r="P640" i="53"/>
  <c r="M640" i="53"/>
  <c r="P639" i="53"/>
  <c r="M639" i="53"/>
  <c r="P638" i="53"/>
  <c r="M638" i="53"/>
  <c r="P637" i="53"/>
  <c r="M637" i="53"/>
  <c r="P636" i="53"/>
  <c r="M636" i="53"/>
  <c r="P635" i="53"/>
  <c r="M635" i="53"/>
  <c r="P634" i="53"/>
  <c r="M634" i="53"/>
  <c r="P633" i="53"/>
  <c r="M633" i="53"/>
  <c r="P632" i="53"/>
  <c r="M632" i="53"/>
  <c r="P631" i="53"/>
  <c r="M631" i="53"/>
  <c r="P630" i="53"/>
  <c r="M630" i="53"/>
  <c r="P629" i="53"/>
  <c r="M629" i="53"/>
  <c r="P628" i="53"/>
  <c r="M628" i="53"/>
  <c r="P627" i="53"/>
  <c r="M627" i="53"/>
  <c r="P626" i="53"/>
  <c r="M626" i="53"/>
  <c r="P625" i="53"/>
  <c r="M625" i="53"/>
  <c r="P624" i="53"/>
  <c r="M624" i="53"/>
  <c r="P623" i="53"/>
  <c r="M623" i="53"/>
  <c r="P622" i="53"/>
  <c r="M622" i="53"/>
  <c r="P621" i="53"/>
  <c r="M621" i="53"/>
  <c r="P620" i="53"/>
  <c r="M620" i="53"/>
  <c r="P619" i="53"/>
  <c r="M619" i="53"/>
  <c r="P618" i="53"/>
  <c r="M618" i="53"/>
  <c r="P617" i="53"/>
  <c r="M617" i="53"/>
  <c r="P616" i="53"/>
  <c r="M616" i="53"/>
  <c r="P615" i="53"/>
  <c r="M615" i="53"/>
  <c r="P614" i="53"/>
  <c r="M614" i="53"/>
  <c r="P613" i="53"/>
  <c r="M613" i="53"/>
  <c r="P612" i="53"/>
  <c r="M612" i="53"/>
  <c r="P611" i="53"/>
  <c r="M611" i="53"/>
  <c r="P610" i="53"/>
  <c r="M610" i="53"/>
  <c r="P609" i="53"/>
  <c r="M609" i="53"/>
  <c r="P608" i="53"/>
  <c r="M608" i="53"/>
  <c r="P607" i="53"/>
  <c r="M607" i="53"/>
  <c r="P606" i="53"/>
  <c r="M606" i="53"/>
  <c r="P605" i="53"/>
  <c r="M605" i="53"/>
  <c r="P604" i="53"/>
  <c r="M604" i="53"/>
  <c r="P603" i="53"/>
  <c r="M603" i="53"/>
  <c r="P602" i="53"/>
  <c r="M602" i="53"/>
  <c r="P601" i="53"/>
  <c r="M601" i="53"/>
  <c r="P600" i="53"/>
  <c r="M600" i="53"/>
  <c r="P599" i="53"/>
  <c r="M599" i="53"/>
  <c r="P598" i="53"/>
  <c r="M598" i="53"/>
  <c r="P597" i="53"/>
  <c r="M597" i="53"/>
  <c r="P596" i="53"/>
  <c r="M596" i="53"/>
  <c r="P595" i="53"/>
  <c r="M595" i="53"/>
  <c r="P594" i="53"/>
  <c r="M594" i="53"/>
  <c r="P593" i="53"/>
  <c r="M593" i="53"/>
  <c r="P592" i="53"/>
  <c r="M592" i="53"/>
  <c r="P591" i="53"/>
  <c r="M591" i="53"/>
  <c r="P590" i="53"/>
  <c r="M590" i="53"/>
  <c r="P589" i="53"/>
  <c r="M589" i="53"/>
  <c r="P588" i="53"/>
  <c r="M588" i="53"/>
  <c r="P587" i="53"/>
  <c r="M587" i="53"/>
  <c r="P586" i="53"/>
  <c r="M586" i="53"/>
  <c r="P585" i="53"/>
  <c r="M585" i="53"/>
  <c r="P584" i="53"/>
  <c r="M584" i="53"/>
  <c r="P583" i="53"/>
  <c r="M583" i="53"/>
  <c r="P582" i="53"/>
  <c r="M582" i="53"/>
  <c r="P581" i="53"/>
  <c r="M581" i="53"/>
  <c r="P580" i="53"/>
  <c r="M580" i="53"/>
  <c r="P579" i="53"/>
  <c r="M579" i="53"/>
  <c r="P578" i="53"/>
  <c r="M578" i="53"/>
  <c r="P577" i="53"/>
  <c r="M577" i="53"/>
  <c r="P576" i="53"/>
  <c r="M576" i="53"/>
  <c r="P575" i="53"/>
  <c r="M575" i="53"/>
  <c r="P574" i="53"/>
  <c r="M574" i="53"/>
  <c r="P573" i="53"/>
  <c r="M573" i="53"/>
  <c r="P572" i="53"/>
  <c r="M572" i="53"/>
  <c r="P571" i="53"/>
  <c r="M571" i="53"/>
  <c r="P570" i="53"/>
  <c r="M570" i="53"/>
  <c r="P569" i="53"/>
  <c r="M569" i="53"/>
  <c r="P568" i="53"/>
  <c r="M568" i="53"/>
  <c r="P567" i="53"/>
  <c r="M567" i="53"/>
  <c r="P566" i="53"/>
  <c r="M566" i="53"/>
  <c r="P565" i="53"/>
  <c r="M565" i="53"/>
  <c r="P564" i="53"/>
  <c r="M564" i="53"/>
  <c r="P563" i="53"/>
  <c r="M563" i="53"/>
  <c r="P562" i="53"/>
  <c r="M562" i="53"/>
  <c r="P561" i="53"/>
  <c r="M561" i="53"/>
  <c r="P560" i="53"/>
  <c r="M560" i="53"/>
  <c r="P559" i="53"/>
  <c r="M559" i="53"/>
  <c r="P558" i="53"/>
  <c r="M558" i="53"/>
  <c r="P557" i="53"/>
  <c r="M557" i="53"/>
  <c r="P556" i="53"/>
  <c r="M556" i="53"/>
  <c r="P555" i="53"/>
  <c r="M555" i="53"/>
  <c r="P554" i="53"/>
  <c r="M554" i="53"/>
  <c r="P553" i="53"/>
  <c r="M553" i="53"/>
  <c r="P552" i="53"/>
  <c r="M552" i="53"/>
  <c r="P551" i="53"/>
  <c r="M551" i="53"/>
  <c r="P550" i="53"/>
  <c r="M550" i="53"/>
  <c r="P549" i="53"/>
  <c r="M549" i="53"/>
  <c r="P548" i="53"/>
  <c r="M548" i="53"/>
  <c r="P547" i="53"/>
  <c r="M547" i="53"/>
  <c r="P546" i="53"/>
  <c r="M546" i="53"/>
  <c r="P545" i="53"/>
  <c r="M545" i="53"/>
  <c r="P544" i="53"/>
  <c r="M544" i="53"/>
  <c r="P543" i="53"/>
  <c r="M543" i="53"/>
  <c r="P542" i="53"/>
  <c r="M542" i="53"/>
  <c r="P541" i="53"/>
  <c r="M541" i="53"/>
  <c r="P540" i="53"/>
  <c r="M540" i="53"/>
  <c r="P539" i="53"/>
  <c r="M539" i="53"/>
  <c r="P538" i="53"/>
  <c r="M538" i="53"/>
  <c r="P537" i="53"/>
  <c r="M537" i="53"/>
  <c r="P536" i="53"/>
  <c r="M536" i="53"/>
  <c r="P535" i="53"/>
  <c r="M535" i="53"/>
  <c r="P534" i="53"/>
  <c r="M534" i="53"/>
  <c r="P533" i="53"/>
  <c r="M533" i="53"/>
  <c r="P532" i="53"/>
  <c r="M532" i="53"/>
  <c r="P531" i="53"/>
  <c r="M531" i="53"/>
  <c r="P530" i="53"/>
  <c r="M530" i="53"/>
  <c r="P529" i="53"/>
  <c r="M529" i="53"/>
  <c r="P528" i="53"/>
  <c r="M528" i="53"/>
  <c r="P527" i="53"/>
  <c r="M527" i="53"/>
  <c r="P526" i="53"/>
  <c r="M526" i="53"/>
  <c r="P525" i="53"/>
  <c r="M525" i="53"/>
  <c r="P524" i="53"/>
  <c r="M524" i="53"/>
  <c r="P523" i="53"/>
  <c r="M523" i="53"/>
  <c r="P522" i="53"/>
  <c r="M522" i="53"/>
  <c r="P521" i="53"/>
  <c r="M521" i="53"/>
  <c r="P520" i="53"/>
  <c r="M520" i="53"/>
  <c r="P519" i="53"/>
  <c r="M519" i="53"/>
  <c r="P518" i="53"/>
  <c r="M518" i="53"/>
  <c r="P517" i="53"/>
  <c r="M517" i="53"/>
  <c r="P516" i="53"/>
  <c r="M516" i="53"/>
  <c r="P515" i="53"/>
  <c r="M515" i="53"/>
  <c r="P514" i="53"/>
  <c r="M514" i="53"/>
  <c r="P513" i="53"/>
  <c r="M513" i="53"/>
  <c r="P512" i="53"/>
  <c r="M512" i="53"/>
  <c r="P511" i="53"/>
  <c r="M511" i="53"/>
  <c r="P510" i="53"/>
  <c r="M510" i="53"/>
  <c r="P509" i="53"/>
  <c r="M509" i="53"/>
  <c r="P508" i="53"/>
  <c r="M508" i="53"/>
  <c r="P507" i="53"/>
  <c r="M507" i="53"/>
  <c r="P506" i="53"/>
  <c r="M506" i="53"/>
  <c r="P505" i="53"/>
  <c r="M505" i="53"/>
  <c r="P504" i="53"/>
  <c r="M504" i="53"/>
  <c r="P503" i="53"/>
  <c r="M503" i="53"/>
  <c r="P502" i="53"/>
  <c r="M502" i="53"/>
  <c r="P501" i="53"/>
  <c r="M501" i="53"/>
  <c r="P500" i="53"/>
  <c r="M500" i="53"/>
  <c r="P499" i="53"/>
  <c r="M499" i="53"/>
  <c r="P498" i="53"/>
  <c r="M498" i="53"/>
  <c r="P497" i="53"/>
  <c r="M497" i="53"/>
  <c r="P496" i="53"/>
  <c r="M496" i="53"/>
  <c r="P495" i="53"/>
  <c r="M495" i="53"/>
  <c r="P494" i="53"/>
  <c r="M494" i="53"/>
  <c r="P493" i="53"/>
  <c r="M493" i="53"/>
  <c r="P492" i="53"/>
  <c r="M492" i="53"/>
  <c r="P491" i="53"/>
  <c r="M491" i="53"/>
  <c r="P490" i="53"/>
  <c r="M490" i="53"/>
  <c r="P489" i="53"/>
  <c r="M489" i="53"/>
  <c r="P488" i="53"/>
  <c r="M488" i="53"/>
  <c r="P487" i="53"/>
  <c r="M487" i="53"/>
  <c r="P486" i="53"/>
  <c r="M486" i="53"/>
  <c r="P485" i="53"/>
  <c r="M485" i="53"/>
  <c r="P484" i="53"/>
  <c r="M484" i="53"/>
  <c r="P483" i="53"/>
  <c r="M483" i="53"/>
  <c r="P482" i="53"/>
  <c r="M482" i="53"/>
  <c r="P481" i="53"/>
  <c r="M481" i="53"/>
  <c r="P480" i="53"/>
  <c r="M480" i="53"/>
  <c r="P479" i="53"/>
  <c r="M479" i="53"/>
  <c r="P478" i="53"/>
  <c r="M478" i="53"/>
  <c r="P477" i="53"/>
  <c r="M477" i="53"/>
  <c r="P476" i="53"/>
  <c r="M476" i="53"/>
  <c r="P475" i="53"/>
  <c r="M475" i="53"/>
  <c r="P474" i="53"/>
  <c r="M474" i="53"/>
  <c r="P473" i="53"/>
  <c r="M473" i="53"/>
  <c r="P472" i="53"/>
  <c r="M472" i="53"/>
  <c r="P471" i="53"/>
  <c r="M471" i="53"/>
  <c r="P470" i="53"/>
  <c r="M470" i="53"/>
  <c r="P469" i="53"/>
  <c r="M469" i="53"/>
  <c r="P468" i="53"/>
  <c r="M468" i="53"/>
  <c r="P467" i="53"/>
  <c r="M467" i="53"/>
  <c r="P466" i="53"/>
  <c r="M466" i="53"/>
  <c r="P465" i="53"/>
  <c r="M465" i="53"/>
  <c r="P464" i="53"/>
  <c r="M464" i="53"/>
  <c r="P463" i="53"/>
  <c r="M463" i="53"/>
  <c r="P462" i="53"/>
  <c r="M462" i="53"/>
  <c r="P461" i="53"/>
  <c r="M461" i="53"/>
  <c r="P460" i="53"/>
  <c r="M460" i="53"/>
  <c r="P459" i="53"/>
  <c r="M459" i="53"/>
  <c r="P458" i="53"/>
  <c r="M458" i="53"/>
  <c r="P457" i="53"/>
  <c r="M457" i="53"/>
  <c r="P456" i="53"/>
  <c r="M456" i="53"/>
  <c r="P455" i="53"/>
  <c r="M455" i="53"/>
  <c r="P454" i="53"/>
  <c r="M454" i="53"/>
  <c r="P453" i="53"/>
  <c r="M453" i="53"/>
  <c r="P452" i="53"/>
  <c r="M452" i="53"/>
  <c r="P451" i="53"/>
  <c r="M451" i="53"/>
  <c r="P450" i="53"/>
  <c r="M450" i="53"/>
  <c r="P449" i="53"/>
  <c r="M449" i="53"/>
  <c r="P448" i="53"/>
  <c r="M448" i="53"/>
  <c r="P447" i="53"/>
  <c r="M447" i="53"/>
  <c r="P446" i="53"/>
  <c r="M446" i="53"/>
  <c r="P445" i="53"/>
  <c r="M445" i="53"/>
  <c r="P444" i="53"/>
  <c r="M444" i="53"/>
  <c r="P443" i="53"/>
  <c r="M443" i="53"/>
  <c r="P442" i="53"/>
  <c r="M442" i="53"/>
  <c r="P441" i="53"/>
  <c r="M441" i="53"/>
  <c r="P440" i="53"/>
  <c r="M440" i="53"/>
  <c r="P439" i="53"/>
  <c r="M439" i="53"/>
  <c r="P438" i="53"/>
  <c r="M438" i="53"/>
  <c r="P437" i="53"/>
  <c r="M437" i="53"/>
  <c r="P436" i="53"/>
  <c r="M436" i="53"/>
  <c r="P435" i="53"/>
  <c r="M435" i="53"/>
  <c r="P434" i="53"/>
  <c r="M434" i="53"/>
  <c r="P433" i="53"/>
  <c r="M433" i="53"/>
  <c r="P432" i="53"/>
  <c r="M432" i="53"/>
  <c r="P431" i="53"/>
  <c r="M431" i="53"/>
  <c r="P430" i="53"/>
  <c r="M430" i="53"/>
  <c r="P429" i="53"/>
  <c r="M429" i="53"/>
  <c r="P428" i="53"/>
  <c r="M428" i="53"/>
  <c r="P427" i="53"/>
  <c r="M427" i="53"/>
  <c r="P426" i="53"/>
  <c r="M426" i="53"/>
  <c r="P425" i="53"/>
  <c r="M425" i="53"/>
  <c r="P424" i="53"/>
  <c r="M424" i="53"/>
  <c r="P423" i="53"/>
  <c r="M423" i="53"/>
  <c r="P422" i="53"/>
  <c r="M422" i="53"/>
  <c r="P421" i="53"/>
  <c r="M421" i="53"/>
  <c r="P420" i="53"/>
  <c r="M420" i="53"/>
  <c r="P419" i="53"/>
  <c r="M419" i="53"/>
  <c r="P418" i="53"/>
  <c r="M418" i="53"/>
  <c r="P417" i="53"/>
  <c r="M417" i="53"/>
  <c r="P416" i="53"/>
  <c r="M416" i="53"/>
  <c r="P415" i="53"/>
  <c r="M415" i="53"/>
  <c r="P414" i="53"/>
  <c r="M414" i="53"/>
  <c r="P413" i="53"/>
  <c r="M413" i="53"/>
  <c r="P412" i="53"/>
  <c r="M412" i="53"/>
  <c r="P411" i="53"/>
  <c r="M411" i="53"/>
  <c r="P410" i="53"/>
  <c r="M410" i="53"/>
  <c r="P409" i="53"/>
  <c r="M409" i="53"/>
  <c r="P408" i="53"/>
  <c r="M408" i="53"/>
  <c r="P407" i="53"/>
  <c r="M407" i="53"/>
  <c r="P406" i="53"/>
  <c r="M406" i="53"/>
  <c r="P405" i="53"/>
  <c r="M405" i="53"/>
  <c r="P404" i="53"/>
  <c r="M404" i="53"/>
  <c r="P403" i="53"/>
  <c r="M403" i="53"/>
  <c r="P402" i="53"/>
  <c r="M402" i="53"/>
  <c r="P401" i="53"/>
  <c r="M401" i="53"/>
  <c r="P400" i="53"/>
  <c r="M400" i="53"/>
  <c r="P399" i="53"/>
  <c r="M399" i="53"/>
  <c r="P398" i="53"/>
  <c r="M398" i="53"/>
  <c r="P397" i="53"/>
  <c r="M397" i="53"/>
  <c r="P396" i="53"/>
  <c r="M396" i="53"/>
  <c r="P395" i="53"/>
  <c r="M395" i="53"/>
  <c r="P394" i="53"/>
  <c r="M394" i="53"/>
  <c r="P393" i="53"/>
  <c r="M393" i="53"/>
  <c r="P392" i="53"/>
  <c r="M392" i="53"/>
  <c r="P391" i="53"/>
  <c r="M391" i="53"/>
  <c r="P390" i="53"/>
  <c r="M390" i="53"/>
  <c r="P389" i="53"/>
  <c r="M389" i="53"/>
  <c r="P388" i="53"/>
  <c r="M388" i="53"/>
  <c r="P387" i="53"/>
  <c r="M387" i="53"/>
  <c r="P386" i="53"/>
  <c r="M386" i="53"/>
  <c r="P385" i="53"/>
  <c r="M385" i="53"/>
  <c r="P384" i="53"/>
  <c r="M384" i="53"/>
  <c r="P383" i="53"/>
  <c r="M383" i="53"/>
  <c r="P382" i="53"/>
  <c r="M382" i="53"/>
  <c r="P381" i="53"/>
  <c r="M381" i="53"/>
  <c r="P380" i="53"/>
  <c r="M380" i="53"/>
  <c r="P379" i="53"/>
  <c r="M379" i="53"/>
  <c r="P378" i="53"/>
  <c r="M378" i="53"/>
  <c r="P377" i="53"/>
  <c r="M377" i="53"/>
  <c r="P376" i="53"/>
  <c r="M376" i="53"/>
  <c r="P375" i="53"/>
  <c r="M375" i="53"/>
  <c r="P374" i="53"/>
  <c r="M374" i="53"/>
  <c r="P373" i="53"/>
  <c r="M373" i="53"/>
  <c r="P372" i="53"/>
  <c r="M372" i="53"/>
  <c r="P371" i="53"/>
  <c r="M371" i="53"/>
  <c r="P370" i="53"/>
  <c r="M370" i="53"/>
  <c r="P369" i="53"/>
  <c r="M369" i="53"/>
  <c r="P368" i="53"/>
  <c r="M368" i="53"/>
  <c r="P367" i="53"/>
  <c r="M367" i="53"/>
  <c r="P366" i="53"/>
  <c r="M366" i="53"/>
  <c r="P365" i="53"/>
  <c r="M365" i="53"/>
  <c r="P364" i="53"/>
  <c r="M364" i="53"/>
  <c r="P363" i="53"/>
  <c r="M363" i="53"/>
  <c r="P362" i="53"/>
  <c r="M362" i="53"/>
  <c r="P361" i="53"/>
  <c r="M361" i="53"/>
  <c r="P360" i="53"/>
  <c r="M360" i="53"/>
  <c r="P359" i="53"/>
  <c r="M359" i="53"/>
  <c r="P358" i="53"/>
  <c r="M358" i="53"/>
  <c r="P357" i="53"/>
  <c r="M357" i="53"/>
  <c r="P356" i="53"/>
  <c r="M356" i="53"/>
  <c r="P355" i="53"/>
  <c r="M355" i="53"/>
  <c r="P354" i="53"/>
  <c r="M354" i="53"/>
  <c r="P353" i="53"/>
  <c r="M353" i="53"/>
  <c r="P352" i="53"/>
  <c r="M352" i="53"/>
  <c r="P351" i="53"/>
  <c r="M351" i="53"/>
  <c r="P350" i="53"/>
  <c r="M350" i="53"/>
  <c r="P349" i="53"/>
  <c r="M349" i="53"/>
  <c r="P348" i="53"/>
  <c r="M348" i="53"/>
  <c r="P347" i="53"/>
  <c r="M347" i="53"/>
  <c r="P346" i="53"/>
  <c r="M346" i="53"/>
  <c r="P345" i="53"/>
  <c r="M345" i="53"/>
  <c r="P344" i="53"/>
  <c r="M344" i="53"/>
  <c r="P343" i="53"/>
  <c r="M343" i="53"/>
  <c r="P342" i="53"/>
  <c r="M342" i="53"/>
  <c r="P341" i="53"/>
  <c r="M341" i="53"/>
  <c r="P340" i="53"/>
  <c r="M340" i="53"/>
  <c r="P339" i="53"/>
  <c r="M339" i="53"/>
  <c r="P338" i="53"/>
  <c r="M338" i="53"/>
  <c r="P337" i="53"/>
  <c r="M337" i="53"/>
  <c r="P336" i="53"/>
  <c r="M336" i="53"/>
  <c r="P335" i="53"/>
  <c r="M335" i="53"/>
  <c r="P334" i="53"/>
  <c r="M334" i="53"/>
  <c r="P333" i="53"/>
  <c r="M333" i="53"/>
  <c r="P332" i="53"/>
  <c r="M332" i="53"/>
  <c r="P331" i="53"/>
  <c r="M331" i="53"/>
  <c r="P330" i="53"/>
  <c r="M330" i="53"/>
  <c r="P329" i="53"/>
  <c r="M329" i="53"/>
  <c r="P328" i="53"/>
  <c r="M328" i="53"/>
  <c r="P327" i="53"/>
  <c r="M327" i="53"/>
  <c r="P326" i="53"/>
  <c r="M326" i="53"/>
  <c r="P325" i="53"/>
  <c r="M325" i="53"/>
  <c r="P324" i="53"/>
  <c r="M324" i="53"/>
  <c r="P323" i="53"/>
  <c r="M323" i="53"/>
  <c r="P322" i="53"/>
  <c r="M322" i="53"/>
  <c r="P321" i="53"/>
  <c r="M321" i="53"/>
  <c r="P320" i="53"/>
  <c r="M320" i="53"/>
  <c r="P319" i="53"/>
  <c r="M319" i="53"/>
  <c r="P318" i="53"/>
  <c r="M318" i="53"/>
  <c r="P317" i="53"/>
  <c r="M317" i="53"/>
  <c r="P316" i="53"/>
  <c r="M316" i="53"/>
  <c r="P315" i="53"/>
  <c r="M315" i="53"/>
  <c r="P314" i="53"/>
  <c r="M314" i="53"/>
  <c r="P313" i="53"/>
  <c r="M313" i="53"/>
  <c r="P312" i="53"/>
  <c r="M312" i="53"/>
  <c r="P311" i="53"/>
  <c r="M311" i="53"/>
  <c r="P310" i="53"/>
  <c r="M310" i="53"/>
  <c r="P309" i="53"/>
  <c r="M309" i="53"/>
  <c r="P308" i="53"/>
  <c r="M308" i="53"/>
  <c r="P307" i="53"/>
  <c r="M307" i="53"/>
  <c r="P306" i="53"/>
  <c r="M306" i="53"/>
  <c r="P305" i="53"/>
  <c r="M305" i="53"/>
  <c r="P304" i="53"/>
  <c r="M304" i="53"/>
  <c r="P303" i="53"/>
  <c r="M303" i="53"/>
  <c r="P302" i="53"/>
  <c r="M302" i="53"/>
  <c r="P301" i="53"/>
  <c r="M301" i="53"/>
  <c r="P300" i="53"/>
  <c r="M300" i="53"/>
  <c r="P299" i="53"/>
  <c r="M299" i="53"/>
  <c r="P298" i="53"/>
  <c r="M298" i="53"/>
  <c r="P297" i="53"/>
  <c r="M297" i="53"/>
  <c r="P296" i="53"/>
  <c r="M296" i="53"/>
  <c r="P295" i="53"/>
  <c r="M295" i="53"/>
  <c r="P294" i="53"/>
  <c r="M294" i="53"/>
  <c r="P293" i="53"/>
  <c r="M293" i="53"/>
  <c r="P292" i="53"/>
  <c r="M292" i="53"/>
  <c r="P291" i="53"/>
  <c r="M291" i="53"/>
  <c r="P290" i="53"/>
  <c r="M290" i="53"/>
  <c r="P289" i="53"/>
  <c r="M289" i="53"/>
  <c r="P288" i="53"/>
  <c r="M288" i="53"/>
  <c r="P287" i="53"/>
  <c r="M287" i="53"/>
  <c r="P286" i="53"/>
  <c r="M286" i="53"/>
  <c r="P285" i="53"/>
  <c r="M285" i="53"/>
  <c r="P284" i="53"/>
  <c r="M284" i="53"/>
  <c r="P283" i="53"/>
  <c r="M283" i="53"/>
  <c r="P282" i="53"/>
  <c r="M282" i="53"/>
  <c r="P281" i="53"/>
  <c r="M281" i="53"/>
  <c r="P280" i="53"/>
  <c r="M280" i="53"/>
  <c r="P279" i="53"/>
  <c r="M279" i="53"/>
  <c r="P278" i="53"/>
  <c r="M278" i="53"/>
  <c r="P277" i="53"/>
  <c r="M277" i="53"/>
  <c r="P276" i="53"/>
  <c r="M276" i="53"/>
  <c r="P275" i="53"/>
  <c r="M275" i="53"/>
  <c r="P274" i="53"/>
  <c r="M274" i="53"/>
  <c r="P273" i="53"/>
  <c r="M273" i="53"/>
  <c r="P272" i="53"/>
  <c r="M272" i="53"/>
  <c r="P271" i="53"/>
  <c r="M271" i="53"/>
  <c r="P270" i="53"/>
  <c r="M270" i="53"/>
  <c r="P269" i="53"/>
  <c r="M269" i="53"/>
  <c r="P268" i="53"/>
  <c r="M268" i="53"/>
  <c r="P267" i="53"/>
  <c r="M267" i="53"/>
  <c r="P266" i="53"/>
  <c r="M266" i="53"/>
  <c r="P265" i="53"/>
  <c r="M265" i="53"/>
  <c r="P264" i="53"/>
  <c r="M264" i="53"/>
  <c r="P263" i="53"/>
  <c r="M263" i="53"/>
  <c r="P262" i="53"/>
  <c r="M262" i="53"/>
  <c r="P261" i="53"/>
  <c r="M261" i="53"/>
  <c r="P260" i="53"/>
  <c r="M260" i="53"/>
  <c r="P259" i="53"/>
  <c r="M259" i="53"/>
  <c r="P258" i="53"/>
  <c r="M258" i="53"/>
  <c r="P257" i="53"/>
  <c r="M257" i="53"/>
  <c r="P256" i="53"/>
  <c r="M256" i="53"/>
  <c r="P255" i="53"/>
  <c r="M255" i="53"/>
  <c r="P254" i="53"/>
  <c r="M254" i="53"/>
  <c r="P253" i="53"/>
  <c r="M253" i="53"/>
  <c r="P252" i="53"/>
  <c r="M252" i="53"/>
  <c r="P251" i="53"/>
  <c r="M251" i="53"/>
  <c r="P250" i="53"/>
  <c r="M250" i="53"/>
  <c r="P249" i="53"/>
  <c r="M249" i="53"/>
  <c r="P248" i="53"/>
  <c r="M248" i="53"/>
  <c r="P247" i="53"/>
  <c r="M247" i="53"/>
  <c r="P246" i="53"/>
  <c r="M246" i="53"/>
  <c r="P245" i="53"/>
  <c r="M245" i="53"/>
  <c r="P244" i="53"/>
  <c r="M244" i="53"/>
  <c r="P243" i="53"/>
  <c r="M243" i="53"/>
  <c r="P242" i="53"/>
  <c r="M242" i="53"/>
  <c r="P241" i="53"/>
  <c r="M241" i="53"/>
  <c r="P240" i="53"/>
  <c r="M240" i="53"/>
  <c r="P239" i="53"/>
  <c r="M239" i="53"/>
  <c r="P238" i="53"/>
  <c r="M238" i="53"/>
  <c r="P237" i="53"/>
  <c r="M237" i="53"/>
  <c r="P236" i="53"/>
  <c r="M236" i="53"/>
  <c r="P235" i="53"/>
  <c r="M235" i="53"/>
  <c r="P234" i="53"/>
  <c r="M234" i="53"/>
  <c r="P233" i="53"/>
  <c r="M233" i="53"/>
  <c r="P232" i="53"/>
  <c r="M232" i="53"/>
  <c r="P231" i="53"/>
  <c r="M231" i="53"/>
  <c r="P230" i="53"/>
  <c r="M230" i="53"/>
  <c r="P229" i="53"/>
  <c r="M229" i="53"/>
  <c r="P228" i="53"/>
  <c r="M228" i="53"/>
  <c r="P227" i="53"/>
  <c r="M227" i="53"/>
  <c r="P226" i="53"/>
  <c r="M226" i="53"/>
  <c r="P225" i="53"/>
  <c r="M225" i="53"/>
  <c r="P224" i="53"/>
  <c r="M224" i="53"/>
  <c r="P223" i="53"/>
  <c r="M223" i="53"/>
  <c r="P222" i="53"/>
  <c r="M222" i="53"/>
  <c r="P221" i="53"/>
  <c r="M221" i="53"/>
  <c r="P220" i="53"/>
  <c r="M220" i="53"/>
  <c r="P219" i="53"/>
  <c r="M219" i="53"/>
  <c r="P218" i="53"/>
  <c r="M218" i="53"/>
  <c r="P217" i="53"/>
  <c r="M217" i="53"/>
  <c r="P216" i="53"/>
  <c r="M216" i="53"/>
  <c r="P215" i="53"/>
  <c r="M215" i="53"/>
  <c r="P214" i="53"/>
  <c r="M214" i="53"/>
  <c r="P213" i="53"/>
  <c r="M213" i="53"/>
  <c r="P212" i="53"/>
  <c r="M212" i="53"/>
  <c r="P211" i="53"/>
  <c r="M211" i="53"/>
  <c r="P210" i="53"/>
  <c r="M210" i="53"/>
  <c r="P209" i="53"/>
  <c r="M209" i="53"/>
  <c r="P208" i="53"/>
  <c r="M208" i="53"/>
  <c r="P207" i="53"/>
  <c r="M207" i="53"/>
  <c r="P206" i="53"/>
  <c r="M206" i="53"/>
  <c r="P205" i="53"/>
  <c r="M205" i="53"/>
  <c r="P204" i="53"/>
  <c r="M204" i="53"/>
  <c r="P203" i="53"/>
  <c r="M203" i="53"/>
  <c r="P202" i="53"/>
  <c r="M202" i="53"/>
  <c r="P201" i="53"/>
  <c r="M201" i="53"/>
  <c r="P200" i="53"/>
  <c r="M200" i="53"/>
  <c r="P199" i="53"/>
  <c r="M199" i="53"/>
  <c r="P198" i="53"/>
  <c r="M198" i="53"/>
  <c r="P197" i="53"/>
  <c r="M197" i="53"/>
  <c r="P196" i="53"/>
  <c r="M196" i="53"/>
  <c r="P195" i="53"/>
  <c r="M195" i="53"/>
  <c r="P194" i="53"/>
  <c r="M194" i="53"/>
  <c r="P193" i="53"/>
  <c r="M193" i="53"/>
  <c r="P192" i="53"/>
  <c r="M192" i="53"/>
  <c r="P191" i="53"/>
  <c r="M191" i="53"/>
  <c r="P190" i="53"/>
  <c r="M190" i="53"/>
  <c r="P189" i="53"/>
  <c r="M189" i="53"/>
  <c r="P188" i="53"/>
  <c r="M188" i="53"/>
  <c r="P187" i="53"/>
  <c r="M187" i="53"/>
  <c r="P186" i="53"/>
  <c r="M186" i="53"/>
  <c r="P185" i="53"/>
  <c r="M185" i="53"/>
  <c r="P184" i="53"/>
  <c r="M184" i="53"/>
  <c r="P183" i="53"/>
  <c r="M183" i="53"/>
  <c r="P182" i="53"/>
  <c r="M182" i="53"/>
  <c r="P181" i="53"/>
  <c r="M181" i="53"/>
  <c r="P180" i="53"/>
  <c r="M180" i="53"/>
  <c r="P179" i="53"/>
  <c r="M179" i="53"/>
  <c r="P178" i="53"/>
  <c r="M178" i="53"/>
  <c r="P177" i="53"/>
  <c r="M177" i="53"/>
  <c r="P176" i="53"/>
  <c r="M176" i="53"/>
  <c r="P175" i="53"/>
  <c r="M175" i="53"/>
  <c r="P174" i="53"/>
  <c r="M174" i="53"/>
  <c r="P173" i="53"/>
  <c r="M173" i="53"/>
  <c r="P172" i="53"/>
  <c r="M172" i="53"/>
  <c r="P171" i="53"/>
  <c r="M171" i="53"/>
  <c r="P170" i="53"/>
  <c r="M170" i="53"/>
  <c r="P169" i="53"/>
  <c r="M169" i="53"/>
  <c r="P168" i="53"/>
  <c r="M168" i="53"/>
  <c r="P167" i="53"/>
  <c r="M167" i="53"/>
  <c r="P166" i="53"/>
  <c r="M166" i="53"/>
  <c r="P165" i="53"/>
  <c r="M165" i="53"/>
  <c r="P164" i="53"/>
  <c r="M164" i="53"/>
  <c r="P163" i="53"/>
  <c r="M163" i="53"/>
  <c r="P162" i="53"/>
  <c r="M162" i="53"/>
  <c r="P161" i="53"/>
  <c r="M161" i="53"/>
  <c r="P160" i="53"/>
  <c r="M160" i="53"/>
  <c r="P159" i="53"/>
  <c r="M159" i="53"/>
  <c r="P158" i="53"/>
  <c r="M158" i="53"/>
  <c r="P157" i="53"/>
  <c r="M157" i="53"/>
  <c r="P156" i="53"/>
  <c r="M156" i="53"/>
  <c r="P155" i="53"/>
  <c r="M155" i="53"/>
  <c r="P154" i="53"/>
  <c r="M154" i="53"/>
  <c r="P153" i="53"/>
  <c r="M153" i="53"/>
  <c r="P152" i="53"/>
  <c r="M152" i="53"/>
  <c r="P151" i="53"/>
  <c r="M151" i="53"/>
  <c r="P150" i="53"/>
  <c r="M150" i="53"/>
  <c r="P149" i="53"/>
  <c r="M149" i="53"/>
  <c r="P148" i="53"/>
  <c r="M148" i="53"/>
  <c r="P147" i="53"/>
  <c r="M147" i="53"/>
  <c r="P146" i="53"/>
  <c r="M146" i="53"/>
  <c r="P145" i="53"/>
  <c r="M145" i="53"/>
  <c r="P144" i="53"/>
  <c r="M144" i="53"/>
  <c r="P143" i="53"/>
  <c r="M143" i="53"/>
  <c r="P142" i="53"/>
  <c r="M142" i="53"/>
  <c r="P141" i="53"/>
  <c r="M141" i="53"/>
  <c r="P140" i="53"/>
  <c r="M140" i="53"/>
  <c r="P139" i="53"/>
  <c r="M139" i="53"/>
  <c r="P138" i="53"/>
  <c r="M138" i="53"/>
  <c r="P137" i="53"/>
  <c r="M137" i="53"/>
  <c r="P136" i="53"/>
  <c r="M136" i="53"/>
  <c r="P135" i="53"/>
  <c r="M135" i="53"/>
  <c r="P134" i="53"/>
  <c r="M134" i="53"/>
  <c r="P133" i="53"/>
  <c r="M133" i="53"/>
  <c r="P132" i="53"/>
  <c r="M132" i="53"/>
  <c r="P131" i="53"/>
  <c r="M131" i="53"/>
  <c r="P130" i="53"/>
  <c r="M130" i="53"/>
  <c r="P129" i="53"/>
  <c r="M129" i="53"/>
  <c r="P128" i="53"/>
  <c r="M128" i="53"/>
  <c r="P127" i="53"/>
  <c r="M127" i="53"/>
  <c r="P126" i="53"/>
  <c r="M126" i="53"/>
  <c r="P125" i="53"/>
  <c r="M125" i="53"/>
  <c r="P124" i="53"/>
  <c r="M124" i="53"/>
  <c r="P123" i="53"/>
  <c r="M123" i="53"/>
  <c r="P122" i="53"/>
  <c r="M122" i="53"/>
  <c r="P121" i="53"/>
  <c r="M121" i="53"/>
  <c r="P120" i="53"/>
  <c r="M120" i="53"/>
  <c r="P119" i="53"/>
  <c r="M119" i="53"/>
  <c r="P118" i="53"/>
  <c r="M118" i="53"/>
  <c r="P117" i="53"/>
  <c r="M117" i="53"/>
  <c r="P116" i="53"/>
  <c r="M116" i="53"/>
  <c r="P115" i="53"/>
  <c r="M115" i="53"/>
  <c r="P114" i="53"/>
  <c r="M114" i="53"/>
  <c r="P113" i="53"/>
  <c r="M113" i="53"/>
  <c r="P112" i="53"/>
  <c r="M112" i="53"/>
  <c r="P111" i="53"/>
  <c r="M111" i="53"/>
  <c r="P110" i="53"/>
  <c r="M110" i="53"/>
  <c r="P109" i="53"/>
  <c r="M109" i="53"/>
  <c r="P108" i="53"/>
  <c r="M108" i="53"/>
  <c r="P107" i="53"/>
  <c r="M107" i="53"/>
  <c r="P106" i="53"/>
  <c r="M106" i="53"/>
  <c r="P105" i="53"/>
  <c r="M105" i="53"/>
  <c r="P104" i="53"/>
  <c r="M104" i="53"/>
  <c r="P103" i="53"/>
  <c r="M103" i="53"/>
  <c r="P102" i="53"/>
  <c r="M102" i="53"/>
  <c r="P101" i="53"/>
  <c r="M101" i="53"/>
  <c r="P100" i="53"/>
  <c r="M100" i="53"/>
  <c r="P99" i="53"/>
  <c r="M99" i="53"/>
  <c r="P98" i="53"/>
  <c r="M98" i="53"/>
  <c r="P97" i="53"/>
  <c r="M97" i="53"/>
  <c r="P96" i="53"/>
  <c r="M96" i="53"/>
  <c r="P95" i="53"/>
  <c r="M95" i="53"/>
  <c r="P94" i="53"/>
  <c r="M94" i="53"/>
  <c r="P93" i="53"/>
  <c r="M93" i="53"/>
  <c r="P92" i="53"/>
  <c r="M92" i="53"/>
  <c r="P91" i="53"/>
  <c r="M91" i="53"/>
  <c r="P90" i="53"/>
  <c r="M90" i="53"/>
  <c r="P89" i="53"/>
  <c r="M89" i="53"/>
  <c r="P88" i="53"/>
  <c r="M88" i="53"/>
  <c r="P87" i="53"/>
  <c r="M87" i="53"/>
  <c r="P86" i="53"/>
  <c r="M86" i="53"/>
  <c r="P85" i="53"/>
  <c r="M85" i="53"/>
  <c r="P84" i="53"/>
  <c r="M84" i="53"/>
  <c r="P83" i="53"/>
  <c r="M83" i="53"/>
  <c r="P82" i="53"/>
  <c r="M82" i="53"/>
  <c r="P81" i="53"/>
  <c r="M81" i="53"/>
  <c r="P80" i="53"/>
  <c r="M80" i="53"/>
  <c r="P79" i="53"/>
  <c r="M79" i="53"/>
  <c r="P78" i="53"/>
  <c r="M78" i="53"/>
  <c r="P77" i="53"/>
  <c r="M77" i="53"/>
  <c r="P76" i="53"/>
  <c r="M76" i="53"/>
  <c r="P75" i="53"/>
  <c r="M75" i="53"/>
  <c r="P74" i="53"/>
  <c r="M74" i="53"/>
  <c r="P73" i="53"/>
  <c r="M73" i="53"/>
  <c r="P72" i="53"/>
  <c r="M72" i="53"/>
  <c r="P71" i="53"/>
  <c r="M71" i="53"/>
  <c r="P70" i="53"/>
  <c r="M70" i="53"/>
  <c r="P69" i="53"/>
  <c r="M69" i="53"/>
  <c r="P68" i="53"/>
  <c r="M68" i="53"/>
  <c r="P67" i="53"/>
  <c r="M67" i="53"/>
  <c r="P66" i="53"/>
  <c r="M66" i="53"/>
  <c r="P65" i="53"/>
  <c r="M65" i="53"/>
  <c r="P64" i="53"/>
  <c r="M64" i="53"/>
  <c r="P63" i="53"/>
  <c r="M63" i="53"/>
  <c r="P62" i="53"/>
  <c r="M62" i="53"/>
  <c r="P61" i="53"/>
  <c r="M61" i="53"/>
  <c r="P60" i="53"/>
  <c r="M60" i="53"/>
  <c r="P59" i="53"/>
  <c r="M59" i="53"/>
  <c r="P58" i="53"/>
  <c r="M58" i="53"/>
  <c r="P57" i="53"/>
  <c r="M57" i="53"/>
  <c r="P56" i="53"/>
  <c r="M56" i="53"/>
  <c r="P55" i="53"/>
  <c r="M55" i="53"/>
  <c r="P54" i="53"/>
  <c r="M54" i="53"/>
  <c r="P53" i="53"/>
  <c r="M53" i="53"/>
  <c r="P52" i="53"/>
  <c r="M52" i="53"/>
  <c r="P51" i="53"/>
  <c r="M51" i="53"/>
  <c r="P50" i="53"/>
  <c r="M50" i="53"/>
  <c r="P49" i="53"/>
  <c r="M49" i="53"/>
  <c r="P48" i="53"/>
  <c r="M48" i="53"/>
  <c r="P47" i="53"/>
  <c r="M47" i="53"/>
  <c r="P46" i="53"/>
  <c r="M46" i="53"/>
  <c r="P45" i="53"/>
  <c r="M45" i="53"/>
  <c r="P44" i="53"/>
  <c r="M44" i="53"/>
  <c r="P43" i="53"/>
  <c r="M43" i="53"/>
  <c r="P42" i="53"/>
  <c r="M42" i="53"/>
  <c r="P41" i="53"/>
  <c r="M41" i="53"/>
  <c r="P40" i="53"/>
  <c r="M40" i="53"/>
  <c r="P39" i="53"/>
  <c r="M39" i="53"/>
  <c r="P38" i="53"/>
  <c r="M38" i="53"/>
  <c r="P37" i="53"/>
  <c r="M37" i="53"/>
  <c r="P36" i="53"/>
  <c r="M36" i="53"/>
  <c r="P35" i="53"/>
  <c r="M35" i="53"/>
  <c r="P34" i="53"/>
  <c r="M34" i="53"/>
  <c r="P33" i="53"/>
  <c r="M33" i="53"/>
  <c r="P32" i="53"/>
  <c r="M32" i="53"/>
  <c r="P31" i="53"/>
  <c r="M31" i="53"/>
  <c r="P30" i="53"/>
  <c r="M30" i="53"/>
  <c r="P29" i="53"/>
  <c r="M29" i="53"/>
  <c r="P28" i="53"/>
  <c r="M28" i="53"/>
  <c r="P27" i="53"/>
  <c r="M27" i="53"/>
  <c r="P26" i="53"/>
  <c r="M26" i="53"/>
  <c r="P25" i="53"/>
  <c r="M25" i="53"/>
  <c r="P24" i="53"/>
  <c r="M24" i="53"/>
  <c r="P23" i="53"/>
  <c r="M23" i="53"/>
  <c r="P22" i="53"/>
  <c r="M22" i="53"/>
  <c r="P21" i="53"/>
  <c r="M21" i="53"/>
  <c r="P20" i="53"/>
  <c r="M20" i="53"/>
  <c r="P19" i="53"/>
  <c r="M19" i="53"/>
  <c r="P18" i="53"/>
  <c r="M18" i="53"/>
  <c r="P17" i="53"/>
  <c r="M17" i="53"/>
  <c r="P16" i="53"/>
  <c r="M16" i="53"/>
  <c r="P15" i="53"/>
  <c r="M15" i="53"/>
  <c r="P14" i="53"/>
  <c r="M14" i="53"/>
  <c r="P13" i="53"/>
  <c r="M13" i="53"/>
  <c r="P12" i="53"/>
  <c r="M12" i="53"/>
  <c r="P11" i="53"/>
  <c r="M11" i="53"/>
  <c r="P10" i="53"/>
  <c r="M10" i="53"/>
  <c r="P9" i="53"/>
  <c r="M9" i="53"/>
  <c r="P8" i="53"/>
  <c r="M8" i="53"/>
  <c r="P7" i="53"/>
  <c r="M7" i="53"/>
  <c r="P6" i="53"/>
  <c r="M6" i="53"/>
  <c r="V226" i="45"/>
  <c r="AB225" i="45"/>
  <c r="AA225" i="45"/>
  <c r="Y225" i="45"/>
  <c r="X225" i="45"/>
  <c r="W225" i="45"/>
  <c r="V225" i="45"/>
  <c r="U225" i="45"/>
  <c r="T225" i="45"/>
  <c r="S225" i="45"/>
  <c r="Q225" i="45"/>
  <c r="M225" i="45"/>
  <c r="L225" i="45"/>
  <c r="J225" i="45"/>
  <c r="I225" i="45"/>
  <c r="H225" i="45"/>
  <c r="G225" i="45"/>
  <c r="F225" i="45"/>
  <c r="E225" i="45"/>
  <c r="D225" i="45"/>
  <c r="C225" i="45"/>
  <c r="B225" i="45"/>
  <c r="AC224" i="45"/>
  <c r="AC225" i="45" s="1"/>
  <c r="R224" i="45"/>
  <c r="Z224" i="45" s="1"/>
  <c r="N224" i="45"/>
  <c r="N225" i="45" s="1"/>
  <c r="J224" i="45"/>
  <c r="K224" i="45" s="1"/>
  <c r="AB222" i="45"/>
  <c r="Y222" i="45"/>
  <c r="Y226" i="45" s="1"/>
  <c r="X222" i="45"/>
  <c r="X226" i="45" s="1"/>
  <c r="W222" i="45"/>
  <c r="W226" i="45" s="1"/>
  <c r="V222" i="45"/>
  <c r="U222" i="45"/>
  <c r="S222" i="45"/>
  <c r="R222" i="45"/>
  <c r="Q222" i="45"/>
  <c r="M222" i="45"/>
  <c r="L222" i="45"/>
  <c r="I222" i="45"/>
  <c r="H222" i="45"/>
  <c r="G222" i="45"/>
  <c r="G226" i="45" s="1"/>
  <c r="F222" i="45"/>
  <c r="E222" i="45"/>
  <c r="E226" i="45" s="1"/>
  <c r="D222" i="45"/>
  <c r="C222" i="45"/>
  <c r="C226" i="45" s="1"/>
  <c r="B222" i="45"/>
  <c r="AH221" i="45"/>
  <c r="AA221" i="45"/>
  <c r="AC221" i="45" s="1"/>
  <c r="R221" i="45"/>
  <c r="Z221" i="45" s="1"/>
  <c r="N221" i="45"/>
  <c r="K221" i="45"/>
  <c r="O221" i="45" s="1"/>
  <c r="J221" i="45"/>
  <c r="AH220" i="45"/>
  <c r="AA220" i="45"/>
  <c r="AC220" i="45" s="1"/>
  <c r="T220" i="45"/>
  <c r="R220" i="45"/>
  <c r="N220" i="45"/>
  <c r="J220" i="45"/>
  <c r="K220" i="45" s="1"/>
  <c r="O220" i="45" s="1"/>
  <c r="AH219" i="45"/>
  <c r="AH222" i="45" s="1"/>
  <c r="AC219" i="45"/>
  <c r="T219" i="45"/>
  <c r="T222" i="45" s="1"/>
  <c r="T226" i="45" s="1"/>
  <c r="R219" i="45"/>
  <c r="N219" i="45"/>
  <c r="J219" i="45"/>
  <c r="Y214" i="45"/>
  <c r="X214" i="45"/>
  <c r="W214" i="45"/>
  <c r="V214" i="45"/>
  <c r="U214" i="45"/>
  <c r="T214" i="45"/>
  <c r="S214" i="45"/>
  <c r="Q214" i="45"/>
  <c r="J214" i="45"/>
  <c r="I214" i="45"/>
  <c r="H214" i="45"/>
  <c r="G214" i="45"/>
  <c r="F214" i="45"/>
  <c r="E214" i="45"/>
  <c r="D214" i="45"/>
  <c r="B214" i="45"/>
  <c r="AH213" i="45"/>
  <c r="AB213" i="45"/>
  <c r="AA213" i="45"/>
  <c r="AC213" i="45" s="1"/>
  <c r="R213" i="45"/>
  <c r="Z213" i="45" s="1"/>
  <c r="M213" i="45"/>
  <c r="L213" i="45"/>
  <c r="N213" i="45" s="1"/>
  <c r="C213" i="45"/>
  <c r="K213" i="45" s="1"/>
  <c r="AH212" i="45"/>
  <c r="AB212" i="45"/>
  <c r="AA212" i="45"/>
  <c r="AC212" i="45" s="1"/>
  <c r="R212" i="45"/>
  <c r="Z212" i="45" s="1"/>
  <c r="M212" i="45"/>
  <c r="L212" i="45"/>
  <c r="K212" i="45"/>
  <c r="C212" i="45"/>
  <c r="AH211" i="45"/>
  <c r="AB211" i="45"/>
  <c r="AA211" i="45"/>
  <c r="R211" i="45"/>
  <c r="M211" i="45"/>
  <c r="L211" i="45"/>
  <c r="L214" i="45" s="1"/>
  <c r="C211" i="45"/>
  <c r="C214" i="45" s="1"/>
  <c r="Y209" i="45"/>
  <c r="X209" i="45"/>
  <c r="W209" i="45"/>
  <c r="V209" i="45"/>
  <c r="U209" i="45"/>
  <c r="T209" i="45"/>
  <c r="S209" i="45"/>
  <c r="Q209" i="45"/>
  <c r="J209" i="45"/>
  <c r="I209" i="45"/>
  <c r="H209" i="45"/>
  <c r="G209" i="45"/>
  <c r="F209" i="45"/>
  <c r="E209" i="45"/>
  <c r="D209" i="45"/>
  <c r="B209" i="45"/>
  <c r="AH208" i="45"/>
  <c r="AB208" i="45"/>
  <c r="AA208" i="45"/>
  <c r="AC208" i="45" s="1"/>
  <c r="R208" i="45"/>
  <c r="Z208" i="45" s="1"/>
  <c r="M208" i="45"/>
  <c r="L208" i="45"/>
  <c r="C208" i="45"/>
  <c r="K208" i="45" s="1"/>
  <c r="AH207" i="45"/>
  <c r="AB207" i="45"/>
  <c r="AA207" i="45"/>
  <c r="R207" i="45"/>
  <c r="Z207" i="45" s="1"/>
  <c r="M207" i="45"/>
  <c r="L207" i="45"/>
  <c r="C207" i="45"/>
  <c r="C209" i="45" s="1"/>
  <c r="AH206" i="45"/>
  <c r="AB206" i="45"/>
  <c r="AA206" i="45"/>
  <c r="AA209" i="45" s="1"/>
  <c r="R206" i="45"/>
  <c r="M206" i="45"/>
  <c r="L206" i="45"/>
  <c r="C206" i="45"/>
  <c r="K206" i="45" s="1"/>
  <c r="Y204" i="45"/>
  <c r="X204" i="45"/>
  <c r="W204" i="45"/>
  <c r="V204" i="45"/>
  <c r="U204" i="45"/>
  <c r="T204" i="45"/>
  <c r="S204" i="45"/>
  <c r="Q204" i="45"/>
  <c r="J204" i="45"/>
  <c r="I204" i="45"/>
  <c r="H204" i="45"/>
  <c r="G204" i="45"/>
  <c r="F204" i="45"/>
  <c r="E204" i="45"/>
  <c r="D204" i="45"/>
  <c r="B204" i="45"/>
  <c r="AH203" i="45"/>
  <c r="AB203" i="45"/>
  <c r="AA203" i="45"/>
  <c r="AC203" i="45" s="1"/>
  <c r="R203" i="45"/>
  <c r="Z203" i="45" s="1"/>
  <c r="M203" i="45"/>
  <c r="L203" i="45"/>
  <c r="N203" i="45" s="1"/>
  <c r="C203" i="45"/>
  <c r="K203" i="45" s="1"/>
  <c r="AH202" i="45"/>
  <c r="AB202" i="45"/>
  <c r="AA202" i="45"/>
  <c r="AC202" i="45" s="1"/>
  <c r="R202" i="45"/>
  <c r="Z202" i="45" s="1"/>
  <c r="AD202" i="45" s="1"/>
  <c r="AE202" i="45" s="1"/>
  <c r="AI202" i="45" s="1"/>
  <c r="M202" i="45"/>
  <c r="L202" i="45"/>
  <c r="C202" i="45"/>
  <c r="K202" i="45" s="1"/>
  <c r="AH201" i="45"/>
  <c r="AB201" i="45"/>
  <c r="AA201" i="45"/>
  <c r="AC201" i="45" s="1"/>
  <c r="R201" i="45"/>
  <c r="Z201" i="45" s="1"/>
  <c r="M201" i="45"/>
  <c r="L201" i="45"/>
  <c r="N201" i="45" s="1"/>
  <c r="C201" i="45"/>
  <c r="K201" i="45" s="1"/>
  <c r="AH200" i="45"/>
  <c r="AB200" i="45"/>
  <c r="AA200" i="45"/>
  <c r="AC200" i="45" s="1"/>
  <c r="R200" i="45"/>
  <c r="Z200" i="45" s="1"/>
  <c r="M200" i="45"/>
  <c r="L200" i="45"/>
  <c r="C200" i="45"/>
  <c r="K200" i="45" s="1"/>
  <c r="AH199" i="45"/>
  <c r="AH204" i="45" s="1"/>
  <c r="AB199" i="45"/>
  <c r="AA199" i="45"/>
  <c r="R199" i="45"/>
  <c r="M199" i="45"/>
  <c r="L199" i="45"/>
  <c r="L204" i="45" s="1"/>
  <c r="C199" i="45"/>
  <c r="K199" i="45" s="1"/>
  <c r="Y197" i="45"/>
  <c r="X197" i="45"/>
  <c r="W197" i="45"/>
  <c r="V197" i="45"/>
  <c r="U197" i="45"/>
  <c r="T197" i="45"/>
  <c r="S197" i="45"/>
  <c r="Q197" i="45"/>
  <c r="J197" i="45"/>
  <c r="I197" i="45"/>
  <c r="H197" i="45"/>
  <c r="G197" i="45"/>
  <c r="F197" i="45"/>
  <c r="F215" i="45" s="1"/>
  <c r="E197" i="45"/>
  <c r="D197" i="45"/>
  <c r="D215" i="45" s="1"/>
  <c r="C197" i="45"/>
  <c r="B197" i="45"/>
  <c r="AH196" i="45"/>
  <c r="AB196" i="45"/>
  <c r="AA196" i="45"/>
  <c r="AC196" i="45" s="1"/>
  <c r="R196" i="45"/>
  <c r="Z196" i="45" s="1"/>
  <c r="M196" i="45"/>
  <c r="L196" i="45"/>
  <c r="N196" i="45" s="1"/>
  <c r="C196" i="45"/>
  <c r="K196" i="45" s="1"/>
  <c r="AH195" i="45"/>
  <c r="AB195" i="45"/>
  <c r="AA195" i="45"/>
  <c r="AC195" i="45" s="1"/>
  <c r="R195" i="45"/>
  <c r="Z195" i="45" s="1"/>
  <c r="M195" i="45"/>
  <c r="L195" i="45"/>
  <c r="K195" i="45"/>
  <c r="C195" i="45"/>
  <c r="AH194" i="45"/>
  <c r="AB194" i="45"/>
  <c r="AA194" i="45"/>
  <c r="AC194" i="45" s="1"/>
  <c r="R194" i="45"/>
  <c r="Z194" i="45" s="1"/>
  <c r="M194" i="45"/>
  <c r="L194" i="45"/>
  <c r="N194" i="45" s="1"/>
  <c r="C194" i="45"/>
  <c r="K194" i="45" s="1"/>
  <c r="AH193" i="45"/>
  <c r="AB193" i="45"/>
  <c r="AB197" i="45" s="1"/>
  <c r="AA193" i="45"/>
  <c r="R193" i="45"/>
  <c r="M193" i="45"/>
  <c r="L193" i="45"/>
  <c r="L197" i="45" s="1"/>
  <c r="K193" i="45"/>
  <c r="C193" i="45"/>
  <c r="AB189" i="45"/>
  <c r="AA189" i="45"/>
  <c r="Y189" i="45"/>
  <c r="X189" i="45"/>
  <c r="W189" i="45"/>
  <c r="V189" i="45"/>
  <c r="U189" i="45"/>
  <c r="T189" i="45"/>
  <c r="S189" i="45"/>
  <c r="R189" i="45"/>
  <c r="Q189" i="45"/>
  <c r="M189" i="45"/>
  <c r="L189" i="45"/>
  <c r="J189" i="45"/>
  <c r="I189" i="45"/>
  <c r="H189" i="45"/>
  <c r="G189" i="45"/>
  <c r="F189" i="45"/>
  <c r="E189" i="45"/>
  <c r="D189" i="45"/>
  <c r="B189" i="45"/>
  <c r="AH188" i="45"/>
  <c r="AC188" i="45"/>
  <c r="Z188" i="45"/>
  <c r="AD188" i="45" s="1"/>
  <c r="AE188" i="45" s="1"/>
  <c r="AI188" i="45" s="1"/>
  <c r="N188" i="45"/>
  <c r="C188" i="45"/>
  <c r="K188" i="45" s="1"/>
  <c r="O188" i="45" s="1"/>
  <c r="AH187" i="45"/>
  <c r="AC187" i="45"/>
  <c r="Z187" i="45"/>
  <c r="N187" i="45"/>
  <c r="C187" i="45"/>
  <c r="K187" i="45" s="1"/>
  <c r="O187" i="45" s="1"/>
  <c r="AH186" i="45"/>
  <c r="AC186" i="45"/>
  <c r="Z186" i="45"/>
  <c r="N186" i="45"/>
  <c r="C186" i="45"/>
  <c r="K186" i="45" s="1"/>
  <c r="O186" i="45" s="1"/>
  <c r="AH185" i="45"/>
  <c r="AC185" i="45"/>
  <c r="Z185" i="45"/>
  <c r="N185" i="45"/>
  <c r="C185" i="45"/>
  <c r="K185" i="45" s="1"/>
  <c r="O185" i="45" s="1"/>
  <c r="AH184" i="45"/>
  <c r="AC184" i="45"/>
  <c r="Z184" i="45"/>
  <c r="N184" i="45"/>
  <c r="C184" i="45"/>
  <c r="K184" i="45" s="1"/>
  <c r="O184" i="45" s="1"/>
  <c r="AH183" i="45"/>
  <c r="AC183" i="45"/>
  <c r="Z183" i="45"/>
  <c r="N183" i="45"/>
  <c r="C183" i="45"/>
  <c r="K183" i="45" s="1"/>
  <c r="O183" i="45" s="1"/>
  <c r="AH182" i="45"/>
  <c r="AC182" i="45"/>
  <c r="Z182" i="45"/>
  <c r="AD182" i="45" s="1"/>
  <c r="AE182" i="45" s="1"/>
  <c r="AI182" i="45" s="1"/>
  <c r="N182" i="45"/>
  <c r="C182" i="45"/>
  <c r="K182" i="45" s="1"/>
  <c r="O182" i="45" s="1"/>
  <c r="AH181" i="45"/>
  <c r="AC181" i="45"/>
  <c r="Z181" i="45"/>
  <c r="N181" i="45"/>
  <c r="C181" i="45"/>
  <c r="K181" i="45" s="1"/>
  <c r="O181" i="45" s="1"/>
  <c r="AH180" i="45"/>
  <c r="AC180" i="45"/>
  <c r="Z180" i="45"/>
  <c r="AD180" i="45" s="1"/>
  <c r="AE180" i="45" s="1"/>
  <c r="AI180" i="45" s="1"/>
  <c r="N180" i="45"/>
  <c r="K180" i="45"/>
  <c r="O180" i="45" s="1"/>
  <c r="C180" i="45"/>
  <c r="AH179" i="45"/>
  <c r="AC179" i="45"/>
  <c r="Z179" i="45"/>
  <c r="N179" i="45"/>
  <c r="C179" i="45"/>
  <c r="K179" i="45" s="1"/>
  <c r="O179" i="45" s="1"/>
  <c r="AH178" i="45"/>
  <c r="AC178" i="45"/>
  <c r="Z178" i="45"/>
  <c r="AD178" i="45" s="1"/>
  <c r="AE178" i="45" s="1"/>
  <c r="AI178" i="45" s="1"/>
  <c r="N178" i="45"/>
  <c r="K178" i="45"/>
  <c r="O178" i="45" s="1"/>
  <c r="C178" i="45"/>
  <c r="AH177" i="45"/>
  <c r="AC177" i="45"/>
  <c r="Z177" i="45"/>
  <c r="N177" i="45"/>
  <c r="C177" i="45"/>
  <c r="K177" i="45" s="1"/>
  <c r="AH176" i="45"/>
  <c r="AC176" i="45"/>
  <c r="Z176" i="45"/>
  <c r="AD176" i="45" s="1"/>
  <c r="AE176" i="45" s="1"/>
  <c r="AI176" i="45" s="1"/>
  <c r="N176" i="45"/>
  <c r="C176" i="45"/>
  <c r="K176" i="45" s="1"/>
  <c r="O176" i="45" s="1"/>
  <c r="AH175" i="45"/>
  <c r="AC175" i="45"/>
  <c r="Z175" i="45"/>
  <c r="N175" i="45"/>
  <c r="C175" i="45"/>
  <c r="K175" i="45" s="1"/>
  <c r="AH174" i="45"/>
  <c r="AC174" i="45"/>
  <c r="Z174" i="45"/>
  <c r="AD174" i="45" s="1"/>
  <c r="AE174" i="45" s="1"/>
  <c r="AI174" i="45" s="1"/>
  <c r="N174" i="45"/>
  <c r="C174" i="45"/>
  <c r="K174" i="45" s="1"/>
  <c r="O174" i="45" s="1"/>
  <c r="AH173" i="45"/>
  <c r="AC173" i="45"/>
  <c r="Z173" i="45"/>
  <c r="N173" i="45"/>
  <c r="C173" i="45"/>
  <c r="K173" i="45" s="1"/>
  <c r="O173" i="45" s="1"/>
  <c r="AH172" i="45"/>
  <c r="AC172" i="45"/>
  <c r="Z172" i="45"/>
  <c r="AD172" i="45" s="1"/>
  <c r="AE172" i="45" s="1"/>
  <c r="AI172" i="45" s="1"/>
  <c r="N172" i="45"/>
  <c r="K172" i="45"/>
  <c r="C172" i="45"/>
  <c r="AH171" i="45"/>
  <c r="AC171" i="45"/>
  <c r="Z171" i="45"/>
  <c r="N171" i="45"/>
  <c r="C171" i="45"/>
  <c r="K171" i="45" s="1"/>
  <c r="O171" i="45" s="1"/>
  <c r="AH170" i="45"/>
  <c r="AC170" i="45"/>
  <c r="Z170" i="45"/>
  <c r="AD170" i="45" s="1"/>
  <c r="AE170" i="45" s="1"/>
  <c r="AI170" i="45" s="1"/>
  <c r="N170" i="45"/>
  <c r="K170" i="45"/>
  <c r="O170" i="45" s="1"/>
  <c r="C170" i="45"/>
  <c r="AH169" i="45"/>
  <c r="AC169" i="45"/>
  <c r="Z169" i="45"/>
  <c r="N169" i="45"/>
  <c r="C169" i="45"/>
  <c r="K169" i="45" s="1"/>
  <c r="AH168" i="45"/>
  <c r="AC168" i="45"/>
  <c r="Z168" i="45"/>
  <c r="AD168" i="45" s="1"/>
  <c r="AE168" i="45" s="1"/>
  <c r="AI168" i="45" s="1"/>
  <c r="N168" i="45"/>
  <c r="C168" i="45"/>
  <c r="K168" i="45" s="1"/>
  <c r="O168" i="45" s="1"/>
  <c r="AH167" i="45"/>
  <c r="AC167" i="45"/>
  <c r="Z167" i="45"/>
  <c r="N167" i="45"/>
  <c r="C167" i="45"/>
  <c r="K167" i="45" s="1"/>
  <c r="AH166" i="45"/>
  <c r="AC166" i="45"/>
  <c r="Z166" i="45"/>
  <c r="AD166" i="45" s="1"/>
  <c r="AE166" i="45" s="1"/>
  <c r="AI166" i="45" s="1"/>
  <c r="N166" i="45"/>
  <c r="K166" i="45"/>
  <c r="AH165" i="45"/>
  <c r="AC165" i="45"/>
  <c r="Z165" i="45"/>
  <c r="AD165" i="45" s="1"/>
  <c r="AE165" i="45" s="1"/>
  <c r="AI165" i="45" s="1"/>
  <c r="N165" i="45"/>
  <c r="C165" i="45"/>
  <c r="K165" i="45" s="1"/>
  <c r="O165" i="45" s="1"/>
  <c r="AH164" i="45"/>
  <c r="AC164" i="45"/>
  <c r="Z164" i="45"/>
  <c r="N164" i="45"/>
  <c r="C164" i="45"/>
  <c r="K164" i="45" s="1"/>
  <c r="AH163" i="45"/>
  <c r="AC163" i="45"/>
  <c r="Z163" i="45"/>
  <c r="AD163" i="45" s="1"/>
  <c r="AE163" i="45" s="1"/>
  <c r="AI163" i="45" s="1"/>
  <c r="N163" i="45"/>
  <c r="C163" i="45"/>
  <c r="K163" i="45" s="1"/>
  <c r="O163" i="45" s="1"/>
  <c r="AH162" i="45"/>
  <c r="AC162" i="45"/>
  <c r="Z162" i="45"/>
  <c r="N162" i="45"/>
  <c r="C162" i="45"/>
  <c r="K162" i="45" s="1"/>
  <c r="O162" i="45" s="1"/>
  <c r="AH161" i="45"/>
  <c r="AC161" i="45"/>
  <c r="Z161" i="45"/>
  <c r="AD161" i="45" s="1"/>
  <c r="AE161" i="45" s="1"/>
  <c r="AI161" i="45" s="1"/>
  <c r="N161" i="45"/>
  <c r="C161" i="45"/>
  <c r="K161" i="45" s="1"/>
  <c r="O161" i="45" s="1"/>
  <c r="AH160" i="45"/>
  <c r="AC160" i="45"/>
  <c r="Z160" i="45"/>
  <c r="N160" i="45"/>
  <c r="K160" i="45"/>
  <c r="O160" i="45" s="1"/>
  <c r="AH159" i="45"/>
  <c r="AC159" i="45"/>
  <c r="Z159" i="45"/>
  <c r="N159" i="45"/>
  <c r="C159" i="45"/>
  <c r="K159" i="45" s="1"/>
  <c r="AH158" i="45"/>
  <c r="AC158" i="45"/>
  <c r="Z158" i="45"/>
  <c r="AD158" i="45" s="1"/>
  <c r="AE158" i="45" s="1"/>
  <c r="AI158" i="45" s="1"/>
  <c r="N158" i="45"/>
  <c r="C158" i="45"/>
  <c r="K158" i="45" s="1"/>
  <c r="O158" i="45" s="1"/>
  <c r="AH157" i="45"/>
  <c r="AC157" i="45"/>
  <c r="Z157" i="45"/>
  <c r="N157" i="45"/>
  <c r="C157" i="45"/>
  <c r="K157" i="45" s="1"/>
  <c r="AH156" i="45"/>
  <c r="AC156" i="45"/>
  <c r="Z156" i="45"/>
  <c r="N156" i="45"/>
  <c r="C156" i="45"/>
  <c r="K156" i="45" s="1"/>
  <c r="O156" i="45" s="1"/>
  <c r="AH155" i="45"/>
  <c r="AC155" i="45"/>
  <c r="Z155" i="45"/>
  <c r="AD155" i="45" s="1"/>
  <c r="N155" i="45"/>
  <c r="C155" i="45"/>
  <c r="AB153" i="45"/>
  <c r="AA153" i="45"/>
  <c r="Y153" i="45"/>
  <c r="X153" i="45"/>
  <c r="W153" i="45"/>
  <c r="V153" i="45"/>
  <c r="U153" i="45"/>
  <c r="T153" i="45"/>
  <c r="S153" i="45"/>
  <c r="R153" i="45"/>
  <c r="Q153" i="45"/>
  <c r="M153" i="45"/>
  <c r="L153" i="45"/>
  <c r="J153" i="45"/>
  <c r="I153" i="45"/>
  <c r="H153" i="45"/>
  <c r="G153" i="45"/>
  <c r="F153" i="45"/>
  <c r="E153" i="45"/>
  <c r="D153" i="45"/>
  <c r="B153" i="45"/>
  <c r="AH152" i="45"/>
  <c r="AC152" i="45"/>
  <c r="R152" i="45"/>
  <c r="Z152" i="45" s="1"/>
  <c r="AD152" i="45" s="1"/>
  <c r="AE152" i="45" s="1"/>
  <c r="AI152" i="45" s="1"/>
  <c r="N152" i="45"/>
  <c r="N153" i="45" s="1"/>
  <c r="C152" i="45"/>
  <c r="K152" i="45" s="1"/>
  <c r="AH151" i="45"/>
  <c r="AH153" i="45" s="1"/>
  <c r="AC151" i="45"/>
  <c r="Z151" i="45"/>
  <c r="N151" i="45"/>
  <c r="C151" i="45"/>
  <c r="K151" i="45" s="1"/>
  <c r="O151" i="45" s="1"/>
  <c r="AH150" i="45"/>
  <c r="AC150" i="45"/>
  <c r="Z150" i="45"/>
  <c r="N150" i="45"/>
  <c r="C150" i="45"/>
  <c r="AB148" i="45"/>
  <c r="AA148" i="45"/>
  <c r="Y148" i="45"/>
  <c r="X148" i="45"/>
  <c r="W148" i="45"/>
  <c r="V148" i="45"/>
  <c r="U148" i="45"/>
  <c r="S148" i="45"/>
  <c r="Q148" i="45"/>
  <c r="M148" i="45"/>
  <c r="L148" i="45"/>
  <c r="J148" i="45"/>
  <c r="I148" i="45"/>
  <c r="H148" i="45"/>
  <c r="G148" i="45"/>
  <c r="F148" i="45"/>
  <c r="E148" i="45"/>
  <c r="D148" i="45"/>
  <c r="B148" i="45"/>
  <c r="AH147" i="45"/>
  <c r="AC147" i="45"/>
  <c r="T147" i="45"/>
  <c r="R147" i="45"/>
  <c r="Z147" i="45" s="1"/>
  <c r="AD147" i="45" s="1"/>
  <c r="AE147" i="45" s="1"/>
  <c r="AI147" i="45" s="1"/>
  <c r="N147" i="45"/>
  <c r="C147" i="45"/>
  <c r="K147" i="45" s="1"/>
  <c r="O147" i="45" s="1"/>
  <c r="AH146" i="45"/>
  <c r="AC146" i="45"/>
  <c r="T146" i="45"/>
  <c r="R146" i="45"/>
  <c r="Z146" i="45" s="1"/>
  <c r="AD146" i="45" s="1"/>
  <c r="AE146" i="45" s="1"/>
  <c r="AI146" i="45" s="1"/>
  <c r="N146" i="45"/>
  <c r="C146" i="45"/>
  <c r="K146" i="45" s="1"/>
  <c r="AH145" i="45"/>
  <c r="AC145" i="45"/>
  <c r="T145" i="45"/>
  <c r="R145" i="45"/>
  <c r="Z145" i="45" s="1"/>
  <c r="AD145" i="45" s="1"/>
  <c r="AE145" i="45" s="1"/>
  <c r="AI145" i="45" s="1"/>
  <c r="N145" i="45"/>
  <c r="C145" i="45"/>
  <c r="K145" i="45" s="1"/>
  <c r="O145" i="45" s="1"/>
  <c r="AH144" i="45"/>
  <c r="AC144" i="45"/>
  <c r="T144" i="45"/>
  <c r="R144" i="45"/>
  <c r="N144" i="45"/>
  <c r="C144" i="45"/>
  <c r="K144" i="45" s="1"/>
  <c r="AH143" i="45"/>
  <c r="AC143" i="45"/>
  <c r="T143" i="45"/>
  <c r="R143" i="45"/>
  <c r="N143" i="45"/>
  <c r="C143" i="45"/>
  <c r="K143" i="45" s="1"/>
  <c r="O143" i="45" s="1"/>
  <c r="AH142" i="45"/>
  <c r="AC142" i="45"/>
  <c r="T142" i="45"/>
  <c r="R142" i="45"/>
  <c r="Z142" i="45" s="1"/>
  <c r="N142" i="45"/>
  <c r="C142" i="45"/>
  <c r="K142" i="45" s="1"/>
  <c r="AH141" i="45"/>
  <c r="AC141" i="45"/>
  <c r="T141" i="45"/>
  <c r="R141" i="45"/>
  <c r="Z141" i="45" s="1"/>
  <c r="AD141" i="45" s="1"/>
  <c r="AE141" i="45" s="1"/>
  <c r="AI141" i="45" s="1"/>
  <c r="N141" i="45"/>
  <c r="C141" i="45"/>
  <c r="K141" i="45" s="1"/>
  <c r="O141" i="45" s="1"/>
  <c r="AH140" i="45"/>
  <c r="AC140" i="45"/>
  <c r="T140" i="45"/>
  <c r="R140" i="45"/>
  <c r="N140" i="45"/>
  <c r="C140" i="45"/>
  <c r="K140" i="45" s="1"/>
  <c r="AH139" i="45"/>
  <c r="AC139" i="45"/>
  <c r="T139" i="45"/>
  <c r="R139" i="45"/>
  <c r="N139" i="45"/>
  <c r="C139" i="45"/>
  <c r="K139" i="45" s="1"/>
  <c r="O139" i="45" s="1"/>
  <c r="AH138" i="45"/>
  <c r="AC138" i="45"/>
  <c r="T138" i="45"/>
  <c r="R138" i="45"/>
  <c r="Z138" i="45" s="1"/>
  <c r="AD138" i="45" s="1"/>
  <c r="AE138" i="45" s="1"/>
  <c r="AI138" i="45" s="1"/>
  <c r="N138" i="45"/>
  <c r="C138" i="45"/>
  <c r="K138" i="45" s="1"/>
  <c r="AH137" i="45"/>
  <c r="AC137" i="45"/>
  <c r="T137" i="45"/>
  <c r="R137" i="45"/>
  <c r="Z137" i="45" s="1"/>
  <c r="AD137" i="45" s="1"/>
  <c r="AE137" i="45" s="1"/>
  <c r="AI137" i="45" s="1"/>
  <c r="N137" i="45"/>
  <c r="K137" i="45"/>
  <c r="C137" i="45"/>
  <c r="AH136" i="45"/>
  <c r="AC136" i="45"/>
  <c r="T136" i="45"/>
  <c r="R136" i="45"/>
  <c r="N136" i="45"/>
  <c r="C136" i="45"/>
  <c r="K136" i="45" s="1"/>
  <c r="O136" i="45" s="1"/>
  <c r="AH135" i="45"/>
  <c r="AC135" i="45"/>
  <c r="T135" i="45"/>
  <c r="R135" i="45"/>
  <c r="Z135" i="45" s="1"/>
  <c r="AD135" i="45" s="1"/>
  <c r="AE135" i="45" s="1"/>
  <c r="AI135" i="45" s="1"/>
  <c r="N135" i="45"/>
  <c r="C135" i="45"/>
  <c r="K135" i="45" s="1"/>
  <c r="O135" i="45" s="1"/>
  <c r="AH134" i="45"/>
  <c r="AC134" i="45"/>
  <c r="T134" i="45"/>
  <c r="R134" i="45"/>
  <c r="Z134" i="45" s="1"/>
  <c r="AD134" i="45" s="1"/>
  <c r="AE134" i="45" s="1"/>
  <c r="AI134" i="45" s="1"/>
  <c r="N134" i="45"/>
  <c r="C134" i="45"/>
  <c r="K134" i="45" s="1"/>
  <c r="AH133" i="45"/>
  <c r="AC133" i="45"/>
  <c r="T133" i="45"/>
  <c r="R133" i="45"/>
  <c r="Z133" i="45" s="1"/>
  <c r="AD133" i="45" s="1"/>
  <c r="AE133" i="45" s="1"/>
  <c r="AI133" i="45" s="1"/>
  <c r="N133" i="45"/>
  <c r="K133" i="45"/>
  <c r="O133" i="45" s="1"/>
  <c r="C133" i="45"/>
  <c r="AH132" i="45"/>
  <c r="AC132" i="45"/>
  <c r="T132" i="45"/>
  <c r="R132" i="45"/>
  <c r="N132" i="45"/>
  <c r="C132" i="45"/>
  <c r="K132" i="45" s="1"/>
  <c r="O132" i="45" s="1"/>
  <c r="AH131" i="45"/>
  <c r="AC131" i="45"/>
  <c r="T131" i="45"/>
  <c r="R131" i="45"/>
  <c r="Z131" i="45" s="1"/>
  <c r="N131" i="45"/>
  <c r="C131" i="45"/>
  <c r="K131" i="45" s="1"/>
  <c r="O131" i="45" s="1"/>
  <c r="AH130" i="45"/>
  <c r="AC130" i="45"/>
  <c r="T130" i="45"/>
  <c r="R130" i="45"/>
  <c r="Z130" i="45" s="1"/>
  <c r="N130" i="45"/>
  <c r="C130" i="45"/>
  <c r="K130" i="45" s="1"/>
  <c r="AH129" i="45"/>
  <c r="AC129" i="45"/>
  <c r="T129" i="45"/>
  <c r="R129" i="45"/>
  <c r="Z129" i="45" s="1"/>
  <c r="AD129" i="45" s="1"/>
  <c r="AE129" i="45" s="1"/>
  <c r="AI129" i="45" s="1"/>
  <c r="N129" i="45"/>
  <c r="C129" i="45"/>
  <c r="K129" i="45" s="1"/>
  <c r="O129" i="45" s="1"/>
  <c r="AH128" i="45"/>
  <c r="AC128" i="45"/>
  <c r="T128" i="45"/>
  <c r="R128" i="45"/>
  <c r="N128" i="45"/>
  <c r="C128" i="45"/>
  <c r="K128" i="45" s="1"/>
  <c r="AH127" i="45"/>
  <c r="AC127" i="45"/>
  <c r="T127" i="45"/>
  <c r="R127" i="45"/>
  <c r="N127" i="45"/>
  <c r="C127" i="45"/>
  <c r="K127" i="45" s="1"/>
  <c r="O127" i="45" s="1"/>
  <c r="AH126" i="45"/>
  <c r="AC126" i="45"/>
  <c r="T126" i="45"/>
  <c r="R126" i="45"/>
  <c r="Z126" i="45" s="1"/>
  <c r="AD126" i="45" s="1"/>
  <c r="AE126" i="45" s="1"/>
  <c r="AI126" i="45" s="1"/>
  <c r="N126" i="45"/>
  <c r="C126" i="45"/>
  <c r="K126" i="45" s="1"/>
  <c r="AH125" i="45"/>
  <c r="AC125" i="45"/>
  <c r="T125" i="45"/>
  <c r="R125" i="45"/>
  <c r="Z125" i="45" s="1"/>
  <c r="N125" i="45"/>
  <c r="K125" i="45"/>
  <c r="O125" i="45" s="1"/>
  <c r="C125" i="45"/>
  <c r="AH124" i="45"/>
  <c r="AC124" i="45"/>
  <c r="T124" i="45"/>
  <c r="R124" i="45"/>
  <c r="N124" i="45"/>
  <c r="C124" i="45"/>
  <c r="K124" i="45" s="1"/>
  <c r="O124" i="45" s="1"/>
  <c r="AH123" i="45"/>
  <c r="AC123" i="45"/>
  <c r="T123" i="45"/>
  <c r="R123" i="45"/>
  <c r="Z123" i="45" s="1"/>
  <c r="AD123" i="45" s="1"/>
  <c r="AE123" i="45" s="1"/>
  <c r="AI123" i="45" s="1"/>
  <c r="N123" i="45"/>
  <c r="C123" i="45"/>
  <c r="K123" i="45" s="1"/>
  <c r="O123" i="45" s="1"/>
  <c r="AH122" i="45"/>
  <c r="AC122" i="45"/>
  <c r="T122" i="45"/>
  <c r="R122" i="45"/>
  <c r="N122" i="45"/>
  <c r="C122" i="45"/>
  <c r="K122" i="45" s="1"/>
  <c r="AH121" i="45"/>
  <c r="AC121" i="45"/>
  <c r="T121" i="45"/>
  <c r="R121" i="45"/>
  <c r="Z121" i="45" s="1"/>
  <c r="AD121" i="45" s="1"/>
  <c r="AE121" i="45" s="1"/>
  <c r="AI121" i="45" s="1"/>
  <c r="N121" i="45"/>
  <c r="C121" i="45"/>
  <c r="K121" i="45" s="1"/>
  <c r="O121" i="45" s="1"/>
  <c r="AH120" i="45"/>
  <c r="AC120" i="45"/>
  <c r="T120" i="45"/>
  <c r="R120" i="45"/>
  <c r="N120" i="45"/>
  <c r="C120" i="45"/>
  <c r="K120" i="45" s="1"/>
  <c r="AH119" i="45"/>
  <c r="AC119" i="45"/>
  <c r="T119" i="45"/>
  <c r="R119" i="45"/>
  <c r="Z119" i="45" s="1"/>
  <c r="AD119" i="45" s="1"/>
  <c r="AE119" i="45" s="1"/>
  <c r="AI119" i="45" s="1"/>
  <c r="N119" i="45"/>
  <c r="C119" i="45"/>
  <c r="K119" i="45" s="1"/>
  <c r="O119" i="45" s="1"/>
  <c r="AH118" i="45"/>
  <c r="AC118" i="45"/>
  <c r="T118" i="45"/>
  <c r="R118" i="45"/>
  <c r="Z118" i="45" s="1"/>
  <c r="AD118" i="45" s="1"/>
  <c r="AE118" i="45" s="1"/>
  <c r="AI118" i="45" s="1"/>
  <c r="N118" i="45"/>
  <c r="C118" i="45"/>
  <c r="K118" i="45" s="1"/>
  <c r="AH117" i="45"/>
  <c r="AC117" i="45"/>
  <c r="T117" i="45"/>
  <c r="R117" i="45"/>
  <c r="N117" i="45"/>
  <c r="C117" i="45"/>
  <c r="K117" i="45" s="1"/>
  <c r="O117" i="45" s="1"/>
  <c r="AH116" i="45"/>
  <c r="AC116" i="45"/>
  <c r="T116" i="45"/>
  <c r="R116" i="45"/>
  <c r="N116" i="45"/>
  <c r="C116" i="45"/>
  <c r="AB114" i="45"/>
  <c r="AB190" i="45" s="1"/>
  <c r="Y114" i="45"/>
  <c r="X114" i="45"/>
  <c r="X190" i="45" s="1"/>
  <c r="W114" i="45"/>
  <c r="V114" i="45"/>
  <c r="U114" i="45"/>
  <c r="T114" i="45"/>
  <c r="S114" i="45"/>
  <c r="Q114" i="45"/>
  <c r="M114" i="45"/>
  <c r="L114" i="45"/>
  <c r="J114" i="45"/>
  <c r="I114" i="45"/>
  <c r="I190" i="45" s="1"/>
  <c r="H114" i="45"/>
  <c r="H190" i="45" s="1"/>
  <c r="G114" i="45"/>
  <c r="G190" i="45" s="1"/>
  <c r="F114" i="45"/>
  <c r="F190" i="45" s="1"/>
  <c r="E114" i="45"/>
  <c r="E190" i="45" s="1"/>
  <c r="D114" i="45"/>
  <c r="B114" i="45"/>
  <c r="AH113" i="45"/>
  <c r="AA113" i="45"/>
  <c r="R113" i="45"/>
  <c r="Z113" i="45" s="1"/>
  <c r="N113" i="45"/>
  <c r="K113" i="45"/>
  <c r="O113" i="45" s="1"/>
  <c r="AH112" i="45"/>
  <c r="AC112" i="45"/>
  <c r="R112" i="45"/>
  <c r="Z112" i="45" s="1"/>
  <c r="AD112" i="45" s="1"/>
  <c r="AE112" i="45" s="1"/>
  <c r="AI112" i="45" s="1"/>
  <c r="N112" i="45"/>
  <c r="K112" i="45"/>
  <c r="AH111" i="45"/>
  <c r="AC111" i="45"/>
  <c r="R111" i="45"/>
  <c r="Z111" i="45" s="1"/>
  <c r="N111" i="45"/>
  <c r="K111" i="45"/>
  <c r="O111" i="45" s="1"/>
  <c r="AH110" i="45"/>
  <c r="AC110" i="45"/>
  <c r="Z110" i="45"/>
  <c r="R110" i="45"/>
  <c r="N110" i="45"/>
  <c r="C110" i="45"/>
  <c r="K110" i="45" s="1"/>
  <c r="AH109" i="45"/>
  <c r="AC109" i="45"/>
  <c r="R109" i="45"/>
  <c r="Z109" i="45" s="1"/>
  <c r="AD109" i="45" s="1"/>
  <c r="AE109" i="45" s="1"/>
  <c r="AI109" i="45" s="1"/>
  <c r="N109" i="45"/>
  <c r="K109" i="45"/>
  <c r="O109" i="45" s="1"/>
  <c r="AH108" i="45"/>
  <c r="AC108" i="45"/>
  <c r="R108" i="45"/>
  <c r="Z108" i="45" s="1"/>
  <c r="N108" i="45"/>
  <c r="C108" i="45"/>
  <c r="K108" i="45" s="1"/>
  <c r="O108" i="45" s="1"/>
  <c r="AH107" i="45"/>
  <c r="AC107" i="45"/>
  <c r="R107" i="45"/>
  <c r="Z107" i="45" s="1"/>
  <c r="AD107" i="45" s="1"/>
  <c r="AE107" i="45" s="1"/>
  <c r="AI107" i="45" s="1"/>
  <c r="N107" i="45"/>
  <c r="K107" i="45"/>
  <c r="O107" i="45" s="1"/>
  <c r="C107" i="45"/>
  <c r="AH106" i="45"/>
  <c r="AC106" i="45"/>
  <c r="R106" i="45"/>
  <c r="Z106" i="45" s="1"/>
  <c r="AD106" i="45" s="1"/>
  <c r="AE106" i="45" s="1"/>
  <c r="AI106" i="45" s="1"/>
  <c r="N106" i="45"/>
  <c r="K106" i="45"/>
  <c r="O106" i="45" s="1"/>
  <c r="AH105" i="45"/>
  <c r="AC105" i="45"/>
  <c r="R105" i="45"/>
  <c r="Z105" i="45" s="1"/>
  <c r="AD105" i="45" s="1"/>
  <c r="AE105" i="45" s="1"/>
  <c r="AI105" i="45" s="1"/>
  <c r="N105" i="45"/>
  <c r="C105" i="45"/>
  <c r="K105" i="45" s="1"/>
  <c r="AH104" i="45"/>
  <c r="AC104" i="45"/>
  <c r="Z104" i="45"/>
  <c r="AD104" i="45" s="1"/>
  <c r="AE104" i="45" s="1"/>
  <c r="AI104" i="45" s="1"/>
  <c r="N104" i="45"/>
  <c r="C104" i="45"/>
  <c r="K104" i="45" s="1"/>
  <c r="O104" i="45" s="1"/>
  <c r="AH103" i="45"/>
  <c r="AC103" i="45"/>
  <c r="R103" i="45"/>
  <c r="Z103" i="45" s="1"/>
  <c r="N103" i="45"/>
  <c r="K103" i="45"/>
  <c r="O103" i="45" s="1"/>
  <c r="C103" i="45"/>
  <c r="AH102" i="45"/>
  <c r="AC102" i="45"/>
  <c r="R102" i="45"/>
  <c r="Z102" i="45" s="1"/>
  <c r="N102" i="45"/>
  <c r="K102" i="45"/>
  <c r="AH101" i="45"/>
  <c r="AC101" i="45"/>
  <c r="Z101" i="45"/>
  <c r="AD101" i="45" s="1"/>
  <c r="AE101" i="45" s="1"/>
  <c r="AI101" i="45" s="1"/>
  <c r="R101" i="45"/>
  <c r="N101" i="45"/>
  <c r="C101" i="45"/>
  <c r="K101" i="45" s="1"/>
  <c r="AH100" i="45"/>
  <c r="AC100" i="45"/>
  <c r="Z100" i="45"/>
  <c r="AD100" i="45" s="1"/>
  <c r="AE100" i="45" s="1"/>
  <c r="AI100" i="45" s="1"/>
  <c r="N100" i="45"/>
  <c r="C100" i="45"/>
  <c r="K100" i="45" s="1"/>
  <c r="O100" i="45" s="1"/>
  <c r="AH99" i="45"/>
  <c r="AC99" i="45"/>
  <c r="R99" i="45"/>
  <c r="Z99" i="45" s="1"/>
  <c r="N99" i="45"/>
  <c r="C99" i="45"/>
  <c r="K99" i="45" s="1"/>
  <c r="O99" i="45" s="1"/>
  <c r="AH98" i="45"/>
  <c r="AC98" i="45"/>
  <c r="R98" i="45"/>
  <c r="Z98" i="45" s="1"/>
  <c r="AD98" i="45" s="1"/>
  <c r="AE98" i="45" s="1"/>
  <c r="AI98" i="45" s="1"/>
  <c r="N98" i="45"/>
  <c r="C98" i="45"/>
  <c r="K98" i="45" s="1"/>
  <c r="O98" i="45" s="1"/>
  <c r="AH97" i="45"/>
  <c r="AC97" i="45"/>
  <c r="R97" i="45"/>
  <c r="Z97" i="45" s="1"/>
  <c r="N97" i="45"/>
  <c r="K97" i="45"/>
  <c r="O97" i="45" s="1"/>
  <c r="AH96" i="45"/>
  <c r="AC96" i="45"/>
  <c r="Z96" i="45"/>
  <c r="N96" i="45"/>
  <c r="C96" i="45"/>
  <c r="K96" i="45" s="1"/>
  <c r="O96" i="45" s="1"/>
  <c r="AH95" i="45"/>
  <c r="AC95" i="45"/>
  <c r="R95" i="45"/>
  <c r="Z95" i="45" s="1"/>
  <c r="AD95" i="45" s="1"/>
  <c r="AE95" i="45" s="1"/>
  <c r="AI95" i="45" s="1"/>
  <c r="N95" i="45"/>
  <c r="C95" i="45"/>
  <c r="K95" i="45" s="1"/>
  <c r="O95" i="45" s="1"/>
  <c r="AH94" i="45"/>
  <c r="AC94" i="45"/>
  <c r="R94" i="45"/>
  <c r="Z94" i="45" s="1"/>
  <c r="AD94" i="45" s="1"/>
  <c r="AE94" i="45" s="1"/>
  <c r="AI94" i="45" s="1"/>
  <c r="N94" i="45"/>
  <c r="K94" i="45"/>
  <c r="O94" i="45" s="1"/>
  <c r="AH93" i="45"/>
  <c r="AC93" i="45"/>
  <c r="R93" i="45"/>
  <c r="Z93" i="45" s="1"/>
  <c r="AD93" i="45" s="1"/>
  <c r="AE93" i="45" s="1"/>
  <c r="AI93" i="45" s="1"/>
  <c r="N93" i="45"/>
  <c r="C93" i="45"/>
  <c r="K93" i="45" s="1"/>
  <c r="AH92" i="45"/>
  <c r="AC92" i="45"/>
  <c r="Z92" i="45"/>
  <c r="AD92" i="45" s="1"/>
  <c r="AE92" i="45" s="1"/>
  <c r="AI92" i="45" s="1"/>
  <c r="N92" i="45"/>
  <c r="C92" i="45"/>
  <c r="K92" i="45" s="1"/>
  <c r="O92" i="45" s="1"/>
  <c r="AH91" i="45"/>
  <c r="AC91" i="45"/>
  <c r="R91" i="45"/>
  <c r="Z91" i="45" s="1"/>
  <c r="N91" i="45"/>
  <c r="K91" i="45"/>
  <c r="C91" i="45"/>
  <c r="AH90" i="45"/>
  <c r="AC90" i="45"/>
  <c r="R90" i="45"/>
  <c r="Z90" i="45" s="1"/>
  <c r="N90" i="45"/>
  <c r="K90" i="45"/>
  <c r="O90" i="45" s="1"/>
  <c r="AH89" i="45"/>
  <c r="AC89" i="45"/>
  <c r="R89" i="45"/>
  <c r="Z89" i="45" s="1"/>
  <c r="AD89" i="45" s="1"/>
  <c r="AE89" i="45" s="1"/>
  <c r="AI89" i="45" s="1"/>
  <c r="N89" i="45"/>
  <c r="C89" i="45"/>
  <c r="K89" i="45" s="1"/>
  <c r="AH88" i="45"/>
  <c r="AC88" i="45"/>
  <c r="Z88" i="45"/>
  <c r="AD88" i="45" s="1"/>
  <c r="AE88" i="45" s="1"/>
  <c r="AI88" i="45" s="1"/>
  <c r="N88" i="45"/>
  <c r="C88" i="45"/>
  <c r="K88" i="45" s="1"/>
  <c r="O88" i="45" s="1"/>
  <c r="AH87" i="45"/>
  <c r="AC87" i="45"/>
  <c r="R87" i="45"/>
  <c r="Z87" i="45" s="1"/>
  <c r="N87" i="45"/>
  <c r="C87" i="45"/>
  <c r="K87" i="45" s="1"/>
  <c r="O87" i="45" s="1"/>
  <c r="AH86" i="45"/>
  <c r="AC86" i="45"/>
  <c r="Z86" i="45"/>
  <c r="AD86" i="45" s="1"/>
  <c r="AE86" i="45" s="1"/>
  <c r="AI86" i="45" s="1"/>
  <c r="N86" i="45"/>
  <c r="C86" i="45"/>
  <c r="K86" i="45" s="1"/>
  <c r="AH85" i="45"/>
  <c r="AC85" i="45"/>
  <c r="Z85" i="45"/>
  <c r="N85" i="45"/>
  <c r="C85" i="45"/>
  <c r="K85" i="45" s="1"/>
  <c r="O85" i="45" s="1"/>
  <c r="AH84" i="45"/>
  <c r="AC84" i="45"/>
  <c r="R84" i="45"/>
  <c r="Z84" i="45" s="1"/>
  <c r="AD84" i="45" s="1"/>
  <c r="AE84" i="45" s="1"/>
  <c r="AI84" i="45" s="1"/>
  <c r="N84" i="45"/>
  <c r="C84" i="45"/>
  <c r="K84" i="45" s="1"/>
  <c r="O84" i="45" s="1"/>
  <c r="AH83" i="45"/>
  <c r="AC83" i="45"/>
  <c r="Z83" i="45"/>
  <c r="N83" i="45"/>
  <c r="C83" i="45"/>
  <c r="K83" i="45" s="1"/>
  <c r="AH82" i="45"/>
  <c r="AC82" i="45"/>
  <c r="Z82" i="45"/>
  <c r="N82" i="45"/>
  <c r="C82" i="45"/>
  <c r="K82" i="45" s="1"/>
  <c r="O82" i="45" s="1"/>
  <c r="AH81" i="45"/>
  <c r="AC81" i="45"/>
  <c r="Z81" i="45"/>
  <c r="AD81" i="45" s="1"/>
  <c r="AE81" i="45" s="1"/>
  <c r="AI81" i="45" s="1"/>
  <c r="N81" i="45"/>
  <c r="C81" i="45"/>
  <c r="K81" i="45" s="1"/>
  <c r="AH80" i="45"/>
  <c r="AC80" i="45"/>
  <c r="Z80" i="45"/>
  <c r="N80" i="45"/>
  <c r="C80" i="45"/>
  <c r="K80" i="45" s="1"/>
  <c r="O80" i="45" s="1"/>
  <c r="AH79" i="45"/>
  <c r="AC79" i="45"/>
  <c r="Z79" i="45"/>
  <c r="AD79" i="45" s="1"/>
  <c r="AE79" i="45" s="1"/>
  <c r="AI79" i="45" s="1"/>
  <c r="N79" i="45"/>
  <c r="C79" i="45"/>
  <c r="K79" i="45" s="1"/>
  <c r="AH78" i="45"/>
  <c r="AC78" i="45"/>
  <c r="Z78" i="45"/>
  <c r="AD78" i="45" s="1"/>
  <c r="AE78" i="45" s="1"/>
  <c r="AI78" i="45" s="1"/>
  <c r="N78" i="45"/>
  <c r="C78" i="45"/>
  <c r="K78" i="45" s="1"/>
  <c r="O78" i="45" s="1"/>
  <c r="AH77" i="45"/>
  <c r="AC77" i="45"/>
  <c r="Z77" i="45"/>
  <c r="AD77" i="45" s="1"/>
  <c r="AE77" i="45" s="1"/>
  <c r="AI77" i="45" s="1"/>
  <c r="N77" i="45"/>
  <c r="C77" i="45"/>
  <c r="K77" i="45" s="1"/>
  <c r="AH76" i="45"/>
  <c r="AC76" i="45"/>
  <c r="Z76" i="45"/>
  <c r="AD76" i="45" s="1"/>
  <c r="AE76" i="45" s="1"/>
  <c r="AI76" i="45" s="1"/>
  <c r="N76" i="45"/>
  <c r="K76" i="45"/>
  <c r="O76" i="45" s="1"/>
  <c r="C76" i="45"/>
  <c r="AH75" i="45"/>
  <c r="AC75" i="45"/>
  <c r="Z75" i="45"/>
  <c r="AD75" i="45" s="1"/>
  <c r="AE75" i="45" s="1"/>
  <c r="AI75" i="45" s="1"/>
  <c r="N75" i="45"/>
  <c r="C75" i="45"/>
  <c r="K75" i="45" s="1"/>
  <c r="AH74" i="45"/>
  <c r="AC74" i="45"/>
  <c r="Z74" i="45"/>
  <c r="AD74" i="45" s="1"/>
  <c r="AE74" i="45" s="1"/>
  <c r="AI74" i="45" s="1"/>
  <c r="N74" i="45"/>
  <c r="K74" i="45"/>
  <c r="O74" i="45" s="1"/>
  <c r="C74" i="45"/>
  <c r="AH73" i="45"/>
  <c r="AC73" i="45"/>
  <c r="Z73" i="45"/>
  <c r="AD73" i="45" s="1"/>
  <c r="AE73" i="45" s="1"/>
  <c r="AI73" i="45" s="1"/>
  <c r="N73" i="45"/>
  <c r="C73" i="45"/>
  <c r="K73" i="45" s="1"/>
  <c r="AH72" i="45"/>
  <c r="AC72" i="45"/>
  <c r="Z72" i="45"/>
  <c r="N72" i="45"/>
  <c r="C72" i="45"/>
  <c r="K72" i="45" s="1"/>
  <c r="O72" i="45" s="1"/>
  <c r="AH71" i="45"/>
  <c r="AC71" i="45"/>
  <c r="Z71" i="45"/>
  <c r="AD71" i="45" s="1"/>
  <c r="N71" i="45"/>
  <c r="C71" i="45"/>
  <c r="AB67" i="45"/>
  <c r="AA67" i="45"/>
  <c r="Y67" i="45"/>
  <c r="X67" i="45"/>
  <c r="W67" i="45"/>
  <c r="V67" i="45"/>
  <c r="U67" i="45"/>
  <c r="S67" i="45"/>
  <c r="Q67" i="45"/>
  <c r="M67" i="45"/>
  <c r="L67" i="45"/>
  <c r="J67" i="45"/>
  <c r="I67" i="45"/>
  <c r="H67" i="45"/>
  <c r="G67" i="45"/>
  <c r="F67" i="45"/>
  <c r="D67" i="45"/>
  <c r="B67" i="45"/>
  <c r="AH66" i="45"/>
  <c r="AC66" i="45"/>
  <c r="T66" i="45"/>
  <c r="R66" i="45"/>
  <c r="Z66" i="45" s="1"/>
  <c r="N66" i="45"/>
  <c r="C66" i="45"/>
  <c r="K66" i="45" s="1"/>
  <c r="O66" i="45" s="1"/>
  <c r="AH65" i="45"/>
  <c r="AC65" i="45"/>
  <c r="T65" i="45"/>
  <c r="R65" i="45"/>
  <c r="Z65" i="45" s="1"/>
  <c r="N65" i="45"/>
  <c r="C65" i="45"/>
  <c r="K65" i="45" s="1"/>
  <c r="AH64" i="45"/>
  <c r="AC64" i="45"/>
  <c r="T64" i="45"/>
  <c r="R64" i="45"/>
  <c r="Z64" i="45" s="1"/>
  <c r="AD64" i="45" s="1"/>
  <c r="AE64" i="45" s="1"/>
  <c r="AI64" i="45" s="1"/>
  <c r="N64" i="45"/>
  <c r="E64" i="45"/>
  <c r="E67" i="45" s="1"/>
  <c r="C64" i="45"/>
  <c r="K64" i="45" s="1"/>
  <c r="AH63" i="45"/>
  <c r="AC63" i="45"/>
  <c r="T63" i="45"/>
  <c r="R63" i="45"/>
  <c r="R67" i="45" s="1"/>
  <c r="N63" i="45"/>
  <c r="C63" i="45"/>
  <c r="K63" i="45" s="1"/>
  <c r="O63" i="45" s="1"/>
  <c r="AH62" i="45"/>
  <c r="AC62" i="45"/>
  <c r="T62" i="45"/>
  <c r="R62" i="45"/>
  <c r="N62" i="45"/>
  <c r="C62" i="45"/>
  <c r="AB60" i="45"/>
  <c r="AA60" i="45"/>
  <c r="Y60" i="45"/>
  <c r="X60" i="45"/>
  <c r="W60" i="45"/>
  <c r="V60" i="45"/>
  <c r="U60" i="45"/>
  <c r="S60" i="45"/>
  <c r="Q60" i="45"/>
  <c r="M60" i="45"/>
  <c r="L60" i="45"/>
  <c r="J60" i="45"/>
  <c r="I60" i="45"/>
  <c r="H60" i="45"/>
  <c r="G60" i="45"/>
  <c r="F60" i="45"/>
  <c r="E60" i="45"/>
  <c r="D60" i="45"/>
  <c r="B60" i="45"/>
  <c r="AH59" i="45"/>
  <c r="AC59" i="45"/>
  <c r="T59" i="45"/>
  <c r="R59" i="45"/>
  <c r="Z59" i="45" s="1"/>
  <c r="AD59" i="45" s="1"/>
  <c r="AE59" i="45" s="1"/>
  <c r="AI59" i="45" s="1"/>
  <c r="N59" i="45"/>
  <c r="C59" i="45"/>
  <c r="K59" i="45" s="1"/>
  <c r="O59" i="45" s="1"/>
  <c r="AH58" i="45"/>
  <c r="AC58" i="45"/>
  <c r="T58" i="45"/>
  <c r="R58" i="45"/>
  <c r="N58" i="45"/>
  <c r="C58" i="45"/>
  <c r="K58" i="45" s="1"/>
  <c r="O58" i="45" s="1"/>
  <c r="AH57" i="45"/>
  <c r="AC57" i="45"/>
  <c r="T57" i="45"/>
  <c r="R57" i="45"/>
  <c r="Z57" i="45" s="1"/>
  <c r="AD57" i="45" s="1"/>
  <c r="AE57" i="45" s="1"/>
  <c r="AI57" i="45" s="1"/>
  <c r="N57" i="45"/>
  <c r="C57" i="45"/>
  <c r="K57" i="45" s="1"/>
  <c r="O57" i="45" s="1"/>
  <c r="AH56" i="45"/>
  <c r="AC56" i="45"/>
  <c r="T56" i="45"/>
  <c r="R56" i="45"/>
  <c r="Z56" i="45" s="1"/>
  <c r="AD56" i="45" s="1"/>
  <c r="AE56" i="45" s="1"/>
  <c r="AI56" i="45" s="1"/>
  <c r="N56" i="45"/>
  <c r="C56" i="45"/>
  <c r="K56" i="45" s="1"/>
  <c r="AH55" i="45"/>
  <c r="AC55" i="45"/>
  <c r="T55" i="45"/>
  <c r="R55" i="45"/>
  <c r="N55" i="45"/>
  <c r="C55" i="45"/>
  <c r="K55" i="45" s="1"/>
  <c r="O55" i="45" s="1"/>
  <c r="AH54" i="45"/>
  <c r="AC54" i="45"/>
  <c r="T54" i="45"/>
  <c r="T60" i="45" s="1"/>
  <c r="R54" i="45"/>
  <c r="N54" i="45"/>
  <c r="C54" i="45"/>
  <c r="AB52" i="45"/>
  <c r="AA52" i="45"/>
  <c r="Y52" i="45"/>
  <c r="X52" i="45"/>
  <c r="W52" i="45"/>
  <c r="V52" i="45"/>
  <c r="U52" i="45"/>
  <c r="S52" i="45"/>
  <c r="Q52" i="45"/>
  <c r="M52" i="45"/>
  <c r="L52" i="45"/>
  <c r="J52" i="45"/>
  <c r="I52" i="45"/>
  <c r="H52" i="45"/>
  <c r="G52" i="45"/>
  <c r="F52" i="45"/>
  <c r="D52" i="45"/>
  <c r="D68" i="45" s="1"/>
  <c r="B52" i="45"/>
  <c r="AH51" i="45"/>
  <c r="AC51" i="45"/>
  <c r="T51" i="45"/>
  <c r="R51" i="45"/>
  <c r="Z51" i="45" s="1"/>
  <c r="AD51" i="45" s="1"/>
  <c r="AE51" i="45" s="1"/>
  <c r="AI51" i="45" s="1"/>
  <c r="N51" i="45"/>
  <c r="C51" i="45"/>
  <c r="K51" i="45" s="1"/>
  <c r="O51" i="45" s="1"/>
  <c r="AH50" i="45"/>
  <c r="AC50" i="45"/>
  <c r="T50" i="45"/>
  <c r="R50" i="45"/>
  <c r="Z50" i="45" s="1"/>
  <c r="AD50" i="45" s="1"/>
  <c r="AE50" i="45" s="1"/>
  <c r="AI50" i="45" s="1"/>
  <c r="N50" i="45"/>
  <c r="C50" i="45"/>
  <c r="K50" i="45" s="1"/>
  <c r="AH49" i="45"/>
  <c r="AC49" i="45"/>
  <c r="T49" i="45"/>
  <c r="R49" i="45"/>
  <c r="N49" i="45"/>
  <c r="E49" i="45"/>
  <c r="E52" i="45" s="1"/>
  <c r="C49" i="45"/>
  <c r="K49" i="45" s="1"/>
  <c r="O49" i="45" s="1"/>
  <c r="AH48" i="45"/>
  <c r="AC48" i="45"/>
  <c r="T48" i="45"/>
  <c r="T52" i="45" s="1"/>
  <c r="R48" i="45"/>
  <c r="N48" i="45"/>
  <c r="C48" i="45"/>
  <c r="C52" i="45" s="1"/>
  <c r="AB46" i="45"/>
  <c r="AA46" i="45"/>
  <c r="Y46" i="45"/>
  <c r="X46" i="45"/>
  <c r="W46" i="45"/>
  <c r="V46" i="45"/>
  <c r="U46" i="45"/>
  <c r="T46" i="45"/>
  <c r="S46" i="45"/>
  <c r="R46" i="45"/>
  <c r="Q46" i="45"/>
  <c r="M46" i="45"/>
  <c r="L46" i="45"/>
  <c r="J46" i="45"/>
  <c r="I46" i="45"/>
  <c r="I68" i="45" s="1"/>
  <c r="H46" i="45"/>
  <c r="G46" i="45"/>
  <c r="F46" i="45"/>
  <c r="E46" i="45"/>
  <c r="D46" i="45"/>
  <c r="B46" i="45"/>
  <c r="AH45" i="45"/>
  <c r="AH46" i="45" s="1"/>
  <c r="AC45" i="45"/>
  <c r="AC46" i="45" s="1"/>
  <c r="Z45" i="45"/>
  <c r="Z46" i="45" s="1"/>
  <c r="N45" i="45"/>
  <c r="N46" i="45" s="1"/>
  <c r="C45" i="45"/>
  <c r="K45" i="45" s="1"/>
  <c r="J42" i="45"/>
  <c r="AB41" i="45"/>
  <c r="AA41" i="45"/>
  <c r="Y41" i="45"/>
  <c r="X41" i="45"/>
  <c r="W41" i="45"/>
  <c r="V41" i="45"/>
  <c r="U41" i="45"/>
  <c r="T41" i="45"/>
  <c r="Q41" i="45"/>
  <c r="M41" i="45"/>
  <c r="L41" i="45"/>
  <c r="J41" i="45"/>
  <c r="I41" i="45"/>
  <c r="H41" i="45"/>
  <c r="G41" i="45"/>
  <c r="F41" i="45"/>
  <c r="F42" i="45" s="1"/>
  <c r="E41" i="45"/>
  <c r="D41" i="45"/>
  <c r="B41" i="45"/>
  <c r="AH40" i="45"/>
  <c r="AC40" i="45"/>
  <c r="S40" i="45"/>
  <c r="R40" i="45"/>
  <c r="N40" i="45"/>
  <c r="D40" i="45"/>
  <c r="C40" i="45"/>
  <c r="K40" i="45" s="1"/>
  <c r="O40" i="45" s="1"/>
  <c r="AH39" i="45"/>
  <c r="AC39" i="45"/>
  <c r="S39" i="45"/>
  <c r="R39" i="45"/>
  <c r="Z39" i="45" s="1"/>
  <c r="AD39" i="45" s="1"/>
  <c r="AE39" i="45" s="1"/>
  <c r="AI39" i="45" s="1"/>
  <c r="N39" i="45"/>
  <c r="D39" i="45"/>
  <c r="C39" i="45"/>
  <c r="K39" i="45" s="1"/>
  <c r="O39" i="45" s="1"/>
  <c r="AH38" i="45"/>
  <c r="AC38" i="45"/>
  <c r="S38" i="45"/>
  <c r="R38" i="45"/>
  <c r="Z38" i="45" s="1"/>
  <c r="AD38" i="45" s="1"/>
  <c r="AE38" i="45" s="1"/>
  <c r="AI38" i="45" s="1"/>
  <c r="N38" i="45"/>
  <c r="D38" i="45"/>
  <c r="C38" i="45"/>
  <c r="AH37" i="45"/>
  <c r="AC37" i="45"/>
  <c r="S37" i="45"/>
  <c r="R37" i="45"/>
  <c r="N37" i="45"/>
  <c r="D37" i="45"/>
  <c r="C37" i="45"/>
  <c r="K37" i="45" s="1"/>
  <c r="O37" i="45" s="1"/>
  <c r="AH36" i="45"/>
  <c r="AC36" i="45"/>
  <c r="S36" i="45"/>
  <c r="R36" i="45"/>
  <c r="N36" i="45"/>
  <c r="D36" i="45"/>
  <c r="C36" i="45"/>
  <c r="K36" i="45" s="1"/>
  <c r="O36" i="45" s="1"/>
  <c r="AH35" i="45"/>
  <c r="AC35" i="45"/>
  <c r="S35" i="45"/>
  <c r="R35" i="45"/>
  <c r="N35" i="45"/>
  <c r="N41" i="45" s="1"/>
  <c r="D35" i="45"/>
  <c r="C35" i="45"/>
  <c r="AB33" i="45"/>
  <c r="AA33" i="45"/>
  <c r="Y33" i="45"/>
  <c r="X33" i="45"/>
  <c r="W33" i="45"/>
  <c r="V33" i="45"/>
  <c r="U33" i="45"/>
  <c r="T33" i="45"/>
  <c r="Q33" i="45"/>
  <c r="M33" i="45"/>
  <c r="L33" i="45"/>
  <c r="J33" i="45"/>
  <c r="I33" i="45"/>
  <c r="H33" i="45"/>
  <c r="G33" i="45"/>
  <c r="F33" i="45"/>
  <c r="E33" i="45"/>
  <c r="D33" i="45"/>
  <c r="B33" i="45"/>
  <c r="AH32" i="45"/>
  <c r="AC32" i="45"/>
  <c r="S32" i="45"/>
  <c r="R32" i="45"/>
  <c r="Z32" i="45" s="1"/>
  <c r="AD32" i="45" s="1"/>
  <c r="AE32" i="45" s="1"/>
  <c r="AI32" i="45" s="1"/>
  <c r="N32" i="45"/>
  <c r="D32" i="45"/>
  <c r="C32" i="45"/>
  <c r="AH31" i="45"/>
  <c r="AC31" i="45"/>
  <c r="S31" i="45"/>
  <c r="R31" i="45"/>
  <c r="N31" i="45"/>
  <c r="D31" i="45"/>
  <c r="C31" i="45"/>
  <c r="K31" i="45" s="1"/>
  <c r="O31" i="45" s="1"/>
  <c r="AH30" i="45"/>
  <c r="AC30" i="45"/>
  <c r="S30" i="45"/>
  <c r="R30" i="45"/>
  <c r="N30" i="45"/>
  <c r="D30" i="45"/>
  <c r="C30" i="45"/>
  <c r="K30" i="45" s="1"/>
  <c r="O30" i="45" s="1"/>
  <c r="AH29" i="45"/>
  <c r="AC29" i="45"/>
  <c r="S29" i="45"/>
  <c r="R29" i="45"/>
  <c r="Z29" i="45" s="1"/>
  <c r="AD29" i="45" s="1"/>
  <c r="AE29" i="45" s="1"/>
  <c r="AI29" i="45" s="1"/>
  <c r="N29" i="45"/>
  <c r="D29" i="45"/>
  <c r="C29" i="45"/>
  <c r="K29" i="45" s="1"/>
  <c r="AH28" i="45"/>
  <c r="AC28" i="45"/>
  <c r="S28" i="45"/>
  <c r="R28" i="45"/>
  <c r="Z28" i="45" s="1"/>
  <c r="AD28" i="45" s="1"/>
  <c r="AE28" i="45" s="1"/>
  <c r="AI28" i="45" s="1"/>
  <c r="N28" i="45"/>
  <c r="D28" i="45"/>
  <c r="C28" i="45"/>
  <c r="K28" i="45" s="1"/>
  <c r="AH27" i="45"/>
  <c r="AC27" i="45"/>
  <c r="S27" i="45"/>
  <c r="R27" i="45"/>
  <c r="N27" i="45"/>
  <c r="N33" i="45" s="1"/>
  <c r="D27" i="45"/>
  <c r="C27" i="45"/>
  <c r="AB25" i="45"/>
  <c r="AA25" i="45"/>
  <c r="Y25" i="45"/>
  <c r="X25" i="45"/>
  <c r="W25" i="45"/>
  <c r="V25" i="45"/>
  <c r="U25" i="45"/>
  <c r="T25" i="45"/>
  <c r="Q25" i="45"/>
  <c r="M25" i="45"/>
  <c r="L25" i="45"/>
  <c r="J25" i="45"/>
  <c r="I25" i="45"/>
  <c r="H25" i="45"/>
  <c r="G25" i="45"/>
  <c r="F25" i="45"/>
  <c r="E25" i="45"/>
  <c r="B25" i="45"/>
  <c r="AH24" i="45"/>
  <c r="AC24" i="45"/>
  <c r="S24" i="45"/>
  <c r="R24" i="45"/>
  <c r="N24" i="45"/>
  <c r="D24" i="45"/>
  <c r="C24" i="45"/>
  <c r="AH23" i="45"/>
  <c r="AC23" i="45"/>
  <c r="S23" i="45"/>
  <c r="R23" i="45"/>
  <c r="Z23" i="45" s="1"/>
  <c r="AD23" i="45" s="1"/>
  <c r="AE23" i="45" s="1"/>
  <c r="AI23" i="45" s="1"/>
  <c r="N23" i="45"/>
  <c r="D23" i="45"/>
  <c r="C23" i="45"/>
  <c r="K23" i="45" s="1"/>
  <c r="AH22" i="45"/>
  <c r="AC22" i="45"/>
  <c r="S22" i="45"/>
  <c r="R22" i="45"/>
  <c r="Z22" i="45" s="1"/>
  <c r="AD22" i="45" s="1"/>
  <c r="AE22" i="45" s="1"/>
  <c r="AI22" i="45" s="1"/>
  <c r="N22" i="45"/>
  <c r="D22" i="45"/>
  <c r="C22" i="45"/>
  <c r="K22" i="45" s="1"/>
  <c r="AH21" i="45"/>
  <c r="AC21" i="45"/>
  <c r="S21" i="45"/>
  <c r="R21" i="45"/>
  <c r="N21" i="45"/>
  <c r="D21" i="45"/>
  <c r="C21" i="45"/>
  <c r="K21" i="45" s="1"/>
  <c r="O21" i="45" s="1"/>
  <c r="AH20" i="45"/>
  <c r="AC20" i="45"/>
  <c r="S20" i="45"/>
  <c r="R20" i="45"/>
  <c r="Z20" i="45" s="1"/>
  <c r="AD20" i="45" s="1"/>
  <c r="AE20" i="45" s="1"/>
  <c r="AI20" i="45" s="1"/>
  <c r="N20" i="45"/>
  <c r="N25" i="45" s="1"/>
  <c r="D20" i="45"/>
  <c r="D25" i="45" s="1"/>
  <c r="C20" i="45"/>
  <c r="K20" i="45" s="1"/>
  <c r="O20" i="45" s="1"/>
  <c r="AH19" i="45"/>
  <c r="AC19" i="45"/>
  <c r="S19" i="45"/>
  <c r="R19" i="45"/>
  <c r="N19" i="45"/>
  <c r="D19" i="45"/>
  <c r="C19" i="45"/>
  <c r="AB17" i="45"/>
  <c r="AA17" i="45"/>
  <c r="Y17" i="45"/>
  <c r="X17" i="45"/>
  <c r="W17" i="45"/>
  <c r="V17" i="45"/>
  <c r="U17" i="45"/>
  <c r="T17" i="45"/>
  <c r="T42" i="45" s="1"/>
  <c r="Q17" i="45"/>
  <c r="Q42" i="45" s="1"/>
  <c r="M17" i="45"/>
  <c r="L17" i="45"/>
  <c r="J17" i="45"/>
  <c r="I17" i="45"/>
  <c r="H17" i="45"/>
  <c r="G17" i="45"/>
  <c r="F17" i="45"/>
  <c r="E17" i="45"/>
  <c r="B17" i="45"/>
  <c r="AH16" i="45"/>
  <c r="AC16" i="45"/>
  <c r="S16" i="45"/>
  <c r="R16" i="45"/>
  <c r="Z16" i="45" s="1"/>
  <c r="AD16" i="45" s="1"/>
  <c r="AE16" i="45" s="1"/>
  <c r="AI16" i="45" s="1"/>
  <c r="N16" i="45"/>
  <c r="C16" i="45"/>
  <c r="K16" i="45" s="1"/>
  <c r="O16" i="45" s="1"/>
  <c r="AH15" i="45"/>
  <c r="AC15" i="45"/>
  <c r="S15" i="45"/>
  <c r="R15" i="45"/>
  <c r="Z15" i="45" s="1"/>
  <c r="AD15" i="45" s="1"/>
  <c r="AE15" i="45" s="1"/>
  <c r="AI15" i="45" s="1"/>
  <c r="N15" i="45"/>
  <c r="D15" i="45"/>
  <c r="C15" i="45"/>
  <c r="AH14" i="45"/>
  <c r="AC14" i="45"/>
  <c r="S14" i="45"/>
  <c r="R14" i="45"/>
  <c r="N14" i="45"/>
  <c r="D14" i="45"/>
  <c r="C14" i="45"/>
  <c r="K14" i="45" s="1"/>
  <c r="O14" i="45" s="1"/>
  <c r="AH13" i="45"/>
  <c r="AC13" i="45"/>
  <c r="S13" i="45"/>
  <c r="R13" i="45"/>
  <c r="N13" i="45"/>
  <c r="D13" i="45"/>
  <c r="C13" i="45"/>
  <c r="K13" i="45" s="1"/>
  <c r="O13" i="45" s="1"/>
  <c r="AH12" i="45"/>
  <c r="AC12" i="45"/>
  <c r="S12" i="45"/>
  <c r="R12" i="45"/>
  <c r="Z12" i="45" s="1"/>
  <c r="AD12" i="45" s="1"/>
  <c r="AE12" i="45" s="1"/>
  <c r="AI12" i="45" s="1"/>
  <c r="N12" i="45"/>
  <c r="D12" i="45"/>
  <c r="C12" i="45"/>
  <c r="K12" i="45" s="1"/>
  <c r="AH11" i="45"/>
  <c r="AC11" i="45"/>
  <c r="S11" i="45"/>
  <c r="R11" i="45"/>
  <c r="Z11" i="45" s="1"/>
  <c r="AD11" i="45" s="1"/>
  <c r="AE11" i="45" s="1"/>
  <c r="AI11" i="45" s="1"/>
  <c r="N11" i="45"/>
  <c r="D11" i="45"/>
  <c r="C11" i="45"/>
  <c r="K11" i="45" s="1"/>
  <c r="AH10" i="45"/>
  <c r="AC10" i="45"/>
  <c r="S10" i="45"/>
  <c r="R10" i="45"/>
  <c r="N10" i="45"/>
  <c r="D10" i="45"/>
  <c r="C10" i="45"/>
  <c r="F22" i="32"/>
  <c r="D22" i="32"/>
  <c r="B22" i="32"/>
  <c r="H21" i="32"/>
  <c r="G21" i="32"/>
  <c r="E21" i="32"/>
  <c r="C21" i="32"/>
  <c r="I21" i="32" s="1"/>
  <c r="I20" i="32"/>
  <c r="H20" i="32"/>
  <c r="I19" i="32"/>
  <c r="H19" i="32"/>
  <c r="I18" i="32"/>
  <c r="H18" i="32"/>
  <c r="I17" i="32"/>
  <c r="H17" i="32"/>
  <c r="I16" i="32"/>
  <c r="H16" i="32"/>
  <c r="I15" i="32"/>
  <c r="H15" i="32"/>
  <c r="I14" i="32"/>
  <c r="H14" i="32"/>
  <c r="I13" i="32"/>
  <c r="H13" i="32"/>
  <c r="G13" i="32"/>
  <c r="E13" i="32"/>
  <c r="I12" i="32"/>
  <c r="H12" i="32"/>
  <c r="I11" i="32"/>
  <c r="H11" i="32"/>
  <c r="I10" i="32"/>
  <c r="H10" i="32"/>
  <c r="I9" i="32"/>
  <c r="H9" i="32"/>
  <c r="I8" i="32"/>
  <c r="H8" i="32"/>
  <c r="I7" i="32"/>
  <c r="H7" i="32"/>
  <c r="H6" i="32"/>
  <c r="G6" i="32"/>
  <c r="G22" i="32" s="1"/>
  <c r="E6" i="32"/>
  <c r="C6" i="32"/>
  <c r="V151" i="60"/>
  <c r="V150" i="60"/>
  <c r="W149" i="60"/>
  <c r="U149" i="60"/>
  <c r="T149" i="60"/>
  <c r="S149" i="60"/>
  <c r="R149" i="60"/>
  <c r="Q149" i="60"/>
  <c r="P149" i="60"/>
  <c r="O149" i="60"/>
  <c r="N149" i="60"/>
  <c r="M149" i="60"/>
  <c r="V148" i="60"/>
  <c r="V147" i="60"/>
  <c r="V146" i="60"/>
  <c r="W145" i="60"/>
  <c r="U145" i="60"/>
  <c r="T145" i="60"/>
  <c r="S145" i="60"/>
  <c r="R145" i="60"/>
  <c r="Q145" i="60"/>
  <c r="P145" i="60"/>
  <c r="O145" i="60"/>
  <c r="N145" i="60"/>
  <c r="M145" i="60"/>
  <c r="V144" i="60"/>
  <c r="V143" i="60"/>
  <c r="W142" i="60"/>
  <c r="U142" i="60"/>
  <c r="T142" i="60"/>
  <c r="S142" i="60"/>
  <c r="R142" i="60"/>
  <c r="Q142" i="60"/>
  <c r="P142" i="60"/>
  <c r="O142" i="60"/>
  <c r="N142" i="60"/>
  <c r="M142" i="60"/>
  <c r="V141" i="60"/>
  <c r="V140" i="60"/>
  <c r="V139" i="60"/>
  <c r="V138" i="60"/>
  <c r="V137" i="60"/>
  <c r="V136" i="60"/>
  <c r="V135" i="60"/>
  <c r="V134" i="60"/>
  <c r="V133" i="60"/>
  <c r="V132" i="60"/>
  <c r="V131" i="60"/>
  <c r="V130" i="60"/>
  <c r="V129" i="60"/>
  <c r="V128" i="60"/>
  <c r="V127" i="60"/>
  <c r="V126" i="60"/>
  <c r="V125" i="60"/>
  <c r="V124" i="60"/>
  <c r="V123" i="60" s="1"/>
  <c r="W123" i="60"/>
  <c r="U123" i="60"/>
  <c r="T123" i="60"/>
  <c r="S123" i="60"/>
  <c r="R123" i="60"/>
  <c r="Q123" i="60"/>
  <c r="P123" i="60"/>
  <c r="O123" i="60"/>
  <c r="N123" i="60"/>
  <c r="M123" i="60"/>
  <c r="V121" i="60"/>
  <c r="V119" i="60" s="1"/>
  <c r="V120" i="60"/>
  <c r="W119" i="60"/>
  <c r="U119" i="60"/>
  <c r="T119" i="60"/>
  <c r="S119" i="60"/>
  <c r="R119" i="60"/>
  <c r="Q119" i="60"/>
  <c r="P119" i="60"/>
  <c r="O119" i="60"/>
  <c r="N119" i="60"/>
  <c r="M119" i="60"/>
  <c r="V118" i="60"/>
  <c r="V117" i="60"/>
  <c r="V116" i="60"/>
  <c r="V115" i="60"/>
  <c r="W114" i="60"/>
  <c r="U114" i="60"/>
  <c r="T114" i="60"/>
  <c r="S114" i="60"/>
  <c r="R114" i="60"/>
  <c r="Q114" i="60"/>
  <c r="P114" i="60"/>
  <c r="O114" i="60"/>
  <c r="N114" i="60"/>
  <c r="M114" i="60"/>
  <c r="V113" i="60"/>
  <c r="V112" i="60"/>
  <c r="V111" i="60"/>
  <c r="V110" i="60"/>
  <c r="V109" i="60"/>
  <c r="V108" i="60"/>
  <c r="V107" i="60"/>
  <c r="W106" i="60"/>
  <c r="U106" i="60"/>
  <c r="T106" i="60"/>
  <c r="S106" i="60"/>
  <c r="R106" i="60"/>
  <c r="Q106" i="60"/>
  <c r="P106" i="60"/>
  <c r="O106" i="60"/>
  <c r="N106" i="60"/>
  <c r="M106" i="60"/>
  <c r="V105" i="60"/>
  <c r="V104" i="60"/>
  <c r="W103" i="60"/>
  <c r="U103" i="60"/>
  <c r="T103" i="60"/>
  <c r="S103" i="60"/>
  <c r="R103" i="60"/>
  <c r="Q103" i="60"/>
  <c r="P103" i="60"/>
  <c r="O103" i="60"/>
  <c r="N103" i="60"/>
  <c r="M103" i="60"/>
  <c r="V102" i="60"/>
  <c r="V101" i="60"/>
  <c r="V100" i="60"/>
  <c r="V99" i="60"/>
  <c r="V98" i="60" s="1"/>
  <c r="W98" i="60"/>
  <c r="U98" i="60"/>
  <c r="T98" i="60"/>
  <c r="S98" i="60"/>
  <c r="R98" i="60"/>
  <c r="Q98" i="60"/>
  <c r="P98" i="60"/>
  <c r="O98" i="60"/>
  <c r="N98" i="60"/>
  <c r="M98" i="60"/>
  <c r="V97" i="60"/>
  <c r="V96" i="60"/>
  <c r="V95" i="60"/>
  <c r="V94" i="60"/>
  <c r="V93" i="60"/>
  <c r="V92" i="60" s="1"/>
  <c r="W92" i="60"/>
  <c r="U92" i="60"/>
  <c r="T92" i="60"/>
  <c r="S92" i="60"/>
  <c r="R92" i="60"/>
  <c r="Q92" i="60"/>
  <c r="P92" i="60"/>
  <c r="O92" i="60"/>
  <c r="N92" i="60"/>
  <c r="M92" i="60"/>
  <c r="V91" i="60"/>
  <c r="V90" i="60"/>
  <c r="V89" i="60"/>
  <c r="V88" i="60"/>
  <c r="V87" i="60"/>
  <c r="V86" i="60" s="1"/>
  <c r="W86" i="60"/>
  <c r="U86" i="60"/>
  <c r="T86" i="60"/>
  <c r="S86" i="60"/>
  <c r="R86" i="60"/>
  <c r="Q86" i="60"/>
  <c r="P86" i="60"/>
  <c r="O86" i="60"/>
  <c r="N86" i="60"/>
  <c r="M86" i="60"/>
  <c r="V85" i="60"/>
  <c r="V84" i="60"/>
  <c r="V83" i="60"/>
  <c r="V82" i="60"/>
  <c r="V81" i="60"/>
  <c r="V80" i="60" s="1"/>
  <c r="W80" i="60"/>
  <c r="U80" i="60"/>
  <c r="T80" i="60"/>
  <c r="S80" i="60"/>
  <c r="R80" i="60"/>
  <c r="Q80" i="60"/>
  <c r="P80" i="60"/>
  <c r="O80" i="60"/>
  <c r="N80" i="60"/>
  <c r="M80" i="60"/>
  <c r="V79" i="60"/>
  <c r="V78" i="60"/>
  <c r="V77" i="60"/>
  <c r="V76" i="60"/>
  <c r="V75" i="60"/>
  <c r="V74" i="60"/>
  <c r="V72" i="60" s="1"/>
  <c r="V73" i="60"/>
  <c r="W72" i="60"/>
  <c r="U72" i="60"/>
  <c r="T72" i="60"/>
  <c r="S72" i="60"/>
  <c r="R72" i="60"/>
  <c r="Q72" i="60"/>
  <c r="P72" i="60"/>
  <c r="O72" i="60"/>
  <c r="N72" i="60"/>
  <c r="M72" i="60"/>
  <c r="V71" i="60"/>
  <c r="V70" i="60"/>
  <c r="V69" i="60"/>
  <c r="V68" i="60"/>
  <c r="V67" i="60"/>
  <c r="V66" i="60"/>
  <c r="W65" i="60"/>
  <c r="U65" i="60"/>
  <c r="T65" i="60"/>
  <c r="S65" i="60"/>
  <c r="R65" i="60"/>
  <c r="Q65" i="60"/>
  <c r="P65" i="60"/>
  <c r="O65" i="60"/>
  <c r="N65" i="60"/>
  <c r="M65" i="60"/>
  <c r="V64" i="60"/>
  <c r="V63" i="60"/>
  <c r="V62" i="60"/>
  <c r="V61" i="60"/>
  <c r="W60" i="60"/>
  <c r="U60" i="60"/>
  <c r="T60" i="60"/>
  <c r="S60" i="60"/>
  <c r="R60" i="60"/>
  <c r="Q60" i="60"/>
  <c r="P60" i="60"/>
  <c r="O60" i="60"/>
  <c r="N60" i="60"/>
  <c r="M60" i="60"/>
  <c r="V59" i="60"/>
  <c r="V58" i="60"/>
  <c r="V57" i="60"/>
  <c r="V56" i="60"/>
  <c r="W55" i="60"/>
  <c r="U55" i="60"/>
  <c r="T55" i="60"/>
  <c r="S55" i="60"/>
  <c r="R55" i="60"/>
  <c r="Q55" i="60"/>
  <c r="P55" i="60"/>
  <c r="O55" i="60"/>
  <c r="N55" i="60"/>
  <c r="M55" i="60"/>
  <c r="V54" i="60"/>
  <c r="V53" i="60"/>
  <c r="V52" i="60"/>
  <c r="W51" i="60"/>
  <c r="U51" i="60"/>
  <c r="T51" i="60"/>
  <c r="S51" i="60"/>
  <c r="R51" i="60"/>
  <c r="Q51" i="60"/>
  <c r="P51" i="60"/>
  <c r="O51" i="60"/>
  <c r="N51" i="60"/>
  <c r="M51" i="60"/>
  <c r="V50" i="60"/>
  <c r="V49" i="60"/>
  <c r="V48" i="60"/>
  <c r="V47" i="60"/>
  <c r="V46" i="60"/>
  <c r="W45" i="60"/>
  <c r="U45" i="60"/>
  <c r="T45" i="60"/>
  <c r="S45" i="60"/>
  <c r="R45" i="60"/>
  <c r="Q45" i="60"/>
  <c r="P45" i="60"/>
  <c r="O45" i="60"/>
  <c r="N45" i="60"/>
  <c r="M45" i="60"/>
  <c r="V44" i="60"/>
  <c r="V43" i="60"/>
  <c r="V42" i="60"/>
  <c r="V41" i="60"/>
  <c r="W40" i="60"/>
  <c r="U40" i="60"/>
  <c r="T40" i="60"/>
  <c r="S40" i="60"/>
  <c r="R40" i="60"/>
  <c r="Q40" i="60"/>
  <c r="P40" i="60"/>
  <c r="O40" i="60"/>
  <c r="N40" i="60"/>
  <c r="M40" i="60"/>
  <c r="V39" i="60"/>
  <c r="V38" i="60"/>
  <c r="V37" i="60" s="1"/>
  <c r="W37" i="60"/>
  <c r="U37" i="60"/>
  <c r="T37" i="60"/>
  <c r="S37" i="60"/>
  <c r="R37" i="60"/>
  <c r="Q37" i="60"/>
  <c r="P37" i="60"/>
  <c r="O37" i="60"/>
  <c r="N37" i="60"/>
  <c r="M37" i="60"/>
  <c r="V36" i="60"/>
  <c r="V35" i="60"/>
  <c r="V34" i="60"/>
  <c r="V33" i="60"/>
  <c r="V32" i="60"/>
  <c r="V31" i="60"/>
  <c r="W30" i="60"/>
  <c r="U30" i="60"/>
  <c r="T30" i="60"/>
  <c r="S30" i="60"/>
  <c r="R30" i="60"/>
  <c r="Q30" i="60"/>
  <c r="P30" i="60"/>
  <c r="O30" i="60"/>
  <c r="N30" i="60"/>
  <c r="M30" i="60"/>
  <c r="V29" i="60"/>
  <c r="V28" i="60"/>
  <c r="V27" i="60"/>
  <c r="V26" i="60"/>
  <c r="V25" i="60"/>
  <c r="V24" i="60"/>
  <c r="W23" i="60"/>
  <c r="U23" i="60"/>
  <c r="T23" i="60"/>
  <c r="S23" i="60"/>
  <c r="R23" i="60"/>
  <c r="Q23" i="60"/>
  <c r="P23" i="60"/>
  <c r="O23" i="60"/>
  <c r="N23" i="60"/>
  <c r="M23" i="60"/>
  <c r="V22" i="60"/>
  <c r="V21" i="60"/>
  <c r="V20" i="60"/>
  <c r="V19" i="60"/>
  <c r="V18" i="60"/>
  <c r="V17" i="60"/>
  <c r="W16" i="60"/>
  <c r="U16" i="60"/>
  <c r="T16" i="60"/>
  <c r="S16" i="60"/>
  <c r="R16" i="60"/>
  <c r="Q16" i="60"/>
  <c r="P16" i="60"/>
  <c r="O16" i="60"/>
  <c r="N16" i="60"/>
  <c r="M16" i="60"/>
  <c r="V15" i="60"/>
  <c r="V14" i="60"/>
  <c r="V13" i="60"/>
  <c r="V12" i="60"/>
  <c r="V11" i="60"/>
  <c r="V10" i="60"/>
  <c r="V9" i="60"/>
  <c r="W8" i="60"/>
  <c r="U8" i="60"/>
  <c r="T8" i="60"/>
  <c r="S8" i="60"/>
  <c r="R8" i="60"/>
  <c r="Q8" i="60"/>
  <c r="P8" i="60"/>
  <c r="O8" i="60"/>
  <c r="N8" i="60"/>
  <c r="M8" i="60"/>
  <c r="K151" i="60"/>
  <c r="K150" i="60"/>
  <c r="L149" i="60"/>
  <c r="J149" i="60"/>
  <c r="I149" i="60"/>
  <c r="H149" i="60"/>
  <c r="G149" i="60"/>
  <c r="F149" i="60"/>
  <c r="E149" i="60"/>
  <c r="D149" i="60"/>
  <c r="C149" i="60"/>
  <c r="B149" i="60"/>
  <c r="K148" i="60"/>
  <c r="K147" i="60"/>
  <c r="K146" i="60"/>
  <c r="L145" i="60"/>
  <c r="J145" i="60"/>
  <c r="I145" i="60"/>
  <c r="H145" i="60"/>
  <c r="G145" i="60"/>
  <c r="F145" i="60"/>
  <c r="E145" i="60"/>
  <c r="D145" i="60"/>
  <c r="C145" i="60"/>
  <c r="B145" i="60"/>
  <c r="K144" i="60"/>
  <c r="K143" i="60"/>
  <c r="L142" i="60"/>
  <c r="J142" i="60"/>
  <c r="I142" i="60"/>
  <c r="H142" i="60"/>
  <c r="G142" i="60"/>
  <c r="F142" i="60"/>
  <c r="E142" i="60"/>
  <c r="D142" i="60"/>
  <c r="C142" i="60"/>
  <c r="B142" i="60"/>
  <c r="K141" i="60"/>
  <c r="K140" i="60"/>
  <c r="K139" i="60"/>
  <c r="K138" i="60"/>
  <c r="K137" i="60"/>
  <c r="K136" i="60"/>
  <c r="K135" i="60"/>
  <c r="K134" i="60"/>
  <c r="K133" i="60"/>
  <c r="K132" i="60"/>
  <c r="K131" i="60"/>
  <c r="K123" i="60" s="1"/>
  <c r="K130" i="60"/>
  <c r="K129" i="60"/>
  <c r="K128" i="60"/>
  <c r="K127" i="60"/>
  <c r="K126" i="60"/>
  <c r="K125" i="60"/>
  <c r="K124" i="60"/>
  <c r="L123" i="60"/>
  <c r="J123" i="60"/>
  <c r="I123" i="60"/>
  <c r="H123" i="60"/>
  <c r="G123" i="60"/>
  <c r="F123" i="60"/>
  <c r="E123" i="60"/>
  <c r="D123" i="60"/>
  <c r="C123" i="60"/>
  <c r="B123" i="60"/>
  <c r="K121" i="60"/>
  <c r="K120" i="60"/>
  <c r="L119" i="60"/>
  <c r="J119" i="60"/>
  <c r="I119" i="60"/>
  <c r="H119" i="60"/>
  <c r="G119" i="60"/>
  <c r="F119" i="60"/>
  <c r="E119" i="60"/>
  <c r="D119" i="60"/>
  <c r="C119" i="60"/>
  <c r="B119" i="60"/>
  <c r="K118" i="60"/>
  <c r="K117" i="60"/>
  <c r="K116" i="60"/>
  <c r="K115" i="60"/>
  <c r="L114" i="60"/>
  <c r="J114" i="60"/>
  <c r="I114" i="60"/>
  <c r="H114" i="60"/>
  <c r="G114" i="60"/>
  <c r="F114" i="60"/>
  <c r="E114" i="60"/>
  <c r="D114" i="60"/>
  <c r="C114" i="60"/>
  <c r="B114" i="60"/>
  <c r="K113" i="60"/>
  <c r="K112" i="60"/>
  <c r="K111" i="60"/>
  <c r="K110" i="60"/>
  <c r="K109" i="60"/>
  <c r="K108" i="60"/>
  <c r="K107" i="60"/>
  <c r="L106" i="60"/>
  <c r="J106" i="60"/>
  <c r="I106" i="60"/>
  <c r="H106" i="60"/>
  <c r="G106" i="60"/>
  <c r="F106" i="60"/>
  <c r="E106" i="60"/>
  <c r="D106" i="60"/>
  <c r="C106" i="60"/>
  <c r="B106" i="60"/>
  <c r="K105" i="60"/>
  <c r="K104" i="60"/>
  <c r="L103" i="60"/>
  <c r="J103" i="60"/>
  <c r="I103" i="60"/>
  <c r="H103" i="60"/>
  <c r="G103" i="60"/>
  <c r="F103" i="60"/>
  <c r="E103" i="60"/>
  <c r="D103" i="60"/>
  <c r="C103" i="60"/>
  <c r="B103" i="60"/>
  <c r="K102" i="60"/>
  <c r="K101" i="60"/>
  <c r="K100" i="60"/>
  <c r="K99" i="60"/>
  <c r="L98" i="60"/>
  <c r="K98" i="60"/>
  <c r="J98" i="60"/>
  <c r="I98" i="60"/>
  <c r="H98" i="60"/>
  <c r="G98" i="60"/>
  <c r="F98" i="60"/>
  <c r="E98" i="60"/>
  <c r="D98" i="60"/>
  <c r="C98" i="60"/>
  <c r="B98" i="60"/>
  <c r="K97" i="60"/>
  <c r="K96" i="60"/>
  <c r="K95" i="60"/>
  <c r="K94" i="60"/>
  <c r="K93" i="60"/>
  <c r="L92" i="60"/>
  <c r="K92" i="60"/>
  <c r="J92" i="60"/>
  <c r="I92" i="60"/>
  <c r="H92" i="60"/>
  <c r="G92" i="60"/>
  <c r="F92" i="60"/>
  <c r="E92" i="60"/>
  <c r="D92" i="60"/>
  <c r="C92" i="60"/>
  <c r="B92" i="60"/>
  <c r="K91" i="60"/>
  <c r="K90" i="60"/>
  <c r="K89" i="60"/>
  <c r="K88" i="60"/>
  <c r="K87" i="60"/>
  <c r="L86" i="60"/>
  <c r="K86" i="60"/>
  <c r="J86" i="60"/>
  <c r="I86" i="60"/>
  <c r="H86" i="60"/>
  <c r="G86" i="60"/>
  <c r="F86" i="60"/>
  <c r="E86" i="60"/>
  <c r="D86" i="60"/>
  <c r="C86" i="60"/>
  <c r="B86" i="60"/>
  <c r="K85" i="60"/>
  <c r="K84" i="60"/>
  <c r="K83" i="60"/>
  <c r="K82" i="60"/>
  <c r="K81" i="60"/>
  <c r="L80" i="60"/>
  <c r="K80" i="60"/>
  <c r="J80" i="60"/>
  <c r="I80" i="60"/>
  <c r="H80" i="60"/>
  <c r="G80" i="60"/>
  <c r="F80" i="60"/>
  <c r="E80" i="60"/>
  <c r="D80" i="60"/>
  <c r="C80" i="60"/>
  <c r="B80" i="60"/>
  <c r="K79" i="60"/>
  <c r="K78" i="60"/>
  <c r="K77" i="60"/>
  <c r="K76" i="60"/>
  <c r="K75" i="60"/>
  <c r="K74" i="60"/>
  <c r="K73" i="60"/>
  <c r="K72" i="60" s="1"/>
  <c r="L72" i="60"/>
  <c r="J72" i="60"/>
  <c r="I72" i="60"/>
  <c r="H72" i="60"/>
  <c r="G72" i="60"/>
  <c r="F72" i="60"/>
  <c r="E72" i="60"/>
  <c r="D72" i="60"/>
  <c r="C72" i="60"/>
  <c r="B72" i="60"/>
  <c r="K71" i="60"/>
  <c r="K70" i="60"/>
  <c r="K69" i="60"/>
  <c r="K68" i="60"/>
  <c r="K67" i="60"/>
  <c r="K66" i="60"/>
  <c r="L65" i="60"/>
  <c r="J65" i="60"/>
  <c r="I65" i="60"/>
  <c r="H65" i="60"/>
  <c r="G65" i="60"/>
  <c r="F65" i="60"/>
  <c r="E65" i="60"/>
  <c r="D65" i="60"/>
  <c r="C65" i="60"/>
  <c r="B65" i="60"/>
  <c r="K64" i="60"/>
  <c r="K63" i="60"/>
  <c r="K62" i="60"/>
  <c r="K61" i="60"/>
  <c r="L60" i="60"/>
  <c r="J60" i="60"/>
  <c r="I60" i="60"/>
  <c r="H60" i="60"/>
  <c r="G60" i="60"/>
  <c r="F60" i="60"/>
  <c r="E60" i="60"/>
  <c r="D60" i="60"/>
  <c r="C60" i="60"/>
  <c r="B60" i="60"/>
  <c r="K59" i="60"/>
  <c r="K58" i="60"/>
  <c r="K57" i="60"/>
  <c r="K56" i="60"/>
  <c r="L55" i="60"/>
  <c r="J55" i="60"/>
  <c r="I55" i="60"/>
  <c r="H55" i="60"/>
  <c r="G55" i="60"/>
  <c r="F55" i="60"/>
  <c r="E55" i="60"/>
  <c r="D55" i="60"/>
  <c r="C55" i="60"/>
  <c r="B55" i="60"/>
  <c r="K54" i="60"/>
  <c r="K53" i="60"/>
  <c r="K52" i="60"/>
  <c r="L51" i="60"/>
  <c r="J51" i="60"/>
  <c r="I51" i="60"/>
  <c r="H51" i="60"/>
  <c r="G51" i="60"/>
  <c r="F51" i="60"/>
  <c r="E51" i="60"/>
  <c r="D51" i="60"/>
  <c r="C51" i="60"/>
  <c r="B51" i="60"/>
  <c r="K50" i="60"/>
  <c r="K49" i="60"/>
  <c r="K48" i="60"/>
  <c r="K47" i="60"/>
  <c r="K46" i="60"/>
  <c r="L45" i="60"/>
  <c r="J45" i="60"/>
  <c r="I45" i="60"/>
  <c r="H45" i="60"/>
  <c r="G45" i="60"/>
  <c r="F45" i="60"/>
  <c r="E45" i="60"/>
  <c r="D45" i="60"/>
  <c r="C45" i="60"/>
  <c r="B45" i="60"/>
  <c r="K44" i="60"/>
  <c r="K43" i="60"/>
  <c r="K42" i="60"/>
  <c r="K41" i="60"/>
  <c r="L40" i="60"/>
  <c r="K40" i="60"/>
  <c r="J40" i="60"/>
  <c r="I40" i="60"/>
  <c r="H40" i="60"/>
  <c r="G40" i="60"/>
  <c r="F40" i="60"/>
  <c r="E40" i="60"/>
  <c r="D40" i="60"/>
  <c r="C40" i="60"/>
  <c r="B40" i="60"/>
  <c r="K39" i="60"/>
  <c r="K38" i="60"/>
  <c r="K37" i="60" s="1"/>
  <c r="L37" i="60"/>
  <c r="J37" i="60"/>
  <c r="I37" i="60"/>
  <c r="H37" i="60"/>
  <c r="G37" i="60"/>
  <c r="F37" i="60"/>
  <c r="E37" i="60"/>
  <c r="D37" i="60"/>
  <c r="C37" i="60"/>
  <c r="B37" i="60"/>
  <c r="K36" i="60"/>
  <c r="K35" i="60"/>
  <c r="K34" i="60"/>
  <c r="K33" i="60"/>
  <c r="K32" i="60"/>
  <c r="K31" i="60"/>
  <c r="K30" i="60" s="1"/>
  <c r="L30" i="60"/>
  <c r="J30" i="60"/>
  <c r="I30" i="60"/>
  <c r="H30" i="60"/>
  <c r="G30" i="60"/>
  <c r="F30" i="60"/>
  <c r="E30" i="60"/>
  <c r="D30" i="60"/>
  <c r="C30" i="60"/>
  <c r="B30" i="60"/>
  <c r="K29" i="60"/>
  <c r="K28" i="60"/>
  <c r="K27" i="60"/>
  <c r="K26" i="60"/>
  <c r="K25" i="60"/>
  <c r="K24" i="60"/>
  <c r="L23" i="60"/>
  <c r="J23" i="60"/>
  <c r="I23" i="60"/>
  <c r="H23" i="60"/>
  <c r="G23" i="60"/>
  <c r="F23" i="60"/>
  <c r="E23" i="60"/>
  <c r="D23" i="60"/>
  <c r="C23" i="60"/>
  <c r="B23" i="60"/>
  <c r="K22" i="60"/>
  <c r="K21" i="60"/>
  <c r="K20" i="60"/>
  <c r="K19" i="60"/>
  <c r="K18" i="60"/>
  <c r="K17" i="60"/>
  <c r="L16" i="60"/>
  <c r="J16" i="60"/>
  <c r="I16" i="60"/>
  <c r="H16" i="60"/>
  <c r="G16" i="60"/>
  <c r="F16" i="60"/>
  <c r="E16" i="60"/>
  <c r="D16" i="60"/>
  <c r="C16" i="60"/>
  <c r="B16" i="60"/>
  <c r="K15" i="60"/>
  <c r="K14" i="60"/>
  <c r="K13" i="60"/>
  <c r="K12" i="60"/>
  <c r="K11" i="60"/>
  <c r="K10" i="60"/>
  <c r="K9" i="60"/>
  <c r="L8" i="60"/>
  <c r="J8" i="60"/>
  <c r="I8" i="60"/>
  <c r="H8" i="60"/>
  <c r="G8" i="60"/>
  <c r="F8" i="60"/>
  <c r="E8" i="60"/>
  <c r="D8" i="60"/>
  <c r="C8" i="60"/>
  <c r="B8" i="60"/>
  <c r="AD224" i="45" l="1"/>
  <c r="Z225" i="45"/>
  <c r="K65" i="60"/>
  <c r="L68" i="45"/>
  <c r="O203" i="45"/>
  <c r="P203" i="45" s="1"/>
  <c r="R52" i="45"/>
  <c r="O12" i="45"/>
  <c r="X42" i="45"/>
  <c r="O23" i="45"/>
  <c r="P23" i="45" s="1"/>
  <c r="AG23" i="45" s="1"/>
  <c r="O29" i="45"/>
  <c r="P29" i="45" s="1"/>
  <c r="AG29" i="45" s="1"/>
  <c r="C41" i="45"/>
  <c r="O64" i="45"/>
  <c r="P64" i="45" s="1"/>
  <c r="AG64" i="45" s="1"/>
  <c r="AD66" i="45"/>
  <c r="AE66" i="45" s="1"/>
  <c r="AI66" i="45" s="1"/>
  <c r="AH114" i="45"/>
  <c r="AH190" i="45" s="1"/>
  <c r="J190" i="45"/>
  <c r="AD131" i="45"/>
  <c r="AE131" i="45" s="1"/>
  <c r="AI131" i="45" s="1"/>
  <c r="H215" i="45"/>
  <c r="O213" i="45"/>
  <c r="Z14" i="45"/>
  <c r="AD14" i="45" s="1"/>
  <c r="AE14" i="45" s="1"/>
  <c r="AI14" i="45" s="1"/>
  <c r="Y42" i="45"/>
  <c r="Z31" i="45"/>
  <c r="AD31" i="45" s="1"/>
  <c r="AE31" i="45" s="1"/>
  <c r="AI31" i="45" s="1"/>
  <c r="Z37" i="45"/>
  <c r="AD37" i="45" s="1"/>
  <c r="AE37" i="45" s="1"/>
  <c r="AI37" i="45" s="1"/>
  <c r="S68" i="45"/>
  <c r="AH52" i="45"/>
  <c r="AD87" i="45"/>
  <c r="AE87" i="45" s="1"/>
  <c r="AI87" i="45" s="1"/>
  <c r="O93" i="45"/>
  <c r="L190" i="45"/>
  <c r="Z143" i="45"/>
  <c r="AD143" i="45" s="1"/>
  <c r="AE143" i="45" s="1"/>
  <c r="AI143" i="45" s="1"/>
  <c r="AD159" i="45"/>
  <c r="AE159" i="45" s="1"/>
  <c r="AI159" i="45" s="1"/>
  <c r="O177" i="45"/>
  <c r="AH197" i="45"/>
  <c r="AB204" i="45"/>
  <c r="AB215" i="45" s="1"/>
  <c r="AB216" i="45" s="1"/>
  <c r="AB227" i="45" s="1"/>
  <c r="AC207" i="45"/>
  <c r="AD207" i="45" s="1"/>
  <c r="AE207" i="45" s="1"/>
  <c r="AI207" i="45" s="1"/>
  <c r="M214" i="45"/>
  <c r="Z220" i="45"/>
  <c r="AD220" i="45" s="1"/>
  <c r="AE220" i="45" s="1"/>
  <c r="AI220" i="45" s="1"/>
  <c r="R225" i="45"/>
  <c r="U42" i="45"/>
  <c r="K207" i="45"/>
  <c r="K209" i="45" s="1"/>
  <c r="Q68" i="45"/>
  <c r="K211" i="45"/>
  <c r="K214" i="45" s="1"/>
  <c r="M190" i="45"/>
  <c r="J215" i="45"/>
  <c r="K51" i="60"/>
  <c r="N67" i="45"/>
  <c r="O194" i="45"/>
  <c r="P194" i="45" s="1"/>
  <c r="O196" i="45"/>
  <c r="S215" i="45"/>
  <c r="AB214" i="45"/>
  <c r="L226" i="45"/>
  <c r="Z153" i="45"/>
  <c r="M68" i="45"/>
  <c r="AH189" i="45"/>
  <c r="Q215" i="45"/>
  <c r="V40" i="60"/>
  <c r="N17" i="45"/>
  <c r="N42" i="45" s="1"/>
  <c r="C25" i="45"/>
  <c r="S41" i="45"/>
  <c r="AH68" i="45"/>
  <c r="S190" i="45"/>
  <c r="C204" i="45"/>
  <c r="C215" i="45" s="1"/>
  <c r="R17" i="45"/>
  <c r="R42" i="45" s="1"/>
  <c r="K15" i="45"/>
  <c r="O15" i="45" s="1"/>
  <c r="G42" i="45"/>
  <c r="Z21" i="45"/>
  <c r="AD21" i="45" s="1"/>
  <c r="AE21" i="45" s="1"/>
  <c r="AI21" i="45" s="1"/>
  <c r="R33" i="45"/>
  <c r="K32" i="45"/>
  <c r="O32" i="45" s="1"/>
  <c r="AC41" i="45"/>
  <c r="K38" i="45"/>
  <c r="O38" i="45" s="1"/>
  <c r="W68" i="45"/>
  <c r="Z49" i="45"/>
  <c r="AD49" i="45" s="1"/>
  <c r="AE49" i="45" s="1"/>
  <c r="AI49" i="45" s="1"/>
  <c r="X68" i="45"/>
  <c r="AH60" i="45"/>
  <c r="AD82" i="45"/>
  <c r="AE82" i="45" s="1"/>
  <c r="AI82" i="45" s="1"/>
  <c r="AD96" i="45"/>
  <c r="AE96" i="45" s="1"/>
  <c r="AI96" i="45" s="1"/>
  <c r="O102" i="45"/>
  <c r="P102" i="45" s="1"/>
  <c r="AG102" i="45" s="1"/>
  <c r="Z117" i="45"/>
  <c r="AD117" i="45" s="1"/>
  <c r="AE117" i="45" s="1"/>
  <c r="AI117" i="45" s="1"/>
  <c r="Z122" i="45"/>
  <c r="AD122" i="45" s="1"/>
  <c r="AE122" i="45" s="1"/>
  <c r="AI122" i="45" s="1"/>
  <c r="O144" i="45"/>
  <c r="AD150" i="45"/>
  <c r="O166" i="45"/>
  <c r="O169" i="45"/>
  <c r="AD186" i="45"/>
  <c r="AE186" i="45" s="1"/>
  <c r="AI186" i="45" s="1"/>
  <c r="T215" i="45"/>
  <c r="AH214" i="45"/>
  <c r="M226" i="45"/>
  <c r="K60" i="60"/>
  <c r="R60" i="45"/>
  <c r="D17" i="45"/>
  <c r="D42" i="45" s="1"/>
  <c r="D216" i="45" s="1"/>
  <c r="R41" i="45"/>
  <c r="I226" i="45"/>
  <c r="K8" i="60"/>
  <c r="V8" i="60"/>
  <c r="H42" i="45"/>
  <c r="S33" i="45"/>
  <c r="AH41" i="45"/>
  <c r="Z40" i="45"/>
  <c r="AD40" i="45" s="1"/>
  <c r="AE40" i="45" s="1"/>
  <c r="AI40" i="45" s="1"/>
  <c r="B68" i="45"/>
  <c r="T67" i="45"/>
  <c r="T68" i="45" s="1"/>
  <c r="AD85" i="45"/>
  <c r="AE85" i="45" s="1"/>
  <c r="AI85" i="45" s="1"/>
  <c r="O91" i="45"/>
  <c r="AD99" i="45"/>
  <c r="AE99" i="45" s="1"/>
  <c r="AI99" i="45" s="1"/>
  <c r="O105" i="45"/>
  <c r="AF105" i="45" s="1"/>
  <c r="AD110" i="45"/>
  <c r="AE110" i="45" s="1"/>
  <c r="AI110" i="45" s="1"/>
  <c r="U190" i="45"/>
  <c r="O120" i="45"/>
  <c r="P120" i="45" s="1"/>
  <c r="Z127" i="45"/>
  <c r="AD127" i="45" s="1"/>
  <c r="AE127" i="45" s="1"/>
  <c r="AI127" i="45" s="1"/>
  <c r="O137" i="45"/>
  <c r="P137" i="45" s="1"/>
  <c r="AG137" i="45" s="1"/>
  <c r="Z139" i="45"/>
  <c r="AD139" i="45" s="1"/>
  <c r="AE139" i="45" s="1"/>
  <c r="AI139" i="45" s="1"/>
  <c r="AC153" i="45"/>
  <c r="AD157" i="45"/>
  <c r="AE157" i="45" s="1"/>
  <c r="AI157" i="45" s="1"/>
  <c r="O172" i="45"/>
  <c r="O175" i="45"/>
  <c r="U215" i="45"/>
  <c r="L209" i="45"/>
  <c r="N208" i="45"/>
  <c r="O208" i="45" s="1"/>
  <c r="Q226" i="45"/>
  <c r="V42" i="45"/>
  <c r="Z114" i="45"/>
  <c r="C17" i="45"/>
  <c r="E42" i="45"/>
  <c r="V68" i="45"/>
  <c r="Q190" i="45"/>
  <c r="Q216" i="45" s="1"/>
  <c r="Q227" i="45" s="1"/>
  <c r="AA214" i="45"/>
  <c r="V30" i="60"/>
  <c r="I42" i="45"/>
  <c r="R25" i="45"/>
  <c r="K24" i="45"/>
  <c r="O24" i="45" s="1"/>
  <c r="AC33" i="45"/>
  <c r="Y68" i="45"/>
  <c r="N114" i="45"/>
  <c r="N190" i="45" s="1"/>
  <c r="V190" i="45"/>
  <c r="V215" i="45"/>
  <c r="M209" i="45"/>
  <c r="R226" i="45"/>
  <c r="AB226" i="45"/>
  <c r="U68" i="45"/>
  <c r="K16" i="60"/>
  <c r="V114" i="60"/>
  <c r="V149" i="60"/>
  <c r="AH17" i="45"/>
  <c r="AH42" i="45" s="1"/>
  <c r="S25" i="45"/>
  <c r="AH33" i="45"/>
  <c r="AA68" i="45"/>
  <c r="F68" i="45"/>
  <c r="AB68" i="45"/>
  <c r="W190" i="45"/>
  <c r="AH148" i="45"/>
  <c r="W215" i="45"/>
  <c r="S226" i="45"/>
  <c r="J68" i="45"/>
  <c r="J216" i="45" s="1"/>
  <c r="O201" i="45"/>
  <c r="P201" i="45" s="1"/>
  <c r="B42" i="45"/>
  <c r="B216" i="45" s="1"/>
  <c r="B227" i="45" s="1"/>
  <c r="W42" i="45"/>
  <c r="W216" i="45" s="1"/>
  <c r="W227" i="45" s="1"/>
  <c r="T148" i="45"/>
  <c r="T190" i="45" s="1"/>
  <c r="AA42" i="45"/>
  <c r="C22" i="32"/>
  <c r="O11" i="45"/>
  <c r="O22" i="45"/>
  <c r="O28" i="45"/>
  <c r="AD65" i="45"/>
  <c r="AE65" i="45" s="1"/>
  <c r="AI65" i="45" s="1"/>
  <c r="AD125" i="45"/>
  <c r="AE125" i="45" s="1"/>
  <c r="AI125" i="45" s="1"/>
  <c r="AD130" i="45"/>
  <c r="AE130" i="45" s="1"/>
  <c r="AI130" i="45" s="1"/>
  <c r="AD142" i="45"/>
  <c r="AE142" i="45" s="1"/>
  <c r="AI142" i="45" s="1"/>
  <c r="X215" i="45"/>
  <c r="N222" i="45"/>
  <c r="N226" i="45" s="1"/>
  <c r="U226" i="45"/>
  <c r="F226" i="45"/>
  <c r="AH209" i="45"/>
  <c r="V60" i="60"/>
  <c r="H22" i="32"/>
  <c r="K48" i="45"/>
  <c r="K52" i="45" s="1"/>
  <c r="K145" i="60"/>
  <c r="M204" i="45"/>
  <c r="AH67" i="45"/>
  <c r="C33" i="45"/>
  <c r="AB42" i="45"/>
  <c r="K23" i="60"/>
  <c r="K119" i="60"/>
  <c r="K106" i="60"/>
  <c r="L42" i="45"/>
  <c r="AC25" i="45"/>
  <c r="G68" i="45"/>
  <c r="B190" i="45"/>
  <c r="K114" i="60"/>
  <c r="K149" i="60"/>
  <c r="V65" i="60"/>
  <c r="E22" i="32"/>
  <c r="Z13" i="45"/>
  <c r="AD13" i="45" s="1"/>
  <c r="AE13" i="45" s="1"/>
  <c r="AI13" i="45" s="1"/>
  <c r="M42" i="45"/>
  <c r="AH25" i="45"/>
  <c r="Z24" i="45"/>
  <c r="AD24" i="45" s="1"/>
  <c r="AE24" i="45" s="1"/>
  <c r="AI24" i="45" s="1"/>
  <c r="Z30" i="45"/>
  <c r="AD30" i="45" s="1"/>
  <c r="AE30" i="45" s="1"/>
  <c r="AI30" i="45" s="1"/>
  <c r="Z36" i="45"/>
  <c r="AD36" i="45" s="1"/>
  <c r="AE36" i="45" s="1"/>
  <c r="AI36" i="45" s="1"/>
  <c r="N52" i="45"/>
  <c r="H68" i="45"/>
  <c r="N60" i="45"/>
  <c r="AD80" i="45"/>
  <c r="AE80" i="45" s="1"/>
  <c r="AI80" i="45" s="1"/>
  <c r="AD83" i="45"/>
  <c r="AE83" i="45" s="1"/>
  <c r="AI83" i="45" s="1"/>
  <c r="AD97" i="45"/>
  <c r="AE97" i="45" s="1"/>
  <c r="AI97" i="45" s="1"/>
  <c r="AD108" i="45"/>
  <c r="AE108" i="45" s="1"/>
  <c r="AI108" i="45" s="1"/>
  <c r="D190" i="45"/>
  <c r="Y190" i="45"/>
  <c r="N148" i="45"/>
  <c r="O128" i="45"/>
  <c r="O140" i="45"/>
  <c r="N189" i="45"/>
  <c r="O164" i="45"/>
  <c r="O167" i="45"/>
  <c r="AD184" i="45"/>
  <c r="AE184" i="45" s="1"/>
  <c r="AI184" i="45" s="1"/>
  <c r="B215" i="45"/>
  <c r="Y215" i="45"/>
  <c r="AB209" i="45"/>
  <c r="AD212" i="45"/>
  <c r="AE212" i="45" s="1"/>
  <c r="AI212" i="45" s="1"/>
  <c r="P12" i="45"/>
  <c r="AG12" i="45" s="1"/>
  <c r="AF12" i="45"/>
  <c r="P14" i="45"/>
  <c r="AG14" i="45" s="1"/>
  <c r="AF14" i="45"/>
  <c r="AF16" i="45"/>
  <c r="P16" i="45"/>
  <c r="AG16" i="45" s="1"/>
  <c r="P21" i="45"/>
  <c r="AG21" i="45" s="1"/>
  <c r="AF21" i="45"/>
  <c r="P31" i="45"/>
  <c r="AG31" i="45" s="1"/>
  <c r="AF31" i="45"/>
  <c r="P37" i="45"/>
  <c r="AG37" i="45" s="1"/>
  <c r="AF37" i="45"/>
  <c r="P39" i="45"/>
  <c r="AG39" i="45" s="1"/>
  <c r="AF39" i="45"/>
  <c r="P49" i="45"/>
  <c r="AG49" i="45" s="1"/>
  <c r="AF49" i="45"/>
  <c r="P51" i="45"/>
  <c r="AG51" i="45" s="1"/>
  <c r="AF51" i="45"/>
  <c r="P55" i="45"/>
  <c r="P59" i="45"/>
  <c r="AG59" i="45" s="1"/>
  <c r="AF59" i="45"/>
  <c r="P63" i="45"/>
  <c r="P66" i="45"/>
  <c r="P72" i="45"/>
  <c r="P76" i="45"/>
  <c r="AG76" i="45" s="1"/>
  <c r="AF76" i="45"/>
  <c r="P80" i="45"/>
  <c r="AG80" i="45" s="1"/>
  <c r="AF80" i="45"/>
  <c r="AF84" i="45"/>
  <c r="P84" i="45"/>
  <c r="AG84" i="45" s="1"/>
  <c r="P85" i="45"/>
  <c r="P90" i="45"/>
  <c r="P91" i="45"/>
  <c r="P92" i="45"/>
  <c r="AG92" i="45" s="1"/>
  <c r="AF92" i="45"/>
  <c r="P97" i="45"/>
  <c r="AF98" i="45"/>
  <c r="P98" i="45"/>
  <c r="AG98" i="45" s="1"/>
  <c r="AF99" i="45"/>
  <c r="P99" i="45"/>
  <c r="AG99" i="45" s="1"/>
  <c r="P100" i="45"/>
  <c r="AG100" i="45" s="1"/>
  <c r="AF100" i="45"/>
  <c r="AF106" i="45"/>
  <c r="P106" i="45"/>
  <c r="AG106" i="45" s="1"/>
  <c r="AF107" i="45"/>
  <c r="P107" i="45"/>
  <c r="AG107" i="45" s="1"/>
  <c r="P108" i="45"/>
  <c r="P113" i="45"/>
  <c r="AD113" i="45"/>
  <c r="AE113" i="45" s="1"/>
  <c r="AI113" i="45" s="1"/>
  <c r="P119" i="45"/>
  <c r="AG119" i="45" s="1"/>
  <c r="AF119" i="45"/>
  <c r="P123" i="45"/>
  <c r="AG123" i="45" s="1"/>
  <c r="AF123" i="45"/>
  <c r="P127" i="45"/>
  <c r="AF127" i="45"/>
  <c r="P131" i="45"/>
  <c r="AG131" i="45" s="1"/>
  <c r="AF131" i="45"/>
  <c r="P139" i="45"/>
  <c r="P147" i="45"/>
  <c r="AG147" i="45" s="1"/>
  <c r="AF147" i="45"/>
  <c r="P161" i="45"/>
  <c r="AG161" i="45" s="1"/>
  <c r="AF161" i="45"/>
  <c r="P165" i="45"/>
  <c r="AG165" i="45" s="1"/>
  <c r="AF165" i="45"/>
  <c r="P168" i="45"/>
  <c r="AG168" i="45" s="1"/>
  <c r="AF168" i="45"/>
  <c r="P172" i="45"/>
  <c r="AG172" i="45" s="1"/>
  <c r="AF172" i="45"/>
  <c r="P176" i="45"/>
  <c r="AG176" i="45" s="1"/>
  <c r="AF176" i="45"/>
  <c r="P180" i="45"/>
  <c r="AG180" i="45" s="1"/>
  <c r="AF180" i="45"/>
  <c r="P184" i="45"/>
  <c r="P188" i="45"/>
  <c r="AG188" i="45" s="1"/>
  <c r="AF188" i="45"/>
  <c r="P196" i="45"/>
  <c r="P11" i="45"/>
  <c r="AG11" i="45" s="1"/>
  <c r="AF11" i="45"/>
  <c r="P13" i="45"/>
  <c r="AG13" i="45" s="1"/>
  <c r="AF13" i="45"/>
  <c r="P15" i="45"/>
  <c r="AG15" i="45" s="1"/>
  <c r="AF15" i="45"/>
  <c r="P20" i="45"/>
  <c r="AG20" i="45" s="1"/>
  <c r="AF20" i="45"/>
  <c r="P22" i="45"/>
  <c r="AG22" i="45" s="1"/>
  <c r="AF22" i="45"/>
  <c r="P24" i="45"/>
  <c r="AG24" i="45" s="1"/>
  <c r="AF24" i="45"/>
  <c r="P28" i="45"/>
  <c r="AG28" i="45" s="1"/>
  <c r="AF28" i="45"/>
  <c r="P30" i="45"/>
  <c r="AG30" i="45" s="1"/>
  <c r="AF30" i="45"/>
  <c r="P32" i="45"/>
  <c r="AG32" i="45" s="1"/>
  <c r="AF32" i="45"/>
  <c r="P36" i="45"/>
  <c r="AG36" i="45" s="1"/>
  <c r="AF36" i="45"/>
  <c r="P38" i="45"/>
  <c r="AG38" i="45" s="1"/>
  <c r="AF38" i="45"/>
  <c r="P40" i="45"/>
  <c r="AG40" i="45" s="1"/>
  <c r="AF40" i="45"/>
  <c r="N68" i="45"/>
  <c r="P57" i="45"/>
  <c r="AG57" i="45" s="1"/>
  <c r="AF57" i="45"/>
  <c r="P74" i="45"/>
  <c r="AG74" i="45" s="1"/>
  <c r="AF74" i="45"/>
  <c r="P78" i="45"/>
  <c r="AG78" i="45" s="1"/>
  <c r="AF78" i="45"/>
  <c r="P82" i="45"/>
  <c r="P87" i="45"/>
  <c r="AG87" i="45" s="1"/>
  <c r="P88" i="45"/>
  <c r="AG88" i="45" s="1"/>
  <c r="AF88" i="45"/>
  <c r="AF93" i="45"/>
  <c r="AF94" i="45"/>
  <c r="P94" i="45"/>
  <c r="AG94" i="45" s="1"/>
  <c r="AF95" i="45"/>
  <c r="P95" i="45"/>
  <c r="AG95" i="45" s="1"/>
  <c r="P96" i="45"/>
  <c r="P103" i="45"/>
  <c r="P104" i="45"/>
  <c r="AG104" i="45" s="1"/>
  <c r="AF104" i="45"/>
  <c r="AF109" i="45"/>
  <c r="P111" i="45"/>
  <c r="P117" i="45"/>
  <c r="P121" i="45"/>
  <c r="AG121" i="45" s="1"/>
  <c r="AF121" i="45"/>
  <c r="P125" i="45"/>
  <c r="AG125" i="45" s="1"/>
  <c r="P129" i="45"/>
  <c r="AG129" i="45" s="1"/>
  <c r="AF129" i="45"/>
  <c r="P133" i="45"/>
  <c r="AG133" i="45" s="1"/>
  <c r="AF133" i="45"/>
  <c r="P135" i="45"/>
  <c r="AG135" i="45" s="1"/>
  <c r="AF135" i="45"/>
  <c r="P143" i="45"/>
  <c r="AD153" i="45"/>
  <c r="P163" i="45"/>
  <c r="AG163" i="45" s="1"/>
  <c r="AF163" i="45"/>
  <c r="P166" i="45"/>
  <c r="AG166" i="45" s="1"/>
  <c r="AF166" i="45"/>
  <c r="P170" i="45"/>
  <c r="AG170" i="45" s="1"/>
  <c r="AF170" i="45"/>
  <c r="P174" i="45"/>
  <c r="AG174" i="45" s="1"/>
  <c r="AF174" i="45"/>
  <c r="P178" i="45"/>
  <c r="AG178" i="45" s="1"/>
  <c r="AF178" i="45"/>
  <c r="P182" i="45"/>
  <c r="AG182" i="45" s="1"/>
  <c r="AF182" i="45"/>
  <c r="P186" i="45"/>
  <c r="AG186" i="45" s="1"/>
  <c r="K10" i="45"/>
  <c r="Z10" i="45"/>
  <c r="I216" i="45"/>
  <c r="K19" i="45"/>
  <c r="K27" i="45"/>
  <c r="K35" i="45"/>
  <c r="F216" i="45"/>
  <c r="F227" i="45" s="1"/>
  <c r="Z48" i="45"/>
  <c r="C60" i="45"/>
  <c r="K54" i="45"/>
  <c r="Z55" i="45"/>
  <c r="AD55" i="45" s="1"/>
  <c r="AE55" i="45" s="1"/>
  <c r="AI55" i="45" s="1"/>
  <c r="P58" i="45"/>
  <c r="C67" i="45"/>
  <c r="K62" i="45"/>
  <c r="Z63" i="45"/>
  <c r="AD63" i="45" s="1"/>
  <c r="AE63" i="45" s="1"/>
  <c r="AI63" i="45" s="1"/>
  <c r="AE71" i="45"/>
  <c r="AD72" i="45"/>
  <c r="AE72" i="45" s="1"/>
  <c r="AI72" i="45" s="1"/>
  <c r="P93" i="45"/>
  <c r="AG93" i="45" s="1"/>
  <c r="P105" i="45"/>
  <c r="AG105" i="45" s="1"/>
  <c r="P109" i="45"/>
  <c r="AG109" i="45" s="1"/>
  <c r="AA114" i="45"/>
  <c r="AA190" i="45" s="1"/>
  <c r="AC113" i="45"/>
  <c r="C148" i="45"/>
  <c r="K116" i="45"/>
  <c r="P124" i="45"/>
  <c r="P128" i="45"/>
  <c r="P132" i="45"/>
  <c r="P136" i="45"/>
  <c r="P140" i="45"/>
  <c r="P144" i="45"/>
  <c r="AE150" i="45"/>
  <c r="AE155" i="45"/>
  <c r="P158" i="45"/>
  <c r="AG158" i="45" s="1"/>
  <c r="AF158" i="45"/>
  <c r="P160" i="45"/>
  <c r="AF162" i="45"/>
  <c r="P162" i="45"/>
  <c r="P164" i="45"/>
  <c r="AC211" i="45"/>
  <c r="AC214" i="45" s="1"/>
  <c r="P213" i="45"/>
  <c r="P221" i="45"/>
  <c r="AF221" i="45"/>
  <c r="S17" i="45"/>
  <c r="AC17" i="45"/>
  <c r="AC42" i="45" s="1"/>
  <c r="Z19" i="45"/>
  <c r="Z27" i="45"/>
  <c r="Z35" i="45"/>
  <c r="O45" i="45"/>
  <c r="C46" i="45"/>
  <c r="E68" i="45"/>
  <c r="E216" i="45" s="1"/>
  <c r="E227" i="45" s="1"/>
  <c r="K46" i="45"/>
  <c r="AC52" i="45"/>
  <c r="O50" i="45"/>
  <c r="Z54" i="45"/>
  <c r="AC60" i="45"/>
  <c r="O56" i="45"/>
  <c r="Z58" i="45"/>
  <c r="AD58" i="45" s="1"/>
  <c r="AE58" i="45" s="1"/>
  <c r="AI58" i="45" s="1"/>
  <c r="Z62" i="45"/>
  <c r="AC67" i="45"/>
  <c r="O65" i="45"/>
  <c r="C114" i="45"/>
  <c r="K71" i="45"/>
  <c r="AC114" i="45"/>
  <c r="O73" i="45"/>
  <c r="O75" i="45"/>
  <c r="O77" i="45"/>
  <c r="O79" i="45"/>
  <c r="O81" i="45"/>
  <c r="O83" i="45"/>
  <c r="O86" i="45"/>
  <c r="O89" i="45"/>
  <c r="AD90" i="45"/>
  <c r="AE90" i="45" s="1"/>
  <c r="AI90" i="45" s="1"/>
  <c r="AD91" i="45"/>
  <c r="AE91" i="45" s="1"/>
  <c r="AI91" i="45" s="1"/>
  <c r="O101" i="45"/>
  <c r="AD102" i="45"/>
  <c r="AE102" i="45" s="1"/>
  <c r="AI102" i="45" s="1"/>
  <c r="AD103" i="45"/>
  <c r="AE103" i="45" s="1"/>
  <c r="AI103" i="45" s="1"/>
  <c r="O110" i="45"/>
  <c r="AD111" i="45"/>
  <c r="AE111" i="45" s="1"/>
  <c r="AI111" i="45" s="1"/>
  <c r="O112" i="45"/>
  <c r="R114" i="45"/>
  <c r="R190" i="45" s="1"/>
  <c r="R148" i="45"/>
  <c r="AC148" i="45"/>
  <c r="O118" i="45"/>
  <c r="Z120" i="45"/>
  <c r="AD120" i="45" s="1"/>
  <c r="AE120" i="45" s="1"/>
  <c r="AI120" i="45" s="1"/>
  <c r="O122" i="45"/>
  <c r="Z124" i="45"/>
  <c r="AD124" i="45" s="1"/>
  <c r="AE124" i="45" s="1"/>
  <c r="AI124" i="45" s="1"/>
  <c r="O126" i="45"/>
  <c r="Z128" i="45"/>
  <c r="AD128" i="45" s="1"/>
  <c r="AE128" i="45" s="1"/>
  <c r="AI128" i="45" s="1"/>
  <c r="O130" i="45"/>
  <c r="Z132" i="45"/>
  <c r="AD132" i="45" s="1"/>
  <c r="AE132" i="45" s="1"/>
  <c r="AI132" i="45" s="1"/>
  <c r="P141" i="45"/>
  <c r="AG141" i="45" s="1"/>
  <c r="AF141" i="45"/>
  <c r="P145" i="45"/>
  <c r="AG145" i="45" s="1"/>
  <c r="AF145" i="45"/>
  <c r="P151" i="45"/>
  <c r="AD151" i="45"/>
  <c r="AE151" i="45" s="1"/>
  <c r="AI151" i="45" s="1"/>
  <c r="P156" i="45"/>
  <c r="Z189" i="45"/>
  <c r="AD156" i="45"/>
  <c r="AE156" i="45" s="1"/>
  <c r="AI156" i="45" s="1"/>
  <c r="AF167" i="45"/>
  <c r="P167" i="45"/>
  <c r="P169" i="45"/>
  <c r="AF171" i="45"/>
  <c r="P171" i="45"/>
  <c r="P173" i="45"/>
  <c r="AF175" i="45"/>
  <c r="P175" i="45"/>
  <c r="P177" i="45"/>
  <c r="AF179" i="45"/>
  <c r="P179" i="45"/>
  <c r="P181" i="45"/>
  <c r="P183" i="45"/>
  <c r="P185" i="45"/>
  <c r="P187" i="45"/>
  <c r="R197" i="45"/>
  <c r="Z193" i="45"/>
  <c r="G215" i="45"/>
  <c r="G216" i="45" s="1"/>
  <c r="G227" i="45" s="1"/>
  <c r="K204" i="45"/>
  <c r="AC206" i="45"/>
  <c r="AC209" i="45" s="1"/>
  <c r="P208" i="45"/>
  <c r="K219" i="45"/>
  <c r="J222" i="45"/>
  <c r="J226" i="45" s="1"/>
  <c r="AD45" i="45"/>
  <c r="Z116" i="45"/>
  <c r="O134" i="45"/>
  <c r="Z136" i="45"/>
  <c r="AD136" i="45" s="1"/>
  <c r="AE136" i="45" s="1"/>
  <c r="AI136" i="45" s="1"/>
  <c r="O138" i="45"/>
  <c r="Z140" i="45"/>
  <c r="AD140" i="45" s="1"/>
  <c r="AE140" i="45" s="1"/>
  <c r="AI140" i="45" s="1"/>
  <c r="O142" i="45"/>
  <c r="Z144" i="45"/>
  <c r="AD144" i="45" s="1"/>
  <c r="AE144" i="45" s="1"/>
  <c r="AI144" i="45" s="1"/>
  <c r="O146" i="45"/>
  <c r="C153" i="45"/>
  <c r="K150" i="45"/>
  <c r="O152" i="45"/>
  <c r="C189" i="45"/>
  <c r="K155" i="45"/>
  <c r="AC189" i="45"/>
  <c r="O157" i="45"/>
  <c r="O159" i="45"/>
  <c r="AD160" i="45"/>
  <c r="AE160" i="45" s="1"/>
  <c r="AI160" i="45" s="1"/>
  <c r="AD162" i="45"/>
  <c r="AE162" i="45" s="1"/>
  <c r="AI162" i="45" s="1"/>
  <c r="AD164" i="45"/>
  <c r="AE164" i="45" s="1"/>
  <c r="AI164" i="45" s="1"/>
  <c r="AD167" i="45"/>
  <c r="AE167" i="45" s="1"/>
  <c r="AI167" i="45" s="1"/>
  <c r="AD169" i="45"/>
  <c r="AE169" i="45" s="1"/>
  <c r="AI169" i="45" s="1"/>
  <c r="AD171" i="45"/>
  <c r="AE171" i="45" s="1"/>
  <c r="AI171" i="45" s="1"/>
  <c r="AD173" i="45"/>
  <c r="AE173" i="45" s="1"/>
  <c r="AI173" i="45" s="1"/>
  <c r="AD175" i="45"/>
  <c r="AE175" i="45" s="1"/>
  <c r="AI175" i="45" s="1"/>
  <c r="AD177" i="45"/>
  <c r="AE177" i="45" s="1"/>
  <c r="AI177" i="45" s="1"/>
  <c r="AD179" i="45"/>
  <c r="AE179" i="45" s="1"/>
  <c r="AI179" i="45" s="1"/>
  <c r="AD181" i="45"/>
  <c r="AE181" i="45" s="1"/>
  <c r="AI181" i="45" s="1"/>
  <c r="AD183" i="45"/>
  <c r="AE183" i="45" s="1"/>
  <c r="AI183" i="45" s="1"/>
  <c r="AD185" i="45"/>
  <c r="AE185" i="45" s="1"/>
  <c r="AI185" i="45" s="1"/>
  <c r="AD187" i="45"/>
  <c r="AE187" i="45" s="1"/>
  <c r="AI187" i="45" s="1"/>
  <c r="M197" i="45"/>
  <c r="M215" i="45" s="1"/>
  <c r="M216" i="45" s="1"/>
  <c r="M227" i="45" s="1"/>
  <c r="AA197" i="45"/>
  <c r="AD195" i="45"/>
  <c r="AE195" i="45" s="1"/>
  <c r="AI195" i="45" s="1"/>
  <c r="E215" i="45"/>
  <c r="I215" i="45"/>
  <c r="K197" i="45"/>
  <c r="AA204" i="45"/>
  <c r="AC199" i="45"/>
  <c r="AC204" i="45" s="1"/>
  <c r="AD200" i="45"/>
  <c r="AE200" i="45" s="1"/>
  <c r="AI200" i="45" s="1"/>
  <c r="O202" i="45"/>
  <c r="B226" i="45"/>
  <c r="L215" i="45"/>
  <c r="AC193" i="45"/>
  <c r="AC197" i="45" s="1"/>
  <c r="AD194" i="45"/>
  <c r="AE194" i="45" s="1"/>
  <c r="AI194" i="45" s="1"/>
  <c r="N195" i="45"/>
  <c r="O195" i="45" s="1"/>
  <c r="AD196" i="45"/>
  <c r="AE196" i="45" s="1"/>
  <c r="AI196" i="45" s="1"/>
  <c r="R204" i="45"/>
  <c r="Z199" i="45"/>
  <c r="N200" i="45"/>
  <c r="O200" i="45" s="1"/>
  <c r="AD201" i="45"/>
  <c r="AE201" i="45" s="1"/>
  <c r="AI201" i="45" s="1"/>
  <c r="N202" i="45"/>
  <c r="AD203" i="45"/>
  <c r="AE203" i="45" s="1"/>
  <c r="AI203" i="45" s="1"/>
  <c r="R209" i="45"/>
  <c r="Z206" i="45"/>
  <c r="N207" i="45"/>
  <c r="O207" i="45" s="1"/>
  <c r="AD208" i="45"/>
  <c r="AE208" i="45" s="1"/>
  <c r="AI208" i="45" s="1"/>
  <c r="R214" i="45"/>
  <c r="Z211" i="45"/>
  <c r="N212" i="45"/>
  <c r="O212" i="45" s="1"/>
  <c r="AD213" i="45"/>
  <c r="AE213" i="45" s="1"/>
  <c r="AI213" i="45" s="1"/>
  <c r="AF220" i="45"/>
  <c r="P220" i="45"/>
  <c r="AG220" i="45" s="1"/>
  <c r="AD221" i="45"/>
  <c r="AE221" i="45" s="1"/>
  <c r="AI221" i="45" s="1"/>
  <c r="D226" i="45"/>
  <c r="H226" i="45"/>
  <c r="AE224" i="45"/>
  <c r="AD225" i="45"/>
  <c r="N193" i="45"/>
  <c r="N199" i="45"/>
  <c r="N206" i="45"/>
  <c r="N211" i="45"/>
  <c r="Z219" i="45"/>
  <c r="AC222" i="45"/>
  <c r="AC226" i="45" s="1"/>
  <c r="AA222" i="45"/>
  <c r="AA226" i="45" s="1"/>
  <c r="K225" i="45"/>
  <c r="O224" i="45"/>
  <c r="I6" i="32"/>
  <c r="I22" i="32" s="1"/>
  <c r="C152" i="60"/>
  <c r="E152" i="60"/>
  <c r="G152" i="60"/>
  <c r="I152" i="60"/>
  <c r="K45" i="60"/>
  <c r="K55" i="60"/>
  <c r="K103" i="60"/>
  <c r="K142" i="60"/>
  <c r="V16" i="60"/>
  <c r="V23" i="60"/>
  <c r="V51" i="60"/>
  <c r="V106" i="60"/>
  <c r="V145" i="60"/>
  <c r="W152" i="60"/>
  <c r="B152" i="60"/>
  <c r="D152" i="60"/>
  <c r="F152" i="60"/>
  <c r="H152" i="60"/>
  <c r="J152" i="60"/>
  <c r="L152" i="60"/>
  <c r="N152" i="60"/>
  <c r="P152" i="60"/>
  <c r="R152" i="60"/>
  <c r="T152" i="60"/>
  <c r="M152" i="60"/>
  <c r="O152" i="60"/>
  <c r="Q152" i="60"/>
  <c r="S152" i="60"/>
  <c r="U152" i="60"/>
  <c r="V45" i="60"/>
  <c r="V55" i="60"/>
  <c r="V103" i="60"/>
  <c r="V142" i="60"/>
  <c r="T216" i="45" l="1"/>
  <c r="T227" i="45" s="1"/>
  <c r="S42" i="45"/>
  <c r="S216" i="45" s="1"/>
  <c r="S227" i="45" s="1"/>
  <c r="AF143" i="45"/>
  <c r="AG82" i="45"/>
  <c r="AF97" i="45"/>
  <c r="AG66" i="45"/>
  <c r="V216" i="45"/>
  <c r="V227" i="45" s="1"/>
  <c r="X216" i="45"/>
  <c r="X227" i="45" s="1"/>
  <c r="R215" i="45"/>
  <c r="AF186" i="45"/>
  <c r="AG143" i="45"/>
  <c r="AF64" i="45"/>
  <c r="AF29" i="45"/>
  <c r="U216" i="45"/>
  <c r="U227" i="45" s="1"/>
  <c r="K215" i="45"/>
  <c r="AF96" i="45"/>
  <c r="AF108" i="45"/>
  <c r="AF91" i="45"/>
  <c r="AF23" i="45"/>
  <c r="AF87" i="45"/>
  <c r="N197" i="45"/>
  <c r="AF58" i="45"/>
  <c r="K152" i="60"/>
  <c r="AG156" i="45"/>
  <c r="AC68" i="45"/>
  <c r="AC216" i="45" s="1"/>
  <c r="AC227" i="45" s="1"/>
  <c r="AG96" i="45"/>
  <c r="AF66" i="45"/>
  <c r="Y216" i="45"/>
  <c r="Y227" i="45" s="1"/>
  <c r="AF187" i="45"/>
  <c r="AF183" i="45"/>
  <c r="O48" i="45"/>
  <c r="AF85" i="45"/>
  <c r="AG55" i="45"/>
  <c r="AF117" i="45"/>
  <c r="AG127" i="45"/>
  <c r="L216" i="45"/>
  <c r="L227" i="45" s="1"/>
  <c r="AF137" i="45"/>
  <c r="I227" i="45"/>
  <c r="AG97" i="45"/>
  <c r="R68" i="45"/>
  <c r="R216" i="45" s="1"/>
  <c r="R227" i="45" s="1"/>
  <c r="AF151" i="45"/>
  <c r="AF184" i="45"/>
  <c r="AF139" i="45"/>
  <c r="AG85" i="45"/>
  <c r="AH215" i="45"/>
  <c r="AH216" i="45" s="1"/>
  <c r="AG117" i="45"/>
  <c r="C42" i="45"/>
  <c r="AF82" i="45"/>
  <c r="AG108" i="45"/>
  <c r="AA215" i="45"/>
  <c r="AA216" i="45" s="1"/>
  <c r="AA227" i="45" s="1"/>
  <c r="AF125" i="45"/>
  <c r="AG184" i="45"/>
  <c r="AG139" i="45"/>
  <c r="H216" i="45"/>
  <c r="H227" i="45" s="1"/>
  <c r="AF207" i="45"/>
  <c r="P207" i="45"/>
  <c r="AG207" i="45" s="1"/>
  <c r="AF200" i="45"/>
  <c r="P200" i="45"/>
  <c r="AG200" i="45" s="1"/>
  <c r="O225" i="45"/>
  <c r="P224" i="45"/>
  <c r="P225" i="45" s="1"/>
  <c r="AD219" i="45"/>
  <c r="Z222" i="45"/>
  <c r="Z226" i="45" s="1"/>
  <c r="N209" i="45"/>
  <c r="O206" i="45"/>
  <c r="AH224" i="45"/>
  <c r="AH225" i="45" s="1"/>
  <c r="AH226" i="45" s="1"/>
  <c r="AE225" i="45"/>
  <c r="Z214" i="45"/>
  <c r="AD211" i="45"/>
  <c r="Z209" i="45"/>
  <c r="AD206" i="45"/>
  <c r="Z204" i="45"/>
  <c r="AD199" i="45"/>
  <c r="AF212" i="45"/>
  <c r="P212" i="45"/>
  <c r="AG212" i="45" s="1"/>
  <c r="AF202" i="45"/>
  <c r="P202" i="45"/>
  <c r="AG202" i="45" s="1"/>
  <c r="O193" i="45"/>
  <c r="AF157" i="45"/>
  <c r="P157" i="45"/>
  <c r="AG157" i="45" s="1"/>
  <c r="K189" i="45"/>
  <c r="O155" i="45"/>
  <c r="P152" i="45"/>
  <c r="AG152" i="45" s="1"/>
  <c r="AF152" i="45"/>
  <c r="Z148" i="45"/>
  <c r="Z190" i="45" s="1"/>
  <c r="AD116" i="45"/>
  <c r="AG208" i="45"/>
  <c r="AF194" i="45"/>
  <c r="AF185" i="45"/>
  <c r="AF181" i="45"/>
  <c r="AF177" i="45"/>
  <c r="AF173" i="45"/>
  <c r="AF169" i="45"/>
  <c r="P101" i="45"/>
  <c r="AG101" i="45" s="1"/>
  <c r="AF101" i="45"/>
  <c r="AF86" i="45"/>
  <c r="P86" i="45"/>
  <c r="AG86" i="45" s="1"/>
  <c r="AF81" i="45"/>
  <c r="P81" i="45"/>
  <c r="AG81" i="45" s="1"/>
  <c r="AF77" i="45"/>
  <c r="P77" i="45"/>
  <c r="AG77" i="45" s="1"/>
  <c r="AF73" i="45"/>
  <c r="P73" i="45"/>
  <c r="AG73" i="45" s="1"/>
  <c r="K114" i="45"/>
  <c r="O71" i="45"/>
  <c r="AF65" i="45"/>
  <c r="P65" i="45"/>
  <c r="AG65" i="45" s="1"/>
  <c r="AD62" i="45"/>
  <c r="Z67" i="45"/>
  <c r="AF56" i="45"/>
  <c r="P56" i="45"/>
  <c r="AG56" i="45" s="1"/>
  <c r="AD54" i="45"/>
  <c r="Z60" i="45"/>
  <c r="AF45" i="45"/>
  <c r="AF46" i="45" s="1"/>
  <c r="P45" i="45"/>
  <c r="O46" i="45"/>
  <c r="AD27" i="45"/>
  <c r="Z33" i="45"/>
  <c r="AG213" i="45"/>
  <c r="AF203" i="45"/>
  <c r="AF195" i="45"/>
  <c r="P195" i="45"/>
  <c r="AG195" i="45" s="1"/>
  <c r="AF164" i="45"/>
  <c r="AF160" i="45"/>
  <c r="AE153" i="45"/>
  <c r="AI150" i="45"/>
  <c r="AI153" i="45" s="1"/>
  <c r="AF144" i="45"/>
  <c r="AF140" i="45"/>
  <c r="AF136" i="45"/>
  <c r="AF132" i="45"/>
  <c r="AF128" i="45"/>
  <c r="AF124" i="45"/>
  <c r="AF120" i="45"/>
  <c r="K60" i="45"/>
  <c r="O54" i="45"/>
  <c r="Z52" i="45"/>
  <c r="AD48" i="45"/>
  <c r="AF48" i="45" s="1"/>
  <c r="AF52" i="45" s="1"/>
  <c r="J227" i="45"/>
  <c r="K41" i="45"/>
  <c r="O35" i="45"/>
  <c r="K25" i="45"/>
  <c r="O19" i="45"/>
  <c r="K17" i="45"/>
  <c r="O10" i="45"/>
  <c r="AF201" i="45"/>
  <c r="AF111" i="45"/>
  <c r="AG103" i="45"/>
  <c r="AG196" i="45"/>
  <c r="AG113" i="45"/>
  <c r="AF90" i="45"/>
  <c r="AF72" i="45"/>
  <c r="AD114" i="45"/>
  <c r="AG63" i="45"/>
  <c r="N214" i="45"/>
  <c r="O211" i="45"/>
  <c r="N204" i="45"/>
  <c r="O199" i="45"/>
  <c r="AF224" i="45"/>
  <c r="AF225" i="45" s="1"/>
  <c r="AC215" i="45"/>
  <c r="AF159" i="45"/>
  <c r="P159" i="45"/>
  <c r="AG159" i="45" s="1"/>
  <c r="K153" i="45"/>
  <c r="O150" i="45"/>
  <c r="AF146" i="45"/>
  <c r="P146" i="45"/>
  <c r="AG146" i="45" s="1"/>
  <c r="AF142" i="45"/>
  <c r="P142" i="45"/>
  <c r="AG142" i="45" s="1"/>
  <c r="AF138" i="45"/>
  <c r="P138" i="45"/>
  <c r="AG138" i="45" s="1"/>
  <c r="AF134" i="45"/>
  <c r="P134" i="45"/>
  <c r="AG134" i="45" s="1"/>
  <c r="AD46" i="45"/>
  <c r="AE45" i="45"/>
  <c r="K222" i="45"/>
  <c r="K226" i="45" s="1"/>
  <c r="O219" i="45"/>
  <c r="AF208" i="45"/>
  <c r="AG194" i="45"/>
  <c r="Z197" i="45"/>
  <c r="AD193" i="45"/>
  <c r="AG187" i="45"/>
  <c r="AG185" i="45"/>
  <c r="AG183" i="45"/>
  <c r="AG181" i="45"/>
  <c r="AG179" i="45"/>
  <c r="AG177" i="45"/>
  <c r="AG175" i="45"/>
  <c r="AG173" i="45"/>
  <c r="AG171" i="45"/>
  <c r="AG169" i="45"/>
  <c r="AG167" i="45"/>
  <c r="AF156" i="45"/>
  <c r="AG151" i="45"/>
  <c r="AF130" i="45"/>
  <c r="P130" i="45"/>
  <c r="AG130" i="45" s="1"/>
  <c r="AF126" i="45"/>
  <c r="P126" i="45"/>
  <c r="AG126" i="45" s="1"/>
  <c r="AF122" i="45"/>
  <c r="P122" i="45"/>
  <c r="AG122" i="45" s="1"/>
  <c r="AF118" i="45"/>
  <c r="P118" i="45"/>
  <c r="AG118" i="45" s="1"/>
  <c r="P112" i="45"/>
  <c r="AG112" i="45" s="1"/>
  <c r="AF112" i="45"/>
  <c r="P110" i="45"/>
  <c r="AG110" i="45" s="1"/>
  <c r="AF110" i="45"/>
  <c r="P89" i="45"/>
  <c r="AG89" i="45" s="1"/>
  <c r="AF89" i="45"/>
  <c r="AF83" i="45"/>
  <c r="P83" i="45"/>
  <c r="AG83" i="45" s="1"/>
  <c r="AF79" i="45"/>
  <c r="P79" i="45"/>
  <c r="AG79" i="45" s="1"/>
  <c r="AF75" i="45"/>
  <c r="P75" i="45"/>
  <c r="AG75" i="45" s="1"/>
  <c r="AC190" i="45"/>
  <c r="C190" i="45"/>
  <c r="AF50" i="45"/>
  <c r="P50" i="45"/>
  <c r="AG50" i="45" s="1"/>
  <c r="O52" i="45"/>
  <c r="P48" i="45"/>
  <c r="C68" i="45"/>
  <c r="AD35" i="45"/>
  <c r="Z41" i="45"/>
  <c r="AD19" i="45"/>
  <c r="Z25" i="45"/>
  <c r="AG221" i="45"/>
  <c r="AF213" i="45"/>
  <c r="AG203" i="45"/>
  <c r="AG164" i="45"/>
  <c r="AG162" i="45"/>
  <c r="AG160" i="45"/>
  <c r="AE189" i="45"/>
  <c r="AI155" i="45"/>
  <c r="AI189" i="45" s="1"/>
  <c r="AG144" i="45"/>
  <c r="AG140" i="45"/>
  <c r="AG136" i="45"/>
  <c r="AG132" i="45"/>
  <c r="AG128" i="45"/>
  <c r="AG124" i="45"/>
  <c r="AG120" i="45"/>
  <c r="K148" i="45"/>
  <c r="O116" i="45"/>
  <c r="AE114" i="45"/>
  <c r="AI71" i="45"/>
  <c r="AI114" i="45" s="1"/>
  <c r="K67" i="45"/>
  <c r="O62" i="45"/>
  <c r="AG58" i="45"/>
  <c r="K33" i="45"/>
  <c r="O27" i="45"/>
  <c r="Z17" i="45"/>
  <c r="AD10" i="45"/>
  <c r="AG201" i="45"/>
  <c r="AD189" i="45"/>
  <c r="AG111" i="45"/>
  <c r="AF103" i="45"/>
  <c r="AF102" i="45"/>
  <c r="D227" i="45"/>
  <c r="AF196" i="45"/>
  <c r="AF113" i="45"/>
  <c r="AG91" i="45"/>
  <c r="AG90" i="45"/>
  <c r="AG72" i="45"/>
  <c r="AF63" i="45"/>
  <c r="AF55" i="45"/>
  <c r="V152" i="60"/>
  <c r="N215" i="45" l="1"/>
  <c r="N216" i="45" s="1"/>
  <c r="N227" i="45" s="1"/>
  <c r="AI224" i="45"/>
  <c r="AI225" i="45" s="1"/>
  <c r="Z215" i="45"/>
  <c r="AH227" i="45"/>
  <c r="Z68" i="45"/>
  <c r="K68" i="45"/>
  <c r="AD17" i="45"/>
  <c r="AE10" i="45"/>
  <c r="O33" i="45"/>
  <c r="P27" i="45"/>
  <c r="AF27" i="45"/>
  <c r="AF33" i="45" s="1"/>
  <c r="AE19" i="45"/>
  <c r="AD25" i="45"/>
  <c r="AE35" i="45"/>
  <c r="AD41" i="45"/>
  <c r="P52" i="45"/>
  <c r="P10" i="45"/>
  <c r="O17" i="45"/>
  <c r="AF10" i="45"/>
  <c r="AF17" i="45" s="1"/>
  <c r="O25" i="45"/>
  <c r="P19" i="45"/>
  <c r="AF19" i="45"/>
  <c r="AF25" i="45" s="1"/>
  <c r="O41" i="45"/>
  <c r="P35" i="45"/>
  <c r="AF35" i="45"/>
  <c r="AF41" i="45" s="1"/>
  <c r="AD60" i="45"/>
  <c r="AE54" i="45"/>
  <c r="AD67" i="45"/>
  <c r="AE62" i="45"/>
  <c r="K190" i="45"/>
  <c r="AD148" i="45"/>
  <c r="AD190" i="45" s="1"/>
  <c r="AE116" i="45"/>
  <c r="O189" i="45"/>
  <c r="AF155" i="45"/>
  <c r="AF189" i="45" s="1"/>
  <c r="P155" i="45"/>
  <c r="AF193" i="45"/>
  <c r="AF197" i="45" s="1"/>
  <c r="P193" i="45"/>
  <c r="O197" i="45"/>
  <c r="AF206" i="45"/>
  <c r="AF209" i="45" s="1"/>
  <c r="P206" i="45"/>
  <c r="O209" i="45"/>
  <c r="Z42" i="45"/>
  <c r="Z216" i="45" s="1"/>
  <c r="Z227" i="45" s="1"/>
  <c r="O67" i="45"/>
  <c r="AF62" i="45"/>
  <c r="AF67" i="45" s="1"/>
  <c r="P62" i="45"/>
  <c r="O148" i="45"/>
  <c r="AF116" i="45"/>
  <c r="AF148" i="45" s="1"/>
  <c r="P116" i="45"/>
  <c r="C216" i="45"/>
  <c r="C227" i="45" s="1"/>
  <c r="AD197" i="45"/>
  <c r="AE193" i="45"/>
  <c r="O222" i="45"/>
  <c r="O226" i="45" s="1"/>
  <c r="AF219" i="45"/>
  <c r="AF222" i="45" s="1"/>
  <c r="AF226" i="45" s="1"/>
  <c r="P219" i="45"/>
  <c r="AE46" i="45"/>
  <c r="AI45" i="45"/>
  <c r="AI46" i="45" s="1"/>
  <c r="O153" i="45"/>
  <c r="AF150" i="45"/>
  <c r="AF153" i="45" s="1"/>
  <c r="P150" i="45"/>
  <c r="AF199" i="45"/>
  <c r="AF204" i="45" s="1"/>
  <c r="P199" i="45"/>
  <c r="O204" i="45"/>
  <c r="AF211" i="45"/>
  <c r="AF214" i="45" s="1"/>
  <c r="P211" i="45"/>
  <c r="O214" i="45"/>
  <c r="K42" i="45"/>
  <c r="AE48" i="45"/>
  <c r="AD52" i="45"/>
  <c r="O60" i="45"/>
  <c r="AF54" i="45"/>
  <c r="AF60" i="45" s="1"/>
  <c r="P54" i="45"/>
  <c r="AE27" i="45"/>
  <c r="AD33" i="45"/>
  <c r="P46" i="45"/>
  <c r="AG45" i="45"/>
  <c r="AG46" i="45" s="1"/>
  <c r="O114" i="45"/>
  <c r="AF71" i="45"/>
  <c r="AF114" i="45" s="1"/>
  <c r="P71" i="45"/>
  <c r="AD204" i="45"/>
  <c r="AE199" i="45"/>
  <c r="AD209" i="45"/>
  <c r="AE206" i="45"/>
  <c r="AD214" i="45"/>
  <c r="AE211" i="45"/>
  <c r="AG224" i="45"/>
  <c r="AG225" i="45" s="1"/>
  <c r="AD222" i="45"/>
  <c r="AD226" i="45" s="1"/>
  <c r="AE219" i="45"/>
  <c r="AF190" i="45" l="1"/>
  <c r="O68" i="45"/>
  <c r="O190" i="45"/>
  <c r="AF68" i="45"/>
  <c r="AD68" i="45"/>
  <c r="K216" i="45"/>
  <c r="K227" i="45" s="1"/>
  <c r="AE222" i="45"/>
  <c r="AE226" i="45" s="1"/>
  <c r="AI219" i="45"/>
  <c r="AI222" i="45" s="1"/>
  <c r="AI226" i="45" s="1"/>
  <c r="AG54" i="45"/>
  <c r="AG60" i="45" s="1"/>
  <c r="P60" i="45"/>
  <c r="AE52" i="45"/>
  <c r="AI48" i="45"/>
  <c r="AI52" i="45" s="1"/>
  <c r="P204" i="45"/>
  <c r="AG199" i="45"/>
  <c r="AG204" i="45" s="1"/>
  <c r="P153" i="45"/>
  <c r="AG150" i="45"/>
  <c r="AG153" i="45" s="1"/>
  <c r="AE197" i="45"/>
  <c r="AI193" i="45"/>
  <c r="AI197" i="45" s="1"/>
  <c r="P209" i="45"/>
  <c r="AG206" i="45"/>
  <c r="AG209" i="45" s="1"/>
  <c r="O215" i="45"/>
  <c r="AF215" i="45"/>
  <c r="AE148" i="45"/>
  <c r="AE190" i="45" s="1"/>
  <c r="AI116" i="45"/>
  <c r="AI148" i="45" s="1"/>
  <c r="AI190" i="45" s="1"/>
  <c r="AG35" i="45"/>
  <c r="AG41" i="45" s="1"/>
  <c r="P41" i="45"/>
  <c r="O42" i="45"/>
  <c r="O216" i="45" s="1"/>
  <c r="O227" i="45" s="1"/>
  <c r="AG27" i="45"/>
  <c r="AG33" i="45" s="1"/>
  <c r="P33" i="45"/>
  <c r="AE17" i="45"/>
  <c r="AI10" i="45"/>
  <c r="AI17" i="45" s="1"/>
  <c r="AE214" i="45"/>
  <c r="AI211" i="45"/>
  <c r="AI214" i="45" s="1"/>
  <c r="AE209" i="45"/>
  <c r="AI206" i="45"/>
  <c r="AI209" i="45" s="1"/>
  <c r="AE204" i="45"/>
  <c r="AI199" i="45"/>
  <c r="AI204" i="45" s="1"/>
  <c r="P114" i="45"/>
  <c r="AG71" i="45"/>
  <c r="AG114" i="45" s="1"/>
  <c r="AE33" i="45"/>
  <c r="AI27" i="45"/>
  <c r="AI33" i="45" s="1"/>
  <c r="P214" i="45"/>
  <c r="AG211" i="45"/>
  <c r="AG214" i="45" s="1"/>
  <c r="AG219" i="45"/>
  <c r="AG222" i="45" s="1"/>
  <c r="AG226" i="45" s="1"/>
  <c r="P222" i="45"/>
  <c r="P226" i="45" s="1"/>
  <c r="AD215" i="45"/>
  <c r="P148" i="45"/>
  <c r="AG116" i="45"/>
  <c r="AG148" i="45" s="1"/>
  <c r="AG62" i="45"/>
  <c r="AG67" i="45" s="1"/>
  <c r="P67" i="45"/>
  <c r="P197" i="45"/>
  <c r="AG193" i="45"/>
  <c r="AG197" i="45" s="1"/>
  <c r="P189" i="45"/>
  <c r="AG155" i="45"/>
  <c r="AG189" i="45" s="1"/>
  <c r="AE67" i="45"/>
  <c r="AI62" i="45"/>
  <c r="AI67" i="45" s="1"/>
  <c r="AE60" i="45"/>
  <c r="AI54" i="45"/>
  <c r="AI60" i="45" s="1"/>
  <c r="AG19" i="45"/>
  <c r="AG25" i="45" s="1"/>
  <c r="P25" i="45"/>
  <c r="AF42" i="45"/>
  <c r="AF216" i="45" s="1"/>
  <c r="AF227" i="45" s="1"/>
  <c r="P17" i="45"/>
  <c r="P42" i="45" s="1"/>
  <c r="AG10" i="45"/>
  <c r="AG17" i="45" s="1"/>
  <c r="AG42" i="45" s="1"/>
  <c r="AG48" i="45"/>
  <c r="AG52" i="45" s="1"/>
  <c r="AG68" i="45" s="1"/>
  <c r="AE41" i="45"/>
  <c r="AI35" i="45"/>
  <c r="AI41" i="45" s="1"/>
  <c r="AE25" i="45"/>
  <c r="AI19" i="45"/>
  <c r="AI25" i="45" s="1"/>
  <c r="AD42" i="45"/>
  <c r="AE68" i="45" l="1"/>
  <c r="AI68" i="45"/>
  <c r="AD216" i="45"/>
  <c r="AD227" i="45" s="1"/>
  <c r="AG215" i="45"/>
  <c r="P215" i="45"/>
  <c r="P68" i="45"/>
  <c r="P190" i="45"/>
  <c r="P216" i="45" s="1"/>
  <c r="P227" i="45" s="1"/>
  <c r="AE42" i="45"/>
  <c r="AI215" i="45"/>
  <c r="AG190" i="45"/>
  <c r="AG216" i="45" s="1"/>
  <c r="AG227" i="45" s="1"/>
  <c r="AI42" i="45"/>
  <c r="AI216" i="45" s="1"/>
  <c r="AI227" i="45" s="1"/>
  <c r="AE215" i="45"/>
  <c r="AE216" i="45" l="1"/>
  <c r="AE227" i="45" s="1"/>
  <c r="H263" i="79" l="1"/>
  <c r="E2171" i="51" l="1"/>
  <c r="E2165" i="51"/>
  <c r="E2156" i="51"/>
  <c r="E2155" i="51"/>
  <c r="E2154" i="51"/>
  <c r="E1939" i="51" l="1"/>
  <c r="E1929" i="51"/>
  <c r="E1922" i="51"/>
  <c r="C742" i="51" l="1"/>
  <c r="B742" i="51"/>
  <c r="C740" i="51"/>
  <c r="B740" i="51"/>
  <c r="G738" i="51"/>
  <c r="G739" i="51" s="1"/>
  <c r="C738" i="51"/>
  <c r="B738" i="51"/>
  <c r="B739" i="51" s="1"/>
  <c r="C736" i="51"/>
  <c r="G735" i="51"/>
  <c r="B735" i="51"/>
  <c r="C734" i="51"/>
  <c r="C732" i="51"/>
  <c r="C730" i="51"/>
  <c r="C728" i="51"/>
  <c r="C726" i="51"/>
  <c r="G724" i="51"/>
  <c r="G725" i="51" s="1"/>
  <c r="G726" i="51" s="1"/>
  <c r="G727" i="51" s="1"/>
  <c r="G728" i="51" s="1"/>
  <c r="G729" i="51" s="1"/>
  <c r="G730" i="51" s="1"/>
  <c r="G731" i="51" s="1"/>
  <c r="G732" i="51" s="1"/>
  <c r="G733" i="51" s="1"/>
  <c r="C724" i="51"/>
  <c r="C722" i="51"/>
  <c r="G721" i="51"/>
  <c r="B721" i="51"/>
  <c r="B723" i="51" s="1"/>
  <c r="B724" i="51" s="1"/>
  <c r="B725" i="51" s="1"/>
  <c r="B726" i="51" s="1"/>
  <c r="B727" i="51" s="1"/>
  <c r="B728" i="51" s="1"/>
  <c r="B729" i="51" s="1"/>
  <c r="B730" i="51" s="1"/>
  <c r="B731" i="51" s="1"/>
  <c r="B732" i="51" s="1"/>
  <c r="B733" i="51" s="1"/>
  <c r="B736" i="51" s="1"/>
  <c r="C720" i="51"/>
  <c r="C718" i="51"/>
  <c r="C716" i="51"/>
  <c r="C714" i="51"/>
  <c r="C712" i="51"/>
  <c r="G711" i="51"/>
  <c r="G712" i="51" s="1"/>
  <c r="G713" i="51" s="1"/>
  <c r="C710" i="51"/>
  <c r="G708" i="51"/>
  <c r="G709" i="51" s="1"/>
  <c r="G714" i="51" s="1"/>
  <c r="G715" i="51" s="1"/>
  <c r="G716" i="51" s="1"/>
  <c r="G718" i="51" s="1"/>
  <c r="G719" i="51" s="1"/>
  <c r="C708" i="51"/>
  <c r="B707" i="51"/>
  <c r="B708" i="51" s="1"/>
  <c r="B709" i="51" s="1"/>
  <c r="B710" i="51" s="1"/>
  <c r="B711" i="51" s="1"/>
  <c r="B712" i="51" s="1"/>
  <c r="B713" i="51" s="1"/>
  <c r="B714" i="51" s="1"/>
  <c r="B715" i="51" s="1"/>
  <c r="B716" i="51" s="1"/>
  <c r="B717" i="51" s="1"/>
  <c r="B718" i="51" s="1"/>
  <c r="B719" i="51" s="1"/>
  <c r="C706" i="51"/>
  <c r="H92" i="21" l="1"/>
  <c r="H100" i="21"/>
  <c r="D8" i="21" l="1"/>
  <c r="F8" i="21"/>
  <c r="P103" i="21"/>
  <c r="Q103" i="21" s="1"/>
  <c r="I99" i="21"/>
  <c r="Q99" i="21" s="1"/>
  <c r="N95" i="21"/>
  <c r="I95" i="21"/>
  <c r="Q95" i="21" s="1"/>
  <c r="N91" i="21"/>
  <c r="I91" i="21"/>
  <c r="I87" i="21"/>
  <c r="N87" i="21"/>
  <c r="N83" i="21"/>
  <c r="I83" i="21"/>
  <c r="I79" i="21"/>
  <c r="Q79" i="21" s="1"/>
  <c r="N75" i="21"/>
  <c r="I75" i="21"/>
  <c r="N71" i="21"/>
  <c r="Q71" i="21" s="1"/>
  <c r="I67" i="21"/>
  <c r="Q67" i="21" s="1"/>
  <c r="N63" i="21"/>
  <c r="I63" i="21"/>
  <c r="Q63" i="21" s="1"/>
  <c r="I59" i="21"/>
  <c r="Q59" i="21" s="1"/>
  <c r="I55" i="21"/>
  <c r="Q55" i="21" s="1"/>
  <c r="N51" i="21"/>
  <c r="Q51" i="21" s="1"/>
  <c r="I47" i="21"/>
  <c r="Q47" i="21" s="1"/>
  <c r="I43" i="21"/>
  <c r="N43" i="21"/>
  <c r="N39" i="21"/>
  <c r="I39" i="21"/>
  <c r="Q39" i="21" s="1"/>
  <c r="I35" i="21"/>
  <c r="Q35" i="21" s="1"/>
  <c r="I31" i="21"/>
  <c r="Q31" i="21" s="1"/>
  <c r="N23" i="21"/>
  <c r="I23" i="21"/>
  <c r="Q23" i="21" s="1"/>
  <c r="P102" i="21"/>
  <c r="Q102" i="21" s="1"/>
  <c r="I37" i="33"/>
  <c r="I36" i="33"/>
  <c r="I35" i="33"/>
  <c r="J35" i="33" s="1"/>
  <c r="I34" i="33"/>
  <c r="I33" i="33"/>
  <c r="J33" i="33" s="1"/>
  <c r="I32" i="33"/>
  <c r="J32" i="33" s="1"/>
  <c r="I31" i="33"/>
  <c r="J31" i="33" s="1"/>
  <c r="I30" i="33"/>
  <c r="J30" i="33" s="1"/>
  <c r="I29" i="33"/>
  <c r="I28" i="33"/>
  <c r="J28" i="33" s="1"/>
  <c r="I27" i="33"/>
  <c r="J27" i="33" s="1"/>
  <c r="I26" i="33"/>
  <c r="J26" i="33" s="1"/>
  <c r="I25" i="33"/>
  <c r="J25" i="33" s="1"/>
  <c r="I24" i="33"/>
  <c r="I23" i="33"/>
  <c r="I22" i="33"/>
  <c r="J22" i="33" s="1"/>
  <c r="I21" i="33"/>
  <c r="I20" i="33"/>
  <c r="I19" i="33"/>
  <c r="I18" i="33"/>
  <c r="I17" i="33"/>
  <c r="J17" i="33" s="1"/>
  <c r="I16" i="33"/>
  <c r="J16" i="33" s="1"/>
  <c r="I15" i="33"/>
  <c r="J15" i="33" s="1"/>
  <c r="I14" i="33"/>
  <c r="J14" i="33" s="1"/>
  <c r="I12" i="33"/>
  <c r="J12" i="33" s="1"/>
  <c r="I11" i="33"/>
  <c r="J11" i="33" s="1"/>
  <c r="I10" i="33"/>
  <c r="I9" i="33"/>
  <c r="I8" i="33"/>
  <c r="I7" i="33"/>
  <c r="J7" i="33" s="1"/>
  <c r="I6" i="33"/>
  <c r="J6" i="33" s="1"/>
  <c r="G37" i="33"/>
  <c r="G36" i="33"/>
  <c r="G35" i="33"/>
  <c r="H35" i="33" s="1"/>
  <c r="G34" i="33"/>
  <c r="G33" i="33"/>
  <c r="H33" i="33" s="1"/>
  <c r="G32" i="33"/>
  <c r="H32" i="33" s="1"/>
  <c r="G31" i="33"/>
  <c r="H31" i="33" s="1"/>
  <c r="G30" i="33"/>
  <c r="H30" i="33" s="1"/>
  <c r="G29" i="33"/>
  <c r="G28" i="33"/>
  <c r="H28" i="33" s="1"/>
  <c r="G27" i="33"/>
  <c r="H27" i="33" s="1"/>
  <c r="G26" i="33"/>
  <c r="H26" i="33" s="1"/>
  <c r="G25" i="33"/>
  <c r="H25" i="33" s="1"/>
  <c r="G24" i="33"/>
  <c r="G23" i="33"/>
  <c r="G22" i="33"/>
  <c r="H22" i="33" s="1"/>
  <c r="G21" i="33"/>
  <c r="G20" i="33"/>
  <c r="G19" i="33"/>
  <c r="G18" i="33"/>
  <c r="G17" i="33"/>
  <c r="H17" i="33" s="1"/>
  <c r="G16" i="33"/>
  <c r="H16" i="33" s="1"/>
  <c r="G15" i="33"/>
  <c r="H15" i="33" s="1"/>
  <c r="G14" i="33"/>
  <c r="H14" i="33" s="1"/>
  <c r="G13" i="33"/>
  <c r="G12" i="33"/>
  <c r="H12" i="33" s="1"/>
  <c r="G11" i="33"/>
  <c r="H11" i="33" s="1"/>
  <c r="G10" i="33"/>
  <c r="G9" i="33"/>
  <c r="G8" i="33"/>
  <c r="G7" i="33"/>
  <c r="H7" i="33" s="1"/>
  <c r="G6" i="33"/>
  <c r="H6" i="33" s="1"/>
  <c r="F38" i="33"/>
  <c r="E38" i="33"/>
  <c r="D38" i="33"/>
  <c r="C38" i="33"/>
  <c r="B38" i="33"/>
  <c r="C109" i="76"/>
  <c r="C130" i="76" s="1"/>
  <c r="C17" i="73"/>
  <c r="C16" i="73"/>
  <c r="C66" i="76"/>
  <c r="C87" i="76"/>
  <c r="C29" i="30"/>
  <c r="C12" i="73"/>
  <c r="C18" i="73" s="1"/>
  <c r="Q83" i="21" l="1"/>
  <c r="Q87" i="21"/>
  <c r="G38" i="33"/>
  <c r="H38" i="33" s="1"/>
  <c r="I38" i="33"/>
  <c r="J38" i="33" s="1"/>
  <c r="Q43" i="21"/>
  <c r="Q91" i="21"/>
  <c r="Q75" i="21"/>
  <c r="P107" i="21"/>
  <c r="O107" i="21"/>
  <c r="O106" i="21"/>
  <c r="O105" i="21"/>
  <c r="N102" i="21"/>
  <c r="I102" i="21"/>
  <c r="N98" i="21"/>
  <c r="I98" i="21"/>
  <c r="N94" i="21"/>
  <c r="I94" i="21"/>
  <c r="N90" i="21"/>
  <c r="I90" i="21"/>
  <c r="Q90" i="21" s="1"/>
  <c r="N86" i="21"/>
  <c r="I86" i="21"/>
  <c r="Q86" i="21" s="1"/>
  <c r="N82" i="21"/>
  <c r="I82" i="21"/>
  <c r="N78" i="21"/>
  <c r="I78" i="21"/>
  <c r="Q78" i="21" s="1"/>
  <c r="N74" i="21"/>
  <c r="I74" i="21"/>
  <c r="Q74" i="21" s="1"/>
  <c r="N70" i="21"/>
  <c r="I70" i="21"/>
  <c r="N66" i="21"/>
  <c r="I66" i="21"/>
  <c r="Q66" i="21" s="1"/>
  <c r="N62" i="21"/>
  <c r="I62" i="21"/>
  <c r="I58" i="21"/>
  <c r="Q58" i="21" s="1"/>
  <c r="N54" i="21"/>
  <c r="I54" i="21"/>
  <c r="N50" i="21"/>
  <c r="I50" i="21"/>
  <c r="N46" i="21"/>
  <c r="I46" i="21"/>
  <c r="N42" i="21"/>
  <c r="I42" i="21"/>
  <c r="N38" i="21"/>
  <c r="I38" i="21"/>
  <c r="I34" i="21"/>
  <c r="N30" i="21"/>
  <c r="I30" i="21"/>
  <c r="Q30" i="21" s="1"/>
  <c r="N22" i="21"/>
  <c r="I22" i="21"/>
  <c r="P101" i="21"/>
  <c r="Q101" i="21" s="1"/>
  <c r="N101" i="21"/>
  <c r="I101" i="21"/>
  <c r="N97" i="21"/>
  <c r="I97" i="21"/>
  <c r="Q97" i="21" s="1"/>
  <c r="N93" i="21"/>
  <c r="I93" i="21"/>
  <c r="N89" i="21"/>
  <c r="I89" i="21"/>
  <c r="Q89" i="21" s="1"/>
  <c r="N85" i="21"/>
  <c r="I85" i="21"/>
  <c r="Q85" i="21" s="1"/>
  <c r="N81" i="21"/>
  <c r="I81" i="21"/>
  <c r="Q81" i="21" s="1"/>
  <c r="N77" i="21"/>
  <c r="I77" i="21"/>
  <c r="Q77" i="21" s="1"/>
  <c r="N73" i="21"/>
  <c r="I73" i="21"/>
  <c r="Q73" i="21" s="1"/>
  <c r="N69" i="21"/>
  <c r="I69" i="21"/>
  <c r="Q69" i="21" s="1"/>
  <c r="N65" i="21"/>
  <c r="I65" i="21"/>
  <c r="Q65" i="21" s="1"/>
  <c r="N61" i="21"/>
  <c r="I61" i="21"/>
  <c r="Q61" i="21" s="1"/>
  <c r="I57" i="21"/>
  <c r="Q57" i="21" s="1"/>
  <c r="N53" i="21"/>
  <c r="I53" i="21"/>
  <c r="N49" i="21"/>
  <c r="I49" i="21"/>
  <c r="N45" i="21"/>
  <c r="I45" i="21"/>
  <c r="N41" i="21"/>
  <c r="I41" i="21"/>
  <c r="N37" i="21"/>
  <c r="I37" i="21"/>
  <c r="I33" i="21"/>
  <c r="Q33" i="21" s="1"/>
  <c r="N29" i="21"/>
  <c r="I29" i="21"/>
  <c r="I21" i="21"/>
  <c r="N21" i="21"/>
  <c r="Q21" i="21" s="1"/>
  <c r="Q70" i="21" l="1"/>
  <c r="Q62" i="21"/>
  <c r="Q94" i="21"/>
  <c r="Q37" i="21"/>
  <c r="Q45" i="21"/>
  <c r="Q49" i="21"/>
  <c r="Q53" i="21"/>
  <c r="Q22" i="21"/>
  <c r="Q24" i="21" s="1"/>
  <c r="Q38" i="21"/>
  <c r="Q42" i="21"/>
  <c r="Q44" i="21" s="1"/>
  <c r="Q54" i="21"/>
  <c r="Q56" i="21" s="1"/>
  <c r="O108" i="21"/>
  <c r="Q98" i="21"/>
  <c r="Q100" i="21" s="1"/>
  <c r="Q82" i="21"/>
  <c r="Q50" i="21"/>
  <c r="Q46" i="21"/>
  <c r="Q34" i="21"/>
  <c r="Q93" i="21"/>
  <c r="Q41" i="21"/>
  <c r="Q29" i="21"/>
  <c r="Q104" i="21"/>
  <c r="I100" i="21"/>
  <c r="E100" i="21"/>
  <c r="Q96" i="21"/>
  <c r="N96" i="21"/>
  <c r="L96" i="21"/>
  <c r="I96" i="21"/>
  <c r="F96" i="21"/>
  <c r="E96" i="21"/>
  <c r="D96" i="21"/>
  <c r="Q92" i="21"/>
  <c r="N92" i="21"/>
  <c r="L92" i="21"/>
  <c r="I92" i="21"/>
  <c r="F92" i="21"/>
  <c r="E92" i="21"/>
  <c r="D92" i="21"/>
  <c r="Q88" i="21"/>
  <c r="N88" i="21"/>
  <c r="L88" i="21"/>
  <c r="N84" i="21"/>
  <c r="L84" i="21"/>
  <c r="I84" i="21"/>
  <c r="H84" i="21"/>
  <c r="F84" i="21"/>
  <c r="E84" i="21"/>
  <c r="D84" i="21"/>
  <c r="Q80" i="21"/>
  <c r="I80" i="21"/>
  <c r="F80" i="21"/>
  <c r="D80" i="21"/>
  <c r="Q76" i="21"/>
  <c r="N76" i="21"/>
  <c r="L76" i="21"/>
  <c r="I76" i="21"/>
  <c r="F76" i="21"/>
  <c r="D76" i="21"/>
  <c r="Q72" i="21"/>
  <c r="N72" i="21"/>
  <c r="L72" i="21"/>
  <c r="Q68" i="21"/>
  <c r="I68" i="21"/>
  <c r="F68" i="21"/>
  <c r="Q64" i="21"/>
  <c r="N64" i="21"/>
  <c r="L64" i="21"/>
  <c r="I64" i="21"/>
  <c r="H64" i="21"/>
  <c r="F64" i="21"/>
  <c r="E64" i="21"/>
  <c r="D64" i="21"/>
  <c r="Q60" i="21"/>
  <c r="I60" i="21"/>
  <c r="F60" i="21"/>
  <c r="D60" i="21"/>
  <c r="I56" i="21"/>
  <c r="F56" i="21"/>
  <c r="D56" i="21"/>
  <c r="N52" i="21"/>
  <c r="L52" i="21"/>
  <c r="I48" i="21"/>
  <c r="F48" i="21"/>
  <c r="D48" i="21"/>
  <c r="N44" i="21"/>
  <c r="L44" i="21"/>
  <c r="I44" i="21"/>
  <c r="H44" i="21"/>
  <c r="F44" i="21"/>
  <c r="E44" i="21"/>
  <c r="D44" i="21"/>
  <c r="Q40" i="21"/>
  <c r="N40" i="21"/>
  <c r="L40" i="21"/>
  <c r="I40" i="21"/>
  <c r="F40" i="21"/>
  <c r="D40" i="21"/>
  <c r="I36" i="21"/>
  <c r="F36" i="21"/>
  <c r="D36" i="21"/>
  <c r="Q32" i="21"/>
  <c r="I32" i="21"/>
  <c r="F32" i="21"/>
  <c r="D32" i="21"/>
  <c r="N24" i="21"/>
  <c r="L24" i="21"/>
  <c r="I24" i="21"/>
  <c r="F24" i="21"/>
  <c r="E24" i="21"/>
  <c r="D24" i="21"/>
  <c r="L8" i="21"/>
  <c r="H8" i="21"/>
  <c r="E8" i="21"/>
  <c r="Q84" i="21" l="1"/>
  <c r="Q52" i="21"/>
  <c r="Q48" i="21"/>
  <c r="Q36" i="21"/>
  <c r="N7" i="21"/>
  <c r="I7" i="21"/>
  <c r="I107" i="21" s="1"/>
  <c r="N6" i="21"/>
  <c r="N106" i="21" s="1"/>
  <c r="I6" i="21"/>
  <c r="M107" i="21"/>
  <c r="L107" i="21"/>
  <c r="M106" i="21"/>
  <c r="L106" i="21"/>
  <c r="M105" i="21"/>
  <c r="L105" i="21"/>
  <c r="K107" i="21"/>
  <c r="K106" i="21"/>
  <c r="K105" i="21"/>
  <c r="J107" i="21"/>
  <c r="J106" i="21"/>
  <c r="J105" i="21"/>
  <c r="H107" i="21"/>
  <c r="G107" i="21"/>
  <c r="F107" i="21"/>
  <c r="E107" i="21"/>
  <c r="D107" i="21"/>
  <c r="H106" i="21"/>
  <c r="G106" i="21"/>
  <c r="F106" i="21"/>
  <c r="E106" i="21"/>
  <c r="D106" i="21"/>
  <c r="H105" i="21"/>
  <c r="G105" i="21"/>
  <c r="F105" i="21"/>
  <c r="E105" i="21"/>
  <c r="D105" i="21"/>
  <c r="C107" i="21"/>
  <c r="C106" i="21"/>
  <c r="C105" i="21"/>
  <c r="P5" i="21"/>
  <c r="P105" i="21" s="1"/>
  <c r="N5" i="21"/>
  <c r="N105" i="21" s="1"/>
  <c r="I5" i="21"/>
  <c r="H108" i="21" l="1"/>
  <c r="I106" i="21"/>
  <c r="I108" i="21" s="1"/>
  <c r="Q6" i="21"/>
  <c r="E108" i="21"/>
  <c r="L108" i="21"/>
  <c r="I8" i="21"/>
  <c r="Q7" i="21"/>
  <c r="Q5" i="21"/>
  <c r="Q105" i="21" s="1"/>
  <c r="D108" i="21"/>
  <c r="F108" i="21"/>
  <c r="N107" i="21"/>
  <c r="N108" i="21" s="1"/>
  <c r="N8" i="21"/>
  <c r="I105" i="21"/>
  <c r="D44" i="76"/>
  <c r="D130" i="76"/>
  <c r="B130" i="76"/>
  <c r="B87" i="76"/>
  <c r="C44" i="76"/>
  <c r="B44" i="76"/>
  <c r="Q107" i="21" l="1"/>
  <c r="R7" i="21" s="1"/>
  <c r="R101" i="21"/>
  <c r="Q110" i="21"/>
  <c r="R97" i="21"/>
  <c r="R93" i="21"/>
  <c r="R81" i="21"/>
  <c r="R85" i="21"/>
  <c r="R89" i="21"/>
  <c r="R73" i="21"/>
  <c r="R77" i="21"/>
  <c r="R65" i="21"/>
  <c r="R69" i="21"/>
  <c r="R57" i="21"/>
  <c r="R61" i="21"/>
  <c r="R49" i="21"/>
  <c r="R53" i="21"/>
  <c r="R41" i="21"/>
  <c r="R45" i="21"/>
  <c r="R33" i="21"/>
  <c r="R37" i="21"/>
  <c r="R21" i="21"/>
  <c r="R29" i="21"/>
  <c r="R5" i="21"/>
  <c r="D52" i="70"/>
  <c r="D51" i="70" s="1"/>
  <c r="D50" i="70"/>
  <c r="D49" i="70"/>
  <c r="D48" i="70"/>
  <c r="D47" i="70"/>
  <c r="D45" i="70"/>
  <c r="D44" i="70"/>
  <c r="D43" i="70"/>
  <c r="D42" i="70"/>
  <c r="D41" i="70"/>
  <c r="D40" i="70"/>
  <c r="D35" i="70"/>
  <c r="D34" i="70" s="1"/>
  <c r="D33" i="70"/>
  <c r="D32" i="70"/>
  <c r="D31" i="70"/>
  <c r="D30" i="70"/>
  <c r="D28" i="70"/>
  <c r="D27" i="70"/>
  <c r="D26" i="70"/>
  <c r="D25" i="70"/>
  <c r="D24" i="70"/>
  <c r="D23" i="70"/>
  <c r="D18" i="70"/>
  <c r="D17" i="70" s="1"/>
  <c r="D16" i="70"/>
  <c r="D15" i="70"/>
  <c r="D14" i="70"/>
  <c r="D13" i="70"/>
  <c r="D11" i="70"/>
  <c r="D10" i="70"/>
  <c r="D9" i="70"/>
  <c r="D8" i="70"/>
  <c r="D7" i="70"/>
  <c r="D6" i="70"/>
  <c r="C52" i="70"/>
  <c r="C51" i="70" s="1"/>
  <c r="C50" i="70"/>
  <c r="C49" i="70"/>
  <c r="C48" i="70"/>
  <c r="C47" i="70"/>
  <c r="C45" i="70"/>
  <c r="C44" i="70"/>
  <c r="C43" i="70"/>
  <c r="C42" i="70"/>
  <c r="C41" i="70"/>
  <c r="C40" i="70"/>
  <c r="C35" i="70"/>
  <c r="C34" i="70" s="1"/>
  <c r="C33" i="70"/>
  <c r="C32" i="70"/>
  <c r="C31" i="70"/>
  <c r="C30" i="70"/>
  <c r="C28" i="70"/>
  <c r="C27" i="70"/>
  <c r="C26" i="70"/>
  <c r="C25" i="70"/>
  <c r="C24" i="70"/>
  <c r="C23" i="70"/>
  <c r="C18" i="70"/>
  <c r="C17" i="70" s="1"/>
  <c r="C16" i="70"/>
  <c r="C15" i="70"/>
  <c r="C14" i="70"/>
  <c r="C13" i="70"/>
  <c r="C11" i="70"/>
  <c r="C10" i="70"/>
  <c r="C9" i="70"/>
  <c r="C8" i="70"/>
  <c r="C7" i="70"/>
  <c r="C6" i="70"/>
  <c r="P207" i="30"/>
  <c r="N207" i="30"/>
  <c r="I207" i="30"/>
  <c r="O38" i="30"/>
  <c r="P38" i="30" s="1"/>
  <c r="O37" i="30"/>
  <c r="P37" i="30" s="1"/>
  <c r="O36" i="30"/>
  <c r="P36" i="30" s="1"/>
  <c r="O35" i="30"/>
  <c r="P35" i="30" s="1"/>
  <c r="O34" i="30"/>
  <c r="O33" i="30"/>
  <c r="P33" i="30" s="1"/>
  <c r="O32" i="30"/>
  <c r="O31" i="30"/>
  <c r="O30" i="30"/>
  <c r="O29" i="30"/>
  <c r="O28" i="30"/>
  <c r="P28" i="30" s="1"/>
  <c r="O27" i="30"/>
  <c r="P27" i="30" s="1"/>
  <c r="O26" i="30"/>
  <c r="O25" i="30"/>
  <c r="O24" i="30"/>
  <c r="P24" i="30" s="1"/>
  <c r="O23" i="30"/>
  <c r="O22" i="30"/>
  <c r="P22" i="30" s="1"/>
  <c r="O21" i="30"/>
  <c r="P21" i="30" s="1"/>
  <c r="O20" i="30"/>
  <c r="P20" i="30" s="1"/>
  <c r="O19" i="30"/>
  <c r="O18" i="30"/>
  <c r="O17" i="30"/>
  <c r="P17" i="30" s="1"/>
  <c r="O16" i="30"/>
  <c r="O15" i="30"/>
  <c r="P15" i="30" s="1"/>
  <c r="O14" i="30"/>
  <c r="O13" i="30"/>
  <c r="P13" i="30" s="1"/>
  <c r="O12" i="30"/>
  <c r="O11" i="30"/>
  <c r="P11" i="30" s="1"/>
  <c r="O10" i="30"/>
  <c r="O9" i="30"/>
  <c r="P9" i="30" s="1"/>
  <c r="O8" i="30"/>
  <c r="P8" i="30" s="1"/>
  <c r="O7" i="30"/>
  <c r="P7" i="30" s="1"/>
  <c r="O6" i="30"/>
  <c r="M38" i="30"/>
  <c r="L38" i="30"/>
  <c r="K38" i="30"/>
  <c r="J38" i="30"/>
  <c r="M37" i="30"/>
  <c r="L37" i="30"/>
  <c r="K37" i="30"/>
  <c r="J37" i="30"/>
  <c r="M36" i="30"/>
  <c r="L36" i="30"/>
  <c r="K36" i="30"/>
  <c r="J36" i="30"/>
  <c r="M35" i="30"/>
  <c r="L35" i="30"/>
  <c r="K35" i="30"/>
  <c r="J35" i="30"/>
  <c r="M34" i="30"/>
  <c r="L34" i="30"/>
  <c r="K34" i="30"/>
  <c r="J34" i="30"/>
  <c r="M33" i="30"/>
  <c r="L33" i="30"/>
  <c r="K33" i="30"/>
  <c r="J33" i="30"/>
  <c r="M32" i="30"/>
  <c r="L32" i="30"/>
  <c r="K32" i="30"/>
  <c r="J32" i="30"/>
  <c r="M31" i="30"/>
  <c r="L31" i="30"/>
  <c r="K31" i="30"/>
  <c r="J31" i="30"/>
  <c r="M30" i="30"/>
  <c r="L30" i="30"/>
  <c r="K30" i="30"/>
  <c r="J30" i="30"/>
  <c r="M29" i="30"/>
  <c r="L29" i="30"/>
  <c r="K29" i="30"/>
  <c r="J29" i="30"/>
  <c r="M28" i="30"/>
  <c r="L28" i="30"/>
  <c r="K28" i="30"/>
  <c r="J28" i="30"/>
  <c r="M27" i="30"/>
  <c r="L27" i="30"/>
  <c r="K27" i="30"/>
  <c r="J27" i="30"/>
  <c r="M26" i="30"/>
  <c r="L26" i="30"/>
  <c r="K26" i="30"/>
  <c r="J26" i="30"/>
  <c r="M25" i="30"/>
  <c r="L25" i="30"/>
  <c r="K25" i="30"/>
  <c r="J25" i="30"/>
  <c r="M24" i="30"/>
  <c r="L24" i="30"/>
  <c r="K24" i="30"/>
  <c r="J24" i="30"/>
  <c r="M23" i="30"/>
  <c r="L23" i="30"/>
  <c r="K23" i="30"/>
  <c r="J23" i="30"/>
  <c r="M22" i="30"/>
  <c r="L22" i="30"/>
  <c r="K22" i="30"/>
  <c r="J22" i="30"/>
  <c r="M21" i="30"/>
  <c r="L21" i="30"/>
  <c r="K21" i="30"/>
  <c r="J21" i="30"/>
  <c r="M20" i="30"/>
  <c r="L20" i="30"/>
  <c r="K20" i="30"/>
  <c r="J20" i="30"/>
  <c r="M19" i="30"/>
  <c r="L19" i="30"/>
  <c r="K19" i="30"/>
  <c r="J19" i="30"/>
  <c r="M18" i="30"/>
  <c r="L18" i="30"/>
  <c r="N18" i="30" s="1"/>
  <c r="K18" i="30"/>
  <c r="J18" i="30"/>
  <c r="M17" i="30"/>
  <c r="L17" i="30"/>
  <c r="K17" i="30"/>
  <c r="N17" i="30" s="1"/>
  <c r="J17" i="30"/>
  <c r="M16" i="30"/>
  <c r="L16" i="30"/>
  <c r="K16" i="30"/>
  <c r="J16" i="30"/>
  <c r="M15" i="30"/>
  <c r="L15" i="30"/>
  <c r="K15" i="30"/>
  <c r="J15" i="30"/>
  <c r="M14" i="30"/>
  <c r="L14" i="30"/>
  <c r="K14" i="30"/>
  <c r="J14" i="30"/>
  <c r="M13" i="30"/>
  <c r="L13" i="30"/>
  <c r="K13" i="30"/>
  <c r="J13" i="30"/>
  <c r="M12" i="30"/>
  <c r="L12" i="30"/>
  <c r="K12" i="30"/>
  <c r="J12" i="30"/>
  <c r="M11" i="30"/>
  <c r="L11" i="30"/>
  <c r="K11" i="30"/>
  <c r="J11" i="30"/>
  <c r="M10" i="30"/>
  <c r="L10" i="30"/>
  <c r="K10" i="30"/>
  <c r="J10" i="30"/>
  <c r="M9" i="30"/>
  <c r="L9" i="30"/>
  <c r="K9" i="30"/>
  <c r="J9" i="30"/>
  <c r="M8" i="30"/>
  <c r="L8" i="30"/>
  <c r="K8" i="30"/>
  <c r="J8" i="30"/>
  <c r="M7" i="30"/>
  <c r="L7" i="30"/>
  <c r="K7" i="30"/>
  <c r="J7" i="30"/>
  <c r="M6" i="30"/>
  <c r="M39" i="30" s="1"/>
  <c r="L6" i="30"/>
  <c r="K6" i="30"/>
  <c r="J6" i="30"/>
  <c r="H38" i="30"/>
  <c r="G38" i="30"/>
  <c r="F38" i="30"/>
  <c r="E38" i="30"/>
  <c r="D38" i="30"/>
  <c r="C38" i="30"/>
  <c r="H37" i="30"/>
  <c r="G37" i="30"/>
  <c r="F37" i="30"/>
  <c r="E37" i="30"/>
  <c r="D37" i="30"/>
  <c r="C37" i="30"/>
  <c r="H36" i="30"/>
  <c r="G36" i="30"/>
  <c r="F36" i="30"/>
  <c r="E36" i="30"/>
  <c r="D36" i="30"/>
  <c r="C36" i="30"/>
  <c r="H35" i="30"/>
  <c r="G35" i="30"/>
  <c r="F35" i="30"/>
  <c r="E35" i="30"/>
  <c r="D35" i="30"/>
  <c r="C35" i="30"/>
  <c r="H34" i="30"/>
  <c r="G34" i="30"/>
  <c r="F34" i="30"/>
  <c r="E34" i="30"/>
  <c r="D34" i="30"/>
  <c r="C34" i="30"/>
  <c r="H33" i="30"/>
  <c r="G33" i="30"/>
  <c r="F33" i="30"/>
  <c r="E33" i="30"/>
  <c r="D33" i="30"/>
  <c r="C33" i="30"/>
  <c r="H32" i="30"/>
  <c r="G32" i="30"/>
  <c r="F32" i="30"/>
  <c r="E32" i="30"/>
  <c r="D32" i="30"/>
  <c r="C32" i="30"/>
  <c r="H31" i="30"/>
  <c r="G31" i="30"/>
  <c r="F31" i="30"/>
  <c r="E31" i="30"/>
  <c r="D31" i="30"/>
  <c r="C31" i="30"/>
  <c r="H30" i="30"/>
  <c r="G30" i="30"/>
  <c r="F30" i="30"/>
  <c r="E30" i="30"/>
  <c r="D30" i="30"/>
  <c r="C30" i="30"/>
  <c r="H29" i="30"/>
  <c r="G29" i="30"/>
  <c r="F29" i="30"/>
  <c r="E29" i="30"/>
  <c r="D29" i="30"/>
  <c r="H28" i="30"/>
  <c r="G28" i="30"/>
  <c r="F28" i="30"/>
  <c r="E28" i="30"/>
  <c r="D28" i="30"/>
  <c r="C28" i="30"/>
  <c r="H27" i="30"/>
  <c r="G27" i="30"/>
  <c r="F27" i="30"/>
  <c r="E27" i="30"/>
  <c r="D27" i="30"/>
  <c r="C27" i="30"/>
  <c r="H26" i="30"/>
  <c r="G26" i="30"/>
  <c r="F26" i="30"/>
  <c r="E26" i="30"/>
  <c r="D26" i="30"/>
  <c r="C26" i="30"/>
  <c r="H25" i="30"/>
  <c r="G25" i="30"/>
  <c r="F25" i="30"/>
  <c r="E25" i="30"/>
  <c r="D25" i="30"/>
  <c r="C25" i="30"/>
  <c r="H24" i="30"/>
  <c r="G24" i="30"/>
  <c r="F24" i="30"/>
  <c r="E24" i="30"/>
  <c r="D24" i="30"/>
  <c r="C24" i="30"/>
  <c r="H23" i="30"/>
  <c r="G23" i="30"/>
  <c r="F23" i="30"/>
  <c r="E23" i="30"/>
  <c r="D23" i="30"/>
  <c r="C23" i="30"/>
  <c r="H22" i="30"/>
  <c r="G22" i="30"/>
  <c r="F22" i="30"/>
  <c r="E22" i="30"/>
  <c r="D22" i="30"/>
  <c r="C22" i="30"/>
  <c r="H21" i="30"/>
  <c r="G21" i="30"/>
  <c r="F21" i="30"/>
  <c r="E21" i="30"/>
  <c r="D21" i="30"/>
  <c r="C21" i="30"/>
  <c r="H20" i="30"/>
  <c r="G20" i="30"/>
  <c r="F20" i="30"/>
  <c r="E20" i="30"/>
  <c r="D20" i="30"/>
  <c r="C20" i="30"/>
  <c r="H19" i="30"/>
  <c r="G19" i="30"/>
  <c r="F19" i="30"/>
  <c r="E19" i="30"/>
  <c r="D19" i="30"/>
  <c r="C19" i="30"/>
  <c r="H18" i="30"/>
  <c r="G18" i="30"/>
  <c r="F18" i="30"/>
  <c r="E18" i="30"/>
  <c r="D18" i="30"/>
  <c r="C18" i="30"/>
  <c r="H17" i="30"/>
  <c r="G17" i="30"/>
  <c r="F17" i="30"/>
  <c r="E17" i="30"/>
  <c r="D17" i="30"/>
  <c r="C17" i="30"/>
  <c r="H16" i="30"/>
  <c r="G16" i="30"/>
  <c r="F16" i="30"/>
  <c r="E16" i="30"/>
  <c r="D16" i="30"/>
  <c r="C16" i="30"/>
  <c r="H15" i="30"/>
  <c r="G15" i="30"/>
  <c r="F15" i="30"/>
  <c r="E15" i="30"/>
  <c r="D15" i="30"/>
  <c r="C15" i="30"/>
  <c r="H14" i="30"/>
  <c r="G14" i="30"/>
  <c r="F14" i="30"/>
  <c r="E14" i="30"/>
  <c r="D14" i="30"/>
  <c r="C14" i="30"/>
  <c r="H13" i="30"/>
  <c r="G13" i="30"/>
  <c r="F13" i="30"/>
  <c r="E13" i="30"/>
  <c r="D13" i="30"/>
  <c r="C13" i="30"/>
  <c r="H12" i="30"/>
  <c r="G12" i="30"/>
  <c r="F12" i="30"/>
  <c r="E12" i="30"/>
  <c r="D12" i="30"/>
  <c r="C12" i="30"/>
  <c r="H11" i="30"/>
  <c r="G11" i="30"/>
  <c r="F11" i="30"/>
  <c r="E11" i="30"/>
  <c r="D11" i="30"/>
  <c r="C11" i="30"/>
  <c r="H10" i="30"/>
  <c r="G10" i="30"/>
  <c r="F10" i="30"/>
  <c r="E10" i="30"/>
  <c r="D10" i="30"/>
  <c r="C10" i="30"/>
  <c r="H9" i="30"/>
  <c r="G9" i="30"/>
  <c r="F9" i="30"/>
  <c r="E9" i="30"/>
  <c r="D9" i="30"/>
  <c r="C9" i="30"/>
  <c r="H8" i="30"/>
  <c r="G8" i="30"/>
  <c r="F8" i="30"/>
  <c r="E8" i="30"/>
  <c r="D8" i="30"/>
  <c r="C8" i="30"/>
  <c r="H7" i="30"/>
  <c r="G7" i="30"/>
  <c r="F7" i="30"/>
  <c r="E7" i="30"/>
  <c r="D7" i="30"/>
  <c r="C7" i="30"/>
  <c r="H6" i="30"/>
  <c r="G6" i="30"/>
  <c r="F6" i="30"/>
  <c r="E6" i="30"/>
  <c r="D6" i="30"/>
  <c r="C6" i="30"/>
  <c r="O240" i="30"/>
  <c r="M240" i="30"/>
  <c r="L240" i="30"/>
  <c r="K240" i="30"/>
  <c r="J240" i="30"/>
  <c r="H240" i="30"/>
  <c r="G240" i="30"/>
  <c r="F240" i="30"/>
  <c r="E240" i="30"/>
  <c r="D240" i="30"/>
  <c r="P239" i="30"/>
  <c r="N239" i="30"/>
  <c r="I239" i="30"/>
  <c r="P238" i="30"/>
  <c r="N238" i="30"/>
  <c r="I238" i="30"/>
  <c r="P237" i="30"/>
  <c r="N237" i="30"/>
  <c r="I237" i="30"/>
  <c r="P236" i="30"/>
  <c r="N236" i="30"/>
  <c r="I236" i="30"/>
  <c r="P235" i="30"/>
  <c r="N235" i="30"/>
  <c r="I235" i="30"/>
  <c r="P234" i="30"/>
  <c r="N234" i="30"/>
  <c r="I234" i="30"/>
  <c r="P233" i="30"/>
  <c r="N233" i="30"/>
  <c r="I233" i="30"/>
  <c r="P232" i="30"/>
  <c r="N232" i="30"/>
  <c r="I232" i="30"/>
  <c r="P231" i="30"/>
  <c r="N231" i="30"/>
  <c r="I231" i="30"/>
  <c r="P230" i="30"/>
  <c r="N230" i="30"/>
  <c r="I230" i="30"/>
  <c r="P229" i="30"/>
  <c r="N229" i="30"/>
  <c r="I229" i="30"/>
  <c r="P228" i="30"/>
  <c r="N228" i="30"/>
  <c r="I228" i="30"/>
  <c r="P227" i="30"/>
  <c r="N227" i="30"/>
  <c r="I227" i="30"/>
  <c r="P226" i="30"/>
  <c r="N226" i="30"/>
  <c r="I226" i="30"/>
  <c r="P225" i="30"/>
  <c r="N225" i="30"/>
  <c r="I225" i="30"/>
  <c r="P224" i="30"/>
  <c r="N224" i="30"/>
  <c r="I224" i="30"/>
  <c r="P223" i="30"/>
  <c r="N223" i="30"/>
  <c r="I223" i="30"/>
  <c r="P222" i="30"/>
  <c r="N222" i="30"/>
  <c r="I222" i="30"/>
  <c r="P221" i="30"/>
  <c r="N221" i="30"/>
  <c r="I221" i="30"/>
  <c r="P220" i="30"/>
  <c r="N220" i="30"/>
  <c r="I220" i="30"/>
  <c r="P219" i="30"/>
  <c r="N219" i="30"/>
  <c r="I219" i="30"/>
  <c r="P218" i="30"/>
  <c r="N218" i="30"/>
  <c r="I218" i="30"/>
  <c r="P217" i="30"/>
  <c r="N217" i="30"/>
  <c r="I217" i="30"/>
  <c r="P216" i="30"/>
  <c r="N216" i="30"/>
  <c r="I216" i="30"/>
  <c r="P215" i="30"/>
  <c r="N215" i="30"/>
  <c r="I215" i="30"/>
  <c r="P214" i="30"/>
  <c r="N214" i="30"/>
  <c r="I214" i="30"/>
  <c r="P213" i="30"/>
  <c r="N213" i="30"/>
  <c r="I213" i="30"/>
  <c r="P212" i="30"/>
  <c r="N212" i="30"/>
  <c r="I212" i="30"/>
  <c r="P211" i="30"/>
  <c r="N211" i="30"/>
  <c r="I211" i="30"/>
  <c r="P210" i="30"/>
  <c r="N210" i="30"/>
  <c r="I210" i="30"/>
  <c r="P209" i="30"/>
  <c r="N209" i="30"/>
  <c r="I209" i="30"/>
  <c r="P208" i="30"/>
  <c r="N208" i="30"/>
  <c r="I208" i="30"/>
  <c r="O200" i="30"/>
  <c r="M200" i="30"/>
  <c r="L200" i="30"/>
  <c r="K200" i="30"/>
  <c r="J200" i="30"/>
  <c r="H200" i="30"/>
  <c r="G200" i="30"/>
  <c r="F200" i="30"/>
  <c r="E200" i="30"/>
  <c r="D200" i="30"/>
  <c r="P199" i="30"/>
  <c r="N199" i="30"/>
  <c r="I199" i="30"/>
  <c r="P198" i="30"/>
  <c r="N198" i="30"/>
  <c r="I198" i="30"/>
  <c r="P197" i="30"/>
  <c r="N197" i="30"/>
  <c r="I197" i="30"/>
  <c r="P196" i="30"/>
  <c r="N196" i="30"/>
  <c r="I196" i="30"/>
  <c r="P195" i="30"/>
  <c r="N195" i="30"/>
  <c r="I195" i="30"/>
  <c r="P194" i="30"/>
  <c r="N194" i="30"/>
  <c r="I194" i="30"/>
  <c r="P193" i="30"/>
  <c r="N193" i="30"/>
  <c r="I193" i="30"/>
  <c r="P192" i="30"/>
  <c r="N192" i="30"/>
  <c r="I192" i="30"/>
  <c r="P191" i="30"/>
  <c r="N191" i="30"/>
  <c r="I191" i="30"/>
  <c r="P190" i="30"/>
  <c r="N190" i="30"/>
  <c r="I190" i="30"/>
  <c r="P189" i="30"/>
  <c r="N189" i="30"/>
  <c r="I189" i="30"/>
  <c r="P188" i="30"/>
  <c r="N188" i="30"/>
  <c r="I188" i="30"/>
  <c r="P187" i="30"/>
  <c r="N187" i="30"/>
  <c r="I187" i="30"/>
  <c r="P186" i="30"/>
  <c r="N186" i="30"/>
  <c r="I186" i="30"/>
  <c r="P185" i="30"/>
  <c r="N185" i="30"/>
  <c r="I185" i="30"/>
  <c r="P184" i="30"/>
  <c r="N184" i="30"/>
  <c r="I184" i="30"/>
  <c r="P183" i="30"/>
  <c r="N183" i="30"/>
  <c r="I183" i="30"/>
  <c r="P182" i="30"/>
  <c r="N182" i="30"/>
  <c r="I182" i="30"/>
  <c r="P181" i="30"/>
  <c r="N181" i="30"/>
  <c r="I181" i="30"/>
  <c r="P180" i="30"/>
  <c r="N180" i="30"/>
  <c r="I180" i="30"/>
  <c r="P179" i="30"/>
  <c r="N179" i="30"/>
  <c r="I179" i="30"/>
  <c r="P178" i="30"/>
  <c r="N178" i="30"/>
  <c r="I178" i="30"/>
  <c r="P177" i="30"/>
  <c r="N177" i="30"/>
  <c r="I177" i="30"/>
  <c r="P176" i="30"/>
  <c r="N176" i="30"/>
  <c r="I176" i="30"/>
  <c r="P175" i="30"/>
  <c r="N175" i="30"/>
  <c r="I175" i="30"/>
  <c r="P174" i="30"/>
  <c r="N174" i="30"/>
  <c r="I174" i="30"/>
  <c r="P173" i="30"/>
  <c r="N173" i="30"/>
  <c r="I173" i="30"/>
  <c r="P172" i="30"/>
  <c r="N172" i="30"/>
  <c r="I172" i="30"/>
  <c r="P171" i="30"/>
  <c r="N171" i="30"/>
  <c r="I171" i="30"/>
  <c r="P170" i="30"/>
  <c r="N170" i="30"/>
  <c r="I170" i="30"/>
  <c r="P169" i="30"/>
  <c r="N169" i="30"/>
  <c r="I169" i="30"/>
  <c r="P168" i="30"/>
  <c r="N168" i="30"/>
  <c r="I168" i="30"/>
  <c r="P167" i="30"/>
  <c r="N167" i="30"/>
  <c r="I167" i="30"/>
  <c r="O160" i="30"/>
  <c r="M160" i="30"/>
  <c r="L160" i="30"/>
  <c r="K160" i="30"/>
  <c r="J160" i="30"/>
  <c r="H160" i="30"/>
  <c r="G160" i="30"/>
  <c r="F160" i="30"/>
  <c r="E160" i="30"/>
  <c r="D160" i="30"/>
  <c r="P159" i="30"/>
  <c r="N159" i="30"/>
  <c r="I159" i="30"/>
  <c r="P158" i="30"/>
  <c r="N158" i="30"/>
  <c r="I158" i="30"/>
  <c r="P157" i="30"/>
  <c r="N157" i="30"/>
  <c r="I157" i="30"/>
  <c r="P156" i="30"/>
  <c r="N156" i="30"/>
  <c r="I156" i="30"/>
  <c r="P155" i="30"/>
  <c r="N155" i="30"/>
  <c r="I155" i="30"/>
  <c r="P154" i="30"/>
  <c r="N154" i="30"/>
  <c r="I154" i="30"/>
  <c r="P153" i="30"/>
  <c r="N153" i="30"/>
  <c r="I153" i="30"/>
  <c r="P152" i="30"/>
  <c r="N152" i="30"/>
  <c r="I152" i="30"/>
  <c r="P151" i="30"/>
  <c r="N151" i="30"/>
  <c r="I151" i="30"/>
  <c r="P150" i="30"/>
  <c r="N150" i="30"/>
  <c r="I150" i="30"/>
  <c r="P149" i="30"/>
  <c r="N149" i="30"/>
  <c r="I149" i="30"/>
  <c r="P148" i="30"/>
  <c r="N148" i="30"/>
  <c r="I148" i="30"/>
  <c r="P147" i="30"/>
  <c r="N147" i="30"/>
  <c r="I147" i="30"/>
  <c r="P146" i="30"/>
  <c r="N146" i="30"/>
  <c r="I146" i="30"/>
  <c r="P145" i="30"/>
  <c r="N145" i="30"/>
  <c r="I145" i="30"/>
  <c r="P144" i="30"/>
  <c r="N144" i="30"/>
  <c r="I144" i="30"/>
  <c r="P143" i="30"/>
  <c r="N143" i="30"/>
  <c r="I143" i="30"/>
  <c r="P142" i="30"/>
  <c r="N142" i="30"/>
  <c r="I142" i="30"/>
  <c r="P141" i="30"/>
  <c r="N141" i="30"/>
  <c r="I141" i="30"/>
  <c r="P140" i="30"/>
  <c r="N140" i="30"/>
  <c r="I140" i="30"/>
  <c r="P139" i="30"/>
  <c r="N139" i="30"/>
  <c r="I139" i="30"/>
  <c r="P138" i="30"/>
  <c r="N138" i="30"/>
  <c r="I138" i="30"/>
  <c r="P137" i="30"/>
  <c r="N137" i="30"/>
  <c r="I137" i="30"/>
  <c r="P136" i="30"/>
  <c r="N136" i="30"/>
  <c r="I136" i="30"/>
  <c r="P135" i="30"/>
  <c r="N135" i="30"/>
  <c r="I135" i="30"/>
  <c r="P134" i="30"/>
  <c r="N134" i="30"/>
  <c r="I134" i="30"/>
  <c r="P133" i="30"/>
  <c r="N133" i="30"/>
  <c r="I133" i="30"/>
  <c r="P132" i="30"/>
  <c r="N132" i="30"/>
  <c r="I132" i="30"/>
  <c r="P131" i="30"/>
  <c r="N131" i="30"/>
  <c r="I131" i="30"/>
  <c r="P130" i="30"/>
  <c r="N130" i="30"/>
  <c r="I130" i="30"/>
  <c r="P129" i="30"/>
  <c r="N129" i="30"/>
  <c r="I129" i="30"/>
  <c r="P128" i="30"/>
  <c r="N128" i="30"/>
  <c r="I128" i="30"/>
  <c r="P127" i="30"/>
  <c r="N127" i="30"/>
  <c r="I127" i="30"/>
  <c r="O120" i="30"/>
  <c r="M120" i="30"/>
  <c r="L120" i="30"/>
  <c r="K120" i="30"/>
  <c r="J120" i="30"/>
  <c r="H120" i="30"/>
  <c r="G120" i="30"/>
  <c r="F120" i="30"/>
  <c r="E120" i="30"/>
  <c r="D120" i="30"/>
  <c r="P119" i="30"/>
  <c r="N119" i="30"/>
  <c r="I119" i="30"/>
  <c r="P118" i="30"/>
  <c r="N118" i="30"/>
  <c r="I118" i="30"/>
  <c r="P117" i="30"/>
  <c r="N117" i="30"/>
  <c r="I117" i="30"/>
  <c r="P116" i="30"/>
  <c r="N116" i="30"/>
  <c r="I116" i="30"/>
  <c r="P115" i="30"/>
  <c r="N115" i="30"/>
  <c r="I115" i="30"/>
  <c r="P114" i="30"/>
  <c r="N114" i="30"/>
  <c r="I114" i="30"/>
  <c r="P113" i="30"/>
  <c r="N113" i="30"/>
  <c r="I113" i="30"/>
  <c r="P112" i="30"/>
  <c r="N112" i="30"/>
  <c r="I112" i="30"/>
  <c r="P111" i="30"/>
  <c r="N111" i="30"/>
  <c r="I111" i="30"/>
  <c r="P110" i="30"/>
  <c r="N110" i="30"/>
  <c r="I110" i="30"/>
  <c r="P109" i="30"/>
  <c r="N109" i="30"/>
  <c r="I109" i="30"/>
  <c r="P108" i="30"/>
  <c r="N108" i="30"/>
  <c r="I108" i="30"/>
  <c r="P107" i="30"/>
  <c r="N107" i="30"/>
  <c r="I107" i="30"/>
  <c r="P106" i="30"/>
  <c r="N106" i="30"/>
  <c r="I106" i="30"/>
  <c r="P105" i="30"/>
  <c r="N105" i="30"/>
  <c r="I105" i="30"/>
  <c r="P104" i="30"/>
  <c r="N104" i="30"/>
  <c r="I104" i="30"/>
  <c r="P103" i="30"/>
  <c r="N103" i="30"/>
  <c r="I103" i="30"/>
  <c r="P102" i="30"/>
  <c r="N102" i="30"/>
  <c r="I102" i="30"/>
  <c r="P101" i="30"/>
  <c r="N101" i="30"/>
  <c r="I101" i="30"/>
  <c r="P100" i="30"/>
  <c r="N100" i="30"/>
  <c r="I100" i="30"/>
  <c r="P99" i="30"/>
  <c r="N99" i="30"/>
  <c r="I99" i="30"/>
  <c r="P98" i="30"/>
  <c r="N98" i="30"/>
  <c r="I98" i="30"/>
  <c r="P97" i="30"/>
  <c r="N97" i="30"/>
  <c r="I97" i="30"/>
  <c r="P96" i="30"/>
  <c r="N96" i="30"/>
  <c r="I96" i="30"/>
  <c r="P95" i="30"/>
  <c r="N95" i="30"/>
  <c r="I95" i="30"/>
  <c r="P94" i="30"/>
  <c r="N94" i="30"/>
  <c r="I94" i="30"/>
  <c r="P93" i="30"/>
  <c r="N93" i="30"/>
  <c r="I93" i="30"/>
  <c r="P92" i="30"/>
  <c r="N92" i="30"/>
  <c r="I92" i="30"/>
  <c r="P91" i="30"/>
  <c r="N91" i="30"/>
  <c r="I91" i="30"/>
  <c r="P90" i="30"/>
  <c r="N90" i="30"/>
  <c r="I90" i="30"/>
  <c r="P89" i="30"/>
  <c r="N89" i="30"/>
  <c r="I89" i="30"/>
  <c r="P88" i="30"/>
  <c r="N88" i="30"/>
  <c r="I88" i="30"/>
  <c r="P87" i="30"/>
  <c r="N87" i="30"/>
  <c r="I87" i="30"/>
  <c r="O80" i="30"/>
  <c r="M80" i="30"/>
  <c r="L80" i="30"/>
  <c r="K80" i="30"/>
  <c r="J80" i="30"/>
  <c r="H80" i="30"/>
  <c r="G80" i="30"/>
  <c r="F80" i="30"/>
  <c r="E80" i="30"/>
  <c r="D80" i="30"/>
  <c r="P79" i="30"/>
  <c r="N79" i="30"/>
  <c r="I79" i="30"/>
  <c r="P78" i="30"/>
  <c r="N78" i="30"/>
  <c r="I78" i="30"/>
  <c r="P77" i="30"/>
  <c r="N77" i="30"/>
  <c r="I77" i="30"/>
  <c r="P76" i="30"/>
  <c r="N76" i="30"/>
  <c r="I76" i="30"/>
  <c r="P75" i="30"/>
  <c r="N75" i="30"/>
  <c r="I75" i="30"/>
  <c r="P74" i="30"/>
  <c r="N74" i="30"/>
  <c r="I74" i="30"/>
  <c r="P73" i="30"/>
  <c r="N73" i="30"/>
  <c r="I73" i="30"/>
  <c r="P72" i="30"/>
  <c r="N72" i="30"/>
  <c r="I72" i="30"/>
  <c r="P71" i="30"/>
  <c r="N71" i="30"/>
  <c r="I71" i="30"/>
  <c r="P70" i="30"/>
  <c r="N70" i="30"/>
  <c r="I70" i="30"/>
  <c r="P69" i="30"/>
  <c r="N69" i="30"/>
  <c r="I69" i="30"/>
  <c r="P68" i="30"/>
  <c r="N68" i="30"/>
  <c r="I68" i="30"/>
  <c r="P67" i="30"/>
  <c r="N67" i="30"/>
  <c r="I67" i="30"/>
  <c r="P66" i="30"/>
  <c r="N66" i="30"/>
  <c r="I66" i="30"/>
  <c r="P65" i="30"/>
  <c r="N65" i="30"/>
  <c r="I65" i="30"/>
  <c r="P64" i="30"/>
  <c r="N64" i="30"/>
  <c r="I64" i="30"/>
  <c r="P63" i="30"/>
  <c r="N63" i="30"/>
  <c r="I63" i="30"/>
  <c r="P62" i="30"/>
  <c r="N62" i="30"/>
  <c r="I62" i="30"/>
  <c r="P61" i="30"/>
  <c r="N61" i="30"/>
  <c r="I61" i="30"/>
  <c r="P60" i="30"/>
  <c r="N60" i="30"/>
  <c r="I60" i="30"/>
  <c r="P59" i="30"/>
  <c r="N59" i="30"/>
  <c r="I59" i="30"/>
  <c r="P58" i="30"/>
  <c r="N58" i="30"/>
  <c r="I58" i="30"/>
  <c r="P57" i="30"/>
  <c r="N57" i="30"/>
  <c r="I57" i="30"/>
  <c r="P56" i="30"/>
  <c r="N56" i="30"/>
  <c r="I56" i="30"/>
  <c r="P55" i="30"/>
  <c r="N55" i="30"/>
  <c r="I55" i="30"/>
  <c r="P54" i="30"/>
  <c r="N54" i="30"/>
  <c r="I54" i="30"/>
  <c r="P53" i="30"/>
  <c r="N53" i="30"/>
  <c r="I53" i="30"/>
  <c r="P52" i="30"/>
  <c r="N52" i="30"/>
  <c r="I52" i="30"/>
  <c r="P51" i="30"/>
  <c r="N51" i="30"/>
  <c r="I51" i="30"/>
  <c r="P50" i="30"/>
  <c r="N50" i="30"/>
  <c r="I50" i="30"/>
  <c r="P49" i="30"/>
  <c r="N49" i="30"/>
  <c r="I49" i="30"/>
  <c r="P48" i="30"/>
  <c r="N48" i="30"/>
  <c r="I48" i="30"/>
  <c r="P47" i="30"/>
  <c r="N47" i="30"/>
  <c r="I47" i="30"/>
  <c r="P34" i="30"/>
  <c r="P32" i="30"/>
  <c r="P31" i="30"/>
  <c r="P30" i="30"/>
  <c r="P29" i="30"/>
  <c r="P26" i="30"/>
  <c r="P25" i="30"/>
  <c r="P23" i="30"/>
  <c r="P19" i="30"/>
  <c r="P18" i="30"/>
  <c r="P16" i="30"/>
  <c r="P14" i="30"/>
  <c r="P12" i="30"/>
  <c r="P10" i="30"/>
  <c r="O18" i="9"/>
  <c r="I32" i="30" l="1"/>
  <c r="P240" i="30"/>
  <c r="J39" i="30"/>
  <c r="Q212" i="30"/>
  <c r="Q214" i="30"/>
  <c r="Q216" i="30"/>
  <c r="Q218" i="30"/>
  <c r="Q220" i="30"/>
  <c r="Q222" i="30"/>
  <c r="Q224" i="30"/>
  <c r="Q226" i="30"/>
  <c r="Q228" i="30"/>
  <c r="Q232" i="30"/>
  <c r="Q234" i="30"/>
  <c r="Q236" i="30"/>
  <c r="Q238" i="30"/>
  <c r="F39" i="30"/>
  <c r="H39" i="30"/>
  <c r="I12" i="30"/>
  <c r="C46" i="70"/>
  <c r="R103" i="21"/>
  <c r="R95" i="21"/>
  <c r="R83" i="21"/>
  <c r="R87" i="21"/>
  <c r="R79" i="21"/>
  <c r="R71" i="21"/>
  <c r="R63" i="21"/>
  <c r="R55" i="21"/>
  <c r="R47" i="21"/>
  <c r="R31" i="21"/>
  <c r="R23" i="21"/>
  <c r="R99" i="21"/>
  <c r="R91" i="21"/>
  <c r="R75" i="21"/>
  <c r="R67" i="21"/>
  <c r="R59" i="21"/>
  <c r="R51" i="21"/>
  <c r="R39" i="21"/>
  <c r="R43" i="21"/>
  <c r="R35" i="21"/>
  <c r="Q230" i="30"/>
  <c r="Q210" i="30"/>
  <c r="C22" i="70"/>
  <c r="C39" i="70"/>
  <c r="C53" i="70" s="1"/>
  <c r="D46" i="70"/>
  <c r="C29" i="70"/>
  <c r="Q87" i="30"/>
  <c r="P120" i="30"/>
  <c r="Q88" i="30"/>
  <c r="Q90" i="30"/>
  <c r="P200" i="30"/>
  <c r="Q168" i="30"/>
  <c r="Q170" i="30"/>
  <c r="C12" i="70"/>
  <c r="D22" i="70"/>
  <c r="D29" i="70"/>
  <c r="D39" i="70"/>
  <c r="D53" i="70" s="1"/>
  <c r="Q89" i="30"/>
  <c r="Q169" i="30"/>
  <c r="Q171" i="30"/>
  <c r="Q173" i="30"/>
  <c r="Q175" i="30"/>
  <c r="Q177" i="30"/>
  <c r="Q179" i="30"/>
  <c r="Q181" i="30"/>
  <c r="Q189" i="30"/>
  <c r="Q199" i="30"/>
  <c r="Q208" i="30"/>
  <c r="N240" i="30"/>
  <c r="Q213" i="30"/>
  <c r="Q215" i="30"/>
  <c r="Q217" i="30"/>
  <c r="Q219" i="30"/>
  <c r="Q221" i="30"/>
  <c r="Q223" i="30"/>
  <c r="Q225" i="30"/>
  <c r="Q227" i="30"/>
  <c r="Q229" i="30"/>
  <c r="Q231" i="30"/>
  <c r="Q233" i="30"/>
  <c r="Q235" i="30"/>
  <c r="Q237" i="30"/>
  <c r="Q239" i="30"/>
  <c r="D12" i="70"/>
  <c r="N120" i="30"/>
  <c r="Q127" i="30"/>
  <c r="P160" i="30"/>
  <c r="Q128" i="30"/>
  <c r="Q130" i="30"/>
  <c r="Q131" i="30"/>
  <c r="Q132" i="30"/>
  <c r="Q133" i="30"/>
  <c r="Q134" i="30"/>
  <c r="Q135" i="30"/>
  <c r="Q136" i="30"/>
  <c r="Q137" i="30"/>
  <c r="Q138" i="30"/>
  <c r="Q139" i="30"/>
  <c r="Q140" i="30"/>
  <c r="Q141" i="30"/>
  <c r="Q142" i="30"/>
  <c r="Q143" i="30"/>
  <c r="Q144" i="30"/>
  <c r="Q145" i="30"/>
  <c r="Q146" i="30"/>
  <c r="Q147" i="30"/>
  <c r="Q148" i="30"/>
  <c r="Q149" i="30"/>
  <c r="Q150" i="30"/>
  <c r="Q151" i="30"/>
  <c r="Q152" i="30"/>
  <c r="Q153" i="30"/>
  <c r="Q154" i="30"/>
  <c r="Q155" i="30"/>
  <c r="Q156" i="30"/>
  <c r="Q157" i="30"/>
  <c r="Q158" i="30"/>
  <c r="Q159" i="30"/>
  <c r="N200" i="30"/>
  <c r="Q172" i="30"/>
  <c r="Q174" i="30"/>
  <c r="Q176" i="30"/>
  <c r="Q178" i="30"/>
  <c r="Q180" i="30"/>
  <c r="Q182" i="30"/>
  <c r="Q183" i="30"/>
  <c r="Q184" i="30"/>
  <c r="Q185" i="30"/>
  <c r="Q186" i="30"/>
  <c r="Q187" i="30"/>
  <c r="Q191" i="30"/>
  <c r="Q192" i="30"/>
  <c r="Q193" i="30"/>
  <c r="Q194" i="30"/>
  <c r="Q195" i="30"/>
  <c r="Q196" i="30"/>
  <c r="Q197" i="30"/>
  <c r="Q198" i="30"/>
  <c r="I8" i="30"/>
  <c r="I16" i="30"/>
  <c r="I30" i="30"/>
  <c r="N20" i="30"/>
  <c r="N21" i="30"/>
  <c r="N22" i="30"/>
  <c r="N25" i="30"/>
  <c r="N26" i="30"/>
  <c r="Q207" i="30"/>
  <c r="C5" i="70"/>
  <c r="D5" i="70"/>
  <c r="Q188" i="30"/>
  <c r="Q190" i="30"/>
  <c r="Q119" i="30"/>
  <c r="Q118" i="30"/>
  <c r="Q117" i="30"/>
  <c r="Q116" i="30"/>
  <c r="Q115" i="30"/>
  <c r="Q114" i="30"/>
  <c r="Q113" i="30"/>
  <c r="Q112" i="30"/>
  <c r="Q111" i="30"/>
  <c r="Q110" i="30"/>
  <c r="Q109" i="30"/>
  <c r="Q108" i="30"/>
  <c r="I36" i="30"/>
  <c r="Q107" i="30"/>
  <c r="Q106" i="30"/>
  <c r="Q105" i="30"/>
  <c r="Q104" i="30"/>
  <c r="Q103" i="30"/>
  <c r="Q102" i="30"/>
  <c r="Q101" i="30"/>
  <c r="Q100" i="30"/>
  <c r="Q99" i="30"/>
  <c r="Q98" i="30"/>
  <c r="Q97" i="30"/>
  <c r="Q96" i="30"/>
  <c r="Q95" i="30"/>
  <c r="Q94" i="30"/>
  <c r="Q93" i="30"/>
  <c r="Q92" i="30"/>
  <c r="Q91" i="30"/>
  <c r="Q211" i="30"/>
  <c r="Q209" i="30"/>
  <c r="Q129" i="30"/>
  <c r="N160" i="30"/>
  <c r="N80" i="30"/>
  <c r="Q167" i="30"/>
  <c r="I240" i="30"/>
  <c r="I200" i="30"/>
  <c r="I160" i="30"/>
  <c r="I120" i="30"/>
  <c r="Q47" i="30"/>
  <c r="P80" i="30"/>
  <c r="Q48" i="30"/>
  <c r="Q49" i="30"/>
  <c r="Q50" i="30"/>
  <c r="Q51" i="30"/>
  <c r="Q52" i="30"/>
  <c r="Q53" i="30"/>
  <c r="Q54" i="30"/>
  <c r="Q55" i="30"/>
  <c r="Q56" i="30"/>
  <c r="Q57" i="30"/>
  <c r="Q58" i="30"/>
  <c r="Q59" i="30"/>
  <c r="Q60" i="30"/>
  <c r="Q61" i="30"/>
  <c r="Q62" i="30"/>
  <c r="Q63" i="30"/>
  <c r="Q64" i="30"/>
  <c r="Q65" i="30"/>
  <c r="Q66" i="30"/>
  <c r="Q67" i="30"/>
  <c r="Q68" i="30"/>
  <c r="Q69" i="30"/>
  <c r="Q70" i="30"/>
  <c r="Q71" i="30"/>
  <c r="Q72" i="30"/>
  <c r="Q73" i="30"/>
  <c r="Q74" i="30"/>
  <c r="Q75" i="30"/>
  <c r="Q76" i="30"/>
  <c r="Q77" i="30"/>
  <c r="Q78" i="30"/>
  <c r="Q79" i="30"/>
  <c r="I80" i="30"/>
  <c r="I17" i="30"/>
  <c r="Q17" i="30" s="1"/>
  <c r="I21" i="30"/>
  <c r="O39" i="30"/>
  <c r="N8" i="30"/>
  <c r="N9" i="30"/>
  <c r="N10" i="30"/>
  <c r="N12" i="30"/>
  <c r="Q12" i="30" s="1"/>
  <c r="N13" i="30"/>
  <c r="N14" i="30"/>
  <c r="I20" i="30"/>
  <c r="I24" i="30"/>
  <c r="I28" i="30"/>
  <c r="I29" i="30"/>
  <c r="N29" i="30"/>
  <c r="N30" i="30"/>
  <c r="I33" i="30"/>
  <c r="N33" i="30"/>
  <c r="N34" i="30"/>
  <c r="N37" i="30"/>
  <c r="N38" i="30"/>
  <c r="I7" i="30"/>
  <c r="I9" i="30"/>
  <c r="I13" i="30"/>
  <c r="I25" i="30"/>
  <c r="Q25" i="30" s="1"/>
  <c r="I37" i="30"/>
  <c r="P6" i="30"/>
  <c r="P39" i="30" s="1"/>
  <c r="G39" i="30"/>
  <c r="I10" i="30"/>
  <c r="Q10" i="30" s="1"/>
  <c r="I11" i="30"/>
  <c r="I14" i="30"/>
  <c r="I15" i="30"/>
  <c r="N16" i="30"/>
  <c r="I18" i="30"/>
  <c r="Q18" i="30" s="1"/>
  <c r="I19" i="30"/>
  <c r="I22" i="30"/>
  <c r="I23" i="30"/>
  <c r="N24" i="30"/>
  <c r="I26" i="30"/>
  <c r="I27" i="30"/>
  <c r="N28" i="30"/>
  <c r="Q28" i="30" s="1"/>
  <c r="I31" i="30"/>
  <c r="N32" i="30"/>
  <c r="Q32" i="30" s="1"/>
  <c r="I34" i="30"/>
  <c r="I35" i="30"/>
  <c r="N36" i="30"/>
  <c r="I38" i="30"/>
  <c r="Q38" i="30" s="1"/>
  <c r="D39" i="30"/>
  <c r="I6" i="30"/>
  <c r="E39" i="30"/>
  <c r="K39" i="30"/>
  <c r="N6" i="30"/>
  <c r="N7" i="30"/>
  <c r="L39" i="30"/>
  <c r="N11" i="30"/>
  <c r="N15" i="30"/>
  <c r="N19" i="30"/>
  <c r="N23" i="30"/>
  <c r="N27" i="30"/>
  <c r="N31" i="30"/>
  <c r="N35" i="30"/>
  <c r="O15" i="9"/>
  <c r="O24" i="9" s="1"/>
  <c r="N15" i="9"/>
  <c r="N24" i="9" s="1"/>
  <c r="L15" i="9"/>
  <c r="L24" i="9" s="1"/>
  <c r="K15" i="9"/>
  <c r="K24" i="9" s="1"/>
  <c r="J15" i="9"/>
  <c r="J24" i="9" s="1"/>
  <c r="I15" i="9"/>
  <c r="I24" i="9" s="1"/>
  <c r="G15" i="9"/>
  <c r="G24" i="9" s="1"/>
  <c r="F15" i="9"/>
  <c r="F24" i="9" s="1"/>
  <c r="E15" i="9"/>
  <c r="E24" i="9" s="1"/>
  <c r="D15" i="9"/>
  <c r="D24" i="9" s="1"/>
  <c r="C15" i="9"/>
  <c r="C24" i="9" s="1"/>
  <c r="M18" i="9"/>
  <c r="M15" i="9" s="1"/>
  <c r="H18" i="9"/>
  <c r="M13" i="9"/>
  <c r="H13" i="9"/>
  <c r="M11" i="9"/>
  <c r="H11" i="9"/>
  <c r="M8" i="9"/>
  <c r="H8" i="9"/>
  <c r="M6" i="9"/>
  <c r="H6" i="9"/>
  <c r="B52" i="70"/>
  <c r="B50" i="70"/>
  <c r="B49" i="70"/>
  <c r="B48" i="70"/>
  <c r="B47" i="70"/>
  <c r="B45" i="70"/>
  <c r="B44" i="70"/>
  <c r="B43" i="70"/>
  <c r="B42" i="70"/>
  <c r="B41" i="70"/>
  <c r="B40" i="70"/>
  <c r="B35" i="70"/>
  <c r="B33" i="70"/>
  <c r="B32" i="70"/>
  <c r="B31" i="70"/>
  <c r="B30" i="70"/>
  <c r="B28" i="70"/>
  <c r="B27" i="70"/>
  <c r="B26" i="70"/>
  <c r="B25" i="70"/>
  <c r="B24" i="70"/>
  <c r="B23" i="70"/>
  <c r="B18" i="70"/>
  <c r="B16" i="70"/>
  <c r="B15" i="70"/>
  <c r="B14" i="70"/>
  <c r="B13" i="70"/>
  <c r="B11" i="70"/>
  <c r="B10" i="70"/>
  <c r="B9" i="70"/>
  <c r="B8" i="70"/>
  <c r="B7" i="70"/>
  <c r="B6" i="70"/>
  <c r="D365" i="70"/>
  <c r="C365" i="70"/>
  <c r="B365" i="70"/>
  <c r="D360" i="70"/>
  <c r="C360" i="70"/>
  <c r="B360" i="70"/>
  <c r="D353" i="70"/>
  <c r="C353" i="70"/>
  <c r="B353" i="70"/>
  <c r="D348" i="70"/>
  <c r="C348" i="70"/>
  <c r="B348" i="70"/>
  <c r="D343" i="70"/>
  <c r="C343" i="70"/>
  <c r="B343" i="70"/>
  <c r="D336" i="70"/>
  <c r="C336" i="70"/>
  <c r="B336" i="70"/>
  <c r="D331" i="70"/>
  <c r="C331" i="70"/>
  <c r="B331" i="70"/>
  <c r="D326" i="70"/>
  <c r="C326" i="70"/>
  <c r="B326" i="70"/>
  <c r="D319" i="70"/>
  <c r="C319" i="70"/>
  <c r="B319" i="70"/>
  <c r="D302" i="70"/>
  <c r="C302" i="70"/>
  <c r="B302" i="70"/>
  <c r="D297" i="70"/>
  <c r="C297" i="70"/>
  <c r="B297" i="70"/>
  <c r="D290" i="70"/>
  <c r="C290" i="70"/>
  <c r="B290" i="70"/>
  <c r="D285" i="70"/>
  <c r="C285" i="70"/>
  <c r="B285" i="70"/>
  <c r="D280" i="70"/>
  <c r="C280" i="70"/>
  <c r="B280" i="70"/>
  <c r="D273" i="70"/>
  <c r="C273" i="70"/>
  <c r="B273" i="70"/>
  <c r="D268" i="70"/>
  <c r="C268" i="70"/>
  <c r="B268" i="70"/>
  <c r="D263" i="70"/>
  <c r="C263" i="70"/>
  <c r="B263" i="70"/>
  <c r="D256" i="70"/>
  <c r="C256" i="70"/>
  <c r="B256" i="70"/>
  <c r="D238" i="70"/>
  <c r="C238" i="70"/>
  <c r="B238" i="70"/>
  <c r="D233" i="70"/>
  <c r="C233" i="70"/>
  <c r="B233" i="70"/>
  <c r="D226" i="70"/>
  <c r="C226" i="70"/>
  <c r="B226" i="70"/>
  <c r="D221" i="70"/>
  <c r="C221" i="70"/>
  <c r="B221" i="70"/>
  <c r="D216" i="70"/>
  <c r="C216" i="70"/>
  <c r="B216" i="70"/>
  <c r="D209" i="70"/>
  <c r="C209" i="70"/>
  <c r="B209" i="70"/>
  <c r="D204" i="70"/>
  <c r="C204" i="70"/>
  <c r="B204" i="70"/>
  <c r="D199" i="70"/>
  <c r="C199" i="70"/>
  <c r="B199" i="70"/>
  <c r="D192" i="70"/>
  <c r="C192" i="70"/>
  <c r="B192" i="70"/>
  <c r="D174" i="70"/>
  <c r="C174" i="70"/>
  <c r="B174" i="70"/>
  <c r="D169" i="70"/>
  <c r="C169" i="70"/>
  <c r="B169" i="70"/>
  <c r="D162" i="70"/>
  <c r="C162" i="70"/>
  <c r="B162" i="70"/>
  <c r="D157" i="70"/>
  <c r="C157" i="70"/>
  <c r="B157" i="70"/>
  <c r="D152" i="70"/>
  <c r="C152" i="70"/>
  <c r="B152" i="70"/>
  <c r="D145" i="70"/>
  <c r="C145" i="70"/>
  <c r="B145" i="70"/>
  <c r="D140" i="70"/>
  <c r="C140" i="70"/>
  <c r="B140" i="70"/>
  <c r="D135" i="70"/>
  <c r="C135" i="70"/>
  <c r="B135" i="70"/>
  <c r="D128" i="70"/>
  <c r="C128" i="70"/>
  <c r="B128" i="70"/>
  <c r="D111" i="70"/>
  <c r="C111" i="70"/>
  <c r="B111" i="70"/>
  <c r="D106" i="70"/>
  <c r="C106" i="70"/>
  <c r="B106" i="70"/>
  <c r="D99" i="70"/>
  <c r="C99" i="70"/>
  <c r="B99" i="70"/>
  <c r="D94" i="70"/>
  <c r="C94" i="70"/>
  <c r="B94" i="70"/>
  <c r="D89" i="70"/>
  <c r="C89" i="70"/>
  <c r="B89" i="70"/>
  <c r="D82" i="70"/>
  <c r="C82" i="70"/>
  <c r="B82" i="70"/>
  <c r="D77" i="70"/>
  <c r="C77" i="70"/>
  <c r="B77" i="70"/>
  <c r="D72" i="70"/>
  <c r="C72" i="70"/>
  <c r="B72" i="70"/>
  <c r="D65" i="70"/>
  <c r="C65" i="70"/>
  <c r="B65" i="70"/>
  <c r="Q24" i="30" l="1"/>
  <c r="Q8" i="30"/>
  <c r="Q21" i="30"/>
  <c r="M24" i="9"/>
  <c r="Q35" i="30"/>
  <c r="Q36" i="30"/>
  <c r="Q22" i="30"/>
  <c r="Q240" i="30"/>
  <c r="R207" i="30" s="1"/>
  <c r="C36" i="70"/>
  <c r="D19" i="70"/>
  <c r="D36" i="70"/>
  <c r="C19" i="70"/>
  <c r="D350" i="70"/>
  <c r="Q26" i="30"/>
  <c r="Q16" i="30"/>
  <c r="Q20" i="30"/>
  <c r="Q160" i="30"/>
  <c r="R127" i="30" s="1"/>
  <c r="R146" i="30"/>
  <c r="D304" i="70"/>
  <c r="P6" i="9"/>
  <c r="P18" i="9"/>
  <c r="Q30" i="30"/>
  <c r="Q200" i="30"/>
  <c r="R172" i="30" s="1"/>
  <c r="Q27" i="30"/>
  <c r="Q120" i="30"/>
  <c r="R87" i="30" s="1"/>
  <c r="Q11" i="30"/>
  <c r="R154" i="30"/>
  <c r="R232" i="30"/>
  <c r="R239" i="30"/>
  <c r="R237" i="30"/>
  <c r="R235" i="30"/>
  <c r="R233" i="30"/>
  <c r="R150" i="30"/>
  <c r="R134" i="30"/>
  <c r="R152" i="30"/>
  <c r="R144" i="30"/>
  <c r="R136" i="30"/>
  <c r="R128" i="30"/>
  <c r="R170" i="30"/>
  <c r="R159" i="30"/>
  <c r="R155" i="30"/>
  <c r="R151" i="30"/>
  <c r="R147" i="30"/>
  <c r="R143" i="30"/>
  <c r="R139" i="30"/>
  <c r="R135" i="30"/>
  <c r="R131" i="30"/>
  <c r="Q80" i="30"/>
  <c r="R50" i="30" s="1"/>
  <c r="Q37" i="30"/>
  <c r="R190" i="30"/>
  <c r="R180" i="30"/>
  <c r="Q31" i="30"/>
  <c r="Q29" i="30"/>
  <c r="Q23" i="30"/>
  <c r="Q19" i="30"/>
  <c r="Q34" i="30"/>
  <c r="Q13" i="30"/>
  <c r="Q33" i="30"/>
  <c r="Q9" i="30"/>
  <c r="Q15" i="30"/>
  <c r="Q7" i="30"/>
  <c r="Q14" i="30"/>
  <c r="I39" i="30"/>
  <c r="Q6" i="30"/>
  <c r="N39" i="30"/>
  <c r="H15" i="9"/>
  <c r="H24" i="9" s="1"/>
  <c r="D79" i="70"/>
  <c r="C96" i="70"/>
  <c r="B113" i="70"/>
  <c r="D206" i="70"/>
  <c r="C223" i="70"/>
  <c r="B240" i="70"/>
  <c r="C333" i="70"/>
  <c r="B350" i="70"/>
  <c r="C113" i="70"/>
  <c r="B142" i="70"/>
  <c r="C159" i="70"/>
  <c r="C240" i="70"/>
  <c r="B270" i="70"/>
  <c r="D287" i="70"/>
  <c r="C287" i="70"/>
  <c r="D333" i="70"/>
  <c r="C350" i="70"/>
  <c r="P11" i="9"/>
  <c r="P13" i="9"/>
  <c r="P8" i="9"/>
  <c r="B159" i="70"/>
  <c r="B287" i="70"/>
  <c r="D142" i="70"/>
  <c r="D270" i="70"/>
  <c r="D367" i="70"/>
  <c r="B176" i="70"/>
  <c r="B304" i="70"/>
  <c r="D113" i="70"/>
  <c r="D223" i="70"/>
  <c r="C270" i="70"/>
  <c r="B79" i="70"/>
  <c r="C176" i="70"/>
  <c r="B206" i="70"/>
  <c r="C304" i="70"/>
  <c r="D96" i="70"/>
  <c r="C142" i="70"/>
  <c r="D240" i="70"/>
  <c r="C367" i="70"/>
  <c r="C79" i="70"/>
  <c r="B96" i="70"/>
  <c r="D159" i="70"/>
  <c r="D176" i="70"/>
  <c r="C206" i="70"/>
  <c r="B223" i="70"/>
  <c r="B333" i="70"/>
  <c r="B367" i="70"/>
  <c r="B51" i="70"/>
  <c r="B46" i="70"/>
  <c r="B39" i="70"/>
  <c r="B34" i="70"/>
  <c r="B29" i="70"/>
  <c r="B22" i="70"/>
  <c r="B17" i="70"/>
  <c r="B5" i="70"/>
  <c r="B12" i="70"/>
  <c r="R198" i="30" l="1"/>
  <c r="R175" i="30"/>
  <c r="R178" i="30"/>
  <c r="R188" i="30"/>
  <c r="R197" i="30"/>
  <c r="R48" i="30"/>
  <c r="R185" i="30"/>
  <c r="R194" i="30"/>
  <c r="R169" i="30"/>
  <c r="R189" i="30"/>
  <c r="R184" i="30"/>
  <c r="R193" i="30"/>
  <c r="R129" i="30"/>
  <c r="R133" i="30"/>
  <c r="R137" i="30"/>
  <c r="R141" i="30"/>
  <c r="R145" i="30"/>
  <c r="R149" i="30"/>
  <c r="R153" i="30"/>
  <c r="R157" i="30"/>
  <c r="R173" i="30"/>
  <c r="R177" i="30"/>
  <c r="R132" i="30"/>
  <c r="R140" i="30"/>
  <c r="R148" i="30"/>
  <c r="R130" i="30"/>
  <c r="R142" i="30"/>
  <c r="R156" i="30"/>
  <c r="R138" i="30"/>
  <c r="R158" i="30"/>
  <c r="R215" i="30"/>
  <c r="R236" i="30"/>
  <c r="R217" i="30"/>
  <c r="R231" i="30"/>
  <c r="R219" i="30"/>
  <c r="R220" i="30"/>
  <c r="R214" i="30"/>
  <c r="R221" i="30"/>
  <c r="R224" i="30"/>
  <c r="R230" i="30"/>
  <c r="R223" i="30"/>
  <c r="R228" i="30"/>
  <c r="R234" i="30"/>
  <c r="R222" i="30"/>
  <c r="R209" i="30"/>
  <c r="R225" i="30"/>
  <c r="R208" i="30"/>
  <c r="R210" i="30"/>
  <c r="R211" i="30"/>
  <c r="R227" i="30"/>
  <c r="R212" i="30"/>
  <c r="R218" i="30"/>
  <c r="R238" i="30"/>
  <c r="R213" i="30"/>
  <c r="R229" i="30"/>
  <c r="R216" i="30"/>
  <c r="R226" i="30"/>
  <c r="R176" i="30"/>
  <c r="R183" i="30"/>
  <c r="R187" i="30"/>
  <c r="R192" i="30"/>
  <c r="R196" i="30"/>
  <c r="R167" i="30"/>
  <c r="R171" i="30"/>
  <c r="R179" i="30"/>
  <c r="R174" i="30"/>
  <c r="R182" i="30"/>
  <c r="R186" i="30"/>
  <c r="R191" i="30"/>
  <c r="R195" i="30"/>
  <c r="R168" i="30"/>
  <c r="R181" i="30"/>
  <c r="R199" i="30"/>
  <c r="P15" i="9"/>
  <c r="P24" i="9" s="1"/>
  <c r="Q11" i="9" s="1"/>
  <c r="R117" i="30"/>
  <c r="R92" i="30"/>
  <c r="R101" i="30"/>
  <c r="R98" i="30"/>
  <c r="R93" i="30"/>
  <c r="R109" i="30"/>
  <c r="R108" i="30"/>
  <c r="R94" i="30"/>
  <c r="R89" i="30"/>
  <c r="R97" i="30"/>
  <c r="R105" i="30"/>
  <c r="R113" i="30"/>
  <c r="R100" i="30"/>
  <c r="R116" i="30"/>
  <c r="R114" i="30"/>
  <c r="R102" i="30"/>
  <c r="R91" i="30"/>
  <c r="R95" i="30"/>
  <c r="R99" i="30"/>
  <c r="R103" i="30"/>
  <c r="R107" i="30"/>
  <c r="R111" i="30"/>
  <c r="R115" i="30"/>
  <c r="R119" i="30"/>
  <c r="R88" i="30"/>
  <c r="R96" i="30"/>
  <c r="R104" i="30"/>
  <c r="R112" i="30"/>
  <c r="R90" i="30"/>
  <c r="R106" i="30"/>
  <c r="R110" i="30"/>
  <c r="R118" i="30"/>
  <c r="R79" i="30"/>
  <c r="R63" i="30"/>
  <c r="R71" i="30"/>
  <c r="R55" i="30"/>
  <c r="R47" i="30"/>
  <c r="R72" i="30"/>
  <c r="R64" i="30"/>
  <c r="R56" i="30"/>
  <c r="R75" i="30"/>
  <c r="R67" i="30"/>
  <c r="R59" i="30"/>
  <c r="R51" i="30"/>
  <c r="R76" i="30"/>
  <c r="R68" i="30"/>
  <c r="R60" i="30"/>
  <c r="R52" i="30"/>
  <c r="R77" i="30"/>
  <c r="R73" i="30"/>
  <c r="R69" i="30"/>
  <c r="R65" i="30"/>
  <c r="R61" i="30"/>
  <c r="R57" i="30"/>
  <c r="R53" i="30"/>
  <c r="R49" i="30"/>
  <c r="R78" i="30"/>
  <c r="R74" i="30"/>
  <c r="R70" i="30"/>
  <c r="R66" i="30"/>
  <c r="R62" i="30"/>
  <c r="R58" i="30"/>
  <c r="R54" i="30"/>
  <c r="Q39" i="30"/>
  <c r="B19" i="70"/>
  <c r="B53" i="70"/>
  <c r="B36" i="70"/>
  <c r="B18" i="73"/>
  <c r="B19" i="73" s="1"/>
  <c r="B12" i="73"/>
  <c r="B13" i="73" s="1"/>
  <c r="D19" i="73"/>
  <c r="C19" i="73"/>
  <c r="D13" i="73"/>
  <c r="C13" i="73"/>
  <c r="F13" i="73" s="1"/>
  <c r="B6" i="73"/>
  <c r="B7" i="73" s="1"/>
  <c r="D7" i="73"/>
  <c r="C7" i="73"/>
  <c r="R160" i="30" l="1"/>
  <c r="R200" i="30"/>
  <c r="R240" i="30"/>
  <c r="Q6" i="9"/>
  <c r="Q18" i="9"/>
  <c r="Q8" i="9"/>
  <c r="Q13" i="9"/>
  <c r="Q15" i="9"/>
  <c r="R120" i="30"/>
  <c r="R80" i="30"/>
  <c r="R31" i="30"/>
  <c r="R23" i="30"/>
  <c r="R15" i="30"/>
  <c r="R32" i="30"/>
  <c r="R16" i="30"/>
  <c r="R29" i="30"/>
  <c r="R13" i="30"/>
  <c r="R38" i="30"/>
  <c r="R30" i="30"/>
  <c r="R22" i="30"/>
  <c r="R14" i="30"/>
  <c r="R36" i="30"/>
  <c r="R20" i="30"/>
  <c r="R25" i="30"/>
  <c r="R12" i="30"/>
  <c r="R35" i="30"/>
  <c r="R27" i="30"/>
  <c r="R19" i="30"/>
  <c r="R11" i="30"/>
  <c r="R24" i="30"/>
  <c r="R37" i="30"/>
  <c r="R21" i="30"/>
  <c r="R9" i="30"/>
  <c r="R34" i="30"/>
  <c r="R26" i="30"/>
  <c r="R18" i="30"/>
  <c r="R10" i="30"/>
  <c r="R28" i="30"/>
  <c r="R7" i="30"/>
  <c r="R33" i="30"/>
  <c r="R17" i="30"/>
  <c r="R8" i="30"/>
  <c r="R6" i="30"/>
  <c r="Q24" i="9" l="1"/>
  <c r="R39" i="30"/>
  <c r="Q8" i="21"/>
  <c r="Q106" i="21"/>
  <c r="R6" i="21" l="1"/>
  <c r="R8" i="21" s="1"/>
  <c r="R90" i="21"/>
  <c r="R92" i="21" s="1"/>
  <c r="R78" i="21"/>
  <c r="R80" i="21" s="1"/>
  <c r="R58" i="21"/>
  <c r="R60" i="21" s="1"/>
  <c r="R38" i="21"/>
  <c r="R40" i="21" s="1"/>
  <c r="R94" i="21"/>
  <c r="R96" i="21" s="1"/>
  <c r="R86" i="21"/>
  <c r="R88" i="21" s="1"/>
  <c r="R66" i="21"/>
  <c r="R68" i="21" s="1"/>
  <c r="R46" i="21"/>
  <c r="R48" i="21" s="1"/>
  <c r="R74" i="21"/>
  <c r="R76" i="21" s="1"/>
  <c r="R54" i="21"/>
  <c r="R56" i="21" s="1"/>
  <c r="R34" i="21"/>
  <c r="R36" i="21" s="1"/>
  <c r="R102" i="21"/>
  <c r="R104" i="21" s="1"/>
  <c r="R82" i="21"/>
  <c r="R84" i="21" s="1"/>
  <c r="R62" i="21"/>
  <c r="R64" i="21" s="1"/>
  <c r="R42" i="21"/>
  <c r="R44" i="21" s="1"/>
  <c r="R98" i="21"/>
  <c r="R100" i="21" s="1"/>
  <c r="R70" i="21"/>
  <c r="R72" i="21" s="1"/>
  <c r="R50" i="21"/>
  <c r="R52" i="21" s="1"/>
  <c r="Q108" i="21"/>
  <c r="R30" i="21"/>
  <c r="R32" i="21" s="1"/>
  <c r="R22" i="21"/>
  <c r="R24" i="21" s="1"/>
  <c r="P108" i="21"/>
  <c r="P106" i="21"/>
  <c r="P6" i="21"/>
</calcChain>
</file>

<file path=xl/comments1.xml><?xml version="1.0" encoding="utf-8"?>
<comments xmlns="http://schemas.openxmlformats.org/spreadsheetml/2006/main">
  <authors>
    <author>pcuba</author>
  </authors>
  <commentList>
    <comment ref="D3" authorId="0" shapeId="0">
      <text>
        <r>
          <rPr>
            <sz val="8"/>
            <color indexed="81"/>
            <rFont val="Tahoma"/>
            <family val="2"/>
          </rPr>
          <t xml:space="preserve">
Nombre del Indicador</t>
        </r>
      </text>
    </comment>
  </commentList>
</comments>
</file>

<file path=xl/sharedStrings.xml><?xml version="1.0" encoding="utf-8"?>
<sst xmlns="http://schemas.openxmlformats.org/spreadsheetml/2006/main" count="58746" uniqueCount="14247">
  <si>
    <t>TOTAL</t>
  </si>
  <si>
    <t>RECURSOS PUBLICOS</t>
  </si>
  <si>
    <t>MONTO</t>
  </si>
  <si>
    <t>FUENTE DE FINANCIAMIENTO</t>
  </si>
  <si>
    <t xml:space="preserve"> REMUNERATIVA</t>
  </si>
  <si>
    <t>CATEGORIA</t>
  </si>
  <si>
    <t>PEA</t>
  </si>
  <si>
    <t>S/.</t>
  </si>
  <si>
    <t>Est. %</t>
  </si>
  <si>
    <t>EST. %</t>
  </si>
  <si>
    <t>GASTOS CORRIENTES */</t>
  </si>
  <si>
    <t>..</t>
  </si>
  <si>
    <t>OTROS</t>
  </si>
  <si>
    <t>COSTO ANUAL</t>
  </si>
  <si>
    <t>OBLIGACIONES DEL EMPLEADOR (CARGAS SOCIALES)</t>
  </si>
  <si>
    <t>GASTOS VARIABLES Y OCASIONALES</t>
  </si>
  <si>
    <t>COMBUSTIBLE Y LUBRICANTES</t>
  </si>
  <si>
    <t>SERVICIOS NO PERSONALES</t>
  </si>
  <si>
    <t>PROPINAS</t>
  </si>
  <si>
    <t>BIENES DISTRIBUCION GRATUITA</t>
  </si>
  <si>
    <t>PASAJES Y GASTOS DE TRANSPORTE</t>
  </si>
  <si>
    <t>CONTRATACION CON EMPRESAS DE SERVICIOS</t>
  </si>
  <si>
    <t>TRANSFERENCIAS CAFAE</t>
  </si>
  <si>
    <t>RUBROS</t>
  </si>
  <si>
    <t>OTROS SERVICIOS DE TERCEROS</t>
  </si>
  <si>
    <t>BIENES DE CONSUMO</t>
  </si>
  <si>
    <t>ALIMENTOS DE PERSONAS</t>
  </si>
  <si>
    <t>TARIFAS DE SERVICIOS GENERALES</t>
  </si>
  <si>
    <t>OTROS (DETALLAR)</t>
  </si>
  <si>
    <t>SEGUROS</t>
  </si>
  <si>
    <t>VIATICOS Y ASIGNACIONES</t>
  </si>
  <si>
    <t>NUEVOS SOLES</t>
  </si>
  <si>
    <t xml:space="preserve">SERVICIO DE CONSULTORIA </t>
  </si>
  <si>
    <t>CONSULTORIAS</t>
  </si>
  <si>
    <t xml:space="preserve">TOTAL </t>
  </si>
  <si>
    <t>1. RECURSOS ORDINARIOS</t>
  </si>
  <si>
    <t>2. RECURSOS DIRECTAM. RECAUD.</t>
  </si>
  <si>
    <t>3.- RECURSOS OPERACIONES</t>
  </si>
  <si>
    <t>4. DONACIONES Y TRANSFERENCIAS</t>
  </si>
  <si>
    <t>5. RECURSOS DETERMINADOS</t>
  </si>
  <si>
    <t xml:space="preserve">    - CONTRIBUCIONES A FONDOS</t>
  </si>
  <si>
    <t xml:space="preserve">    - FONDO DE COMPENCIÓN MUNICIPAL</t>
  </si>
  <si>
    <t xml:space="preserve">    - IMPUESTOS MUNICIPALES</t>
  </si>
  <si>
    <t xml:space="preserve">    - CANON  Y  SOBRECANON, REGALIAS</t>
  </si>
  <si>
    <t xml:space="preserve">       Y PARTICIPACIONES</t>
  </si>
  <si>
    <t>TOTAL    (*)</t>
  </si>
  <si>
    <t>(PIA) = Presupuesto Institucional de Apertura</t>
  </si>
  <si>
    <t>TIPO DE ESTUDIO Y/O INFORME (*)</t>
  </si>
  <si>
    <t>NIVELES REMUNERATIVOS</t>
  </si>
  <si>
    <t>(1)</t>
  </si>
  <si>
    <t>(2)</t>
  </si>
  <si>
    <t>(3)</t>
  </si>
  <si>
    <t>(4)</t>
  </si>
  <si>
    <t>(5)</t>
  </si>
  <si>
    <t>(6)</t>
  </si>
  <si>
    <t>NOTAS</t>
  </si>
  <si>
    <t xml:space="preserve">(1) PEA: </t>
  </si>
  <si>
    <t xml:space="preserve">(2) REMUNERACION: </t>
  </si>
  <si>
    <t xml:space="preserve">SE CONSIGNARA LA REMUNERACION MENSUAL PROMEDIO DE UN SERVIDOR EN CADA NIVEL DE LA CARRERA PUBLICA SEGUN CORRESPONDA </t>
  </si>
  <si>
    <t xml:space="preserve">(3) CAFAE: </t>
  </si>
  <si>
    <t xml:space="preserve">SE CONSIGNARA EL  INCENTIVO LABORAL  MENSUAL PROMEDIO QUE POR DISPOSICION EXPRESA SE LE OTORGUE A UN SERVIDOR EN CADA NIVEL SEGUN CORRESPONDA </t>
  </si>
  <si>
    <t xml:space="preserve">(4) AETA: </t>
  </si>
  <si>
    <t xml:space="preserve">SOLO APLICABLE AL SECTOR SALUD. SE CONSIGNARA LA ASIGNACION EXTRAORDINARIA POR TRABAJO ASISTENCIAL  MENSUAL PROMEDIO DE UN SERVIDOR EN CADA NIVEL </t>
  </si>
  <si>
    <t xml:space="preserve">SEGUN CORRESPONDA </t>
  </si>
  <si>
    <t xml:space="preserve">(5) OTROS BENEFICIOS - ASIGNACION MENSUAL </t>
  </si>
  <si>
    <t xml:space="preserve">RUBROS ANTERIORES . EN HOJA INDEPENDIENTES SE DETALLARA CADA CONCEPTO Y MONTO, ASI COMO LA DISPOSICION EXPRESA QUE LOS AUTORICE Y LA PERIODICIDAD CON QUE </t>
  </si>
  <si>
    <t xml:space="preserve">SE OTORGA . DEBERA DETALLAR POR CADA CONCEPTO ASI COMO LA DISPOSICION EXPRESA QUE LOS AUTORICE Y LA PERIODICIDAD CON QUE SE OTORGA (MENSUAL, BIMENSUAL, </t>
  </si>
  <si>
    <t>TRIMESTRAL , CUATRIMENSUAL)</t>
  </si>
  <si>
    <t>(7)</t>
  </si>
  <si>
    <t>ADQUISICIONES/CONTRATACIONES/OBRAS</t>
  </si>
  <si>
    <t>FECHA PROG. CONV.</t>
  </si>
  <si>
    <t xml:space="preserve">    - OTROS (ESPECIFICAR)</t>
  </si>
  <si>
    <t>TOTAL SECTOR</t>
  </si>
  <si>
    <t>PROYECTO</t>
  </si>
  <si>
    <t>CODIGO SNIP</t>
  </si>
  <si>
    <t>TIPO DE PROCESO DE SELECCIÓN</t>
  </si>
  <si>
    <t>ADQUISICIÓN</t>
  </si>
  <si>
    <t>OBSERVACIONES</t>
  </si>
  <si>
    <t>ESTADO DEL PROCESO</t>
  </si>
  <si>
    <t>PART. %</t>
  </si>
  <si>
    <t xml:space="preserve">       OFICIALES DE CREDITO</t>
  </si>
  <si>
    <t>SERVICIO DE DEUDA</t>
  </si>
  <si>
    <t>(**) PNUD, BONOS, etc.</t>
  </si>
  <si>
    <t xml:space="preserve"> </t>
  </si>
  <si>
    <t>TIPO DE CONTRATO</t>
  </si>
  <si>
    <t>PLIEGO</t>
  </si>
  <si>
    <t>UNIDAD EJECUTORA</t>
  </si>
  <si>
    <t>FUNCIÓN DESEMPEÑADA</t>
  </si>
  <si>
    <t>SUB TOTAL GASTOS CORRIENTES</t>
  </si>
  <si>
    <t>SUB TOTAL GASTOS DE CAPITAL</t>
  </si>
  <si>
    <t>SUB TOTAL SERVICIO DE DEUDA</t>
  </si>
  <si>
    <t>GASTOS DE CAPITAL</t>
  </si>
  <si>
    <t>1: Reserva de Contingencia</t>
  </si>
  <si>
    <t>2: Personal y Obligaciones Sociales</t>
  </si>
  <si>
    <t>3: Pensiones y Prestaciones Sociales</t>
  </si>
  <si>
    <t>4: Bienes y Servicios</t>
  </si>
  <si>
    <t>5: Donaciones y Transferencias</t>
  </si>
  <si>
    <t>6: Otros Gastos</t>
  </si>
  <si>
    <t>7: Donaciones y Transferencias</t>
  </si>
  <si>
    <t>8: Otros Gastos</t>
  </si>
  <si>
    <t>9: Adquisiciones de Activos No Financieros</t>
  </si>
  <si>
    <t>10: Adquisiciones de Activos Financieros</t>
  </si>
  <si>
    <t>11: Servicio de la Deuda</t>
  </si>
  <si>
    <t>GASTOS CORRIENTES</t>
  </si>
  <si>
    <t>TRIMESTRAL , CUATRIMENSUAL  O SIN PERIODICIDAD)</t>
  </si>
  <si>
    <t>(8)</t>
  </si>
  <si>
    <t>SUB TOTAL OTROS BENEFICIOS ... (no, mensuales, monto anual)</t>
  </si>
  <si>
    <t>ESPECIALIDAD (**)</t>
  </si>
  <si>
    <t xml:space="preserve">CONTRAPRESTACIÓN MENSUAL </t>
  </si>
  <si>
    <t>FUNCIONES</t>
  </si>
  <si>
    <t>PPTO (PIA)</t>
  </si>
  <si>
    <t>1 Legislativa</t>
  </si>
  <si>
    <t>2 Relaciones Exteriores</t>
  </si>
  <si>
    <t>3 Planeam. Gestión y Reserva</t>
  </si>
  <si>
    <t>Decreto Legislativo 728 (Regimen Privado)</t>
  </si>
  <si>
    <t>DNI</t>
  </si>
  <si>
    <t>Apellidos y Nombres</t>
  </si>
  <si>
    <t>Numero de contratos o renovaciones</t>
  </si>
  <si>
    <t>Meses Ejecutados</t>
  </si>
  <si>
    <t>Monto Ejecutado</t>
  </si>
  <si>
    <t>Titulo Profesióonal, Técncio o Capacitación Ocupacional</t>
  </si>
  <si>
    <t>Fuente de Información</t>
  </si>
  <si>
    <t>7: Donaciones y Transferencias (de capital)</t>
  </si>
  <si>
    <t>5: Donaciones y Transferencias (corrientes)</t>
  </si>
  <si>
    <t>6: Otros Gastos (corrientes)</t>
  </si>
  <si>
    <t>8: Otros Gastos (de capital)</t>
  </si>
  <si>
    <t>TOTAL GASTOS UNIDAD EJECUTORA / ENTIDAD PÚBLICA</t>
  </si>
  <si>
    <t>CONTRATANTE</t>
  </si>
  <si>
    <t>CONTRATADO</t>
  </si>
  <si>
    <t>COSTO TOTAL EN PLANILLAS (*)</t>
  </si>
  <si>
    <t>Profesión</t>
  </si>
  <si>
    <t>Grado Academico</t>
  </si>
  <si>
    <t>PEA / Beneficiarios</t>
  </si>
  <si>
    <t>REMUNERACION MENSUAL (cada persona)</t>
  </si>
  <si>
    <t>CAFAE MENSUL (cada persona)</t>
  </si>
  <si>
    <t>AETA MENSUAL (cada persona)</t>
  </si>
  <si>
    <t>OTROS INGRESOS MENSUAL (cada persona)</t>
  </si>
  <si>
    <t>SUB TOTAL INGRESOS MENSUALES (cada persona)</t>
  </si>
  <si>
    <t>AGUINALDOS, GRAFICACIONES Y ESCOLARIDAD (anual cada persona)</t>
  </si>
  <si>
    <r>
      <rPr>
        <b/>
        <sz val="9"/>
        <rFont val="Arial"/>
        <family val="2"/>
      </rPr>
      <t xml:space="preserve">LAS COLUMNAS COMO SEAN NECESARIAS, </t>
    </r>
    <r>
      <rPr>
        <sz val="9"/>
        <rFont val="Arial"/>
        <family val="2"/>
      </rPr>
      <t xml:space="preserve">SE CONSIGNARA LOS OTROS BENEFICIOS - ASIGNACIONES MENSUALES PERIODICOS  DE UN SERVIDOR EN CADA NIVEL SEGÚN CORRESPONDA NO CONSIGNADO EN LOS </t>
    </r>
  </si>
  <si>
    <r>
      <rPr>
        <b/>
        <sz val="9"/>
        <rFont val="Arial"/>
        <family val="2"/>
      </rPr>
      <t xml:space="preserve">LAS COLUMNAS COMO SEAN NECESARIAS, </t>
    </r>
    <r>
      <rPr>
        <sz val="9"/>
        <rFont val="Arial"/>
        <family val="2"/>
      </rPr>
      <t xml:space="preserve">SE CONSIGNARA LOS OTROS BENEFICIOS - ASIGNACIONES PERIODICOS O NO PERIODICAS DE UN SERVIDOR EN CADA NIVEL SEGÚN CORRESPONDA NO CONSIGNADO EN LOS </t>
    </r>
  </si>
  <si>
    <t>(9)</t>
  </si>
  <si>
    <t>TOTAL INGRESO ANUAL PEA</t>
  </si>
  <si>
    <t>TOTAL INGRESOS ANUAL POR PERSONA</t>
  </si>
  <si>
    <t>MONTO ANUAL</t>
  </si>
  <si>
    <t>(10)</t>
  </si>
  <si>
    <t>DIFERENCIA INGRESO ANUAL PEA</t>
  </si>
  <si>
    <t xml:space="preserve">DIFERENCIA INGRESO ANUAL POR PERSONAL </t>
  </si>
  <si>
    <t>SE CONSIGNARA EL NUMERO TOTAL DE PERSONAL ACTIVO ( NOMBRADO Y CONTRATADO) SEGÚN EL PRESUPUESTO ANILITOCO DE PERSONAL (PAP) APROBADO</t>
  </si>
  <si>
    <t>(**) Recursos Públicos / Recursos Ordinarios / Recursos Directamente Recaudados / Donaciones  y  Transferencias / Operaciones Oficiales de Crédito/ Recursos Determinados</t>
  </si>
  <si>
    <t>FECHA DE SUSCRIPCION DEL CONTRATO</t>
  </si>
  <si>
    <t>FECHA DE VENCIMIENTO DEL PLAZO</t>
  </si>
  <si>
    <t>PLAZO DE EJEUCION DE OBRAS</t>
  </si>
  <si>
    <t>AMPLIACION DE PLAZO</t>
  </si>
  <si>
    <t>FECHA DE VENCIMIENTO DE PLAZO</t>
  </si>
  <si>
    <t>FECHA DE ENTREGA</t>
  </si>
  <si>
    <t>FECHA DE CONFORMIDAD DE OBRA</t>
  </si>
  <si>
    <t>VESTUARIO</t>
  </si>
  <si>
    <t>BONOS POR FUNCION JURIDICCIONAL Y FISCAL</t>
  </si>
  <si>
    <t>ESCOLARIDAD, AGUINALDO Y GRATIFICACIONES</t>
  </si>
  <si>
    <t>BONIFICACIÓN EXTRAORDINARIA (INACEPTACIÓN DE GRATIFICACIONES)</t>
  </si>
  <si>
    <t>DIETAS</t>
  </si>
  <si>
    <t>RETRIBUCIONES EN BIENES</t>
  </si>
  <si>
    <t>MOVILIDAD PARA TRASLADO DE TRABAJADORES</t>
  </si>
  <si>
    <t>PRODUCTIVIDAD</t>
  </si>
  <si>
    <t>SEGUROS (ESPECIFICAR)</t>
  </si>
  <si>
    <t>GASTOS POR ESTACIONAMIENTO DE VEHICULOS</t>
  </si>
  <si>
    <t>DIETA DE DIRECTORIO</t>
  </si>
  <si>
    <t>OTROS INGRESOS NO MENSUALES 
(anual cada personal)</t>
  </si>
  <si>
    <t>INCENTIVOS O PRODUCTIVIDAD (cada persona)</t>
  </si>
  <si>
    <t>MOVILIDAD</t>
  </si>
  <si>
    <t>RACIONAMIENTO</t>
  </si>
  <si>
    <t>BONOS</t>
  </si>
  <si>
    <t>(10) SUB TOTAL</t>
  </si>
  <si>
    <t>SUMATORIA DE LAS COLUMNAS (2), (3), (4), (5), (6), (7), (8), (9)</t>
  </si>
  <si>
    <t>(11) AGUINALDOS, GRAFICACIONES Y ESCOLARIDAD</t>
  </si>
  <si>
    <t>(12) OTROS BENEFICIOS - ASIGNACION ANUAL</t>
  </si>
  <si>
    <t>(11)</t>
  </si>
  <si>
    <t>(12)</t>
  </si>
  <si>
    <t>(13)</t>
  </si>
  <si>
    <t>(14)</t>
  </si>
  <si>
    <t>(15)</t>
  </si>
  <si>
    <t>(13) SUB TOTAL OTROS BENEFICIOS</t>
  </si>
  <si>
    <t>SUMATORIA DE LAS COLUMNAS (11) Y (12)</t>
  </si>
  <si>
    <t>CONTRATISTA (RUC y Denominacion)</t>
  </si>
  <si>
    <t>MODALIDAD</t>
  </si>
  <si>
    <t>NUMERO DEL PROCESO</t>
  </si>
  <si>
    <t>PROGRAMAS SOCIALES</t>
  </si>
  <si>
    <t>JUNTOS</t>
  </si>
  <si>
    <t>SAMU</t>
  </si>
  <si>
    <t>SMN</t>
  </si>
  <si>
    <t>Mortalidad Materna</t>
  </si>
  <si>
    <t>Mortalidad Neonatal</t>
  </si>
  <si>
    <t>II.  GESTACIÓN</t>
  </si>
  <si>
    <t>PAN</t>
  </si>
  <si>
    <t>CUNA MAS</t>
  </si>
  <si>
    <t>Desnutrición Cronica</t>
  </si>
  <si>
    <t>Mortalidad Infantil</t>
  </si>
  <si>
    <t>Desarrollo cognitivo, lenguaje, socioemocional y motor</t>
  </si>
  <si>
    <t>PELA</t>
  </si>
  <si>
    <t>Logros de aprendizaje</t>
  </si>
  <si>
    <t>Cobertura escolar</t>
  </si>
  <si>
    <t>PELA Primaria</t>
  </si>
  <si>
    <t>PELA Secundaria</t>
  </si>
  <si>
    <t>Logros de aprindizaje</t>
  </si>
  <si>
    <t>Deserción escolar</t>
  </si>
  <si>
    <t>Jovenes a la obra</t>
  </si>
  <si>
    <t>Beca 18</t>
  </si>
  <si>
    <t>Acceso a la educación superior de calidad</t>
  </si>
  <si>
    <t>Educacion pertienente para el mercado laboral</t>
  </si>
  <si>
    <t>Pensión 65</t>
  </si>
  <si>
    <t>Asegurar las condiciones básicas para la subsistencia</t>
  </si>
  <si>
    <t>III.  De 0 a 2 AÑOS</t>
  </si>
  <si>
    <t>IV. DE 3 A 5 AÑOS</t>
  </si>
  <si>
    <t>V. DE 6 A 12 AÑOS</t>
  </si>
  <si>
    <t>VI. DE 13 A 17 AÑOS</t>
  </si>
  <si>
    <t>VII. DE 17 A 24 AÑOS</t>
  </si>
  <si>
    <t>VIII. DE 65 A MAS</t>
  </si>
  <si>
    <t>I.  DE GESTANTES A NIÑOS DE HASTA 14 AÑOS</t>
  </si>
  <si>
    <t>BENEFICIARIOS</t>
  </si>
  <si>
    <t>PRESUPUESTO PIA</t>
  </si>
  <si>
    <t>PRESUPUESTO PIM</t>
  </si>
  <si>
    <t>MONTO PRESUPUESTADO (*)</t>
  </si>
  <si>
    <t>0: Reserva de Contingencia</t>
  </si>
  <si>
    <t>1: Personal y Obligaciones Sociales</t>
  </si>
  <si>
    <t>2: Pensiones y Prestaciones Sociales</t>
  </si>
  <si>
    <t>3: Bienes y Servicios</t>
  </si>
  <si>
    <t>4: Donaciones y Transferencias</t>
  </si>
  <si>
    <t>5: Otros Gastos</t>
  </si>
  <si>
    <t>6: Adquisiciones de Activos No Financieros</t>
  </si>
  <si>
    <t>7: Adquisiciones de Activos Financieros</t>
  </si>
  <si>
    <t>8: Servicio de la Deuda</t>
  </si>
  <si>
    <t>4 Defensa y Seg. Nacional</t>
  </si>
  <si>
    <t>5 Orden Púb. y Seguridad</t>
  </si>
  <si>
    <t>6 Justicia</t>
  </si>
  <si>
    <t>7 Trabajo</t>
  </si>
  <si>
    <t>8 Comercio</t>
  </si>
  <si>
    <t>9 Turismo</t>
  </si>
  <si>
    <t>10 Agropecuaria</t>
  </si>
  <si>
    <t>11 Pesca</t>
  </si>
  <si>
    <t>12 Energía</t>
  </si>
  <si>
    <t>13 Mineria</t>
  </si>
  <si>
    <t>14 Industria</t>
  </si>
  <si>
    <t>15 Transporte</t>
  </si>
  <si>
    <t>16 Comunicaciones</t>
  </si>
  <si>
    <t>17 Ambiente</t>
  </si>
  <si>
    <t>19 Vivienda y Des. Urbano</t>
  </si>
  <si>
    <t>20 Salud</t>
  </si>
  <si>
    <t>21 Cultura y Deporte</t>
  </si>
  <si>
    <t>22 Educación</t>
  </si>
  <si>
    <t>23 Protección Social</t>
  </si>
  <si>
    <t>24 Previsión Social</t>
  </si>
  <si>
    <t>25 Deuda Pública</t>
  </si>
  <si>
    <t>VIAJES</t>
  </si>
  <si>
    <t>SUMINISTROS PARA MANTENIMIENTO Y REPARACION</t>
  </si>
  <si>
    <t>SERVICIOS BASICOS, COMUNICACIONES, PUBLICIDAD Y DIFUSION</t>
  </si>
  <si>
    <t>COMBUSTIBLE, CARBURANTES, LUBRICANTES Y AFINES</t>
  </si>
  <si>
    <t>SERVICIOS DE LIMPIEZA, SEGURIDAD Y VIGILANCIA</t>
  </si>
  <si>
    <t>SERVICIO DE MANTENIMIENTO, ACONDICIONAMIENTO Y REPARA</t>
  </si>
  <si>
    <t>ALQUILERES DE MUEBLES E INMUEBLES</t>
  </si>
  <si>
    <t>MATERIALES Y UTILES</t>
  </si>
  <si>
    <t>REPUESTOS Y ACCESORIOS</t>
  </si>
  <si>
    <t>SERVICIOS ADMINISTRATIVOS, FINANCIEROS Y DE SEGUROS</t>
  </si>
  <si>
    <t>ENSERES</t>
  </si>
  <si>
    <t>SERVICIOS PROFESIONALES Y TECNICOS</t>
  </si>
  <si>
    <t>CONTRATO ADMINISTRATIVO DE SERVICIOS</t>
  </si>
  <si>
    <t>SUMINISTROS MEDICOS</t>
  </si>
  <si>
    <t>MATERIALES Y UTILES DE ENSEÑANZA</t>
  </si>
  <si>
    <t>SUMINISTROS PARA USO AGROPECUARIO, FORESTAL Y VETERIN</t>
  </si>
  <si>
    <t>COMPRA DE OTROS BIENES</t>
  </si>
  <si>
    <t>CAFAE MENSUAL (cada persona)</t>
  </si>
  <si>
    <t>Linea Base</t>
  </si>
  <si>
    <t>Meta 2021</t>
  </si>
  <si>
    <t>Razón de años de vida saludables perdidos (AVISA)</t>
  </si>
  <si>
    <t>Responsable</t>
  </si>
  <si>
    <t>Resultado</t>
  </si>
  <si>
    <t>Proyectado</t>
  </si>
  <si>
    <t>Meta</t>
  </si>
  <si>
    <t>UNIDADES EJECUTORAS O ENTIDADES PÚBLICAS ADSCRITAS AL SECTOR</t>
  </si>
  <si>
    <t>RESERVA DE CONTINGENCIA</t>
  </si>
  <si>
    <t>PERSONAL Y OBLIGAC. SOC.</t>
  </si>
  <si>
    <t>PENSIONES Y PREST. SOC.</t>
  </si>
  <si>
    <t>BIENES Y SERVICIOS</t>
  </si>
  <si>
    <t>DONACIONES TRANSFER.</t>
  </si>
  <si>
    <t>OTROS GASTOS</t>
  </si>
  <si>
    <t>SUB TOTAL GASTO CTE</t>
  </si>
  <si>
    <t>DONACIONES Y TRANSFER,</t>
  </si>
  <si>
    <t>ADQUIS. ACT. NO FINANC.</t>
  </si>
  <si>
    <t>ADQUIS. ACT. FINANC.</t>
  </si>
  <si>
    <t>SUB TOTAL GASTOS CAP.</t>
  </si>
  <si>
    <t xml:space="preserve">SERVICIO DE DEUDA </t>
  </si>
  <si>
    <t>SUB TOTAL SER. DEUDA</t>
  </si>
  <si>
    <t>Ley 30057 
(Ley del Servicio Civil)</t>
  </si>
  <si>
    <t>PLIEGOS DEL SECTOR O GOBIERNO REGIONAL</t>
  </si>
  <si>
    <t>PLIEGO O ENTIDAD DEL SECTOR</t>
  </si>
  <si>
    <t>Nombre del Indicador</t>
  </si>
  <si>
    <t>Objetivo Estrategico Institucional
(Código y Enunciado)</t>
  </si>
  <si>
    <t>Objetivo Estrategico Sectorial
(Código)</t>
  </si>
  <si>
    <t>Decreto Legislativo 1057 (Contrato Administrativo de Servicios</t>
  </si>
  <si>
    <t>(**) Incluye el monto pagado por otras entidades al personal que presta servidos en el Sector o Gobierno Regional</t>
  </si>
  <si>
    <t>Decreto Legislativo 1024 (Gerentes Públicos) (**)</t>
  </si>
  <si>
    <t>Ley 25650 (Fondo de Apoyo Generencial) (**)</t>
  </si>
  <si>
    <t>Ley 29806 (Personal Altamente Calificado) (**)</t>
  </si>
  <si>
    <t xml:space="preserve">(***) Detallar el marco legal </t>
  </si>
  <si>
    <t>Otros Servidores (especificar) (**) (***)</t>
  </si>
  <si>
    <t>(*) Incluye GRATIFICACIONES, CAFAE, PNUD, BONOS, PRODUCTIVIDAD, HORAS EXTRAS, GUARDIAS, AETAS, etc.</t>
  </si>
  <si>
    <t xml:space="preserve">Total </t>
  </si>
  <si>
    <t>S/ (****)</t>
  </si>
  <si>
    <t>S/ Anual (****)</t>
  </si>
  <si>
    <t>Practicantes (***)</t>
  </si>
  <si>
    <t>(****) Proyectado</t>
  </si>
  <si>
    <t>ARRENDATARIO</t>
  </si>
  <si>
    <t>ARRENDADOR</t>
  </si>
  <si>
    <t>DNI O PARTIDA REGISTRAL</t>
  </si>
  <si>
    <t>Apellidos y Nombres o Denominación</t>
  </si>
  <si>
    <t>INMUEBLE</t>
  </si>
  <si>
    <t>CONTRATO</t>
  </si>
  <si>
    <t>VIGENCIA DEL CONTRATO</t>
  </si>
  <si>
    <t>MONTO MENSUAL</t>
  </si>
  <si>
    <t>BIEN PROPIO DE TERCEROS O AJENO</t>
  </si>
  <si>
    <t>PARTIDA REGISTRAL DE INCRIPCION DE PROPIEDAD</t>
  </si>
  <si>
    <t>METROS CUADRADOS</t>
  </si>
  <si>
    <t>COCHERAS</t>
  </si>
  <si>
    <t xml:space="preserve">FORMA DE PAGO (MENSUAL O ANUAL) Y FECHA DE PAGO </t>
  </si>
  <si>
    <t>PIA TOTAL S/</t>
  </si>
  <si>
    <t>PIM TOTAL S/</t>
  </si>
  <si>
    <t>EJECUCIÓN TOTAL S/</t>
  </si>
  <si>
    <t>EJECUCIÓN 
POR FUENTE DE FINANCIAMIENTO</t>
  </si>
  <si>
    <t>PIM 
POR FUENTE DE FINANCIAMIENTO</t>
  </si>
  <si>
    <t>PIA 
POR FUENTE DE FINANCIAMIENTO</t>
  </si>
  <si>
    <t>1: Acciones Centrales (AC)</t>
  </si>
  <si>
    <t>2: Asignaciones Presupuestarias que No Resultan en Productos (APNP)</t>
  </si>
  <si>
    <t>3: Programas Presupuestales</t>
  </si>
  <si>
    <t>PIA
POR CATEGORIA PRESUPUESTAL</t>
  </si>
  <si>
    <t>PIM
POR CATEGORIA PRESUPUESTAL</t>
  </si>
  <si>
    <t>EJECUCIÓN
POR CATEGORIA PRESUPUESTAL</t>
  </si>
  <si>
    <t>PIA
POR PROGRAMA PRESUPUESTAL</t>
  </si>
  <si>
    <t>PIM
POR PROGRAMA PRESUPUESTAL</t>
  </si>
  <si>
    <t>EJECUCIÓN
POR PROGRAMA PRESUPUESTAL</t>
  </si>
  <si>
    <t>FORMATO 01: INDICADORES DE GESTIÓN SEGÚN OBJETIVOS ESTRATÉGICOS INSTITUCIONALES AL 2021</t>
  </si>
  <si>
    <t>SECTOR o GOB. REGIONAL:</t>
  </si>
  <si>
    <t>Decreto Legislativo 276 (Regimen Público)</t>
  </si>
  <si>
    <t>VARIACION 2019-2020</t>
  </si>
  <si>
    <t>2019 (PIA)</t>
  </si>
  <si>
    <t>(*) DEBE COINCIDIR CON LOS MONTOS ASIGNADOS EN LA GENERICA 1. PERSONAL Y OBLIGACIONES SOCIALES CONSIDERADAS EN EL PRESUPUESTO</t>
  </si>
  <si>
    <t>INGRESOS PERSONAL PRESUPUESTO 2019</t>
  </si>
  <si>
    <t>TOTAL INGRESO ANUAL PEA (Proyección al 31 de diciembre de  2019)</t>
  </si>
  <si>
    <t>TOTAL INGRESO ANUAL PEA (Proyección al 31 de diciembre de 2020)</t>
  </si>
  <si>
    <t>PPTO 2019 
(PIA)</t>
  </si>
  <si>
    <t>Diferencia PIA (2019-2020)</t>
  </si>
  <si>
    <t>Variación % (2019-2020)</t>
  </si>
  <si>
    <t>EJECUCIÓN S/</t>
  </si>
  <si>
    <t>PPTO 2019 (AL 30/06)</t>
  </si>
  <si>
    <t>PPTO 2019 (PROYECCI{ON 31/12)</t>
  </si>
  <si>
    <t>(*) Una línea por cada año fiscal, consignado en monto presupuestado por cada año presupuestal</t>
  </si>
  <si>
    <t>PERSONA JURIDICA (RUC)</t>
  </si>
  <si>
    <t>PERSONA NATURAL (DNI)</t>
  </si>
  <si>
    <t>MONEDA</t>
  </si>
  <si>
    <t>FECHA DE APERTURA</t>
  </si>
  <si>
    <t>CUENTA</t>
  </si>
  <si>
    <t>BANCO / INSTITUCIÓN FINANCIERA</t>
  </si>
  <si>
    <t>CUENTAS BANCARIAS</t>
  </si>
  <si>
    <t>ESPECIFICACIONES RECURSOS PUBLICOS</t>
  </si>
  <si>
    <t>SALDO 2018 (*)</t>
  </si>
  <si>
    <t>SALDO 2019 (**)</t>
  </si>
  <si>
    <t>AÑO FISCAL 2018</t>
  </si>
  <si>
    <t>AÑO FISCAL 2019 (*)</t>
  </si>
  <si>
    <t>ÍNDICE DE FORMATOS</t>
  </si>
  <si>
    <t>INDICADORES DE GESTIÓN SEGÚN OBJETIVOS ESTRATÉGICOS INSTITUCIONALES AL 2021</t>
  </si>
  <si>
    <t>FORMATO Nº 1:</t>
  </si>
  <si>
    <t>FORMATO Nº 2:</t>
  </si>
  <si>
    <t>FORMATO Nº 3:</t>
  </si>
  <si>
    <t>FORMATO Nº 4:</t>
  </si>
  <si>
    <t>FORMATO Nº 5:</t>
  </si>
  <si>
    <t>FORMATO Nº 6:</t>
  </si>
  <si>
    <t>FORMATO Nº 7:</t>
  </si>
  <si>
    <t>FORMATO Nº 8:</t>
  </si>
  <si>
    <t>FORMATO Nº 9:</t>
  </si>
  <si>
    <t>FORMATO Nº 10:</t>
  </si>
  <si>
    <t>FORMATO Nº 11:</t>
  </si>
  <si>
    <t>FORMATO Nº 12:</t>
  </si>
  <si>
    <t>FORMATO Nº 13:</t>
  </si>
  <si>
    <t>FORMATO Nº 14:</t>
  </si>
  <si>
    <t>FORMATO Nº 15:</t>
  </si>
  <si>
    <t>FORMATO Nº 16:</t>
  </si>
  <si>
    <t>FORMATO Nº 17:</t>
  </si>
  <si>
    <t>FORMATO Nº 18:</t>
  </si>
  <si>
    <t>INDICADORES INSTITUCIONALES</t>
  </si>
  <si>
    <t>DISTRIBUCIÓN DEL GASTO</t>
  </si>
  <si>
    <t>GASTOS DE PERSONAL</t>
  </si>
  <si>
    <t>GASTOS EN BIENES Y SERVICIOS</t>
  </si>
  <si>
    <t>PPTO 2018 (AL 31/12)</t>
  </si>
  <si>
    <t>FORMATO 02: DISTRIBUCIÓN DEL PRESUPUESTO POR CATEGORÍA PRESUPUESTAL 2019, 2020 Y PROYECTO 2021</t>
  </si>
  <si>
    <t>2020 (*)</t>
  </si>
  <si>
    <t>2021 (**)</t>
  </si>
  <si>
    <t>(*) Proyección al 31/12/2020</t>
  </si>
  <si>
    <t>(**) Proyecto 2021</t>
  </si>
  <si>
    <t>FORMATO 03: DISTRIBUCIÓN DEL PRESUPUESTO POR FUENTE DE FINANCIAMIENTO 2019, 2020 Y PROYECTO 2021</t>
  </si>
  <si>
    <t>FORMATO 04: DISTRIBUCIÓN DEL GASTO POR UNIDADES EJECUTORAS / ENTIDAD PÚBLICA Y FUENTES DE FINANCIAMIENTO - PROYECTO 2021</t>
  </si>
  <si>
    <t>FORMATO 05: DISTRIBUCIÓN DEL PRESUPUESTO POR PROGRAMA PRESUPUESTAL 2019, 2020 Y 2021</t>
  </si>
  <si>
    <t>FORMATO 06: PROGRAMAS SOCIALES PRIORIZADOS SEGÚN EL CICLO DE VIDA POR FUENTE DE FINANCIAMIENTO 2019, 2020 Y PROYECTO 2021</t>
  </si>
  <si>
    <t>DIferencia 
(2019-2020</t>
  </si>
  <si>
    <t>Proyecto 2021</t>
  </si>
  <si>
    <t>Estimado 2020 (**)</t>
  </si>
  <si>
    <t>DIferencia 
(2020-2021)</t>
  </si>
  <si>
    <t>(*) Al 30 de junio de 2020</t>
  </si>
  <si>
    <t>(**) Estimado al 31 de diciembre de 2020</t>
  </si>
  <si>
    <t>FORMATO 07: RESUMEN POR GRUPO GENÉRICO Y FUENTES DE FINANCIAMIENTO PROYECTO 2021</t>
  </si>
  <si>
    <t>GASTO CORRIENTE 2021</t>
  </si>
  <si>
    <t>GASTO CAPITAL 2021</t>
  </si>
  <si>
    <t>SERVICIO DE DEUDA 2021</t>
  </si>
  <si>
    <t>FORMATO 08: RESUMEN DE PRESUPUESTO POR FUNCIONES PIA 2019, 2020 Y PROYECTO 2021</t>
  </si>
  <si>
    <t>Var. % (2020-2021)</t>
  </si>
  <si>
    <t>2020 (JUNIO)</t>
  </si>
  <si>
    <t>PROYECCIÓN 2021 (JUNIO)</t>
  </si>
  <si>
    <t>FORMATO 09: COMPARATIVO DEL NÚMERO DE PLAZAS EN EL PRESUPUESTO  2020 Y PROYECTO 2021</t>
  </si>
  <si>
    <t>2020 (PIA)</t>
  </si>
  <si>
    <t>2021  (PROYECTO)</t>
  </si>
  <si>
    <t>FORMATO 12: ASIGNACIÓN DE BIENES Y SERVICIOS - COMPARATIVO PRESUPUESTO 2019, 2020 Y PROYECTO 2021</t>
  </si>
  <si>
    <t>PPTO 2019 (PIM)</t>
  </si>
  <si>
    <t>PPTO 2020 
(PIA)</t>
  </si>
  <si>
    <t>PPTO 2020
(PIM 30 JUNIO)</t>
  </si>
  <si>
    <t>PPTO 2021 (PROYECTO)</t>
  </si>
  <si>
    <t>Variación % (2020-2021)</t>
  </si>
  <si>
    <t>Diferencia PIA (2020-2021)</t>
  </si>
  <si>
    <t>FORMATO 13: CONTRATOS DE OBRAS SUSCRITOS EN LOS AÑOS 2019 Y 2020</t>
  </si>
  <si>
    <t>FORMATO 14: PRINCIPALES ADQUISICIONES DE BIENES Y SERVICIOS - PRESUPUESTO 2019, 2020 Y PROYECTO 2021</t>
  </si>
  <si>
    <t>FORMATO 15: DETALLE DE CONSULTORIAS PERSONAS JURÍDICAS Y NATURALES - PRESUPUESTO 2019 Y 2020</t>
  </si>
  <si>
    <t>FORMATO 16: TESORERIA - RESUMEN POR GRUPO GENERICO Y FUENTES DE FINANCIAMIENTO 2019 Y 2020</t>
  </si>
  <si>
    <t>FORMATO 17: NOMBRES E INGRESOS MENSUALES DEL PERSONAL CONTRATADO FUERA DEL PAP EN LOS AÑOS FISCALES 2019 Y 2020</t>
  </si>
  <si>
    <t>FORMATO 18: ALQUILER DE INMUEBLES EN LOS AÑOS FISCALES 2019 Y 2020</t>
  </si>
  <si>
    <t>(*) = Al 30 de junio de 2020</t>
  </si>
  <si>
    <t>FORMATO 11: INGRESOS MENSUALES POR PERIODO DEL PERSONAL ACTIVO -  COMPARATIVO PRESUPUESTO 2019, 2020 Y PROYECTO 2021</t>
  </si>
  <si>
    <t>INGRESOS PERSONAL PRESUPUESTO 2020</t>
  </si>
  <si>
    <t>PROYECTO 2021</t>
  </si>
  <si>
    <t>DIFERENCIA 
(2019 -2020)</t>
  </si>
  <si>
    <t>DISTRIBUCIÓN DEL PRESUPUESTO POR CATEGORÍA PRESUPUESTAL 2019, 2020 Y PROYECTO 2021</t>
  </si>
  <si>
    <t>DISTRIBUCIÓN DEL PRESUPUESTO POR FUENTE DE FINANCIAMIENTO 2019, 2020 Y PROYECTO 2021</t>
  </si>
  <si>
    <t>DISTRIBUCIÓN DEL GASTO POR UNIDADES EJECUTORAS / ENTIDAD PÚBLICA Y FUENTES DE FINANCIAMIENTO - PROYECTO 2021</t>
  </si>
  <si>
    <t>DISTRIBUCIÓN DEL PRESUPUESTO POR PROGRAMA PRESUPUESTAL 2019, 2020 Y 2021</t>
  </si>
  <si>
    <t>PROGRAMAS SOCIALES PRIORIZADOS SEGÚN EL CICLO DE VIDA POR FUENTE DE FINANCIAMIENTO 2019, 2020 Y PROYECTO 2021</t>
  </si>
  <si>
    <t>RESUMEN POR GRUPO GENÉRICO Y FUENTES DE FINANCIAMIENTO PROYECTO 2021</t>
  </si>
  <si>
    <t>RESUMEN DE PRESUPUESTO POR FUNCIONES PIA 2019, 2020 Y PROYECTO 2021</t>
  </si>
  <si>
    <t>COMPARATIVO DEL NÚMERO DE PLAZAS EN EL PRESUPUESTO 2019, 2020 Y PROYECTO 2021</t>
  </si>
  <si>
    <t>INFORMACIÓN DE REMUNERACIONES Y NÚMERO DE PLAZAS - PRESUPUESTO 2019, 2020 Y PROYECTO 2021</t>
  </si>
  <si>
    <t>INGRESOS MENSUALES POR PERIODO DEL PERSONAL ACTIVO -  COMPARATIVO PRESUPUESTO 2019, 2020 Y PROYECTO 2021</t>
  </si>
  <si>
    <t>ASIGNACIÓN DE BIENES Y SERVICIOS - COMPARATIVO PRESUPUESTO 2019, 2020 Y PROYECTO 2021</t>
  </si>
  <si>
    <t>CONTRATOS DE OBRAS SUSCRITOS EN LOS AÑOS 2019 Y 2020</t>
  </si>
  <si>
    <t>PRINCIPALES ADQUISICIONES DE BIENES Y SERVICIOS - PRESUPUESTO 2019, 2020 Y PROYECTO 2021</t>
  </si>
  <si>
    <t>DETALLE DE CONSULTORIAS PERSONAS JURÍDICAS Y NATURALES - PRESUPUESTO 2019, 2020 Y PROYECTO 2021</t>
  </si>
  <si>
    <t>TESORERIA - RESUMEN POR GRUPO GENERICO Y FUENTES DE FINANCIAMIENTO 2019 Y 2020</t>
  </si>
  <si>
    <t>NOMBRES E INGRESOS MENSUALES DEL PERSONAL CONTRATADO FUERA DEL PAP EN LOS AÑOS FISCALES 2019 Y 2020</t>
  </si>
  <si>
    <t>ALQUILER DE INMUEBLES EN LOS AÑOS FISCALES 2019 Y 2020</t>
  </si>
  <si>
    <t>PLIEGO 446:  GOBIERNO REGIONAL DEL DEPARTAMENTO DEL CUSCO</t>
  </si>
  <si>
    <t>FUENTE DE FINANCIAMIENTO :  RECURSOS  ORDINARIOS</t>
  </si>
  <si>
    <t>FUENTE DE FINANCIAMIENTO :  RECURSOS  PUBLICOS</t>
  </si>
  <si>
    <t>FUENTE DE FINANCIAMIENTO :  RECURSOS  DIRECTAMENTE RECAUDADOS</t>
  </si>
  <si>
    <t>FUENTE DE FINANCIAMIENTO :  RECURSOS POR OPERACIONES OFICIALES DE CREDITO</t>
  </si>
  <si>
    <t>FUENTE DE FINANCIAMIENTO :  DONACIONES Y TRANSFERENCIAS</t>
  </si>
  <si>
    <t>FUENTE DE FINANCIAMIENTO :  RECURSOS  DETERMINADOS</t>
  </si>
  <si>
    <t>PLIEGO 446 :  GOBIERNO REGIONAL DEL DEPARTAMENTO DE CUSCO</t>
  </si>
  <si>
    <t>446  GOBIERNO REGIONAL CUSCO</t>
  </si>
  <si>
    <t>001  SEDE CUSCO</t>
  </si>
  <si>
    <t>002  PLAN COPESCO</t>
  </si>
  <si>
    <t>003  PLAN MERIS</t>
  </si>
  <si>
    <t>004  INSTITUTO DE MANEJO DE AGUA Y MEDIO AMBIENTE</t>
  </si>
  <si>
    <t>100  AGRICULTURA CUSCO</t>
  </si>
  <si>
    <t>200  TRANSPORTES CUSCO</t>
  </si>
  <si>
    <t>300  EDUCACION CUSCO</t>
  </si>
  <si>
    <t>302  EDUCACION CANCHIS</t>
  </si>
  <si>
    <t>303  EDUCACION QUISPICANCHIS</t>
  </si>
  <si>
    <t>304  EDUCACION LA CONVENCION</t>
  </si>
  <si>
    <t>305  EDUCACION CHUMBIVILCAS</t>
  </si>
  <si>
    <t>306  EDUCACION PARURO</t>
  </si>
  <si>
    <t>308  EDUCACION URUBAMBA</t>
  </si>
  <si>
    <t>309  EDUCACION PAUCARTAMBO</t>
  </si>
  <si>
    <t>310  EDUCACION ESPINAR</t>
  </si>
  <si>
    <t>311  UGEL CALCA</t>
  </si>
  <si>
    <t>312  UGEL CUSCO</t>
  </si>
  <si>
    <t>313  EDUCACION CANAS</t>
  </si>
  <si>
    <t>314  EDUCACION ACOMAYO</t>
  </si>
  <si>
    <t>315  EDUCACION ANTA</t>
  </si>
  <si>
    <t>316  EDUCACION KIMBIRI PICHARI VILLA VIRGEN</t>
  </si>
  <si>
    <t>400  SALUD CUSCO</t>
  </si>
  <si>
    <t>401  SALUD CANAS CANCHIS ESPINAR</t>
  </si>
  <si>
    <t>402  HOSPITAL DE APOYO DEPARTAMENTAL CUSCO</t>
  </si>
  <si>
    <t>403  HOSPITAL ANTONIO LORENA</t>
  </si>
  <si>
    <t>404  SALUD LA CONVENCION</t>
  </si>
  <si>
    <t>405  RED DE SERVICIOS DE SALUD CUSCO SUR</t>
  </si>
  <si>
    <t>406  RED DE SERVICIOS DE SALUD KIMBIRI PICHARI</t>
  </si>
  <si>
    <t>407  RED DE SERVICIOS DE SALUD CUSCO NORTE</t>
  </si>
  <si>
    <t>408  HOSPITAL ESPINAR</t>
  </si>
  <si>
    <t>409  HOSPITAL ALFREDO CALLO RODRIGUEZ</t>
  </si>
  <si>
    <t>410  HOSPITAL QUILLABAMBA</t>
  </si>
  <si>
    <t>411  HOSPITAL CHUMBIVILCAS</t>
  </si>
  <si>
    <t>PLIEGO 446 : GOBIERNO REGIONAL DEL DEPARTAMENTO DE CUSCO</t>
  </si>
  <si>
    <t>FUENTE DE FINANCIAMIENTO : RECURSOS PUBLICOS  (CONSOLIDADO)</t>
  </si>
  <si>
    <t>FUENTE DE FINANCIAMIENTO : RECURSOS ORDINARIOS</t>
  </si>
  <si>
    <t>FUENTE DE FINANCIAMIENTO : RECURSOS DIRECTAMENTE RECAUDADOS</t>
  </si>
  <si>
    <t>FUENTE DE FINANCIAMIENTO : RECURSOS POR OPERACIONES OFICIALES DE CREDITO</t>
  </si>
  <si>
    <t>FUENTE DE FINANCIAMIENTO : DONACIONES Y TRANSFERENCIAS</t>
  </si>
  <si>
    <t>FUENTE DE FINANCIAMIENTO : RECURSOS DETERMINADOS</t>
  </si>
  <si>
    <t>0001  PROGRAMA ARTICULADO NUTRICIONAL</t>
  </si>
  <si>
    <t>0002  SALUD MATERNO NEONATAL</t>
  </si>
  <si>
    <t>0016  TBC-VIH/SIDA</t>
  </si>
  <si>
    <t>0017  ENFERMEDADES METAXENICAS Y ZOONOSIS</t>
  </si>
  <si>
    <t>0018  ENFERMEDADES NO TRANSMISIBLES</t>
  </si>
  <si>
    <t>0024  PREVENCION Y CONTROL DEL CANCER</t>
  </si>
  <si>
    <t>0030  REDUCCION DE DELITOS Y FALTAS QUE AFECTAN LA SEGURIDAD CIUDADANA</t>
  </si>
  <si>
    <t>0036  GESTION INTEGRAL DE RESIDUOS SOLIDOS</t>
  </si>
  <si>
    <t>0039  MEJORA DE LA SANIDAD ANIMAL</t>
  </si>
  <si>
    <t>0040  MEJORA Y MANTENIMIENTO DE LA SANIDAD VEGETAL</t>
  </si>
  <si>
    <t>0041  MEJORA DE LA INOCUIDAD AGROALIMENTARIA</t>
  </si>
  <si>
    <t>0042  APROVECHAMIENTO DE LOS RECURSOS HIDRICOS PARA USO AGRARIO</t>
  </si>
  <si>
    <t>0046  ACCESO Y USO DE LA ELECTRIFICACION RURAL</t>
  </si>
  <si>
    <t>0051  PREVENCION Y TRATAMIENTO DEL CONSUMO DE DROGAS</t>
  </si>
  <si>
    <t>0057  CONSERVACION DE LA DIVERSIDAD BIOLOGICA Y APROVECHAMIENTO SOSTENIBLES DE LOS RECURSOS NATURALES AREA NATURAL PROTEGIDA</t>
  </si>
  <si>
    <t>0068  REDUCCION DE VULNERABILIDAD Y ATENCION DE EMERGENCIAS POR DESASTRES</t>
  </si>
  <si>
    <t>0082  PROGRAMA NACIONAL DE SANEAMIENTO URBANO</t>
  </si>
  <si>
    <t>0083  PROGRAMA NACIONAL DE SANEAMIENTO RURAL</t>
  </si>
  <si>
    <t>0090  LOGROS DE APRENDIZAJE DE ESTUDIANTES DE LA EDUCACION BASICA REGULAR</t>
  </si>
  <si>
    <t>0091  INCREMENTO EN EL ACCESO DE LA POBLACION DE 3 A 16 AÑOS A LOS SERVICIOS EDUCATIVOS PUBLICOS DE LA EDUCACION BASICA REGULAR</t>
  </si>
  <si>
    <t>0093  DESARROLLO PRODUCTIVO DE LAS EMPRESAS</t>
  </si>
  <si>
    <t>0094  ORDENAMIENTO Y DESARROLLO DE LA ACUICULTURA</t>
  </si>
  <si>
    <t>0101  INCREMENTO DE LA PRACTICA DE ACTIVIDADES FISICAS, DEPORTIVAS Y RECREATIVAS EN LA POBLACION PERUANA</t>
  </si>
  <si>
    <t>0103  FORTALECIMIENTO DE LAS CONDICIONES LABORALES</t>
  </si>
  <si>
    <t>0104  REDUCCION DE LA MORTALIDAD POR EMERGENCIAS Y URGENCIAS MEDICAS</t>
  </si>
  <si>
    <t>0106  INCLUSION DE NIÑOS, NIÑAS Y JOVENES CON DISCAPACIDAD EN LA EDUCACION BASICA Y TECNICO PRODUCTIVA</t>
  </si>
  <si>
    <t>0107  MEJORA DE  LA FORMACION EN CARRERAS DOCENTES EN INSTITUTOS DE EDUCACION SUPERIOR NO UNIVERSITARIA</t>
  </si>
  <si>
    <t>0117  ATENCION OPORTUNA DE NIÑAS, NIÑOS Y ADOLESCENTES EN PRESUNTO ESTADO DE ABANDONO</t>
  </si>
  <si>
    <t>0121  MEJORA DE LA ARTICULACION DE PEQUEÑOS PRODUCTORES AL MERCADO</t>
  </si>
  <si>
    <t>0126   FORMALIZACION MINERA DE LA PEQUEÑA MINERIA Y MINERIA ARTESANAL</t>
  </si>
  <si>
    <t>0127  MEJORA DE LA COMPETITIVIDAD DE LOS DESTINOS TURISTICOS</t>
  </si>
  <si>
    <t>0129  PREVENCION Y MANEJO DE CONDICIONES SECUNDARIAS DE SALUD EN PERSONAS CON DISCAPACIDAD</t>
  </si>
  <si>
    <t>0130  COMPETITIVIDAD Y APROVECHAMIENTO SOSTENIBLE DE LOS RECURSOS FORESTALES Y DE LA FAUNA SILVESTRE</t>
  </si>
  <si>
    <t>0131  CONTROL Y PREVENCION EN SALUD MENTAL</t>
  </si>
  <si>
    <t>0138  REDUCCION DEL COSTO, TIEMPO E INSEGURIDAD EN EL SISTEMA DE TRANSPORTE</t>
  </si>
  <si>
    <t>0144  CONSERVACION Y USO SOSTENIBLE DE ECOSISTEMAS PARA LA PROVISION DE SERVICIOS ECOSISTEMICOS</t>
  </si>
  <si>
    <t>0147  FORTALECIMIENTO DE LA EDUCACION SUPERIOR TECNOLOGICA</t>
  </si>
  <si>
    <t>0150  INCREMENTO EN EL ACCESO DE LA POBLACION A LOS SERVICIOS EDUCATIVOS PUBLICOS DE LA EDUCACION BASICA</t>
  </si>
  <si>
    <t>PLIEGO 446 GOBIERNO REGIONAL DEL DEPARTAMENTO DE CUSCO    (CONSOLIDADO)</t>
  </si>
  <si>
    <t>1002 PRODUCTOS ESPECIFICOS PARA REDUCCION DE LA VIOLENCIA CONTRA LA MUJER</t>
  </si>
  <si>
    <t>0116  MEJORAMIENTO DE LA EMPLEABILIDAD E INSERCION LABORAL-PROEMPLEO</t>
  </si>
  <si>
    <t>Gobierno Regional del Cusco</t>
  </si>
  <si>
    <t>OEI. 01</t>
  </si>
  <si>
    <t>Garantizar el acceso a servicios de saneamiento y salud de calidad a la población de la Región Cusco</t>
  </si>
  <si>
    <t xml:space="preserve">Porcentaje de hogares con acceso a servicios de saneamiento de calidad </t>
  </si>
  <si>
    <t>DRVCS</t>
  </si>
  <si>
    <t>192,5 años X 100 hab.</t>
  </si>
  <si>
    <t>172,5 años X 100 hab.</t>
  </si>
  <si>
    <t>DIRESA</t>
  </si>
  <si>
    <t>175,4 años X 100 hab.</t>
  </si>
  <si>
    <t>OEI. 02</t>
  </si>
  <si>
    <t>Consolidar la conectividad vial en condiciones de seguridad en la Región Cusco</t>
  </si>
  <si>
    <t>Número de Kilómetros (Km) de red vial departamental pavimentada intervenida</t>
  </si>
  <si>
    <t>DRTCC /PER COPESCO /GRI</t>
  </si>
  <si>
    <t>OEI. 03</t>
  </si>
  <si>
    <t>Garantizar los servicios educativos de calidad y cobertura con enfoque inclusivo, para la formación integral de los estudiantes de la Región del Cusco</t>
  </si>
  <si>
    <t>Porcentaje de estudiantes de 4° grado de primaria que se encuentran en el nivel satisfactorio en matemáticas</t>
  </si>
  <si>
    <t>DREC</t>
  </si>
  <si>
    <t>Porcentaje de estudiantes de 4° grado de primaria que se encuentran en el nivel satisfactorio en comprensión lectora</t>
  </si>
  <si>
    <t>Porcentaje de locales escolares en EBR con infraestructura en buen estado</t>
  </si>
  <si>
    <t>Número de Institutos superiores con licenciamiento por año</t>
  </si>
  <si>
    <t>OEI. 04</t>
  </si>
  <si>
    <t>Garantizar el acceso a servicios de telecomunicación para integrar a ciudades inteligentes en la Región Cusco</t>
  </si>
  <si>
    <t>Porcentaje de hogares que tiene acceso a  servicios de internet</t>
  </si>
  <si>
    <t>DRTCC</t>
  </si>
  <si>
    <t>OEI. 05</t>
  </si>
  <si>
    <t>Promover la gestión ambiental y el uso sostenible de los recursos naturales con enfoque de cambio climático</t>
  </si>
  <si>
    <t>Número de Hectáreas (Has) de ecosistemas recuperados y conservados</t>
  </si>
  <si>
    <t>GRRNNMA/
PER IMA</t>
  </si>
  <si>
    <t>OEI. 06</t>
  </si>
  <si>
    <t>Aprovechar adecuadamente los recursos minero energético para el desarrollo territorial de la Región Cusco</t>
  </si>
  <si>
    <t>Coeficiente de electrificación rural en la Región Cusco</t>
  </si>
  <si>
    <t>DREM</t>
  </si>
  <si>
    <t>Número de viviendas y vehículos de la Región Cusco que se benefician con Gas Natural domiciliario y vehicular</t>
  </si>
  <si>
    <t>s/i</t>
  </si>
  <si>
    <t>Número de empresas y personas naturales formalizadas para la actividad minera</t>
  </si>
  <si>
    <t>OEI. 07</t>
  </si>
  <si>
    <t>Contribuir al fortalecimiento de la identidad cultural y deportiva permanente con diversidad e inclusión en la Región Cusco</t>
  </si>
  <si>
    <t>Número de dependencias del Gobierno Regional del Cusco  que incorporan el enfoque intercultural en la prestación del servicio público</t>
  </si>
  <si>
    <t>GRDS</t>
  </si>
  <si>
    <t>OEI. 08</t>
  </si>
  <si>
    <t>Mejorar la actividad agropecuaria para generar el desarrollo sostenible e inclusivo en los productores agropecuarios de la Región cusco</t>
  </si>
  <si>
    <t>Valor bruto de la producción agropecuaria regional (miles de soles)</t>
  </si>
  <si>
    <t>MEF</t>
  </si>
  <si>
    <t>DIRAGRI</t>
  </si>
  <si>
    <t>OEI. 09</t>
  </si>
  <si>
    <t>Consolidar el turismo, la artesanía y el comercio exterior, con enfoque inclusivo y competitivo en la Región Cusco</t>
  </si>
  <si>
    <t>Índice de satisfacción del turista</t>
  </si>
  <si>
    <t>MINCETUR</t>
  </si>
  <si>
    <t>DIRCETUR</t>
  </si>
  <si>
    <t>Promedio de gasto en artesanía por visitante</t>
  </si>
  <si>
    <t>Tasa de variación del valor de exportaciones</t>
  </si>
  <si>
    <t>OEI. 10</t>
  </si>
  <si>
    <t>Generar condiciones para la competitividad de la actividad acuícola, comercio interno e industria, en el proceso de desarrollo de la Región Cusco</t>
  </si>
  <si>
    <t>Número de registros de atención a usuarios</t>
  </si>
  <si>
    <t>DIREPRO</t>
  </si>
  <si>
    <t>OEI. 11</t>
  </si>
  <si>
    <t>Impulsar la gestión del territorio con enfoque de gestión de riesgos para el uso adecuado de las potencialidades de la región Cusco</t>
  </si>
  <si>
    <t>Número de proyectos de prevención y reducción del riesgo de desastres anuales</t>
  </si>
  <si>
    <t>PER IMA
OGRS</t>
  </si>
  <si>
    <t>OEI. 12</t>
  </si>
  <si>
    <t>Mejorar el acceso a servicios públicos de calidad a la población en riesgo de pobreza y vulnerabilidad en la región Cusco</t>
  </si>
  <si>
    <t>Porcentaje de población de hombres y mujeres en condiciones de pobreza (monetaria).</t>
  </si>
  <si>
    <t>INEI</t>
  </si>
  <si>
    <t>OEI. 13</t>
  </si>
  <si>
    <t>Mejorar las condiciones de empleabilidad adecuada en la población de la Región Cusco.</t>
  </si>
  <si>
    <t>Porcentaje de la PEA empleada adecuadamente</t>
  </si>
  <si>
    <t>OEI. 14</t>
  </si>
  <si>
    <t>Modernizar la gestión pública</t>
  </si>
  <si>
    <t>Porcentaje de la población adulta que considera que la gestión pública del Gobierno Regional es buena o muy buena</t>
  </si>
  <si>
    <t>INCORE</t>
  </si>
  <si>
    <t>PLIEGO 446: GOBIERNO REGIONAL DEL DEPARTAMENTO DEL CUSCO</t>
  </si>
  <si>
    <t>0080   LUCHA CONTRA LA VIOLENCIA FAMILIAR</t>
  </si>
  <si>
    <t>18 Saneamiento</t>
  </si>
  <si>
    <t>CONTRATACION DE AMPLIACION DE INFRAESTRUCTURA DE CENTROS EDUCATIVOS - I.E.I. N 811 CUSIBAMBA BAJA - CCORCA (META: 015)</t>
  </si>
  <si>
    <t>LP</t>
  </si>
  <si>
    <t>LLAVE EN MANO</t>
  </si>
  <si>
    <t>año 2019</t>
  </si>
  <si>
    <t>POR ADJUDICAR</t>
  </si>
  <si>
    <t>-</t>
  </si>
  <si>
    <t>CONTRATACIÓN DE AMPLIACIÓN DE INFRAESTRUCTURA DE CENTROS EDUCATIVOS - I.E.I. N 465 SANTA ROSA - WANCHAQ (META: 015) MEJORAMIENTO Y AMPLIACION DE LOS SERVICIOS EDUCATIVOS DEL NIVEL INICIAL PRIORIZADOS POR LA UGEL DE CUSCO 1 ETAPA-REGION CUSCO I.E.I. N° 465 SANTA ROSA - WANCHAQ</t>
  </si>
  <si>
    <t>20210651706 - CESPA S.R.L.</t>
  </si>
  <si>
    <t>180 dias</t>
  </si>
  <si>
    <t>CONTRATACION DE EJECUCIÓN DE OBRA MEJORAMIENTO Y AMPLIACION DE LOS SERVICIOS EDUCATIVOS DEL NIVEL INICIAL PRIORIZADO POR LA UGEL DEL CUSCO I ETAPA REGION CUSCO - I.E.I. N 456 MANUEL SEOANE CORRALES - POROY (META: 015)</t>
  </si>
  <si>
    <t>CONSORCIO - consorcio tinta</t>
  </si>
  <si>
    <t>CONSTRUCCIÓN DE CENTROS EDUCATIVOS I.E.I. 166 VIRGEN DEL CARMEN - HUASAO (META: 015) CONTRATACIÓN DE EJECUCIÓN DE OBRA: "MEJORAMIENTO Y AMPLIACIÓN DE LOS SERVICIOS EDUCATIVOS DEL NIVEL INICIAL PRIORIZADOS POR LA UGEL DEL CUSCO 1 ETAPA - REGIÓN CUSCO I.E.I. N° 166 VIRGEN DEL CARMEN - HUASAO"</t>
  </si>
  <si>
    <t>20399836213 - MATEC INGENIEROS SOC. DE R.LTDA.</t>
  </si>
  <si>
    <t>07 dias</t>
  </si>
  <si>
    <t>CONTRATACION DE EJECUCION DE OBRA MEJORAMIENTO Y AMPLIACION DE LOS SERVICIOS EDUCATIVOS PRIORIZADOS POR LA UGEL CUSCO 1 ETAPA - REGION CUSCO I.E.I. 211 CHIMPAHUAYLLA - SAN JERONIMO (META: 015)</t>
  </si>
  <si>
    <t>CONSORCIO - CONSORCIO LINEAS Y FORMAS</t>
  </si>
  <si>
    <t>CONTRATACIÓN DE EJECUCIÓN DE OBRA: MEJORAMIENTO DE LOS SERVICIOS DE EDUCACIÓN PRIMARIA EN LA I.E. 50966 - AYUDA MUTUA, EN EL DISTRITO DEL CUSCO, DE LA PROVINCIA DEL CUSCO (META: 044)</t>
  </si>
  <si>
    <t>CONSORCIO - CONSORCIO CONSTRUYE</t>
  </si>
  <si>
    <t>300 dias</t>
  </si>
  <si>
    <t>EJECUCION DE OBRA DEL IOOAR ADQUISICION DE PLATAFORMA DE SOPORTE DE CONECTIVIDAD A LOS SISTEMAS OPERACIONALES, REPARACION DE GABINETE O CERRAMIENTO PARA SISTEMAS D RED: RENOVACION DE SISTEMA ELECTRONICO DATA CENTER (GRUPO ELECTROGENO , ATT/TTM, TRANSFORMADORES, SAI 5TS).</t>
  </si>
  <si>
    <t>año 2020</t>
  </si>
  <si>
    <t>EJECUCION DE OBRA, MEJORAMIENTO DE LOS SERVICIOS DE SALUD EN EL CENTRO DE SALUD DE POMACANCHI, DISTRITO DE POMACANCHI PROVINCIA DE ACOMAYO REGION CUSCO</t>
  </si>
  <si>
    <t>20358000348 - CORRALES INGENIEROS S.R.L.</t>
  </si>
  <si>
    <t xml:space="preserve">CONTRATACION DE MOBILIARIO ESCOLAR EN MADERA AGUANO </t>
  </si>
  <si>
    <t>AS</t>
  </si>
  <si>
    <t>Bien</t>
  </si>
  <si>
    <t>10414476584 - LUIZAR ASTETE ELVIS</t>
  </si>
  <si>
    <t xml:space="preserve">CONTRATACION DE SERVICIO DE MANTENIMIENTO DE INFRAESTRUCTURA DE OFICINAS </t>
  </si>
  <si>
    <t>Servicio</t>
  </si>
  <si>
    <t>20527770891 - WY CONTRATISTAS GENERALES SRL</t>
  </si>
  <si>
    <t xml:space="preserve">CONTRATACION DE ASCENSOR DE 3 PARADAS PARA 7 PERSONAS Ó 525 Kg Y CAMILLERO </t>
  </si>
  <si>
    <t>20490893254 - RIVERSA INGENIEROS SOCIEDAD ANONIMA CERRADA - RIVERSA INGS S.A.C.</t>
  </si>
  <si>
    <t xml:space="preserve">CONTRATACION DE SISTEMA DE GASES MEDICINALES - INCLUYE INSTALACION </t>
  </si>
  <si>
    <t xml:space="preserve">CONTRATACION DE CEMENTO ASFALTICO MODIFICADO CON POLIMERO PG 70-28 </t>
  </si>
  <si>
    <t xml:space="preserve">CONTRATACION DE ASCENSOR DE 3 PARADAS PARA 7 PERSONAS Ó 525 Kg CAMILLERO </t>
  </si>
  <si>
    <t xml:space="preserve">CONTRATACION DE CONSULTORIA PARA ELABORACION DE PLAN REGIONAL DE GESTION DE CONFLICTOS SOCIALES </t>
  </si>
  <si>
    <t xml:space="preserve">CONTRATACIÓN DE EQUIPO DE RAYOS X ESTACIONARIO DIGITAL </t>
  </si>
  <si>
    <t xml:space="preserve">CONTRATACIÓN DE UNIDAD DE TRATAMIENTO DE RESIDUOS HOSPITALARIOS </t>
  </si>
  <si>
    <t xml:space="preserve">CONTRATACION DE SERVICIO DE MANTENIMIENTO DE INFRAESTRUCTURA DE CUARTELES - QUINTA BRIGADA DE MONTAÑA </t>
  </si>
  <si>
    <t>CP</t>
  </si>
  <si>
    <t xml:space="preserve">CONTRATACION DE MOBILIARIO CLINICO PARA CENTRO DE SALUD </t>
  </si>
  <si>
    <t xml:space="preserve">CONTRATACION DE VENTANAS DE ALUMINIO Y MAMPARAS DE ALUMINIO </t>
  </si>
  <si>
    <t xml:space="preserve">CONTRATACION DE ESTETOSCOPIO NEONATAL </t>
  </si>
  <si>
    <t xml:space="preserve">CONTRATACIÓN DE AMBULANCIA RURAL TIPO I CON EQUIPAMIENTO </t>
  </si>
  <si>
    <t xml:space="preserve">CONTRATACIÓN DE EQUIPOS PARA RADIO DIAGNOSTICO </t>
  </si>
  <si>
    <t xml:space="preserve">CONTRATACIÓN DE EQUIPOS DE PROTECCIÓN PERSONAL </t>
  </si>
  <si>
    <t xml:space="preserve">CONTRATACION DE REPUESTOS PARA RODILLO </t>
  </si>
  <si>
    <t/>
  </si>
  <si>
    <t xml:space="preserve">CONTRATACION DE AMPLIACION DE INFRAESTRUCTURA DE CENTROS EDUCATIVOS - I.E.I. N 811 CUSIBAMBA BAJA - CCORCA </t>
  </si>
  <si>
    <t>Obra</t>
  </si>
  <si>
    <t>CONTRATACIÓN DE PARQUETON Y MADERA MACHIHEMBRADA Y CONTRAZOCALO</t>
  </si>
  <si>
    <t xml:space="preserve">CONTRATACION DE MICROBUS DE 14 PASAJEROS </t>
  </si>
  <si>
    <t xml:space="preserve">CONTRATACION DE SERVICIO DE MANTENIMIENTO DE INFRAESTRUCTURA DE CENTROS EDUCATIVOS N 88-DORIS VERA HERMOZA </t>
  </si>
  <si>
    <t xml:space="preserve">SERVICIO DE ELABORACIÓN DE CONTENIDOS DE MANUALES </t>
  </si>
  <si>
    <t>CONTRATACIÓN DE EQUIPO PARA RADIO DIAGNOSTICO PARA LA META 121</t>
  </si>
  <si>
    <t xml:space="preserve">CONTRATACION DE ESTERILIZADOR A VAPOR CON GENERADOR ELECTRICO DE 30 L </t>
  </si>
  <si>
    <t xml:space="preserve">CONTRATACIÓN DE LAVADOR DESINFECTOR </t>
  </si>
  <si>
    <t xml:space="preserve">CONTRATACIÓN DE PISO TERRAZO Y ACCESORIOS </t>
  </si>
  <si>
    <t xml:space="preserve">CONTRATACIÓN DE POSTES DE CONCRETO ARMADO CENTRIFUGADO </t>
  </si>
  <si>
    <t>COMPRE</t>
  </si>
  <si>
    <t xml:space="preserve">CONTRATACION DE ASCENSOR DE 2 PARADAS PARA 18 PERSONAS Ó 1350 Kg </t>
  </si>
  <si>
    <t xml:space="preserve">CONTRATACIÓN DE BARRAS DE CONSTRUCCIÓN </t>
  </si>
  <si>
    <t>SIE</t>
  </si>
  <si>
    <t xml:space="preserve">CONTRATACIÓN DE AGREGADO </t>
  </si>
  <si>
    <t xml:space="preserve">CONTRATACIÓN DE TOMA CORRIENTES, INTERRUPTORES, LUMINARIAS Y TIMBRES </t>
  </si>
  <si>
    <t xml:space="preserve">CONTRATACIÓN DE CEMENTO PORTLAND PUZOLANICO TIPO IP X 42.50 kg </t>
  </si>
  <si>
    <t xml:space="preserve">CONTRATACIÓN DE LUMINARIAS Y ACCESORIOS ELÉCTRICOS </t>
  </si>
  <si>
    <t xml:space="preserve">CONTRATACIÓN DE PLANTONES NATIVOS </t>
  </si>
  <si>
    <t xml:space="preserve">CONTRATACIÓN DE BARANDA DE SEGURIDAD DE ACERO Y PASAMANOS </t>
  </si>
  <si>
    <t xml:space="preserve">CONTRATACION DE CUNA DE CALOR RADIANTE </t>
  </si>
  <si>
    <t xml:space="preserve">CONTRATACION DE APARATO BIDESTILADOR DE AGUA </t>
  </si>
  <si>
    <t xml:space="preserve">CONTRATACIÓN DE MADERA ZAPOTE PARA ENCOFRADO </t>
  </si>
  <si>
    <t xml:space="preserve">CONTRATACION DE SWITCH PARA RED </t>
  </si>
  <si>
    <t>CONTRATACIÓN DE EQUIPOS DE CENTRAL DE ESTERILIZACIÓN</t>
  </si>
  <si>
    <t xml:space="preserve">CONTRATACION DE TRANSFORMADOR Y CELDAS MODULARES </t>
  </si>
  <si>
    <t xml:space="preserve">CONTRATACIÓN DE ACCESORIOS Y VÁLVULAS DE TUBERÍA </t>
  </si>
  <si>
    <t xml:space="preserve">CONTRATACIÓN DE EQUIPOS DE TELECOMUNICACIÓN PARA LA COBERTURA INALAMBRICA UTILIZANDO ACCESS POINT  </t>
  </si>
  <si>
    <t xml:space="preserve">CONTRATACIÓN DE ACCESORIOS DE PVC Y OTROS </t>
  </si>
  <si>
    <t xml:space="preserve">CONTRATACION  DE MADERA PUMAQUIRO DE 10 cm X 60 cm </t>
  </si>
  <si>
    <t xml:space="preserve">CONTRATACIÓN DE MATERIAL AGREGADO </t>
  </si>
  <si>
    <t xml:space="preserve">CONTRATACIÓN DE BARRA PARA CONSTRUCCIÓN DE DISTINTOS DIÁMETROS </t>
  </si>
  <si>
    <t xml:space="preserve">CONTRATACION DE ACCESORIOS DE PVC </t>
  </si>
  <si>
    <t xml:space="preserve">MALLA DE ALAMBRE DE 10 in DE FIERRO GALVANIZADA COCADA 2 1/2 in X 2 in DE 1.8 m X 20 m </t>
  </si>
  <si>
    <t xml:space="preserve">CONTRATACION DE CEMENTO PORTLAND PUZOLANICO TIPO IP X 42.50 kg </t>
  </si>
  <si>
    <t xml:space="preserve">CONTRATACION DE POSTE DE CONCRETO ARMADO CENTRIFUGADO </t>
  </si>
  <si>
    <t xml:space="preserve">CONTRATACION DE MATERIAL PARA CABLEADO ESTRUCTURADO </t>
  </si>
  <si>
    <t xml:space="preserve">CONTRATACION DE 30 SEMOVIENTES ALPACAS DE LA RAZA HUACAYA DE LA MISMA RAZA Y COLOR MEDIANTE LA TECNICA DE EMPADRE CONTROLADO EN TRES ZONAS </t>
  </si>
  <si>
    <t xml:space="preserve">CONTRATACION DE CEMENTO PORTLAND  TIPO IP X 42.50 kg </t>
  </si>
  <si>
    <t xml:space="preserve">CONTRATACIÓN DE CONDUCTOR DE ALEACIÓN DE ALUMINIO </t>
  </si>
  <si>
    <t xml:space="preserve">CONTRATACION DE EQUIPO DE RAYOS X E IMPRESORA LASER </t>
  </si>
  <si>
    <t xml:space="preserve">CONTRATACIÓN DE BARRAS PARA CONSTRUCCIÓN </t>
  </si>
  <si>
    <t xml:space="preserve">CONTRATACIÓN DE ALIMENTO BALANCEADO PARA TRUCHAS EXTRUIDO </t>
  </si>
  <si>
    <t xml:space="preserve">CONTRATACIÓN DE SISTEMA OXIGENO GAS MEDICINAL </t>
  </si>
  <si>
    <t xml:space="preserve">CONTRATACIÓN DE BIENES PARA ACABADOS DE MUROS INTERIORES, EXTERIORES Y CIELOS RASOS DE LA I.E. VIRGEN ASUNCION DE PILLPINTO </t>
  </si>
  <si>
    <t xml:space="preserve">CONTRATACION DE LUMINARIAS PARA EMPOTRAR Y ADOSAR </t>
  </si>
  <si>
    <t xml:space="preserve">CONTRATACION DE GRUPO GENERADOR CON TABLERO DE TRANSFERENCIA AUTOMÁTICOS </t>
  </si>
  <si>
    <t xml:space="preserve">CONTRATACIÓN DE KIT DE MATERIALES PARA ENSEÑANZA  </t>
  </si>
  <si>
    <t>CONTRATACIÓN DE COCHE DE PARO EQUIPADO PARA LA META 115</t>
  </si>
  <si>
    <t xml:space="preserve">CONTRATACION DE MADERA AGUANO Y MACHIEMBRADA </t>
  </si>
  <si>
    <t>CONTRATACIÓN DE EQUIPOS CLÍNICOS COMPLEMENTARIOS DE LABORATORIO PARA LA META 115 MEJORAMIENTO DE LA PRESTACIÓN DE LOS SERVICIOS DE SALUD EN EL CENTRO DE SALUD DE CHALLABAMBA - DIRESA CUSCO</t>
  </si>
  <si>
    <t xml:space="preserve">CONTRATACIÓN DE COCHE DE PARO CON EQUIPO DE RCP </t>
  </si>
  <si>
    <t xml:space="preserve">CONTRATACIÓN PUERTAS DE MADERA AGUANO DE TABLERO REBAJADO </t>
  </si>
  <si>
    <t xml:space="preserve">CONTRATACION DE BANDEJA PORTACABLE DE FIERRO TIPO MALLA DE 30 cm X 10.5 cm X 3 m </t>
  </si>
  <si>
    <t xml:space="preserve">CONTRATACION DE BALDOSA ACUSTICA DE FIBRA MINERAL DE 30 mm X 61 cm X 1.22 m </t>
  </si>
  <si>
    <t xml:space="preserve">CONTRATACION DE SERVICIO DE LEVANTAMIENTO TOPOGRAFICO - PROYECTO CREACION DE LOS SERVICIOS DE TRANSITABILIDAD VEHICULAR RUTA CU-104 </t>
  </si>
  <si>
    <t xml:space="preserve">CONTRATACIÓN DE CEMENTO PORTLAND  TIPO IP X 42.50 kg </t>
  </si>
  <si>
    <t xml:space="preserve">CONTRATACIÓN DE MATERIALES DE FERRETERÍA ELÉCTRICA </t>
  </si>
  <si>
    <t xml:space="preserve">CONTRATACIÓN DE ACUMULADOR DE ENERGÍA Y ESTABILIZADOR </t>
  </si>
  <si>
    <t xml:space="preserve">CONTRATACION DE GEOMEMBRANA HDPE DE 1.5 mm </t>
  </si>
  <si>
    <t xml:space="preserve">CONTRATACION DE TUBO RECTANGULAR METALICO </t>
  </si>
  <si>
    <t xml:space="preserve">CONTRATACION DE ARMADO DE MEDIA TENSION Y BAJA TENSION </t>
  </si>
  <si>
    <t xml:space="preserve">CONTRATACION DE EQUIPO DE AIRE ACONDICIONADO TIPO SPLIT DE TECHO DE 8000 BTU/h - INCLUYE INSTALACION </t>
  </si>
  <si>
    <t xml:space="preserve">CONTRATACIÓN DE TABLERO DE DISTRIBUCIÓN, CABLES TOMA CORRIENTE E INTERRUPTORES </t>
  </si>
  <si>
    <t xml:space="preserve">CONTRATACIÓN DE ESTERILIZADORES CON GENERADOR ELÉCTRICO </t>
  </si>
  <si>
    <t xml:space="preserve">CONTRATACIÓN CONCRETO PREMEZCLADO FC 210 kg/cm2 </t>
  </si>
  <si>
    <t xml:space="preserve">CONTRATACIÓN DE COMBUSTIBLE </t>
  </si>
  <si>
    <t>CONTRATACIÓN DE ESTERILIZADOR CON GENERADOR ELECTRICO DE 20 Y 50 LITROS</t>
  </si>
  <si>
    <t xml:space="preserve">CONTRATACIÓN DE EQUIPOS DE TRANSFORMACIÓN Y PROTECCIÓN ELÉCTRICA </t>
  </si>
  <si>
    <t xml:space="preserve">CONTRATACION DE SECCIONADORES, TRANSFORMADORES Y PARARRAYOS </t>
  </si>
  <si>
    <t xml:space="preserve">CONTRATACIÓN DE CEMENTO PORTLAND TIPO I X 42.50 kg </t>
  </si>
  <si>
    <t xml:space="preserve">CONTRATACION DE SUPERVISION DE OBRA DE AMPLIACION DE CENTROS EDUCATIVOS </t>
  </si>
  <si>
    <t>Consultoría de Obra</t>
  </si>
  <si>
    <t xml:space="preserve">CONTRATACIÓN DE VENTANA DE ALUMINIO SISTEMA VITROVEN CON VIDRIO TEMPLADO DE 6 mm INCLUYE INSTALACIÓN </t>
  </si>
  <si>
    <t xml:space="preserve">CONTRATACION DE TABLEROS DE DISTRIBUCION ELECTRICA </t>
  </si>
  <si>
    <t xml:space="preserve">CONTRATACION DE TRANSFORMADORES TRIFASICOS </t>
  </si>
  <si>
    <t xml:space="preserve">CONTRATACION DE TRANSFORMADOR Y RECONECTOR </t>
  </si>
  <si>
    <t xml:space="preserve">CONTRATACIÓN DE PLANCHA DECORATIVA DE FIBRO CEMENTO </t>
  </si>
  <si>
    <t xml:space="preserve">CONTRATACIÓN DE MATERIALES PARA INSTALACIÓN DE SISTEMA ELÉCTRICO </t>
  </si>
  <si>
    <t>CONTRATACIÓN DE CONDUCTORES ELÉCTRICOS PARA LA META 194</t>
  </si>
  <si>
    <t xml:space="preserve">CONTRATACION DE MATERIALES PARA GALPONES DE CUYES Y GALLINAS </t>
  </si>
  <si>
    <t xml:space="preserve">CONTRATACIÓN DE UNIDAD DE TRATAMIENTO DE RESÍDUOS HOSPITALARIOS </t>
  </si>
  <si>
    <t>CONTRATACIÓN DE SISTEMA DE SISTEMA DE REFRIGERACIÓN  DE PRECISION PARA LAS INSTALACIONES DE COMUNICACIONES</t>
  </si>
  <si>
    <t xml:space="preserve">CONTRATACION DE LAMPARA QUIRUGICA RODABLE </t>
  </si>
  <si>
    <t xml:space="preserve">CONTRATACION DE MESAS DE ACERO PARA CENTROS DE SALUD </t>
  </si>
  <si>
    <t xml:space="preserve">CONTRATACIÓN DE CONDUCTORES EQUIPO DE PROTECCIÓN </t>
  </si>
  <si>
    <t xml:space="preserve">CONTRATACION DE CABLES Y CONCUCTORES AUTOPORTANTES </t>
  </si>
  <si>
    <t xml:space="preserve">CONTRATACIÓN DE MATERIALES PARA PRODUCCIÓN DE PLANTONES </t>
  </si>
  <si>
    <t xml:space="preserve">CONTRATACION DE MOBILIARIO EN MADERA AGUANO </t>
  </si>
  <si>
    <t>CONTRATACION DE POSTE DE POLIESTER REFORZADO CON FIBRA DE VIDRIO   8/300 12/300</t>
  </si>
  <si>
    <t xml:space="preserve">CONTRATACION DE SERVICIO DE ALQUILER DE CAMION VOLQUETE </t>
  </si>
  <si>
    <t>CONTRATACION DE MADERA AGUANO Y MISA</t>
  </si>
  <si>
    <t xml:space="preserve">CONTRATACION DE LAVADOR ULTRASONICO Y DESINFECTOR </t>
  </si>
  <si>
    <t xml:space="preserve">CONTRATACION DE INCUBADORA DE TRANSPORTE </t>
  </si>
  <si>
    <t>CONTRATACION DE MESA DE OPERACIONES HIDRAULICA/ELECTRICA DE USO BASICO</t>
  </si>
  <si>
    <t xml:space="preserve">CONTRATACIÓN DE GRUPO ELECTRÓGENO Y TABLERO DE TRANSFERENCIA </t>
  </si>
  <si>
    <t xml:space="preserve">CONTRATACIÓN DE TRANSFORMADOR Y ESTABILIZADOR </t>
  </si>
  <si>
    <t xml:space="preserve">CONTRATACION DE COMPONENTES INDISPENSABLES PARA EL ACONDICIONAMIENTO DEL CUARTO DE EQUIPO O DATA CENTER INSTALACIÓN DE COMUNICACIONES </t>
  </si>
  <si>
    <t xml:space="preserve">CONTRATACIÓN DE AMBULANCIA RURAL TIPO I  </t>
  </si>
  <si>
    <t xml:space="preserve">CONTRATACION DE REPUESTOS PARA TRACTOR SOBRE ORUGA </t>
  </si>
  <si>
    <t xml:space="preserve">CONTRATACIÓN DE INCUBADORA PARA RECIEN NACIDO </t>
  </si>
  <si>
    <t>CONTRATACIÓN DE MOBILIARIO CLÍNICO COMPLEMENTARIO PARA LA META 115</t>
  </si>
  <si>
    <t xml:space="preserve">CONTRATACIÓN DE ECOGRAFOS DOPPLER PARA LAS METAS </t>
  </si>
  <si>
    <t xml:space="preserve">CONTRATACIÓN DE MOBILIARIO CLÍNICO PARA CENTRO DE SALUD </t>
  </si>
  <si>
    <t xml:space="preserve">CONTRATACION DE CAMAS CLINICAS PARA CENTRO DE SALUD </t>
  </si>
  <si>
    <t xml:space="preserve">CONTRATACIÓN DE SET INSTRUMENTAL PARA INTERVENSIONES QUIRÚRGICAS </t>
  </si>
  <si>
    <t xml:space="preserve">CONTRATACION DE MOBILIARIO CLÍNICO </t>
  </si>
  <si>
    <t xml:space="preserve">CONTRATACIÓN DE EQUIPO DE RAYOS X ESTACIONARIO - NO DIGITAL, IMPRESORA LASER EN SECO, EQUIPO DIGITALIZADOR DE PELÍCULA RADIOGRÁFICAS </t>
  </si>
  <si>
    <t xml:space="preserve">CONTRATACIÓN DE SET INSTRUMENTAL GINECOLOGICO </t>
  </si>
  <si>
    <t xml:space="preserve">CONTRATACIÓN DE AMBULANCIA URBANA TIPO I CON EQUIPAMIENTO </t>
  </si>
  <si>
    <t xml:space="preserve">CONTRATACION DE MOBILIARIO ESCOLAR </t>
  </si>
  <si>
    <t xml:space="preserve">CONTRATACIÓN DE GRASAS, ACEITES Y LUBRICANTES </t>
  </si>
  <si>
    <t xml:space="preserve">CONTRATACION DE PORCELANATO Y CERAMICO PARA PISO </t>
  </si>
  <si>
    <t xml:space="preserve">CONTRATACIÓN DE LUMINARIAS PARA ADOSAR Y EMPOTRAR </t>
  </si>
  <si>
    <t xml:space="preserve">CONTRATACION DE SET INSTRUMENTAL GINECOLOGICO </t>
  </si>
  <si>
    <t xml:space="preserve">CONTRATACIÓN DE BIODIGESTOR DE POLIETILENO X 600 L </t>
  </si>
  <si>
    <t xml:space="preserve">CONTRATACIÓN DE ELABORACIÓN DE EXPEDIENTE TÉCNICO PARA REMODELACION DE CENTROS EDUCATIVOS </t>
  </si>
  <si>
    <t xml:space="preserve">CONTRATACIÓN DE MATERIALES DE CARPINTERÍA METÁLICA </t>
  </si>
  <si>
    <t xml:space="preserve">CONTRATACIÓN DE SERVICIO DE PERFORACIÓN Y VOLADURA DE ROCAS FIJA </t>
  </si>
  <si>
    <t xml:space="preserve">CONTRATACIÓN DE TEJA ANDINA Y ACCESORIOS </t>
  </si>
  <si>
    <t>20564272958 - CORMAS INVERSIONES GENERALES E.I.R.L.</t>
  </si>
  <si>
    <t xml:space="preserve">CONTRATACION DE SERVICIO DE MANTENIMIENTO DE INFRAESTRUCTURA DE CENTROS EDUCATIVOS N 56131-LANGUI-CANAS </t>
  </si>
  <si>
    <t xml:space="preserve">CONTRATACIÓN DE AMPLIACIÓN DE INFRAESTRUCTURA DE CENTROS EDUCATIVOS - I.E.I. N 465 SANTA ROSA - WANCHAQ </t>
  </si>
  <si>
    <t xml:space="preserve">CONTRATACION DE SERVICIO DE ALQUILER DE EXCAVADORA HIDRAULICA SOBRE ORUGA </t>
  </si>
  <si>
    <t xml:space="preserve">CONTRATACIÓN DE ESTRUCTURA DE ACERO CON COBERTURA DE METAL PARA TECHADO DE CAMPO DEPORTIVO </t>
  </si>
  <si>
    <t xml:space="preserve">CONTRATACIÓN DE CONDUCTOR DE ALUMINIO AUTOPORTANTE </t>
  </si>
  <si>
    <t xml:space="preserve">CONTRATACIÓN DE SET INSTRUMENTAL PARA CURACIONES </t>
  </si>
  <si>
    <t xml:space="preserve">CONTRATACION DE MADERA AGUANO </t>
  </si>
  <si>
    <t xml:space="preserve">CONTRATACION DE EJECUCIÓN DE OBRA MEJORAMIENTO Y AMPLIACION DE LOS SERVICIOS EDUCATIVOS DEL NIVEL INICIAL PRIORIZADO POR LA UGEL DEL CUSCO I ETAPA REGION CUSCO - I.E.I. N 456 MANUEL SEOANE CORRALES - POROY </t>
  </si>
  <si>
    <t xml:space="preserve">CONSTRUCCIÓN DE CENTROS EDUCATIVOS I.E.I. 166 VIRGEN DEL CARMEN - HUASAO </t>
  </si>
  <si>
    <t xml:space="preserve">CONTRATACION DE EJECUCION DE OBRA  MEJORAMIENTO Y AMPLIACION DE LOS SERVICIOS EDUCATIVOS PRIORIZADOS POR LA UGEL CUSCO 1 ETAPA - REGION CUSCO  I.E.I. 211 CHIMPAHUAYLLA - SAN JERONIMO </t>
  </si>
  <si>
    <t xml:space="preserve">CONTRATACION DE ALQUILER DE EXCAVADORA HIDRAULICA SOBRE RUEDAS </t>
  </si>
  <si>
    <t xml:space="preserve">CONTRATACION DE GEOTEXTIL, GEOMEMBRANA Y ALAMBRE DE AMARRE </t>
  </si>
  <si>
    <t xml:space="preserve">CONTRATACION DE COMBUSTIBLE DIESEL Y GASOHOL </t>
  </si>
  <si>
    <t xml:space="preserve">CONTRATACIÓN DE CONCRETO PREMEZCLADO FC 210 kg/cm2 </t>
  </si>
  <si>
    <t xml:space="preserve">CONTRATACION DE MOBILIARIO PARA AREA ADMINISTRATIVA Y CONSULTORIOS DE CENTRO DE SALUD </t>
  </si>
  <si>
    <t xml:space="preserve">CONTRATACIÓN DE ELABORACIÓN DE EXPEDIENTE TÉCNICO PARA REMODELACION DE CENTROS EDUCATIVOS - DE EDUCACIÓN SUPERIOR TECNOLOGICO QUILLABAMBA </t>
  </si>
  <si>
    <t xml:space="preserve">CONTRATACIÓN DE CEMENTO PORTLAND PUZOLÁNICO TIPO IP X 42.50 kg </t>
  </si>
  <si>
    <t xml:space="preserve">CONTRATACION DE MATERIAL AGREADO </t>
  </si>
  <si>
    <t xml:space="preserve">CONTRATACION DE JABA DE PLASTICO DE 85 cm  X 58 cm  X 27.5 cm </t>
  </si>
  <si>
    <t xml:space="preserve">CONTRATACIÓN DE EJECUCIÓN DE OBRA: MEJORAMIENTO DE LOS SERVICIOS DE EDUCACIÓN PRIMARIA EN LA I.E. 50966 - AYUDA MUTUA, EN EL DISTRITO DEL CUSCO, DE LA PROVINCIA DEL CUSCO </t>
  </si>
  <si>
    <t xml:space="preserve">CONTRATACION DE PROYECTORES Y PANTALLA ECRAN </t>
  </si>
  <si>
    <t xml:space="preserve">CONTRATACION DE MATERIALES PARA INSTALACIONES ELÉCTRICAS </t>
  </si>
  <si>
    <t xml:space="preserve">CONTRATACIÓN DE KIT DE MATERIALES PARA ENSEÑANZA </t>
  </si>
  <si>
    <t xml:space="preserve">CONTRATACIÓN DE MATERIALES DE INSTALACIONES  ELÉCTRICAS </t>
  </si>
  <si>
    <t xml:space="preserve">CONTRATACION DE ASCENSOR Y MONTA CARGA </t>
  </si>
  <si>
    <t>CONTRATACIÓN DE PERFIL EXTRUIDO DE POLIETILENO DE ALTA DENSIDAD HDPE META 120: MEJORAMIENTO Y AMPLIACION DE SANEAMIENTO BÁSICO INTEGRAL DE LA LOCALIDAD DE CAMANTI QUINCE MIL CUSCO</t>
  </si>
  <si>
    <t xml:space="preserve">CONTRATACIÓN DE MOBILIARIO CLÍNICO EN ACERO </t>
  </si>
  <si>
    <t xml:space="preserve">CONTRATACIÓN DE TRANSFORMADORES </t>
  </si>
  <si>
    <t xml:space="preserve">CONTRATACION DE ELABORACION DE EXPEDIENTE TECNICO PARA REMODELACION DE CENTROS EDUCATIVOS - I.E. JOSE OLAYA QUELLOUNO </t>
  </si>
  <si>
    <t xml:space="preserve">CONTRATACION DE CABLE ESLECTRICO TIPO N2XOH </t>
  </si>
  <si>
    <t xml:space="preserve">CONTRATACIÓN DE KIT DE ARTICULOS DEPORTIVOS PARA EL CURSO DE EDUCACIÓN FÍSICA  </t>
  </si>
  <si>
    <t xml:space="preserve">CONTRATACION DE MOBILIARIO CLINICO COMPLEMENTARIO </t>
  </si>
  <si>
    <t xml:space="preserve">CONTRATACIÓN DE PÓLIZAS DE SEGURO </t>
  </si>
  <si>
    <t xml:space="preserve">CONTRATACION DE EQUIPOS DE ESTERILIZACION </t>
  </si>
  <si>
    <t xml:space="preserve">CONTRATACIÓN DE TRANSFORMADOR MIXTO Y CELDAS </t>
  </si>
  <si>
    <t>20600603966 - JARA GOODS SERVICES EMPRESA INDIVIDUAL DE RESPONSABILIDAD LIMITADA</t>
  </si>
  <si>
    <t xml:space="preserve">CONTRATACIÓN DE MOBILIARIO CLÍNICO PARA CENTRO DE SALUD DE EL DESCANSO  DISTRITO DE KUNTURKANKI  PROVINCIA DE CANAS-CUSCO </t>
  </si>
  <si>
    <t xml:space="preserve">CONTRATACION DE COMBUSTIBLE DIESEL B5 S-50 </t>
  </si>
  <si>
    <t xml:space="preserve">CONTRATACIÓN DE PÓLIZA DE SEGURO Y SEGURO TREC </t>
  </si>
  <si>
    <t>CONTRATACIÓN DE INCUBADORA DE TRANSPORTE  Y CUNA DE CALOR  RADIANTE</t>
  </si>
  <si>
    <t xml:space="preserve">CONTRATACIÓN DE  BIDESTILADOR DE AGUA DE 4 LITROS </t>
  </si>
  <si>
    <t xml:space="preserve">CONTRATACIÓN DE ARENA FINA LIBRE DE IMPUREZAS </t>
  </si>
  <si>
    <t xml:space="preserve">CONTRATACIÓN DE ELABORACIÓN DE EXPEDIENTE TÉCNICO PARA REMODELACION DE CENTROS EDUCATIVOS - I.E. PRIMARIA 50718 </t>
  </si>
  <si>
    <t xml:space="preserve">CONTRATACIÓN DE ELABORACIÓN DE EXPEDIENTE TÉCNICO PARA REMODELACION DE CENTROS EDUCATIVOS - I.E. PRIMARIO 50352 </t>
  </si>
  <si>
    <t xml:space="preserve">CONTRATACIÓN DE SISTEMA DE DETECCIÓN CONTRA INCENDIOS </t>
  </si>
  <si>
    <t xml:space="preserve">CONTRATACIÓN DE PIEDRA GRANDE, MEDIANA </t>
  </si>
  <si>
    <t xml:space="preserve">CONTRATACIÓN DE GAVIONES </t>
  </si>
  <si>
    <t xml:space="preserve">CONTRATACION DE LICENCIAS DE SOFTWARE Y ANTIVIRUS </t>
  </si>
  <si>
    <t xml:space="preserve">CONTRATACIION DE PIEDRA DE 6 in </t>
  </si>
  <si>
    <t xml:space="preserve">CONTRATACIÓN DE ELABORACIÓN DE EXPEDIENTE TÉCNICO PARA REMODELACION DE CENTROS EDUCATIVOS - I.E. VIRGEN DEL CARMEN </t>
  </si>
  <si>
    <t xml:space="preserve">CONTRATACIÓN DE ELABORACIÓN DE EXPEDIENTE TÉCNICO PARA REMODELACION DE CENTROS EDUCATIVOS - I.E. INTEGRADA CHOQUEPATA </t>
  </si>
  <si>
    <t xml:space="preserve">CONTRATACIÓN DE ELABORACIÓN DE EXPEDIENTE TÉCNICO PARA REMODELACION DE CENTROS EDUCATIVOS - I.E. INTEGRADA ERAPATA </t>
  </si>
  <si>
    <t xml:space="preserve">CONTRATACIÓN DE BANDEJA PORTA CABLE, INCLUYE ACCESORIOS TIPO IP </t>
  </si>
  <si>
    <t xml:space="preserve">CONTRATACION DE DINAMIENTA, NITRATO, MECHA, FULMINANTE Y ANFO </t>
  </si>
  <si>
    <t xml:space="preserve">CONTRATACIÓN DE MADERA CORRIENTE Y LISTONES DE MADERA </t>
  </si>
  <si>
    <t xml:space="preserve">CONTRATACIÓN DE PLANCHA TERMOACUSTICA TRAPEZOIDAL DE 5 m X 0.87 m X 3.2 mm </t>
  </si>
  <si>
    <t xml:space="preserve">CONTRATACION DE TEJA ANDINA Y ACCESORIOS </t>
  </si>
  <si>
    <t xml:space="preserve">CONTRATACIÓN DE ESTERILIZADOR CON GENERADOR </t>
  </si>
  <si>
    <t xml:space="preserve">CONTRATACION DE SERVICIO EN VOLADURA DE ROCA FIJA A TODO COSTO </t>
  </si>
  <si>
    <t xml:space="preserve">CONTRATACIÓN DE TUBO, ANGULAR, PLANCHA Y VARILLA  </t>
  </si>
  <si>
    <t xml:space="preserve">CONTRATACION DE BALDOSA ACUSTICA DE FIBRA MINERAL DE 30 mm X 61 cm X 1.22 m INCLUYE INSTALACION </t>
  </si>
  <si>
    <t xml:space="preserve">CONTRATACION DE MATERIALES PARA ACABADOS DE PISOS DE MADERA </t>
  </si>
  <si>
    <t xml:space="preserve">CONTRATACION DE ESQUILADORA Y AMOLADORA </t>
  </si>
  <si>
    <t xml:space="preserve">CONTRATACION DE SISTEMA DE BOMBEO EQUIPO HIDRONEUMATICO </t>
  </si>
  <si>
    <t xml:space="preserve">CONTRATACIÓN DE MADERA AGUANO, CORRIENTE Y CEDRO </t>
  </si>
  <si>
    <t xml:space="preserve">CONTRATACION DE SERVICIO DE MANTENIMIENTO DE INFRAESTRUCTURA DE VIVIENDAS DE OFICIALES DEL CUARTEL AGUSTIN GAMARRA </t>
  </si>
  <si>
    <t xml:space="preserve">CONTRATACION DE SUSTRATO PARA JARDINERIA X 50 g </t>
  </si>
  <si>
    <t xml:space="preserve">CONTRATACIÓN DE GEOMEMBRANA HDPE  DE  1.50 mm INCLUYE INSTALACIÓN A TODO COSTO </t>
  </si>
  <si>
    <t xml:space="preserve">CONTRATACIÓN DE LUMINARIAS LED CUADRADA, RECTANGULAR Y CIRCULAR </t>
  </si>
  <si>
    <t xml:space="preserve">CONTRATACIÓN DE MADERA AGUANO, MACHIEMBRADA Y TRIPLAY </t>
  </si>
  <si>
    <t xml:space="preserve">CONTRATACION DE GRUPO ELECTROGENO </t>
  </si>
  <si>
    <t xml:space="preserve">CONTRATACIÓN DE ACCESORIOS PARA SISTEMA DE UTILIZACIÓN </t>
  </si>
  <si>
    <t xml:space="preserve">CONTRATACIÓN DE MOBILIARIO CLÍNICO </t>
  </si>
  <si>
    <t xml:space="preserve">CONTRATACIÓN DE MODULO DE POLLITAS DE 45 DIAS </t>
  </si>
  <si>
    <t xml:space="preserve">CONTRATACIÓN DE TUBOS, PERFILES, PLATINAS Y PLANCHAS </t>
  </si>
  <si>
    <t xml:space="preserve">CONTRATACIÓN DE LADRILLO PARA TECHO Y LADRILLO KING KONG </t>
  </si>
  <si>
    <t xml:space="preserve">CONTRATACIÓN DE TUBERÍA Y ACCESORIOS DE PVC UF </t>
  </si>
  <si>
    <t xml:space="preserve">CONTRATACIÓN DE TRANSFORMADOR MIXTO Y SUBESTACIÓN COMPACTA </t>
  </si>
  <si>
    <t xml:space="preserve">CONTRATACION DE UNIDAD DE TRATAMIENTO DE RESIDUOS HOSPITALARIOS </t>
  </si>
  <si>
    <t xml:space="preserve">CONTRATACION DE REFRIGERADORAS PARA CENTROS DE SALUD </t>
  </si>
  <si>
    <t xml:space="preserve">CONTRATACION DE PUESTA A TIERRA CON VARILLA DISPERSORA MT Y BT </t>
  </si>
  <si>
    <t xml:space="preserve">CONTRATACION DE TUBOS, PERFILES Y PLATINAS </t>
  </si>
  <si>
    <t xml:space="preserve">CONTRATACIÓN DE EQUIPOS DE RAYOS X, IMPRESORA LASER, EQUIPO DIGITALIZADOR DE PELICULAS </t>
  </si>
  <si>
    <t xml:space="preserve">CONTRATACION DE SERVICIOS DE EXCAVACION DE TERRENO Y TRASLADO Y ELIMINACION DE MATERIAL </t>
  </si>
  <si>
    <t xml:space="preserve">CONTRATACIÓN DE EQUIPO ANALIZADOR HEMATOLÓGICO </t>
  </si>
  <si>
    <t xml:space="preserve">CONTRATACIÓN DE SEMILLAS PARA PARA LA CAMPAÑA DE SIEMBRA DE PASTOS </t>
  </si>
  <si>
    <t xml:space="preserve">CONTRATACION DE EQUIPO ECOGRAFO - ULTRASONIDO PORTATIL </t>
  </si>
  <si>
    <t xml:space="preserve">CONTRATACIÓN DE MADERA AGUANO </t>
  </si>
  <si>
    <t xml:space="preserve">CONTRATACIÓN DE CONSULTORIA PARA LA ELABORACION DE LINEA DE BASE BIOLÓGICA AMBIENTAL PARA EL ÁREA DE CONSERVACIÓN REGIONAL TRES CAÑONES </t>
  </si>
  <si>
    <t xml:space="preserve">CONTRATACION DE SERVICIO DE MANTENIMIENTO DE INFRAESTRUCTURA DE GUARDERIA INFANTIL - JUAN PABLO II </t>
  </si>
  <si>
    <t xml:space="preserve">CONTRATACION DE BARRAS PARA CONSTRUCCION </t>
  </si>
  <si>
    <t xml:space="preserve">CONTRATACIÓN DE CONDUCTORES ELÉCTRICOS </t>
  </si>
  <si>
    <t xml:space="preserve">CONTRATACION DE SERVICIO DE MANTENIMIENTO DE INFRAESTRUCTURA DE ESTADIO - G.U.E. INCA GARCILAZO DE LA VEGA </t>
  </si>
  <si>
    <t xml:space="preserve">CONTRATACIÓN DE INSUMOS DE SOLDADURA </t>
  </si>
  <si>
    <t xml:space="preserve">CONTRATACION DE CAMIONETA PICK UP CABINA DOBLE 4 X 4 </t>
  </si>
  <si>
    <t xml:space="preserve">CONTRATACION DE MATERIALES PARA INSTALACION DE SISTEMA ELECTRICO </t>
  </si>
  <si>
    <t xml:space="preserve">CONTRATACIÓN DE SERVICIO DE MANTENIMIENTO DE INFRAESTRUCTURA DE CENTROS EDUCATIVOS N 206-PATABAMBA </t>
  </si>
  <si>
    <t xml:space="preserve">CONTRATACION DE HERRAMIENTAS PARA BOMBEROS FORESTALES </t>
  </si>
  <si>
    <t xml:space="preserve">CONTRATACIÓN DE ARTÍCULOS DEPORTIVOS PARA REFORZAR EL ÁREA DE EDUCACIÓN FÍSICA  </t>
  </si>
  <si>
    <t xml:space="preserve">CONTRATACIÓN DE PIEDRA LAJA DE 0.30 m X 0.30 m X 2 in </t>
  </si>
  <si>
    <t xml:space="preserve">CONTRATACION DE TRANSFORMADORES, SOPORTE METALICO Y TABLERO DE DISTRIBUCION </t>
  </si>
  <si>
    <t xml:space="preserve">CONTRATACION DE SERVICIO DE SUPERVISION DE MANTENIMIENTO PERIODICO DE CARRETERAS TRAMO OCORURO-ALTO HUISAPATA </t>
  </si>
  <si>
    <t xml:space="preserve">CONTRATACIÓN DE TUBOS LAC ASTM A 500 Y SOLDADURA TIPO 6011 DE 1/8" </t>
  </si>
  <si>
    <t>CONTRATACIÓN DE CONDUCTORES ELÉCTRICOS</t>
  </si>
  <si>
    <t xml:space="preserve">CONTRATACION DE EQUIPOS DE LIMPIEZA PARA CENTROS DE SALUD </t>
  </si>
  <si>
    <t xml:space="preserve">CONTRATACION DE BANNER DE MANUALES DE SANIDAD, PRODUCCION Y PLAGAS </t>
  </si>
  <si>
    <t xml:space="preserve">CONTRATACION DE POLIZA DE SEGURO Y SEGURO TREC </t>
  </si>
  <si>
    <t xml:space="preserve">CONTRATACIÓN DE EQUIPO ECOGRAFO DOPPLER 4D DE COLOR CON BASE RODABLE </t>
  </si>
  <si>
    <t xml:space="preserve">CONTRATACIÓN DE INSUMO PROTEICO PARA AVES DE POSTURA </t>
  </si>
  <si>
    <t>CONTRATACIÓN DE SET INSTRUMENTAL PARA CIRUGÍA PARA EL MEJORAMIENTO DE LA PROVISION DE SERVICIO DE SALUD DEL CENTRO DE SALUD, NIVEL 1-3 MICRORED SAN JERONIMO-RED CUSCO SUR DEL DISTRITO DE OROPESA, PROVINCIA DE QUISPICANCHI-CUSCO</t>
  </si>
  <si>
    <t xml:space="preserve">CONTRATACIÓN DE MADERA AGUANO Y TABLA </t>
  </si>
  <si>
    <t xml:space="preserve">CONTRATACION DE PANEL TERMOACUSTICO DE ACERO ALUMINIZADO DE 35 mm x 1060 mm x 12 m CON ALMA DE POLIURETANO </t>
  </si>
  <si>
    <t xml:space="preserve">CONTRATACION DE PANEL TERMOACUSTICO DE ALUMINIO DE 50 mm x 1010 mm x 6 m CON ALMA DE POLIESTIRENO EXPANDIDO </t>
  </si>
  <si>
    <t xml:space="preserve">CONTRATACION DE CUYES REPRODUCTORES MACHO Y HEMBRA </t>
  </si>
  <si>
    <t xml:space="preserve">CONTRATACIÓN DE MADERA MACHIHEMBRADA AGUANO </t>
  </si>
  <si>
    <t xml:space="preserve">CONTRATACION DE MATERIALES PARA ESTRUCTURAS METALICAS </t>
  </si>
  <si>
    <t xml:space="preserve">CONTRATACION DE PIEDRA DE 8 in A 12 in </t>
  </si>
  <si>
    <t xml:space="preserve">CONTRATACIÓN DE EQUIPOS PARA MODULO DE ESQUILA </t>
  </si>
  <si>
    <t xml:space="preserve">CONTRATACIÓN DE PRODUCTOS VETERINARIOS PARA SANIDAD DE OVINOS, VACUNOS Y ALPACAS </t>
  </si>
  <si>
    <t xml:space="preserve">CONTRATACIÓN DE INSUMOS ALIMENTICIOS PARA PREPARACIÓN BALANCEADO PARA CUYES </t>
  </si>
  <si>
    <t xml:space="preserve">CONTRATACIÓN DE PERFIL L DE FIERRO DE 1 1/2 X 1 1/2 in X 1/8 in X 6 m </t>
  </si>
  <si>
    <t xml:space="preserve">CONTRATACION DE POSTES DE CONCRETO ARMADO CENTRIFUGADO </t>
  </si>
  <si>
    <t xml:space="preserve">CONTRATACIÓN DE CABLE ELÉCTRICO DE COBRE TIPO LSOHX Y N2XOH </t>
  </si>
  <si>
    <t xml:space="preserve">CONTRATACION DE BARRA PARA CONSTRUCION </t>
  </si>
  <si>
    <t xml:space="preserve">CONTRATACION DE PORCELANATO Y ACCESORIOS </t>
  </si>
  <si>
    <t xml:space="preserve">CONTRATACIÓN DE MALLA DE ACERO GALVANIZADO DE 1.80m x 50m DE LARGO DE 12 HILOS </t>
  </si>
  <si>
    <t xml:space="preserve">CONTRATACIÓN DE BARRA PARA CONSTRUCCIÓN </t>
  </si>
  <si>
    <t xml:space="preserve">CONTRATACION DE REFRIGERADORA Y CONGELADORA </t>
  </si>
  <si>
    <t xml:space="preserve">CONTRATACIÓN DE TEJA ANDINA CUMBRERA Y TIRAFON </t>
  </si>
  <si>
    <t xml:space="preserve">CONTRATACIÓN DE SERVICIO DE ENLACE DEDICADO Y ACCESORIO A INTERNET DE 170  Mbps  </t>
  </si>
  <si>
    <t xml:space="preserve">CONTRATACION DE COMBUSTIBLE </t>
  </si>
  <si>
    <t xml:space="preserve">CONTRATACIÓN DE COMBUSTIBLE GASOHOL Y DIESEL </t>
  </si>
  <si>
    <t xml:space="preserve">CONTRATACION DE ALQUILER DE CAMION VOLQUETE </t>
  </si>
  <si>
    <t xml:space="preserve">CONTRATACION DE CEMENTO PORTLAND TIPO IP Y TIPO V </t>
  </si>
  <si>
    <t xml:space="preserve">CONTRATACION DE SET INSTRUMENTAL PARA ODONTOLOGIA </t>
  </si>
  <si>
    <t xml:space="preserve">CONTRATACION DE GEOMALLA MULTIAXIAL Y GEOTEXTIL </t>
  </si>
  <si>
    <t xml:space="preserve">CONTRATACIÓN DE TEJA ANDINA TORNILLO DE ACERO Y CUMBRERA </t>
  </si>
  <si>
    <t xml:space="preserve">CONTRATACIÓN DE MOBILIARIO EN ACERO INOXIDABLE PARA CENTROS DE SALUD </t>
  </si>
  <si>
    <t xml:space="preserve">CONTRATACION DE MOBILIARIO ADMINISTRATIVO PARA CENTRO DE SALUD </t>
  </si>
  <si>
    <t xml:space="preserve">CONTRATACIÓN DE MESA HIDRÁULICA PARA OPERACIÓN QUIRÚRGICA </t>
  </si>
  <si>
    <t xml:space="preserve">CONTRATACION DE ESTERILIZADORES </t>
  </si>
  <si>
    <t xml:space="preserve">CONTRATACION DE LAMPARAS QUIRURGICAS </t>
  </si>
  <si>
    <t xml:space="preserve">CONTRATACAION DE MOBILIARIO CLINICO PARA CENTROS DE SALUD </t>
  </si>
  <si>
    <t xml:space="preserve">CONTRATACIÓN DE LADRILLO DE ARCILLA KING KONG DE 9 cm X 12 cm X 24 cm 18 huecos  </t>
  </si>
  <si>
    <t>20600108949 - FABRICA DE LADRILLOS Y CERAMICAS EL MIRADOR</t>
  </si>
  <si>
    <t>CONTRATACION DE COMBUSTIBLE GASOHOL Y DIESEL PARA LA AMPLIACION Y MEJORAMIENTO DEL SISTEMA DE AGUA POTABLE, ALCANTARILLADO Y PLANTA DE TRATAMIENTO DE LA CAPITAL DEL DISTRITO DE PAMPAMARCA, PROVINCIA DE CANAS</t>
  </si>
  <si>
    <t xml:space="preserve">CONTRATACION DE MATERIAL AGREGADO </t>
  </si>
  <si>
    <t>CONTRATACIÓN DE SERVICIO DE NIVELACIÓN DE TERRENO Y ELIMINACIÓN DE DESMONTE PARA EL MEJORAMIENTO DE LA CARRETERA DE IZCUCHACA - CRUZPATA DE LA PROVINCIA DE ANTA Y URUBAMBA - CUSCO</t>
  </si>
  <si>
    <t>CONTRATACIÓN DE SERVICIO DE ALQUILER DE EXCAVADORA HIDRÁULICA SOBRE ORUGA PARA EL MEJORAMIENTO DE LA CARRETERA IZCUCHACA - CRUZPATA DE LA PROVINCIA DE ANTA URUBAMBA</t>
  </si>
  <si>
    <t xml:space="preserve">CONTRATACIÓN DE REPUESTOS DE MAQUINARIA PESADA </t>
  </si>
  <si>
    <t xml:space="preserve">CONTRATACION DE EQUIPOS DE INCUBACION PARA RECIEN NACIDOS </t>
  </si>
  <si>
    <t xml:space="preserve">CONTRATACION DE COCHE DE PARO CON EQUIPO DE RCP </t>
  </si>
  <si>
    <t xml:space="preserve">CONTRATACIÓN DE BALDOSA ACUSTICA DE FIBRA MINERAL DE 6 mm X 60 cm X 1.20 m </t>
  </si>
  <si>
    <t>CONTRATACIÓN DE CONDUCTOR AUTOPORTANTE DE ALUMINIO, PARA LA INSTALACIÓN DEL SISTEMA DE ELECTRIFICACIÓN RURAL 43 LOCALIDADES, DISTRITO DE VELILLE-CHUMBIVILCAS</t>
  </si>
  <si>
    <t xml:space="preserve">CONTRATACION DE SERVICIO DE ALQUILER DE TRACTOR ORUGA </t>
  </si>
  <si>
    <t xml:space="preserve">CONTRATACION DE FILTROS PARA MAQUINARIA PESADA </t>
  </si>
  <si>
    <t xml:space="preserve">CONTRATACION DE SERVICIO DE ALQUILER DE CARGADOR FRONTAL </t>
  </si>
  <si>
    <t xml:space="preserve">CONTRATACION DE ALQUILER DE MAQUINARIA PESADA </t>
  </si>
  <si>
    <t xml:space="preserve">CONTRATACION DE ACCESORIOS DE CONDUCTOR DE ALEACION DE ALUMINIO </t>
  </si>
  <si>
    <t xml:space="preserve">CONTRATACION DE LADRILOS DE ARCILLA </t>
  </si>
  <si>
    <t xml:space="preserve">CONTRATACION DE LADRILLO PARA TECHO Y PARA MURO </t>
  </si>
  <si>
    <t xml:space="preserve">CONTRATACION DE GAVION TIPO CAJA </t>
  </si>
  <si>
    <t xml:space="preserve">CONTRATACION DE ADITIVO ADHERENTE PARA ASFALTO </t>
  </si>
  <si>
    <t xml:space="preserve">CONTRATACIÓN DE LADRILLO DE ARCILLA KING KONG DE 9 cm X 12 cm X 24 cm DE 18 HUECOS Y LADRILLO PARA TECHO 15 cm X 30 CM X 30 cm </t>
  </si>
  <si>
    <t xml:space="preserve">CONTRATACION DE BARRA PARA CONSTRUCCION </t>
  </si>
  <si>
    <t xml:space="preserve">CONTRATACION DE LADRILLO DE ARCILLA KING KONG DE 9 cm X 14 cm X 24 cm APROX. </t>
  </si>
  <si>
    <t xml:space="preserve">CONTRATACION DE CONDUCTOR DE ALEACION DE ALUMINIO TIPO AAAC DE 35 mm2 </t>
  </si>
  <si>
    <t>CONTRATACION DE CONCRETO PREMEZCLADO FC 210 kg/cm2 INCLUYE BOMBA</t>
  </si>
  <si>
    <t xml:space="preserve">CONTRATACION DE FIERRO NEGRO Nº 8 Y 16 </t>
  </si>
  <si>
    <t xml:space="preserve">CONTRATACION DE MADERA CORRIENTE </t>
  </si>
  <si>
    <t xml:space="preserve">CONTRATACION DE PARARRAYOS Y ACCESORIOS </t>
  </si>
  <si>
    <t>contratación de llantas</t>
  </si>
  <si>
    <t xml:space="preserve">CONTRATACION DE CABLES DE COBRE </t>
  </si>
  <si>
    <t xml:space="preserve">CONTRATACION DE MADERA CORRIENTE Y MADERA MISA </t>
  </si>
  <si>
    <t xml:space="preserve">CONTRATACION DE CONCRETO PREMEZCLADO FC 210 kg/cm2 </t>
  </si>
  <si>
    <t xml:space="preserve">CONTRATACION DE DINAMITA, DETONANTE Y MECHA </t>
  </si>
  <si>
    <t xml:space="preserve">CONTRATACION DE SERVICIO DE TELEFONIA MOVILES </t>
  </si>
  <si>
    <t xml:space="preserve">CONTRATACION DE LADRILLO DE ARCILLA KING KONG DE 9 cm X 13 cm X 24 cm APROX. </t>
  </si>
  <si>
    <t xml:space="preserve">20527502374 - OURO VERMELHO PERU </t>
  </si>
  <si>
    <t xml:space="preserve">CONTRATACION DE MADERA, LISTONES Y CONTRAZOCALO </t>
  </si>
  <si>
    <t xml:space="preserve">CONTRATACION DE ALCANTARILLA TMC </t>
  </si>
  <si>
    <t xml:space="preserve">CONTRATACION DE POSTE DE CONCRETO ARMADO </t>
  </si>
  <si>
    <t xml:space="preserve">CONTRATACION DE COMBUSTIBLE DIESEL Y GASOHOL PARA SUPERVISIÓN </t>
  </si>
  <si>
    <t xml:space="preserve">CONTRATACION DE INYECTORES PARA MAQUINARIA PESADA </t>
  </si>
  <si>
    <t xml:space="preserve">CONTRATACION DE ARENA FINA </t>
  </si>
  <si>
    <t xml:space="preserve">CONTRATACION DE ALQUILER DE EXCAVADORA HIDRAULICA SOBRE ORUGAS </t>
  </si>
  <si>
    <t xml:space="preserve">CONTRATACION DE MADERA TRIPLAY LUPUNA </t>
  </si>
  <si>
    <t xml:space="preserve">CONTRATACION DE MADERA CORRIENTE Y MADERA AGUANO </t>
  </si>
  <si>
    <t xml:space="preserve">CONTRATACION DE SERVICIO DE ALQUILER DE OMNIBUS </t>
  </si>
  <si>
    <t xml:space="preserve">CONTRATACION DE LADRILLO DE ARCILLA Y MECANIZADO </t>
  </si>
  <si>
    <t xml:space="preserve">CONTRATACION DE ASFALTO Y EMULSION </t>
  </si>
  <si>
    <t xml:space="preserve">CONTRATACION DE PANEL DE SEÑAL INFORMATIVA DE 1.50 m X 60 cm </t>
  </si>
  <si>
    <t xml:space="preserve">CONTRATACION DE ALQUILER DE CARGADOR FRONTAL </t>
  </si>
  <si>
    <t xml:space="preserve">CONTRATACIÓN DE PINTURA TRAFICO, DISOLVENTE, MICROESFERAS RETROREFLECTIVAS Y PEGAMENTO </t>
  </si>
  <si>
    <t xml:space="preserve">CONTRATACION DE COMBUSTIBLE GASOHOL DE 90 </t>
  </si>
  <si>
    <t>SERVICIO DE CONSULTORÍA PARA LA REFORMULACION DE LOS MODULOS DE GUARDIANIA DEL PROYECTO TRES CAÑONES - ESPINAR</t>
  </si>
  <si>
    <t>DEINER DUEÑAS MALPARTIDA</t>
  </si>
  <si>
    <t>FOLDER IMPRESO EN CARTULINA FOLCOTE TAMAÑO A4,FORMATO CONSTANCIA DE ACTUACIONES INSPECTIVAS AUTOCOPIATIVO (ORIGINAL+ 1 COPIA) BLOCK X 100,FORMATO CONSULTA DE ORIENTACION BLOCK X 100 HOJAS,FORMATO CONSTANCIA DE NOTIFICACION BLOCK X 50,FORMATO REQUERIMIENTO DE COMPARECENCIA AUTOCOPIATIVO (ORIGINAL+1COPIA) BLOCK X 100,FORMATO DE ATENCION</t>
  </si>
  <si>
    <t>EDITORIAL IMPRENTA LUCERO SOCIEDAD ANONIMA CERRADA</t>
  </si>
  <si>
    <t>SERVICIO DE CONSULTORIA SEGÚN TDR</t>
  </si>
  <si>
    <t>PAUCAR CHARCA RONAL ABDON</t>
  </si>
  <si>
    <t>SERVICIO DE CONSULTORIAS EN TEMAS LEGALES SEGÚN TDR</t>
  </si>
  <si>
    <t>CONDO PAREJA OSWALDO BUSZMICZ</t>
  </si>
  <si>
    <t>CONSULTORIA ELABORACION LINEA DE BASE</t>
  </si>
  <si>
    <t>ARONI ARAGON LIZ ANAITH</t>
  </si>
  <si>
    <t>SERVICIO DE CONSULTORÍA PARA LA ELABORACIÓN DE EXPEDIENTE TECNICO</t>
  </si>
  <si>
    <t>HUANCA CCAMA VICTOR RAUL</t>
  </si>
  <si>
    <t>CONSULTORIA EN ESTUDIO DE IMPACTO AMBIENTAL</t>
  </si>
  <si>
    <t>GARCIA GARCIA LIDIA</t>
  </si>
  <si>
    <t>SERVICIO DE CONSULTORIA DE SUPERVISOR EXTERNO</t>
  </si>
  <si>
    <t>EDIFICACIONES CONSECIONES Y SERVICIOS SOCIEDAD ANONIMA CERRADA -EDCONSER S.A.C</t>
  </si>
  <si>
    <t>ESCALANTE JORGE ELEAZAR</t>
  </si>
  <si>
    <t>AEDO QUISPE LUIS ALBERTO</t>
  </si>
  <si>
    <t>TERROBA GALARRETA JOSE FRANCISCO</t>
  </si>
  <si>
    <t>SERVICIO DE CONSULTORÍA EN CAPACITACIÓN</t>
  </si>
  <si>
    <t>RICARDO ZUÑIGA MOREANO</t>
  </si>
  <si>
    <t>SERVICIO CONSULTORIA DE UN PROFESIONAL EN INGENIERÍA CIVIL</t>
  </si>
  <si>
    <t>CALA ASTETE DENNISS HEINAR</t>
  </si>
  <si>
    <t>SERVICIO DE CONSULTORIA PARA LA ELABORACIÓN DE LOS ESTUDIOS DE MECÁNICA DE SUELOS</t>
  </si>
  <si>
    <t>ABARCA ANCORI ABELARDO</t>
  </si>
  <si>
    <t>SERVICIO CONSULTORIA DE UN PROFESIONAL EN INGENIERÍA CIVIL Y/O ARQUITECTURA</t>
  </si>
  <si>
    <t>TORRES CABEZAS BIANCA FIORELLA</t>
  </si>
  <si>
    <t>SERVICIO DE CONSULTORIA PARA LA EXTRACCION PREPARACION Y ENSAYO A LA COMPRESION DE NUCLEOS DE CONCRETO (INCLUYE REPARACION DE LAS ESTRUCTURAS)</t>
  </si>
  <si>
    <t>GEOTEST PERU SOCIEDAD ANONIMA CERRADA</t>
  </si>
  <si>
    <t>CONSULTORIA EN ELABORACION DE ESTUDIO HIDROGEOLOGICO</t>
  </si>
  <si>
    <t>PANTIGOZO LOAYZA CARLOS ENRIQUE</t>
  </si>
  <si>
    <t>INVESTIGACION, AMBIENTE Y DESARROLLO S.A.C.</t>
  </si>
  <si>
    <t>SERVICIO DE CONSULTORIA PARA ELABORACIÓN DE PLAN DE MONITOREO ARQUEOLOGICO Y PLANTEAMIENTO TECNICO</t>
  </si>
  <si>
    <t>RED CONSULTORA SOCIEDAD ANONIMA CERRADA-RED CONSULTORA S.A.C</t>
  </si>
  <si>
    <t>CASTILLA QUISPE DINA MARIA</t>
  </si>
  <si>
    <t>SERVICIO DE CONSULTORIA PARA CAPACITACIONES AGROPECUARIAS</t>
  </si>
  <si>
    <t>CESAR EDISON GONZALES GARCIA</t>
  </si>
  <si>
    <t>CONSULTORIA INGENIERO CIVIL ESTRUCTURAL PARA ELABORACIÓN DE EXPEDIENTE TÉCNICO</t>
  </si>
  <si>
    <t>COMPAÑON BARTOLOME JAVIER</t>
  </si>
  <si>
    <t>ALARCON GUIZADO ROXANA JACQUELINE</t>
  </si>
  <si>
    <t>CONSULTORIA EN LEVANTAMIENTO TOPOGRAFICO</t>
  </si>
  <si>
    <t>DANTE PORTILLO GOMEZ</t>
  </si>
  <si>
    <t>SERVICIO DE CONSULTORÍA SEGÚN TDR.-</t>
  </si>
  <si>
    <t>YANQUE CENTENO EDISON CESAR</t>
  </si>
  <si>
    <t>CORONADO CALVO JUAN CARLOS</t>
  </si>
  <si>
    <t>CONTRATACIÓN DE SERVICIO DE CONSULTORIA PARA ELABORACIÓN DEL ESTUDIO DE PRIORIZACION DE ZONAS Y CADENAS PRODUCTIVAS EN LA REGIÓN CUSCO</t>
  </si>
  <si>
    <t>CONTRATACIÓN DE UNA CONSULTORIA PARA REALIZAR LA CARACTERIZACIÓN DE LA CADENA DE VALOR DE LÁCTEOS EN CUSCO; ASI COMO LA IDENTIFICACIÓN DE PUNTOS CRÍTICOS Y PROPUESTAS DE MEJORA PARA SU DESARROLLO COM</t>
  </si>
  <si>
    <t>MOINA CHOQUE CARLOS ABELARDO</t>
  </si>
  <si>
    <t>CONSULTORIA PARA REALIZAR LA CARACTERIZACIÓN DE LA CADENA DE VALOR DE PALTOS EN CUSCO; ASI COMO LA IDENTIFICACIÓN DE PUNTOS CRÍTICOS Y PROPUESTAS DE MEJORA PARA SU DESARROLLO COMPETITIVO</t>
  </si>
  <si>
    <t>IDEA GROUP PERU S.A.C.</t>
  </si>
  <si>
    <t>CONSULTORIA PARA REALIZAR LA CAPACITACION EN TEJIDO DE PRENDAS DE VESTIR Y ACCESORIOS EN FIBRA DE VICUÑA / ALPACA</t>
  </si>
  <si>
    <t>LASTRA SIERRA CARLA YOHANNA</t>
  </si>
  <si>
    <t>CHOQUELUQUE MERMA ANDRES</t>
  </si>
  <si>
    <t>BLAS LOPEZ MARIA CRISTINA</t>
  </si>
  <si>
    <t>CONSULTORIA PARA LA ELABORACIÓN DEL REGLAMENTO FED, MATRIZ DE SEGUIMIENTO Y ELABORACIÓN DE PLAN ESTRATÉGICO INTERINSTITUCIONAL</t>
  </si>
  <si>
    <t>CHAVEZ GUEVARA ROSSIO</t>
  </si>
  <si>
    <t>CONSULTORIA PARA REALIZAR LA CAPACITACION EN DISEÑO DE PRENDAS DE VESTIR Y ACCESORIOS EN FIBRA DE VICUÑA / ALPACA</t>
  </si>
  <si>
    <t>CABALLERO RIMAYHUAMAN LAURA</t>
  </si>
  <si>
    <t>THIBUS CONSULTORIA &amp; CONSTRUCCION S.R.L.- THIBUS S.R.L.</t>
  </si>
  <si>
    <t>SERVICIO DE CONSULTORIA EN LA ESPECIALIDAD DE INSTALACIONES Y EQUIPAMIENTO AGROPECUARIO PARA LA ELABORACION DE ESTUDIO TECNICO</t>
  </si>
  <si>
    <t>PACHECO YABAR, JEANCARLO</t>
  </si>
  <si>
    <t>GEOMAX SOLUTIONS INGENIEROS SOCIEDAD COMERCIAL DE RESPONSABILIDAD LIMITADA</t>
  </si>
  <si>
    <t>GODOFREDO ARRIOLA VALENCIA</t>
  </si>
  <si>
    <t>SERVICIO DE CONSULTORIA INGENIERO CIVIL EN DISEÑO DE INSTALACIONES DE INGENIERÍA DE INFRAESTRUCTURA HOSPITALARIA PARA LA ELABORACION DEL EXPEDIENTE INGENIERÍA DE INSTALACIONES SANITARIAS</t>
  </si>
  <si>
    <t>HUILLCA HUILLCA FRANKLIN</t>
  </si>
  <si>
    <t>ALMANZA HUALLPA JORGE ABAD</t>
  </si>
  <si>
    <t>BREIBAT TIMPO RONNY</t>
  </si>
  <si>
    <t>ANAYA BELLIDO TULA</t>
  </si>
  <si>
    <t>QORIWAYRA CONSULTORES SOCIEDAD COMERCIAL DE RESPONSABILIDAD LIMITADA</t>
  </si>
  <si>
    <t>CONSULTORIA EN ASISTENCIA TECNICA LEGAL</t>
  </si>
  <si>
    <t>CHATATA SINCA FREDY OSCAR</t>
  </si>
  <si>
    <t>RAVELO GAMARRA, ALEJO MARCELINO</t>
  </si>
  <si>
    <t>CONSULTORIA DE OBRA PARA LA PRESENTACIÓN DEL SERVICIO DE SUPERVISION</t>
  </si>
  <si>
    <t>CONSULTORIA EN EQUIPAMIENTO BIOMEDICO PARA LA ELABORACION DEL EXPEDIENTE PLAN CONTINGENCIA COMPONENTE DE EQUPAMIENTO BIOMEDICO</t>
  </si>
  <si>
    <t>MOLINA CARDENAS EDWIN WILDER</t>
  </si>
  <si>
    <t>HUANCACHOQUE USCA JOSE EDUARDO</t>
  </si>
  <si>
    <t>CONSULTORES GENERALES FIDA S.R.L.</t>
  </si>
  <si>
    <t>PROYECTOS &amp; CONSTRUCCIONES SILVER SOC.COM.RESPONS. LTDA</t>
  </si>
  <si>
    <t>SERVICIO DE CONSULTORIA PARA LA ELABORACION DE ESTUDIO DE SUELOS A NIVEL DE SUBRASANTE Y OBRAS DE ARTE</t>
  </si>
  <si>
    <t>LABORATORIO DE MECÁNICA DE SUELOS Y MATERIALES G&amp;C EMPRESA INDIVIDUAL DE RESPONSABILIDAD LIMITADA</t>
  </si>
  <si>
    <t>SERVICIO DE CONSULTORIA PARA LA ELABORACION DE ESTUDIO DE CANTERA Y FUENTES DE AGUA</t>
  </si>
  <si>
    <t>CONSULTORIA PARA LA RECOPILACION Y CONSOLIDACION DE INFORMACION DE VICTIMAS DE VIOLENCIA CONTRA LA MUJER Y LOS INTEGRANTES DEL GRUPO FAMILIAR REGION CUSCO</t>
  </si>
  <si>
    <t>GARCIA TAYPE MELISSA URPI</t>
  </si>
  <si>
    <t>AYEP CONTRATISTAS GENERALES E.I.R.L.</t>
  </si>
  <si>
    <t>KALA MAMANI FELICIANO</t>
  </si>
  <si>
    <t>YAURI ESCALANTE RONALD</t>
  </si>
  <si>
    <t>ESTUDIOS PRELIMINARES Y ANTEPROYECTOS DEL SERVICIO DE CONSULTORIA DE OBRA PARA LA ELABORACION DEL EXPEDIENTE TECNICO.</t>
  </si>
  <si>
    <t>LOPEZ MENDOZA LUIS</t>
  </si>
  <si>
    <t>MONTOYA CORDOVA BORIS ALCIDES</t>
  </si>
  <si>
    <t>AVALOS RIOS GABRIELA ANALIN</t>
  </si>
  <si>
    <t>UNIDAD EJECUTORA 001:  SEDE CUSCO</t>
  </si>
  <si>
    <t>UNIDAD  EJECUTORA 001:  SEDE CUSCO</t>
  </si>
  <si>
    <t xml:space="preserve">CONTRATACIÓN PARA EL SUMINISTRO DE ASFALTO MODIFICADO PARA LA EJECUCIÓN DE LA OBRA MEJORAMIENTO DE LA CARRETERA CUSCO CCORCA HUAYLLAYPAMPA, ENTRE LOS DISTRITOS DE CUSCO, SANTIAGO Y CCORCA, PROVINCIA DE CUSCO, DEPARTAMENTO DE CUSCO. </t>
  </si>
  <si>
    <t>Licitación Pública</t>
  </si>
  <si>
    <t>Sin modalidad</t>
  </si>
  <si>
    <t>LP-SM-1-2019-COPESCO/GRC-1</t>
  </si>
  <si>
    <t>PROMAINGSA S.A.C.</t>
  </si>
  <si>
    <t>EJECUCION</t>
  </si>
  <si>
    <t>--</t>
  </si>
  <si>
    <t>ADQUISICIÓN E INSTALACIÓN DE LUMINARIAS LED Y PUESTA EN SERVICIO PARA LA ILUMINACIÓN DEL ESTADIO INCA GARCILASO DE LA VEGA, PARA LA EJECUCIÓN DE LA OBRA MEJORAMIENTO DEL ESTADIO INCA GARCILASO DE LA VEGA DISTRITO DE WANCHAQ</t>
  </si>
  <si>
    <t>LP-SM-2-2019-COPESCO/GRC-1</t>
  </si>
  <si>
    <t>SIGNIFY PERU S.A</t>
  </si>
  <si>
    <t>CONTRATACIÓN DE PANTALLAS LED P10 PARA EXTERIORES DE 10M X 5M PARA EJECUCIÓN DE LA OBRA MEJORAMIENTO DEL ESTADIO INCA GARCILASO DE LA VEGA WANCHAQ - CUSCO</t>
  </si>
  <si>
    <t>LP-SM-3-2019-COPESCO/GRC-1</t>
  </si>
  <si>
    <t>TECHNOLOGY INNOVATION &amp; COMMUNICATION SOLUTIONS SOCIEDAD ANONIMA CERRADA-TIC SOLUTIONS S.A.C.</t>
  </si>
  <si>
    <t>SERVICIO DE HINCADO DE 42 UNIDADES DE PILOTES DE CONCRETO ARMADO DE SECCIÓN 0.40 X 0.40 M, L= 20 M. A TODO COSTO PARA LA EJECUCIÓN DE LA OBRA MEJORAMIENTO DE LA CARRETERA HUAROCONDO PACHAR</t>
  </si>
  <si>
    <t>Concurso Público</t>
  </si>
  <si>
    <t>CP-SM-1-2019-COPESCO/GRC-1</t>
  </si>
  <si>
    <t>DESIERTO</t>
  </si>
  <si>
    <t>INSTALACIÓN DE LOSAS COLABORANTES A TODO COSTO PARA EJECUCIÓN DE LA OBRA MEJORAMIENTO DEL ESTADIO INCA GARCILASO DE LA VEGA WANCHAQ CUSCO</t>
  </si>
  <si>
    <t>CP-SM-2-2019-COPESCO/GRC-1</t>
  </si>
  <si>
    <t>SERVICIO DE ALQUILER DE 10 CAMIONES VOLQUETES DE 15M3 POTENCIA MINIMA DE 400 HP PARA CUBRIR 6500 H/M PARA LA OBRA MEJORAMIENTO DE LA CARRETERA CCORCA HUAYLLAYPAMPA.</t>
  </si>
  <si>
    <t>CP-SM-3-2019-COPESCO/GRC-1</t>
  </si>
  <si>
    <t>CONSORCIO EULOGIA SANCHEZ RAMOS E INVERSIONES ORIENT SAV</t>
  </si>
  <si>
    <t>CONTRATACIÓN DE POLIZA DE SEGUROS VEHICULARES, TREC, MULTIRIESGOS SEGUN TERMINOS DE REFERENCIA PARA EL PROYECTO ESPECIAL PLAN COPESCO</t>
  </si>
  <si>
    <t>Adjudicación Simplificada</t>
  </si>
  <si>
    <t>AS-SM-1-2019-COPESCO/GRC-1</t>
  </si>
  <si>
    <t>LA POSITIVA SEGUROS Y REASEGUROS</t>
  </si>
  <si>
    <t>CONTRATACIÓN PARA LA ADQUISICIÓN DE IMPLEMENTOS DE SEGURIDAD PARA LA EJECUCIÓN DE LA OBRA MEJORAMIENTO DE LA CARRETERA CUSCO CCORCA  HUAYLLAYPAMPA ENTRE LOS DISTRITOS DE CUSCO SANTIAGO Y CCORCA, PROVINCIA DE CUSCO, DEPARTAMENTO DE CUSCO.</t>
  </si>
  <si>
    <t>AS-SM-2-2019-COPESCO/GRC-1</t>
  </si>
  <si>
    <t>VELASCO CHAMORRO ROSSMERY</t>
  </si>
  <si>
    <t>CONTRATACIÓN PARA LA ADQUISICIÓN DE EQUIPOS DE PROTECCIÓN PERSONAL (PRENDAS DE VESTIR SEGUN TDR) PARA LA EJECUCIÓN DE LA OBRA MEJORAMIENTO DE LA CARRETERA CUSCO CCORCA  HUAYLLAYPAMPA ENTRE LOS DISTRITOS DE CUSCO SANTIAGO Y CCORCA, PROVINCIA DE CUSCO DEPARTAMENTO DE CUSCO</t>
  </si>
  <si>
    <t>AS-SM-3-2019-COPESCO/GRC-1</t>
  </si>
  <si>
    <t>CONTRATACIÓN PARA LA ADQUISICIÓN DE FILTROS DE COMBUSTIBLE, DE ACEITE Y OTROS PARA LA EJECUCIÓN DE LA OBRA MEJORAMIENTO DE LA CARRETERA CUSCO CCORCA  HUAYLLAYPAMPA, ENTRE LOS DISTRITOS DE CUSCO, SANTIAGO Y CCORCA, PROVINCIA DE CUSCO, DEPARTAMENTO DE CUSCO.</t>
  </si>
  <si>
    <t>AS-SM-4-2019-COPESCO/GRC-1</t>
  </si>
  <si>
    <t>296,906.00</t>
  </si>
  <si>
    <t>AS-SM-4-2019-COPESCO/GRC-2</t>
  </si>
  <si>
    <t>CONTRATACIÓN DE MATERIALES PARA INSTALACIONES SANITARIAS TRIBUNA SUR  PARA EJECUCIÓN DE LA OBRA MEJORAMIENTO DEL ESTADIO INCA GARCILASO DE LA VEGA WANCHAQ  CUSCO</t>
  </si>
  <si>
    <t>AS-SM-5-2019-COPESCO/GRC-1</t>
  </si>
  <si>
    <t>HUANCOR PERU SOCIEDAD ANONIMA CERRADA</t>
  </si>
  <si>
    <t>CONTRATACIÓN DE ALQUILER DE TRES EXCAVADORAS HIDRÁULICAS DE 250 - 270 HP SEGÚN TDR PARA LA EJECUCIÓN DE LA OBRA MEJORAMIENTO DE LA CARRETERA CUSCO CCORCA HUAYLLAYPAMPA, ENTRE LOS DISTRITOS DE CUSCO, SANTIAGO Y CCORCA, PROVINCIA DEL CUSCO, DEPARTAMENTO DEL CUSCO</t>
  </si>
  <si>
    <t>AS-SM-6-2019-COPESCO/GRC-1</t>
  </si>
  <si>
    <t>CONSORCIO W&amp;J</t>
  </si>
  <si>
    <t>CONTRATACIÓN DE ALQUILER DE 02 CARGADOR FRONTAL DE 180 - 240 HP SEGÚN TDR PARA LA EJECUCIÓN DE LA OBRA MEJORAMIENTO DE LA CARRETERA CUSCO CCORCA HUAYLLAYPAMPA, ENTRE LOS DISTRITOS DE CUSCO, SANTIAGO Y CCORCA, PROVINCIA DEL CUSCO, DEPARTAMENTO DEL CUSCO</t>
  </si>
  <si>
    <t>AS-SM-7-2019-COPESCO/GRC-1</t>
  </si>
  <si>
    <t>300,000.00</t>
  </si>
  <si>
    <t>Desierto</t>
  </si>
  <si>
    <t>AS-SM-7-2019-COPESCO/GRC-2</t>
  </si>
  <si>
    <t>MARIBEL Y MARISA SERVICIOS LOGISTICOS SOCIEDAD COMERCIAL DE RESPONSABILIDAD LIMITADA - M Y M SERVICI</t>
  </si>
  <si>
    <t>CONTRATACIÓN DE 02 TRACTOR ORUGA DE 200 - 240 HP SEGÚN TDR PARA LA EJECUCIÓN DE LA OBRA MEJORAMIENTO DE LA CARRETERA CUSCO CCORCA HUAYLLAYPAMPA, ENTRE LOS DISTRITOS DE CUSCO, SANTIAGO Y CCORCA, PROVINCIA DEL CUSCO, DEPARTAMENTO DEL CUSCO</t>
  </si>
  <si>
    <t>AS-SM-8-2019-COPESCO/GRC-1</t>
  </si>
  <si>
    <t>396,000.00</t>
  </si>
  <si>
    <t>AS-SM-8-2019-COPESCO/GRC-2</t>
  </si>
  <si>
    <t>CANCELADO</t>
  </si>
  <si>
    <t>CONTRATACIÓN PARA EL ALQUILER DE 01 RETROEXCAVADORA DE 92 - 110 HP SEGÚN TDR PARA LA EJECUCIÓN DE LA OBRA MEJORAMIENTO DE LA CARRETERA CUSCO CCORCA HUAYLLAYPAMPA, ENTRE LOS DISTRITOS DE CUSCO, SANTIAGO Y CCORCA, PROVINCIA DEL CUSCO, DEPARTAMENTO DEL CUSCO</t>
  </si>
  <si>
    <t>AS-SM-9-2019-COPESCO/GRC-1</t>
  </si>
  <si>
    <t>CORPORACION VAL ROC SOCIEDAD COMERCIAL DE RESPONSABILIDAD LIMITADA-CORP VAL ROC S.R.L.</t>
  </si>
  <si>
    <t>ADQUISICIÓN DE SISTEMA AÉREO DE PILOTAJE REMOTO (DRON)</t>
  </si>
  <si>
    <t>AS-SM-10-2019-COPESCO/GRC-1</t>
  </si>
  <si>
    <t>WILHELMI MONGE SRL</t>
  </si>
  <si>
    <t>CONTRATACIÓN DE LA CONSULTORIA PARA LA ELABORACION DE EXPEDIENTE TECNICO MODIFICADO DE OBRA PARA LA CONSTRUCCION DEL PUENTE CARROZABLE PACHAR</t>
  </si>
  <si>
    <t>AS-SM-11-2019-COPESCO/GRC-1</t>
  </si>
  <si>
    <t>CONTRATACIÓN DE LA CONSULTORIA PARA LA ELABORACIÓN DE EXPEDIENTE TÉCNICO MODIFICADO PARA LA CONSTRUCCIÓN DEL PUENTE CARROZABLE PACHAR</t>
  </si>
  <si>
    <t>AS-SM-11-2019-COPESCO/GRC-2</t>
  </si>
  <si>
    <t>CONSORCIO CHICON</t>
  </si>
  <si>
    <t>ADQUISICIÓN DE TRIPLAY LUPUNA DE 1.22M X 2.44 M X 18MM PARA LA EJECUCIÓN DE LA OBRA MEJORAMIENTO DE LA CARRETERA HUAROCONDO PACHAR</t>
  </si>
  <si>
    <t>AS-SM-12-2019-COPESCO/GRC-1</t>
  </si>
  <si>
    <t>MUEBLES Y DECORACIONES URPI S.A.C.</t>
  </si>
  <si>
    <t>CONTRATACIÓN PARA LA ADQUISICIÓN DE MADERA AGUANO SEGUN RTM PARA ENCOFRADOS, PARA LA EJECUCIÓN DE LA OBRA MEJORAMIENTO DE LA CARRETERA HUAROCONDO PACHAR</t>
  </si>
  <si>
    <t>AS-SM-13-2019-COPESCO/GRC-1</t>
  </si>
  <si>
    <t>CONSORCIO UGARTE SACATUMA</t>
  </si>
  <si>
    <t>CONTRATACION DE CONSULTORIA PARA FORMULACION DE ESTUDIO DE PRE - INVERSION DENOMINADA MEJORAMIENTO DE LA TROCHA CARROZABLE TRAMOS DESVIO PAMPAMARCA - TUNGASUCA - SURIMANA DEL DISTRITO DE TUPAC AMARU, PROVINCIA DE CANAS, DEPARTAMENTO DEL CUSCO SEGÚN TRD.</t>
  </si>
  <si>
    <t>AS-SM-14-2019-COPESCO/GRC-1</t>
  </si>
  <si>
    <t>AS-SM-14-2019-COPESCO/GRC-2</t>
  </si>
  <si>
    <t>AS-SM-14-2019-COPESCO/GRC-3</t>
  </si>
  <si>
    <t>AS-SM-14-2019-COPESCO/GRC-4</t>
  </si>
  <si>
    <t>CONSORCIO INMACULADA</t>
  </si>
  <si>
    <t>CONTRATACIÓN DE CEMENTO ASFALTICO MODIFICADO, PARA LA EJECUCIÓN DE LA OBRA MANTENIMIENTO DE LAS AV. 1,2,3 Y 5 DE LA URB. LARAPA, DISTRITO SANJERONIMO  CUSCO, CUSCO</t>
  </si>
  <si>
    <t>AS-SM-15-2019-COPESCO/GRC-1</t>
  </si>
  <si>
    <t>ADQUISICIÓN DE CINTAS FLEXIBLE EN BASE A POLIOLEFINA, ADHESIVOS, PISTOLA DE CALOR PARA LA EJECUCIÓN DE LA OBRA MEJORAMIENTO DEL ESTADIO INCA GARCILASO DE LA VEGA DISTRITO DE WANCHAQ</t>
  </si>
  <si>
    <t>AS-SM-16-2019-COPESCO/GRC-1</t>
  </si>
  <si>
    <t>132,311.00</t>
  </si>
  <si>
    <t>AS-SM-16-2019-COPESCO/GRC-2</t>
  </si>
  <si>
    <t>HOLGUIN CHAPARRO WILDE</t>
  </si>
  <si>
    <t>SERVICIO DE INSTALACIÓN DE SEPARADORES DE SERVICIOS HIGIÉNICOS PARA EJECUCIÓN DE LA OBRA MEJORAMIENTO DEL ESTADIO INCA GARCILASO DE LA VEGA WANCHAQ CUSCO</t>
  </si>
  <si>
    <t>AS-SM-17-2019-COPESCO/GRC-1</t>
  </si>
  <si>
    <t>399,500.00</t>
  </si>
  <si>
    <t>AS-SM-17-2019-COPESCO/GRC-2</t>
  </si>
  <si>
    <t>INDUSTRIAS ATIY EMPRESA INDIVIDUAL DE RESPONSABILIDAD LIMITADA-;ATIY E.I.R.L.;</t>
  </si>
  <si>
    <t>ADQUISICIÓN E INSTALACION DE VIDRIO TEMPLADO SISTEMA SPIDER E 10MM CON LAMINA DE 6, PALCO 4TO Y 5TO NIVEL BLOQUE A Y C TRIBUNA OCCIDENTE Y PARA LA TRIBUNA NORTE 1ER NIVEL A TODO COSTO PARA LA EJECUCIÓN DE LA OBRA MEJORAMIENTO DEL ESTADIO INCA GARCILASO DE LA VEGA DISTRITO DE WANCHAQ</t>
  </si>
  <si>
    <t>AS-SM-18-2019-COPESCO/GRC-1</t>
  </si>
  <si>
    <t>INVERSIONES Y DISTRIBUCIONES CONTINENTAL EMPRESA INDIVIDUAL DE RESPONSABILIDAD LIMITADA-ID CONTINENT</t>
  </si>
  <si>
    <t>CONTRATACIÓN DE CONDUCTOR ELÉCTRICO DE 3-1X240MM2 N2XOH PARA ALIMENTADORES, PARA LA EJECUCIÓN DE LA OBRA MEJORAMIENTO DEL ESTADIO INCA GARCILASO DE LA VEGA  DISTRITO DE WANCHAQ</t>
  </si>
  <si>
    <t>AS-SM-19-2019-COPESCO/GRC-1</t>
  </si>
  <si>
    <t>INVERSIONES MASTERCHIP SOCIEDAD ANONIMA CERRADA - INVERSIONES MASTERCHIP S.A.C.</t>
  </si>
  <si>
    <t>CONTRATACIÓN DE EQUIPOS PARA IMPLEMENTACION DE LABORATORIO DE SUELOS, CONCRETO Y ASFALTO PARA LA OBRA MEJORAMIENTO DE LA CARRETERA CUSCO-CCORCA-HUAYLLAYPAMPA ENTRE DISTRITO DE CUSCO, SANTIAGO Y CCORCA PROVINCIA DE CUSCO, DEPARTAMENTO DE CUSCO</t>
  </si>
  <si>
    <t>AS-SM-20-2019-COPESCO/GRC-1</t>
  </si>
  <si>
    <t>ADQUISICION DE LAJA PIEDRA RUSTICA GRIS CLARO Y LAJA PIEDRA RUSTICA GRIS OSCURA PARA LA OBRA MEJORAMIENTO Y CREACION DE SERVICIOS TURISTICOS EN LA RUTA DE PREREGRINACION SAN JERONIMO - SEÑOR DE HUANCA</t>
  </si>
  <si>
    <t>AS-SM-21-2019-COPESCO/GRC-1</t>
  </si>
  <si>
    <t>AS-SM-21-2019-COPESCO/GRC-2</t>
  </si>
  <si>
    <t>AS-SM-21-2019-COPESCO/GRC-3</t>
  </si>
  <si>
    <t>SEÑOR DE HUANCA VIRGEN DEL CARMEN EMPRESA INDIVIDUAL DE RESPONSABILIDAD LIMITADA - SHUAVIRD E.I.R.L</t>
  </si>
  <si>
    <t>SERVICIO  PARA LA PERFORACIÓN DE POZO EXPLORATORIO Y PERFORANTE TUBULAR PARA RIEGO TECNIFICADO DE CAMPO DEPORTIVO ESTADIO INCA GARCILASO DE LA VEGA E INTALACION DE SISTEMA DE BOMBEO</t>
  </si>
  <si>
    <t>AS-SM-23-2019-COPESCO/GRC-1</t>
  </si>
  <si>
    <t>AS-SM-23-2019-COPESCO/GRC-2</t>
  </si>
  <si>
    <t>M &amp; H INGENIEROS S.R.L</t>
  </si>
  <si>
    <t>SERVICIO DE PERFORACION Y VOLADURA DE ROCA FIJA A TODO COSTO PARA LA OBRA MEJORAMIENTO DE LA CARRETERA CUSCO CCORCA HUAYLLAYPAMPA</t>
  </si>
  <si>
    <t>AS-SM-24-2019-COPESCO/GRC-1</t>
  </si>
  <si>
    <t>WM CONTRATISTAS GENERALES SAC</t>
  </si>
  <si>
    <t>ARENA GRUESA (MATERIAL DE RIO, EL MATERIAL CONSISTIRÁ EN PARTÍ DE ROCA DURA GRANOS LIMPIOS SIN COSTRA, LIBRE DE CANTIDAD DE PERJUDICIALES PARA LA OBRA MEJORAMIENTO DE LA CARRETERA CCORCA - HUAYLLAYPAMPA</t>
  </si>
  <si>
    <t>AS-SM-27-2019-COPESCO/GRC-1</t>
  </si>
  <si>
    <t>MIHANE S.A.C.</t>
  </si>
  <si>
    <t>AS-SM-28-2019-COPESCO/GRC-1</t>
  </si>
  <si>
    <t>1,189,768.91</t>
  </si>
  <si>
    <t>AS-SM-28-2019-COPESCO/GRC-2</t>
  </si>
  <si>
    <t>CASTILLO DUCLOS RODOLFO IVAN</t>
  </si>
  <si>
    <t>SERVICIO DE POSTENSADO DE 4 VIGAS PRINCIPALES DEL PUENTE HUAROCONDO L= 35.00 M A TODO COSTO PARA LA OBRA MEJORAMIENTO DE LA CARRETERA HUAROCONDO PACHAR</t>
  </si>
  <si>
    <t>AS-SM-29-2019-COPESCO/GRC-1</t>
  </si>
  <si>
    <t>SAMAYCA INGENIEROS S.A.C.</t>
  </si>
  <si>
    <t>SERVICIO DE ´PINTADO PARA LA OBRA MEJORAMIENTO DE LA TRANSITABILIDAD PEATONAL Y VEHICULAR DE LA AV. VIA EVITAMIENTO</t>
  </si>
  <si>
    <t>AS-SM-30-2019-COPESCO/GRC-1</t>
  </si>
  <si>
    <t>GRUPO ATAYUPANQUI INNOVANDO TU VIDA E.I.R.L.</t>
  </si>
  <si>
    <t>SERIVIO DE CONSULTORIA PARA EVALUACION TECNICA FINACIERA DE OBRA PARA LA OBRA MEJORAMIENTO DEL ESTADIO INCA GARCILASO DE LA VEGA DEL DISTRITO DE WANCHAQ - CIUDAD DE CUSCO</t>
  </si>
  <si>
    <t>AS-SM-31-2019-COPESCO/GRC-1</t>
  </si>
  <si>
    <t>AS-SM-31-2019-COPESCO/GRC-2</t>
  </si>
  <si>
    <t>CONTRATACIÓN DE ASFALTO MODIFICADO CON POLÍMEROS SBS PARA LA OBRA MEJORAMIENTO DE LA TRANSITABILIDAD PEATONAL Y VEHICULAR DE LA AV. EVITAMIENTO</t>
  </si>
  <si>
    <t>AS-SM-32-2019-COPESCO/GRC-1</t>
  </si>
  <si>
    <t>ADQUISICIÓN Y INSTALACIÓN DE VIDRIO TEMPLADO E=6MM Y 10 MM A TODO COSTO EN LAS TRIBUNAS NORTE Y ORIENTE PARA LA OBRA MEJORAMIENTO DEL ESTADIO INCA GARCILASO DE LA VEGA - WANCHAQ</t>
  </si>
  <si>
    <t>AS-SM-33-2019-COPESCO/GRC-1</t>
  </si>
  <si>
    <t>GRUPO MAQUI SOCIEDAD ANONIMA CERRADA - GRUPO MAQUI S.A.C.</t>
  </si>
  <si>
    <t>CONTRATACION DE SERVICIO DE INSTALACIÓN DE PISO POLIURETANO A TODO COSTO PARA LA OBRA MEJORAMIENTO DEL ESTADIO INCA GARCILASO DE LA VEGA</t>
  </si>
  <si>
    <t>AS-SM-34-2019-COPESCO/GRC-1</t>
  </si>
  <si>
    <t>SERVICIO DE INSTALACIÓN DE PANELES DE YESO AGLOMERADO (A TODO COSTO) PARA EL CERRAMIENTO DE SUB ESTACIÓN TRIBUNA NORTE Y SUR</t>
  </si>
  <si>
    <t>AS-SM-35-2019-COPESCO/GRC-1</t>
  </si>
  <si>
    <t>LAYO CONSTRUCTORA Y SERVICIOS E.I.R.L.</t>
  </si>
  <si>
    <t>CONTRATACIÓN DE PINTURA EPOXICA (INCLUYE KIT DE ADITIVOS) PARA LA OBRA MEJORAMIENTO DE LA TRANSITABILIDAD PEATONAL Y VEHICULAR DE LA AV. EVITAMIENTO</t>
  </si>
  <si>
    <t>AS-SM-36-2019-COPESCO/GRC-1</t>
  </si>
  <si>
    <t>NULO</t>
  </si>
  <si>
    <t>AS-SM-37-2019-COPESCO/GRC-1</t>
  </si>
  <si>
    <t>ADQUISICIÓN DE LAJA DE PIEDRA ANDESITA IRREGULAR Y LAJA DE PIEDRA LABRADA, PARA LA OBRA MEJORAMIENTO DE SERVICIOS TURÍSTICOS DE OBSERVACIÓN DE PAISAJES INTEGRAL DE CUSCO</t>
  </si>
  <si>
    <t>AS-SM-38-2019-COPESCO/GRC-1</t>
  </si>
  <si>
    <t>QUISPETUPA CCALLO WILFREDO</t>
  </si>
  <si>
    <t>SUMINISTRO DE CEMENTO ASFÁLTICO CON POLÍMEROS SBS, PARA LA META DE GESTIÓN DE PROYECTOS</t>
  </si>
  <si>
    <t>AS-SM-39-2019-COPESCO/GRC-1</t>
  </si>
  <si>
    <t>UNIDAD  EJECUTORA 002: PLAN COPESCO</t>
  </si>
  <si>
    <t>UNIDAD  EJECUTORA 003: PLAN MERIS</t>
  </si>
  <si>
    <t>1 CONTRATACIÓN PARA LA ADQUISICION DE MADERA DE DIFERENTES MEDIDAS</t>
  </si>
  <si>
    <t>ADJUDICACION SIMPLIFICADA</t>
  </si>
  <si>
    <t>SUMA ALZADA</t>
  </si>
  <si>
    <t>AS N° 01-2020-GR-CUSCO-PERPM</t>
  </si>
  <si>
    <t>QUISPE TOROBEO VILMA(10249940301)</t>
  </si>
  <si>
    <t xml:space="preserve">10 DIAS CALENDARIOS </t>
  </si>
  <si>
    <t>2 CONTRATACIÓN DE SERVICIO DE ALQUILER DE TRACTOR ORUGA (SEGUN TDR)</t>
  </si>
  <si>
    <t>AS N° 02-2020-GR-CUSCO-PERPM</t>
  </si>
  <si>
    <t>QUISPE QUISPE BERNA(10239194929)</t>
  </si>
  <si>
    <t>60 DIAS CALENDARIOS</t>
  </si>
  <si>
    <t>3 ADQUISICION DE MADERA DE DIFERENTES MEDIDAS</t>
  </si>
  <si>
    <t>AS N° 03-2020-GR-CUSCO-PERPM</t>
  </si>
  <si>
    <t>05 DIAS CALENDARIOS</t>
  </si>
  <si>
    <t>4 ADQUISICION DE IMPLEMENTOS DE SEGURIDAD</t>
  </si>
  <si>
    <t>AS N° 04-2020-GR-CUSCO-PERPM</t>
  </si>
  <si>
    <t>MASILJO PERU SOCIEDAD ANONIMA CERRADA(20504109195)</t>
  </si>
  <si>
    <t>CONSENTIDO</t>
  </si>
  <si>
    <t>5 SERVICIO DE DE ALQUILER DE RETROEXCAVADORA (SEGUN TDR)</t>
  </si>
  <si>
    <t>AS N° 05-2020-GR-CUSCO-PERPM</t>
  </si>
  <si>
    <t>ZAPATA INGENIEROS S.R.L.(20490528556)</t>
  </si>
  <si>
    <t>6 ADQUISICION DE COMBUSTIBLE</t>
  </si>
  <si>
    <t>AS N° 06-2020-GR-CUSCO-PERPM</t>
  </si>
  <si>
    <t>MULTISERVICIOS GRIFO VIRGEN ASUNTA EMPRESA INDIVIDUAL DE RESPONSABILIDAD LIMITADA(20603944985)</t>
  </si>
  <si>
    <t>SEGÚN REQUERIMIENTO</t>
  </si>
  <si>
    <t>7 ADQUISICION DE PERFILES Y PLANCHAS</t>
  </si>
  <si>
    <t>AS N° 07-2020-GR-CUSCO-PERPM</t>
  </si>
  <si>
    <t>MATERIALES GROUP S.A.C.(20600256026)</t>
  </si>
  <si>
    <t>8 ADQUISICION DE FERRETERIA</t>
  </si>
  <si>
    <t>AS N° 08-2020-GR-CUSCO-PERPM</t>
  </si>
  <si>
    <t>SINERGIA DEL SUR S.R.L.(20603288727)</t>
  </si>
  <si>
    <t>9 ADQUISICION DE EQUIPOS MENORES</t>
  </si>
  <si>
    <t>AS N° 09-2020-GR-CUSCO-PERPM</t>
  </si>
  <si>
    <t>TEC SUPPLY S.A.C.(20524216320)</t>
  </si>
  <si>
    <t>10 ADQUISICION DE TABLERO TRIPLAY FENOLICO DE 18MM</t>
  </si>
  <si>
    <t>AS N° 11-2020-GR-CUSCO-PERPM</t>
  </si>
  <si>
    <t>TABLESUR S.R.LTDA.(20370716685)</t>
  </si>
  <si>
    <t xml:space="preserve">20 DIAS CALNDARIOS </t>
  </si>
  <si>
    <t>11 ADQUISICION DE ACCESORIOS PVC (ABRAZADERAS, TEE, REDUCCIÓN, CURVA)</t>
  </si>
  <si>
    <t>AS N° 12-2020-GR-CUSCO-PERPM</t>
  </si>
  <si>
    <t>CORFEMA E.I.R.L.(20490020099)</t>
  </si>
  <si>
    <t>15 DIAS CALENDARIOS.</t>
  </si>
  <si>
    <t xml:space="preserve">12 ADQUISICION DE ACCESORIOS PVC (CODOS, NIPLE, UNIÓN) </t>
  </si>
  <si>
    <t>AS N° 13-2020-GR-CUSCO-PERPM</t>
  </si>
  <si>
    <t>COMERCIAL FERRETERA DEL SUR EMPRESA INDIVIDUAL DE RESPONSABILIDAD LIMITADA(20527842809)</t>
  </si>
  <si>
    <t xml:space="preserve">13 DIAS CALNEDARIOS </t>
  </si>
  <si>
    <t>13 ADQUISICION DE VÁLVULA COMPUERTA H</t>
  </si>
  <si>
    <t>AS N° 15-2020-GR-CUSCO-PERPM</t>
  </si>
  <si>
    <t>INSTALACIONES SANITARIAS INGENIEROS EIRL</t>
  </si>
  <si>
    <t>14 ADQUISICION DE TUBERÍA Y ACCESORIO HD</t>
  </si>
  <si>
    <t>AS N° 16-2020-GR-CUSCO-PERPM</t>
  </si>
  <si>
    <t>CORPORACION ANITA EIRL(20490186906)</t>
  </si>
  <si>
    <t>40 DIAS CALENDARIOS</t>
  </si>
  <si>
    <t xml:space="preserve">15 ADQUISICION DE VÁLVULAS COMPUERTA DE ALEACIÓN DE COBRE </t>
  </si>
  <si>
    <t>AS N° 17-2020-GR-CUSCO-PERPM</t>
  </si>
  <si>
    <t>CORFEMA E.I.R.L.</t>
  </si>
  <si>
    <t>08 DIAS CALENDARIO</t>
  </si>
  <si>
    <t>16 ADQUISICION DE VÁLVULAS TIPO LUFLEX</t>
  </si>
  <si>
    <t>AS N° 18-2020-GR-CUSCO-PERPM</t>
  </si>
  <si>
    <t>14 DIAS CALENDARIO</t>
  </si>
  <si>
    <t>17 ADQUISICION DE ACCESORIOS DE F°G°</t>
  </si>
  <si>
    <t>AS N° 19-2020-GR-CUSCO-PERPM</t>
  </si>
  <si>
    <t>GRUPO SUR PLAZA S.A.C.</t>
  </si>
  <si>
    <t>12/08/200</t>
  </si>
  <si>
    <t>18 SERVICIO DE ESTUDIO DE CLASIFICACION DE LA PRESA, EN FUNCION AL RIESGO POTENCIAL GENERADA POR LA ROTURA DE LA PRESA</t>
  </si>
  <si>
    <t>AS N° 21-2020-GR-CUSCO-PERPM</t>
  </si>
  <si>
    <t>LAQUI VILCA WILBER FERMIN</t>
  </si>
  <si>
    <t>19 CONTRATACION E INSTALACION DE ACUEDUCTO METALICO DE 60 M DE LUZ PARA EL PASE DE TUBERIA DE ACUERDO A LAS ESPECIFICACIONES TECNICAS</t>
  </si>
  <si>
    <t>AS N° 23-2020-GR-CUSCO-PERPM</t>
  </si>
  <si>
    <t>CONSTRUC.ELECTROMEC.INGENIEROS E.I.R.L.</t>
  </si>
  <si>
    <t>45 DIAS CALENDARIOS</t>
  </si>
  <si>
    <t>20 ADQUISICIÓN DE REPUESTOS E INSUMOS PARA EXCAVADORA CASE CX 290B</t>
  </si>
  <si>
    <t>AS N° 24-2020-GR-CUSCO-PERPM</t>
  </si>
  <si>
    <t>MAQUINARIAS AGRICOLAS MGL EIRL IMPORTACIONES Y SERVICIOS INTERAMERICANA SCRL ( 
20564314031)</t>
  </si>
  <si>
    <t>21 ADQUISICION DE MATERIAL AGREGADO</t>
  </si>
  <si>
    <t>SUBASTA INVERSA ELECTRONICA</t>
  </si>
  <si>
    <t>SIE N° 01-2020-GR-CUSCO-PERPM</t>
  </si>
  <si>
    <t>PARRA ORTIZ JIOVANNA NORMA(10432419997)</t>
  </si>
  <si>
    <t>SEGÚN CRONOGRAMA</t>
  </si>
  <si>
    <t>SIE N° 02-2020-GR-CUSCO-PERPM</t>
  </si>
  <si>
    <t>CHOQUEHUANCA NUÑEZ LAURA</t>
  </si>
  <si>
    <t>DE ACUERDO A CONSUMO</t>
  </si>
  <si>
    <t>SIE N° 03-2020-GR-CUSCO-PERPM</t>
  </si>
  <si>
    <t>INVERSIONES CECO. S.A.C(20600705289)</t>
  </si>
  <si>
    <t>SIE N° 05-2020-GR-CUSCO-PERPM</t>
  </si>
  <si>
    <t>GRIFO J.H.P. E.I.R.LTDA.(20370508659)</t>
  </si>
  <si>
    <t>SIE N° 06-2020-GR-CUSCO-PERPM</t>
  </si>
  <si>
    <t>CHOQUENAIRA CRUZ MUÑANTE(10402331611)</t>
  </si>
  <si>
    <t>SIE N° 08-2020-GR-CUSCO-PERPM</t>
  </si>
  <si>
    <t xml:space="preserve">INVERSIONES CECO. S.A.C
ALFARO PANIURA JHON ULISES
GRUPO SANTA FE SOCIEDAD ANONIMA CERRADA - GRUPO SANTA FE S.A.C.
</t>
  </si>
  <si>
    <t>SIE N° 09-2020-GR-CUSCO-PERPM</t>
  </si>
  <si>
    <t>CORDOVA GARCIA YOLANDA(10415623041)</t>
  </si>
  <si>
    <t>SIE N° 10-2020-GR-CUSCO-PERPM</t>
  </si>
  <si>
    <t>K.S. DISTRIBUCI0NES S.A.C.(20400934437)</t>
  </si>
  <si>
    <t>SIE N° 11-2020-GR-CUSCO-PERPM</t>
  </si>
  <si>
    <t>GRUPO SANTA FE S.A.C.(20511037001)</t>
  </si>
  <si>
    <t>30 ADQUISICION DE COBUSTIBLE</t>
  </si>
  <si>
    <t>SIE N° 13-2020-GR-CUSCO-PERPM</t>
  </si>
  <si>
    <t>CHOQUENAIRA CRUZ MUÑANTE</t>
  </si>
  <si>
    <t>UNIDAD  EJECUTORA 004: IMA</t>
  </si>
  <si>
    <t>1 CONTRATACION DE PIEDRA ANGULAR MEDIANA</t>
  </si>
  <si>
    <t>LP N° 001-2019</t>
  </si>
  <si>
    <t>PROCESO</t>
  </si>
  <si>
    <t>001-2019</t>
  </si>
  <si>
    <t>CONSORCIO - CONSORCIO CONFORMADO POR: BRAND ORION QUISPE LOAIZA, PROCANING S.R.L., CAMEC INGENIEROS S.A.C., Y GRUPO SHARMELY E.I.R.L.</t>
  </si>
  <si>
    <t>2 GAVION CAJA Y GAVION COLCHON</t>
  </si>
  <si>
    <t>LP-SM-4-2019-GRC-PER IMA/CS-1</t>
  </si>
  <si>
    <t>004-2019</t>
  </si>
  <si>
    <t>COMERCIAL INDUSTRIAL DELTA S A CIDELSA</t>
  </si>
  <si>
    <t>3 CONTRATACION DE PIEDRA MEDIANA PARA EL PROYECTO: AMPLIACION Y MEJORAMIENTO DEL SERVICIO DE PROTECCIÓN DE RIESGOS CONTRA INUNDACIONES EN 38 KM DEL CAUCE DEL RIO HUATANAY</t>
  </si>
  <si>
    <t>LP-SM-6-2019-GRC-PER IMA/CS-1</t>
  </si>
  <si>
    <t>006-2019</t>
  </si>
  <si>
    <t>BRAND ORION QUISPE LOAIZA, LUIS ROLANDO ABRILL MUÑOZ, EDGAR QUISPE YUCA, PROCANING S.R.L. Y NESTOR QUISPE UNANCHA</t>
  </si>
  <si>
    <t>4 CONTRATACION DE GAVIONES TIPO CAJA Y TIPO COLCHÓN PARA EL PROYECTO: AMPLIACIÓN Y MEJORAMIENTO DEL SERVICIO DE PROTECCIÓN DE RIESGOS CONTRA INUNDACIONES EN 38 KM DEL CAUCE DEL RIO HUATANAY</t>
  </si>
  <si>
    <t>AS-SM-19-2019-GRC-PER IMA/CS-2</t>
  </si>
  <si>
    <t>019-2019</t>
  </si>
  <si>
    <t>PRODUCTOS DE ACERO CASSADO SA PRODAC SA</t>
  </si>
  <si>
    <t>5 CONTRATACION DE SUMINISTRO DE PIEDRA MEDIANA</t>
  </si>
  <si>
    <t>LP-SM-1-2020-GRC-PER IMA/CS-1</t>
  </si>
  <si>
    <t>001-2020</t>
  </si>
  <si>
    <t>QUISPE LOAIZA BRAND ORION</t>
  </si>
  <si>
    <t>CONTRATACIÓN DE BIENES: INDUMENTARIA DE SEGURIDAD PARA EL PROYECTO MOSCA DE LA FRUTA</t>
  </si>
  <si>
    <t>COMPARACIÓN DE PRECIOS</t>
  </si>
  <si>
    <t>SIN MODALIDAD</t>
  </si>
  <si>
    <t xml:space="preserve">AGUILAR LLERENA YULI MARIA </t>
  </si>
  <si>
    <t xml:space="preserve">CONTRATACIÓN DE BIENES: MADERA MISA PARA EL PROYECTO  MAÍZ AMILÁCEO </t>
  </si>
  <si>
    <t xml:space="preserve">FLOREZ HUANCA GLORIA </t>
  </si>
  <si>
    <t xml:space="preserve">20/12/2019
</t>
  </si>
  <si>
    <t>CONTRATACIÓN DE BIENES: INSUMOS PARA LA PRODUCCIÓN DE APÍCOLA PARA EL PROYECTO APÍCOLA</t>
  </si>
  <si>
    <t>ESPEJO RAMIREZ ELIANA</t>
  </si>
  <si>
    <t xml:space="preserve">29/11/2019
</t>
  </si>
  <si>
    <t xml:space="preserve">CONTRATACION DE BIENES: INSUMOS Y MATERIALES PARA APICOLA </t>
  </si>
  <si>
    <t>NETO EXPLORER E.I.R.L.</t>
  </si>
  <si>
    <t xml:space="preserve">CONTRATACIÓN DE BIENES: MANGA DE POLIETILENO DE COLOR NEGRO Y AZUL PARA EL PROYECTO MOSCA DE LA FRUTA </t>
  </si>
  <si>
    <t>GAMARRA LOPEZ CRISTIAN ERIBERTO</t>
  </si>
  <si>
    <t>CONTRATACIÓN DE BIENES: IMPLEMENTOS DE GALPONES PARA CUYES PARA EL PROYECTO CUYES</t>
  </si>
  <si>
    <t xml:space="preserve">INDUSTRIAS LUNA ELECTRIC S.A.C.R.L. </t>
  </si>
  <si>
    <t xml:space="preserve">CONTRATACIÓN DE BIENES: MATERIALES DE FERRETERÍA PARA EL PROYECTO CUYES </t>
  </si>
  <si>
    <t>SINERGIA DEL SUR S.R.L.</t>
  </si>
  <si>
    <t>CONTRATACIÓN DE BIENES: EQUIPOS PARA TRANSFORMACIÓN E INDUSTRIALIZACIÓN PARA EL PROYECTO APICOLA</t>
  </si>
  <si>
    <t>INVERSIONES ROSINI E.I.R.L.</t>
  </si>
  <si>
    <t xml:space="preserve">CONTRATACIÓN DEL SERVICIO DE DESCOLMATACION CAUCE DEL RIO IPAL PARA LA META DESCOLMATACION CAUCE DEL RIO IPALDISTRITO DE HUAYOPATA, PROVINCIA DE LA CONVENCIÓN </t>
  </si>
  <si>
    <t>G &amp; C GOLDEN SOCIEDAD ANONIMA CERRADA</t>
  </si>
  <si>
    <t xml:space="preserve">CONTRATACIÓN DEL SERVICIO DE DESCOLMATACION DEL RIÓ VILCANOTA EN LA PAMPA C.C. CACHICATA META DESCOLMATACION DEL RIÓ VILCANOTA EN LA PAMPA C.C. CACHICATA DISTRITO DE OLLANTAYTAMBO, </t>
  </si>
  <si>
    <t> CCORI CHASCA EIRL</t>
  </si>
  <si>
    <t>CONTRATACIÓN DEL SERVICIO DE DESCOLMATACION DEL RIO PICHIQUIÑA Y SIRPIYOC PARA EL SECTOR PICHIQUIÑA Y SIRPIYOC PARA LA META DESCOLMATACION DEL RIO PICHIQUIÑA Y SIRPIYOC PARA EL SECTOR PICHIQUIÑA Y SIRPIYOC DISTRITO DE QUELLOUNO, PROVINCIA DE LA CONVENCION DE LA REGIÓN CUSCO</t>
  </si>
  <si>
    <t>CONTRATISTAS AMARU Q. S.A.C.</t>
  </si>
  <si>
    <t>CONTRATACION BIENES: TELA DE COLOR ENTERO PARA EL PERSONAL DE DIRAGRI PARA LA META ACCIONES ADMINISTRATIVAS DE LA REGION DE CUSCO</t>
  </si>
  <si>
    <t>CUZMAR DISTRIBUCIONES - CUSCO S.A.C</t>
  </si>
  <si>
    <t>CONTRATACION DE BIENES: INSUMOS Y MATERIALES PARA EL PROYECTO APICOLA</t>
  </si>
  <si>
    <t xml:space="preserve"> DESIERTO</t>
  </si>
  <si>
    <t>CONTRATACIÓN SERVICIO: DESCOLMATACION DE CAUCE RIO MAPACHO EN EL SECTOR MALLMA, PARA LA META DESCOLMATACION DE CAUCE RIO MAPACHO EN EL SECTOR MALLMA DEL DISTRITO DE OCONGATE DE LA PROVINCIA DE QUISPICANCHI</t>
  </si>
  <si>
    <t>OCONGATE</t>
  </si>
  <si>
    <t>CONTRATACIÓN DEL SERVICIO DE DESCOLMATACION DEL RIÓ SALKANTAY, SECTOR SURIRAY PARA LA META DESCOLMATACION DEL RIO SALKANTAY, SECTOR SURIRAY DISTRITO DE SANTA TERESA, PROVINCIA DE LA CONVENCIÓN DE LA REGIÓN DE CUSCO</t>
  </si>
  <si>
    <t>ORMENTA CONSTRUCTORES S.A.C</t>
  </si>
  <si>
    <t xml:space="preserve">CONTRATACIÓN DE BIENES: SILO PARA GRANOS CON CAPACIDAD DE 2000 KG PARA EL PROYECTO MAIZ AMILACEO ORES A LOS SERVICIOS DE APOYO A </t>
  </si>
  <si>
    <t> MEJIA AYERBE SILVIA</t>
  </si>
  <si>
    <t xml:space="preserve">CONTRATACIÓN DE BIENES: EQUIPOS PARA TRANSFORMACIÓN E INDUSTRIALIZACIÓN PARA EL PROYECTO APICOLA </t>
  </si>
  <si>
    <t xml:space="preserve">CONTRATACIÓN DE BIENES: MANGUERA DE POLIETILENO DE ¾ X 100 METROS PARA EL PROYECTO CUYES </t>
  </si>
  <si>
    <t>NAIWA E.I.R.L.</t>
  </si>
  <si>
    <t>FRASCOS DE VIDRIOS PARA EL PROYECTO APICOLA</t>
  </si>
  <si>
    <t>VILLAVICENCIO MAROCHO ELIZABET</t>
  </si>
  <si>
    <t>CONTRATACIÓN DE BIENES: PRODUCTOS AGROPECUARIOS VETERINARIAS PARA LA META ADMINISTRACIÓN Y ALMACENAMIENTO DE KITS PARA LA ASISTENCIA FRENTE A EMERGENCIA Y DESASTRES EN LA REGIÓN DE CUSCO</t>
  </si>
  <si>
    <t>FARMACOS Y SERVICIOS AGRO VETERINARIOS EMPRESA INDIVIDUAL DE RESPONSABILIDAD LIMITADA - FASAVET EIRL</t>
  </si>
  <si>
    <t>MATERIALES DE FERRETERÍA PARA EL PROYECTO MAIZ AMILACEO</t>
  </si>
  <si>
    <t>QUISPE ANDRADE RICHARD</t>
  </si>
  <si>
    <t xml:space="preserve">CONTRATACIÓN DE BIENES: INSUMOS DE REFRIGERIOS PARA EL PROYECTO MOSCA DE LA FRUTA   </t>
  </si>
  <si>
    <t>JORCOWA TRADE S.A.C</t>
  </si>
  <si>
    <t xml:space="preserve">CONTRATACIÓN DE BIENES INSTRUMENTOS DE LABORATORIO PARA EL PROYECTO MOSCA DE LA FRUTA </t>
  </si>
  <si>
    <t>SERVICIO BIOMEDICO Y ELECTRONICO SOCIEDAD COMERCIAL DE RESPONSABILIDAD LIMITADA</t>
  </si>
  <si>
    <t>CONTRATACION DE SERVICIO TRANSPORTE DE CARGA A NIVEL NACIONAL</t>
  </si>
  <si>
    <t>OPERADOR LOGISTICO TORRES S.A.C.</t>
  </si>
  <si>
    <t>ESTAMPADORA DE CERA DE ABEJAS DE ACERO INOXIDABLE PARA EL PROYECTO APICOLA</t>
  </si>
  <si>
    <t>NIETO RAMOS LELY ARMANDO</t>
  </si>
  <si>
    <t>CONTRATACIÓN DE SUMINISTRO DE DIÉSEL B5 S 50 Y GASOHOL DE 90 DE PLUS PARA EL PROYECTO INSTALACIÓN Y MEJORAMIENTO DEL SERVICIO DE CONTROL PARA ESTABLECER AREAS DE BAJA PREVALENCIA DE MOSCA DE LA FRUTA EN SELVA Y CEJA DE SELVA DE LA REGIÓN</t>
  </si>
  <si>
    <t> INVERSIONES INTEROCEANICA SOCIEDAD ANONIMA CERRADA - INVERSIONES INTEROCEANICA S.A.C.</t>
  </si>
  <si>
    <t>CONTRATACION DE MÓDULOS DEMOSTRATIVOS PARA Y COSECHA (COLMENA TIPO AMSTRONG Y ABEJA) Y KIT BÁSICO DE VESTUARIO DE PROTECCIÓN PARA EL PROYECTO APICOLA</t>
  </si>
  <si>
    <t>CORPORACION ANDINA BAVIL SOCIEDAD ANONIMA CERRADA - BAVIL S.A.C.</t>
  </si>
  <si>
    <t>CONTRATA CION DE MÓDULOS DEMOSTRATIVOS PARA Y COSECHA (COLMENA TIPO AMSTRONG Y ABEJA) Y KIT BÁSICO DE VESTUARIO DE PROTECCIÓN PARA EL PROYECTO APICOLA</t>
  </si>
  <si>
    <t>AGUILAR LLERENA YULI MARIA</t>
  </si>
  <si>
    <t>CONTRATACIÓN DE INSUMOS PECUARIOS (ANTIPARASITARIO, RECONSTITUYENTE Y ANTIBIÓTICOS PARA ALPACA) PARA EL PROGRAMA 68</t>
  </si>
  <si>
    <t>BIOPHARVET S.A.C.</t>
  </si>
  <si>
    <t xml:space="preserve">CONTRATACIÓN DE CEBO TOXICO GF-120 (SPINOSAD 0.02%) PARA EL PROYECTO MOSCA DE LA FRUTA </t>
  </si>
  <si>
    <t>PROCEDIMIENTO DE COMPRA INTERNACIONAL</t>
  </si>
  <si>
    <t>DOW AGROSCIENCES LLC</t>
  </si>
  <si>
    <t xml:space="preserve">CONTRATACIÓN DE ALQUILER DE CAMIONETAS PARA EL PROYECTO MOSCA DE LA FRUTA </t>
  </si>
  <si>
    <t>LOGISTICAL SERVICES GROUP S.A.C.</t>
  </si>
  <si>
    <t>CONTRATACIÓN DE SUMINISTRO COMBUSTIBLE PARA LAS DIFERENTES ÁREAS DE LA DIRECCIÓN REGIONAL DE AGRICULTURA Y RIEGO CUSCO</t>
  </si>
  <si>
    <t>SERVICENTRO JAKELINE S.C.R.LTDA.</t>
  </si>
  <si>
    <t>CONTRATACIÓN DE INSUMOS AGROPECUARIOS(ABONO FOLIAR Y FUNGICIDAS) PARA LA ATENCIÓN DE EMERGENCIAS</t>
  </si>
  <si>
    <t xml:space="preserve">COMPRA DIRECTA </t>
  </si>
  <si>
    <t>ADQUISICIÓN DE MÓDULOS DE ALMACENAMIENTO DE SEMILLAS</t>
  </si>
  <si>
    <t>AS-SM-6-2020-DIRAGRI/CS-1</t>
  </si>
  <si>
    <t>---</t>
  </si>
  <si>
    <t>CONVOCADO</t>
  </si>
  <si>
    <t>CONTRATACIÓN DE MAQUINARIA CENTRIFUGA PARA EL PROYECTO "MEJORAMIENTO DEL ACCESO DE  LOS APICULTORES A LOS SERVICIOS DE APOYO A LA CADENA PRODUCTIVA EN LAS PROVINCIAS DE CALCA, CHUMBIVILCAS, LA CONVENCION, PARURO, PAUCARTAMBO Y QUISPICANCHIS DE LA REGIÓN CUSCO"</t>
  </si>
  <si>
    <t>AS-SM-8-2020-DIRAGRI/CS-2</t>
  </si>
  <si>
    <t>CONTRATACIÓN DEL SERVICIO DE LINEAS MÓVILES PARA LAS AGENCIAS AGRARIAS, SEDE CENTRAL Y DISPA DE LA DIRAGRI</t>
  </si>
  <si>
    <t>AS-SM-9-2020-DIRAGRI/OEC-1</t>
  </si>
  <si>
    <t>50,000.00</t>
  </si>
  <si>
    <t>ADJUDICADO</t>
  </si>
  <si>
    <t>CONTRATACIÓN PARA LA ADQUISICIÓN DE FERTILIZANTES PARA EL PROYECTO "MEJORAMIENTO DEL ACCESO DELOS PRODUCTORES A LOS SERVICIOS DE APOYO A LA CADENA PRODUCTIVA DE MAÍZ AMILÁCEO EN LAS PROVINCIAS DE ACOMAYO, ANTA, CANCHIS, CHUMBIVILCAS, PARURO, PAUCARTAMBO Y QUISPICANCHI DE LA REGIÓN CUSCO</t>
  </si>
  <si>
    <t>COMPRE-SM-3-2020-DIRAGRI/OEC-2</t>
  </si>
  <si>
    <t>58,445.00</t>
  </si>
  <si>
    <t>CONTRATACIÓN DE KIT BÁSICO DE PROTECCIÓN PARA EL PROYECTO "MEJORAMIENTO DEL ACCESO DE LOS APICULTORES A LOS SERVICIOS DE APOYO A LA CADENA PRODUCTIVA EN LAS PROVINCIAS DE CALCA, CHUMBIVILCAS, LA CONVENCION, PARURO, PAUCARTAMBO, QUISPICANCHIS DE LA REGIÓN CUSCO"</t>
  </si>
  <si>
    <t>AS-SM-7-2020-DIRAGRI/CS-1</t>
  </si>
  <si>
    <t>141,450.00</t>
  </si>
  <si>
    <t>CONTRATACIÓN DE SEMILLAS DE MAÍZ (INIA 618, INIA 613, INIA 615 INIA 622) A LA ENTIDAD ESTACIÓN EXPERIMENTAL AGRARIA ANDENES CUSCO - INIA, PARA EL PROYECTO, "MEJORAMIENTO DEL ACCESO DE LOS PRODUCTORES A LOS SERVICIOS DE APOYO A LA CADENA PRODUCTIVA DE MAIZ AMILACEO EN LAS PROVINCIAS DE ACOMAYO, ANTA, CANCHIS, CHUMBIVILCAS, PARURO, PAUCARTAMBO Y QUISPICANCHI DE LA REGIÓN CUSCO"</t>
  </si>
  <si>
    <t>DIRECTA-PROC-2-2020-DIRAGRI/OEC-1</t>
  </si>
  <si>
    <t>41,790.00</t>
  </si>
  <si>
    <t>CONTRATACIÓN DE FERTILIZANTES PARA EL PROYECTO: ¿MEJORAMIENTO DEL ACCESO DE LOS PRODUCTORES A LOS SERVICIOS DE APOYO A LA CADENA PRODUCTIVA DE MAÍZ AMILÁCEO EN LAS PROVINCIAS DE ACOMAYO, ANTA, CANCHIS CHUMBIVILCAS, PARURO, PAUCARTAMBO Y QUISPICANCHIS DE LA REGIÓN CUSCO¿</t>
  </si>
  <si>
    <t>COMPRE-SM-4-2020-DIRAGRI/OEC-1</t>
  </si>
  <si>
    <t>42,180.00</t>
  </si>
  <si>
    <t>ADQUISICIÓN DE VESTUARIO PARA EL PROYECTO: "MEJORAMIENTO DEL ACCESO DE LOS PRODUCTORES A LOS SERVICIOS DE APOYO A LA CADENA PRODUCTIVA DE MAIZ AMILACEO EN LAS PROVINCIAS DE ACOMAYO, ANTA, CANCHIS, CHUMBIVILCAS, PARURO, PAUCARTAMBO Y QUISPICANCHI, DE LA REGION CUSCO</t>
  </si>
  <si>
    <t>AS-SM-4-2020-DIRAGRI/CS-1</t>
  </si>
  <si>
    <t>51,890.00</t>
  </si>
  <si>
    <t>CONTRATACION DEL SERVICIO DE GESTOR ADMINISTRATIVO DE DESADUANAJE DEL PRODUCTO GF-120 SPINOSAD 0.02% APRA EL PROYECTO "INSTALACION Y MEJORAMIENTO DEL SERVICIO DE CONTROL PARA ESTABLECER AREAS DE BAJA PREVALENCIA DE MOSCAS DE LA FRUTA EN SELVA Y CEJA DE SELVA DE LA REGION DEL CUSCO</t>
  </si>
  <si>
    <t>DIRECTA-PROC-1-2020-DIRAGRI/OEC-1</t>
  </si>
  <si>
    <t>49,833.09</t>
  </si>
  <si>
    <t>ADQUISICIÓN DE INSUMOS AGROPECUARIOS PARA EL PROGRAMA "REDUCCIÓN DE LA VULNERABILIDAD Y ATENCIÓN DE EMERGENCIA POR DESASTRE"</t>
  </si>
  <si>
    <t>AS-SM-5-2020-DIRAGRI/OEC-1</t>
  </si>
  <si>
    <t>198,185.00</t>
  </si>
  <si>
    <t>CONTRATACIÓN DE MANGUERA DE POLIETILENO DE ¾¿ PARA RIEGO X 100 METROS CLASE 10 PARA EL PROYECTO MEJORAMIENTO DEL ACCESO DE LOS PRODUCTORES A LOS SERVICIOS DE APOYO A LA CADENA PRODUCTIVA DE MAÍZ AMILÁCEO EN LAS PROVINCIAS DE ACOMAYO, ANTA, CANCHIS CHUMBIVILCAS, PARURO, PAUCARTAMBO Y QUISPICANCHIS DE</t>
  </si>
  <si>
    <t>COMPRE-SM-2-2020-DIRAGRI/OEC-1</t>
  </si>
  <si>
    <t>44,250.00</t>
  </si>
  <si>
    <t>CONTRATACION DEL SERVICIO DE TRANSPORTE DEL PRODUCTO GF-120 DEL PUERTO CALLAO(LIMA) A LA CIUDAD DE QUILLABAMBA - SANTA ANA PARA EL PROYECTO MOSCA DE LA FRUTA</t>
  </si>
  <si>
    <t>AS-SM-2-2020-DIRAGRI/CS-1</t>
  </si>
  <si>
    <t>69,580.00</t>
  </si>
  <si>
    <t>ADQUISICIÓN DE COMBUSTIBLE PIP MOSCA DE LA FRUTA</t>
  </si>
  <si>
    <t>SIE-SIE-2-2020-DIRAGRI/OEC-2</t>
  </si>
  <si>
    <t>133,692.67</t>
  </si>
  <si>
    <t>SIE-SIE-2-2020-DIRAGRI/OEC-1</t>
  </si>
  <si>
    <t>ADQUISICION DE CEBO TOXICO GF-120 (SPINOSAD 0.02%)</t>
  </si>
  <si>
    <t>INTER-PROC-1-2020-DIRAGRI-1</t>
  </si>
  <si>
    <t>1,976,000.00</t>
  </si>
  <si>
    <t>L0000005319</t>
  </si>
  <si>
    <t>ADQUISICIÓN DE COMBUSTIBLE PARA LOS DIFERENTES PROYECTOS Y DIRECCIONES DE LA DIRAGRI CUSCO</t>
  </si>
  <si>
    <t>SIE-SIE-1-2020-DIRAGRI/CS-1</t>
  </si>
  <si>
    <t>104,519.12</t>
  </si>
  <si>
    <t>ADQUISICIÓN DE MANGAS DE POLIETILENO</t>
  </si>
  <si>
    <t>AS-SM-1-2020-DIRAGRI/CS-1</t>
  </si>
  <si>
    <t>196,000.00</t>
  </si>
  <si>
    <t>ADQUISICIÓN DE MATERIALES DE FERRETERÍA PARA EL PROYECTO "MEJORAMIENTO DEL ACCESO DE LOS PRODUCTORES A LOS SERVICIOS DE APOYO A LA CADENA PRODUCTIVA DE MAÍZ AMILÁCEO EN LAS  DIFERENTES PROVINCIAS DE LA REGIÓN CUSCO</t>
  </si>
  <si>
    <t>COMPRE-SM-1-2020-DIRAGRI/OEC-1</t>
  </si>
  <si>
    <t>64,295.60</t>
  </si>
  <si>
    <t>UNIDAD  EJECUTORA 100: AGRICULTURA CUSCO</t>
  </si>
  <si>
    <t>UNIDAD  EJECUTORA 200: TRANSPORTES CUSCO</t>
  </si>
  <si>
    <t>1 ADQUISICION DE CEMENTO PORLAND PUZOLANICO TIPO IP X 42.5 KG</t>
  </si>
  <si>
    <t>ELECTRONICO</t>
  </si>
  <si>
    <t>1-2019-DRTCC</t>
  </si>
  <si>
    <t>20600705289 - INVERSIONES CECO S.A.C.</t>
  </si>
  <si>
    <t>2 ADQUISICIÓN DE ADOQUIN DE CONCRETO PEATONAL DE 6CM X 10CM X 20CM</t>
  </si>
  <si>
    <t>2-2019-DRTCC</t>
  </si>
  <si>
    <t>20600528743 - CONISUR CON GEN E.I.R.L.</t>
  </si>
  <si>
    <t>3 ADQUISICIÓN DE MADERAMEN PARA LA META: MANTENIMIENTO DE PUENTE - CAYCAY PAUCARTAMBO</t>
  </si>
  <si>
    <t>10252172161 SUCNO MAZA IRMA CORINA</t>
  </si>
  <si>
    <t>4 ADQUISICIÓN DE MEZCLA ASFÁLTICA EN CALIENTE A TODO COSTO-MANTENIMIENTO RUTINARIO MECANIZADO DE LA RED DEPARTAMENTAL NO PAVIMENTADA CU-130 TRAMO YANAOCA EMP INTEGRACIÓN KANA-QUEHUE-CHECA-PICHIGUA</t>
  </si>
  <si>
    <t>ADJUDICACIÓN SIMPLIFICADA</t>
  </si>
  <si>
    <t>20564231259  -  CONSJEDAR S.A.C
20490935194  -   CONSEDMA S.R.L.</t>
  </si>
  <si>
    <t>5 ADQUISICION DE INSUMOS PARA IMPRESION DE LICENCIAS DE CONDUCIR</t>
  </si>
  <si>
    <t>20431995281 - POLYSISTEMAS CORP SOCIEDAD ANONIMA CERRADA</t>
  </si>
  <si>
    <t>6 ADQUISICIÓN DE MEDIDOR SELECTIVO DE RADIACIONES NO IONIZANTES PARA LA META: MANTENIMIENTO DEL SISTEMA DE COMUNICACIONES</t>
  </si>
  <si>
    <t>3-2019-DRTCC</t>
  </si>
  <si>
    <t>20101279635 - IMPORTACIONES Y REPRESENTACIONES ELECTRONICAS S.A.</t>
  </si>
  <si>
    <t>7 ADQUISICIÓN DE ELECTROBOMBAS SUMERGIBLES PARA DRENAJE DE AGUAS PLUVIALES</t>
  </si>
  <si>
    <t>4-2019-DRTCC</t>
  </si>
  <si>
    <t>20547118830 - SUMITEKI S.A.</t>
  </si>
  <si>
    <t>8 SERVICIO DE MANTENIMIENTO RUTINARIO MECANIZADO DE LA VIA DEPARTAMENTAL NO PAVIMENTADA RUTA CU - 125 TRAMO: EMP PE 3S (ONOCORA) - EMP. PE 3Sl (SANTA BARBARA) LONG = 16.72 KM DISTRITO DE SICUANI Y SANTA BARBARA - MULTIPROVINCIAL</t>
  </si>
  <si>
    <t>5-2019-DRTCC</t>
  </si>
  <si>
    <t>20564000010 - E.J.C. SERVICIOS GENERALES E.I.R.L.</t>
  </si>
  <si>
    <t>9 SERVICIO DE MANTENIMIENTO RUTINARIO MECANIZADO DE LA VIA DEPARTAMENTAL NO PAVIMENTADA RUTA CU - 117 TRAMO: PILLPINTO - ACOMAYO, LONG = 14.10 KM DISTRITO DE PILLPINTO Y ACOS MULTIPROVINCIAL</t>
  </si>
  <si>
    <t>6-2019-DRTCC</t>
  </si>
  <si>
    <t>20490935194 - CONSEDMA S.R.L.</t>
  </si>
  <si>
    <t>10 SERVICIO DE MANTENIMIENTO RUTINARIO MECANIZADO DE LA VIA DEPARTAMENTAL NO PAVIMENTADA RUTA CU - 129 TRAMO ACCHA - OMACHA LONG = 27.40 KM CUSCO-PARURO-MULTIDISTRITAL</t>
  </si>
  <si>
    <t>7-2019-DRTCC</t>
  </si>
  <si>
    <t>20528035788 - INKAS PERU INVERSIONES S.C.R.L.</t>
  </si>
  <si>
    <t>11 SERVICIO DE MANTENIMIENTO RUTINARIO MECANIZADO DE LA VIA DEPARTAMENTAL NO PAVIMENTADA RUTA CU - 1</t>
  </si>
  <si>
    <t>8-2019-DRTCC</t>
  </si>
  <si>
    <t>20528033815 - MEGATRACTORS S.A.C.</t>
  </si>
  <si>
    <t>12 SERVICIO DE CONSULTORIA PARA LA REFORMULACIÓN Y OPTIMIZACIÓN DE EXPEDIENTE TECNICO DEL PROYECTO AMPLIACIÓN Y MEJORAMIENTO DEL PUENTE PILLPINTO, DISTRITO DE PILLPINTO, PROVINCIA DE PARURO, DEPARTAMENTO DEL CUSCO</t>
  </si>
  <si>
    <t>11-2019-DRTCC</t>
  </si>
  <si>
    <t>10050716606 - MAMANI TTITO VIDAL AMERICO</t>
  </si>
  <si>
    <t>13 CONTRATACIÓN DEL SERVICIO DE CONSULTORÍA PARA LA ELABORACIÓN DEL PERFIL Y EXPEDIENTE TÉCNICO DEL PIP MEJORAMENTO DEL SERVICIO DE TRANSITABILIDAD VEHICULAR DE LA CARRETERA DEPARTAMENTAL CU-119 TRAMO I: EMP CU-117 (ABRA RANRACCASA) - PACCARECTAMBO EMP PE 3SY (DESVIO CCAPACMARCA) EN LOS DISTRITOS DE PARURO, PACCARECTAMBO, CCAPI Y CCAPACMARCA DE LA PROVINCIA DE CHUMBIVILCAS Y PARURO, DEPARTAMENTO DEL CUSCO</t>
  </si>
  <si>
    <t>CONCURSO PÚBLICO</t>
  </si>
  <si>
    <t>1-2020-DRTCC</t>
  </si>
  <si>
    <t>205493322434 - PYUNGHWA ENGINEERING CONSULTANTS LTDA SUCURSAL DEL PERU</t>
  </si>
  <si>
    <t>14 SERVICIO DE CONSULTORIA PARA LA ELABORACION DE PERFIL Y EXPEDIENTE TECNICO DEL PIP MEJORAMIENTO DEL SERVICIO DE TRANSITABILIDAD VEHICULAR DE LA CARRETERA DEPARTAMENTAL CU-119 TRAMO II: EMP. PE 3SY (MUYUORCCO) - COLQUEMARCA EN LOS DISTRITOS DE CCAPACMARCA Y COLQUEMARCA DE LA PROVINCIA DE CHUMBIVILCAS, DEPARTAMENTO DEL CUSCO</t>
  </si>
  <si>
    <t>2-2020-DRTCC</t>
  </si>
  <si>
    <t>15 SERVICIO DE MANTENIMIENTO RUTINARIO DE LA RED VIAL DEPARTAMENTAL NO PAVIMENTADA - CU-101 TRAMO: PAVAYOC - PAN DE AZUCAR - DISTRITO DE ECHARATE - LA CONVENCION - CUSCO</t>
  </si>
  <si>
    <t>1-2020-GR-DRTCC</t>
  </si>
  <si>
    <t>20600118847 - ASOCIACION VIAL RURAL ALTO URUBAMBA</t>
  </si>
  <si>
    <t>16 SERVICIO DE MANTENIMIENTO RUTINARIO DE LA RED VIAL DEPARTAMENTAL NO PAVIMENTADA - CU-102 TRAMO: PALMA REAL - ANCHIHUAY - MULTIDISTRITAL - LA CONVENCION - CUSCO</t>
  </si>
  <si>
    <t>2-2020-GR-DRTCC</t>
  </si>
  <si>
    <t>20600353625 - CONSORCIO DSK CONTRATISTAS Y CONSULTORES S.A.C.</t>
  </si>
  <si>
    <t>17 SERVICIO DE MANTENIMIENTO RUTINARIO DE LA RED VIAL DEPARTAMENTAL NO PAVIMENTADA - CU-104 TRAMO: AMPARAES PUMACOCHA - DISTRITO DE YANATILE - CALCA - CUSCO</t>
  </si>
  <si>
    <t>3-2020-GR-DRTCC</t>
  </si>
  <si>
    <t>20601157242 - CONSORCIO AMPARAES</t>
  </si>
  <si>
    <t>18 SERVICIO DE MANTENIMIENTO RUTINARIO DE LA RED VIAL DEPARTAMENTAL NO PAVIMENTADA - CU-104 TRAMO I : PUMACOCHA - SUYO - DISTRITO DE YANATILE - PROVINCIA DE CALCA - CUSCO</t>
  </si>
  <si>
    <t>4-2020-GR-DRTCC</t>
  </si>
  <si>
    <t>20601410959 - NYGA INGENIEROS E.I.R.L.</t>
  </si>
  <si>
    <t>19 SERVICIO DE MANTENIMIENTO RUTINARIO DE LA RED VIAL DEPARTAMENTAL NO PAVIMENTADA - CU-104 TRAMO II: PUMACOCHA - SUYO - DISTRITO DE YANATILE - PROVINCIA DE CALCA - CUSCO</t>
  </si>
  <si>
    <t>5-2020-GR-DRTCC</t>
  </si>
  <si>
    <t>20 SERVICIO DE MANTENIMIENTO RUTINARIO DE LA RED VIAL DEPARTAMENTAL NO PAVIMENTADA - CU-104 TRAMO: LOROHUACHANA - PUENTE LAMPACHACA - DISTRITO DE QUELLOUNO - LA CONVENCION - CUSCO</t>
  </si>
  <si>
    <t>6-2020-GR-DRTCC</t>
  </si>
  <si>
    <t>20443142402 - ASOCIACION RURAL VIAL LOS ANGELES</t>
  </si>
  <si>
    <t>21 SERVICIO DE MANTENIMIENTO RUTINARIO DE LA RED VIAL DEPARTAMENTAL NO PAVIMENTADA - CU-109 TRAMO: MOLLEPATA - SORAYPAMPA EMP - CU-107 DISTRITO DE MOLLEPATA - PROVINCIA DE ANTA - DEPARTAMENTO CUSCO</t>
  </si>
  <si>
    <t>7-2020-GR-DRTCC</t>
  </si>
  <si>
    <t>22 SERVICIO DE MANTENIMIENTO RUTINARIO DE LA RED VIAL DEPARTAMENTAL NO PAVIMENTADA - CU-100 TRAMO: CHAULLAY - PUCYURA - DISTRITO DE VILCABAMBA - LA CONVENCION - CUSCO</t>
  </si>
  <si>
    <t>8-2020-GR-DRTCC</t>
  </si>
  <si>
    <t>10419686714 - CONSORCIO GODINC</t>
  </si>
  <si>
    <t>23 SERVICIO DE MANTENIMIENTO RUTINARIO DE LA RED VIAL DEPARTAMENTAL NO PAVIMENTADA - CU-100 TRAMO: DV. ERAPATA - PTE. PASAJE - DISTRITO DE INKAWASI - LA CONVENCIÓN - CUSCO</t>
  </si>
  <si>
    <t>9-2020-GR-DRTCC</t>
  </si>
  <si>
    <t>10421716361 - CONSORCIO SUR</t>
  </si>
  <si>
    <t>24 SERVICIO DE MANTENIMIENTO RUTINARIO DE LA RED VIAL DEPARTAMENTAL NO PAVIMENTADA CU-100 TRAMO: PUCYURA - YANAHUANCA (KM 92.50) DISTRITO DE VILCABAMBA - LA CONVENCIÓN - CUSCO</t>
  </si>
  <si>
    <t>10-2020-GR-DRTCC</t>
  </si>
  <si>
    <t>10106455975 -CONSORCO JJ Y ALBA</t>
  </si>
  <si>
    <t>25 MANTENIMIENTO RUTINARIO DE LA RED VIAL DEPARTAMENTAL NO PAVIMENTADA - CU-113 TRAMO: PILLCOPATA - SABALUYOC - DISTRITO DE KOSÑIPATA - PAUCARTAMBO - CUSCO</t>
  </si>
  <si>
    <t>11-2020-GR-DRTCC</t>
  </si>
  <si>
    <t>20601112401 - MYKON SAC.</t>
  </si>
  <si>
    <t>26 MANTENIMIENTO RUTINARIO DE LA RED VIAL DEPARTAMENTAL NO PAVIMENTADA - CU-100 TRAMO: YANAHUANCA (KM 92.50) - DV ERAPATA - MULTIDISTRITAL - LA CONVENCIÓN - CUSCO</t>
  </si>
  <si>
    <t>23-2020-GR-DRTCC</t>
  </si>
  <si>
    <t>27 SERVICIO DE MANTENIMIENTOS RUTINARIOS DE LAS REDES VIALES DEPARTAMENTALES NO PAVIMENTADAS DE COMPETENCIA DE LA DIRECCIÓN REGIONAL DE TRANSPORTES Y COMUNICACIONES CUSCO • ITEM I: MANTENIMIENTO RUTINARIO DE LA RED VIAL DEPARTAMENTAL O PAVIMENTADO - CU 118 TRAMO: HUANOQUITE -ABRA HUILLCACUNCA, DISTRITO DE HUANOQUITE – PARURO – CUSCO</t>
  </si>
  <si>
    <t>REGIMEN ESPECIAL</t>
  </si>
  <si>
    <t xml:space="preserve">
20490269941 - CONSORCIO RAYO DE SOL
</t>
  </si>
  <si>
    <t>28 SERVICIO DE MANTENIMIENTOS RUTINARIOS DE LAS REDES VIALES DEPARTAMENTALES NO PAVIMENTADAS DE COMPETENCIA DE LA DIRECCIÓN REGIONAL DE TRANSPORTES Y COMUNICACIONES CUSCO. ITEM II: SERVICIO DE MANTENIMIENTO RUTINARIO DE LA RED VIAL DEPARTAMENTAL O PAVIMENTADA - CU 131 TRAMO: KM 32+55 SUYKUTAMBO LD AREQUIPA - DISTRITO DE SUYKUTAMBO – ESPINAR - CUSCO</t>
  </si>
  <si>
    <t>20490835726 - LASOCIACIÓN PLAN SOLIDARIDAD VELILLE</t>
  </si>
  <si>
    <t>29 SERVICIO DE MANTENIMIENTOS RUTINARIOS DE LAS REDES VIALES DEPARTAMENTALES NO PAVIMENTADAS DE COMPETENCIA DE LA DIRECCIÓN REGIONAL DE TRANSPORTES Y COMUNICACIONES CUSCO. ITEM III: SERVICIO DE MANTENIMIENTO RUTINARIO DE LA RED VIAL DEPARTAMENTAL NO PAVIMENTADA - CU - 131 TRAMO: KM 0+00 (PE-3S G) (YAURI) PUENTE CENTRAL KM 32+55 SUYKUTAMBO - MULTIDISTRITAL ESPINAR-CUSCO</t>
  </si>
  <si>
    <t>20564260518 - ASOCIACION RURAL VIAL VIRGEN DEL CARMEN - ESPINAR</t>
  </si>
  <si>
    <t>30 SERVICIO DE MANTENIMIENTOS RUTINARIOS DE LAS REDES VIALES DEPARTAMENTALES NO PAVIMENTADAS DE COMPETENCIA DE LA DIRECCIÓN REGIONAL DE TRANSPORTES Y COMUNICACIONES CUSCO. ITEM IV: SERVICIO DE MANTENIMIENTO RUTINARIO DE LA RED VIAL DEPARTAMENTAL NO PAVIMENTADA – CU - 133 TRAMO: SANTA LUCIA – ACCOCUNCA - HECTOR TEJADA - MULTIDISTRITAL ESPINAR - CUSCO</t>
  </si>
  <si>
    <t>1-2020-GR-DRTCC-1</t>
  </si>
  <si>
    <t>20490835726 - ASOCIACIÓN PLAN SOLIDARIDAD VELILLE</t>
  </si>
  <si>
    <t>31 SERVICIO DE MANTENIMIENTOS RUTINARIOS DE LAS REDES VIALES DEPARTAMENTALES NO PAVIMENTADAS DE COMPETENCIA DE LA DIRECCIÓN REGIONAL DE TRANSPORTES Y COMUNICACIONES CUSCO. ITEM V SERVICIO DE MANTENIMIENTO RUTINARIO DE LA RED VIAL DEPARTAMENTAL NO PAVIMENTADA - CU-133 TRAMO: HECTOR TEJADA – CCOCOTA - DISTRITO DE PALLPATA – ESPINAR - CUSCO</t>
  </si>
  <si>
    <t>20564044068 - CONSORCIO VIAL JHONCITO</t>
  </si>
  <si>
    <t>32 SERVICIO DE MANTENIMIENTOS RUTINARIOS DE LAS REDES VIALES DEPARTAMENTALES NO PAVIMENTADAS DE COMPETENCIA DE LA DIRECCIÓN REGIONAL DE TRANSPORTES Y COMUNICACIONES CUSCO. ITEM VI: SERVICIO DE MANTENIMIENTO RUTINARIO DE LA RED VIAL DEPARTAMENTAL NO PAVIMENTADA – CU - 134 TRAMO: CCOCOTA - ACCO APACHETA DISTRITO DE PALLPATA – ESPINAR - CUSCO</t>
  </si>
  <si>
    <t>20564248496 - ASOCIACIÓN RURAL VIAL SERMACO - PG</t>
  </si>
  <si>
    <t>33 SERVICIO DE MANTENIMIENTOS RUTINARIOS DE LAS REDES VIALES DEPARTAMENTALES NO PAVIMENTADAS DE COMPETENCIA DE LA DIRECCIÓN REGIONAL DE TRANSPORTES Y COMUNICACIONES CUSCO. ITEM VII: SERVICIO DE MANTENIMIENTO RUTINARIO DE LA RED VIAL DEPARTAMENTAL NO PAVIMENTADA - CU - 116 TRAMO: OCONGATE – PAYAJANA -MULTIDISTRITAL CUSCO</t>
  </si>
  <si>
    <t>20490695533 - ASOCIACION RURAL VIAL DE MANTENIMIENTO DE CARRETERA APU JAHUAYCATE CHILLCA PITUMARCA</t>
  </si>
  <si>
    <t>34 SERVICIO DE MANTENIMIENTOS RUTINARIOS DE LAS REDES VIALES DEPARTAMENTALES NO PAVIMENTADAS DE COMPETENCIA DE LA DIRECCIÓN REGIONAL DE TRANSPORTES Y COMUNICACIONES CUSCO.ITEM VIII: SERVICIO DE MANTENIMIENTO RUTINARIO DE LA RED VIAL DEPARTAMENTAL NO PAVIMENTADA - CU 116 TRAMO: PAYAJANA - DV QUESCAY DISTRITO DE PAUCARTAMBO – CUSCO</t>
  </si>
  <si>
    <t>20358462473 - ASOCIACION RURAL VIAL PAITITI</t>
  </si>
  <si>
    <t>35 SERVICIO DE MANTENIMIENTOS RUTINARIOS DE LAS REDES VIALES DEPARTAMENTALES NO PAVIMENTADAS DE COMPETENCIA DE LA DIRECCIÓN REGIONAL DE TRANSPORTES Y COMUNICACIONES CUSCO. ITEM IX: SERVICIO DE MANTENIMIENTO RUTINARIO DE LA RED VIAL DEPARTAMENTAL NO PAVIMENTADA – CU - 116 TRAMO: DV QUESCAY - PAUCARTAMBO-DISTRITO DE PAUCARTAMBO - CUSCO</t>
  </si>
  <si>
    <t>36 SERVICIO DE MANTENIMIENTOS RUTINARIOS DE LAS REDES VIALES DEPARTAMENTALES NO PAVIMENTADAS DE COMPETENCIA DE LA DIRECCIÓN REGIONAL DE TRANSPORTES Y COMUNICACIONES CUSCO. ITEM X: SERVICIO DE MANTENIMIENTO RUTINARIO DE LA RED VIAL DEPARTAMENTAL NO PAVIMENTADA - CU - 117 TRAMO: PILLPINTO – ACOMAYO –MULTIDISTRITAL – CUSCO</t>
  </si>
  <si>
    <t>20601227968 - PITUSIRAY CONTRATISTAS GENERALES S.A.C.</t>
  </si>
  <si>
    <t>37 SERVICIO DE MANTENIMIENTOS RUTINARIOS DE LAS REDES VIALES DEPARTAMENTALES NO PAVIMENTADAS DE COMPETENCIA DE LA DIRECCIÓN REGIONAL DE TRANSPORTES Y COMUNICACIONES CUSCO. ITEM XI: SERVICIO DE MANTENIMIENTO RUTINARIO DE LA RED VIAL DEPARTAMENTAL NO PAVIMENTADA – CU - 124 TRAMO: PITUMARCA - CP JAPURA  KILKA MULTIDISTRITAL – CANCHIS – CUSCO</t>
  </si>
  <si>
    <t>20527946094 - INGENIEROS CONTRATISTAS EN OBRAS CIVILES Y ELECTROMECANICAS EIRL</t>
  </si>
  <si>
    <t>38 SERVICIO DE MANTENIMIENTOS RUTINARIOS DE LAS REDES VIALES DEPARTAMENTALES NO PAVIMENTADAS DE COMPETENCIA DE LA DIRECCIÓN REGIONAL DE TRANSPORTES Y COMUNICACIONES CUSCO. ITEM XII: SERVICIO DE MANTENIMIENTO RUTINARIO DE LA RED VIAL DEPARTAMENTAL NO PAVIMENTADA – CU - 124 TRAMO: C.P JAPURA KILKA - EMP CU-125 C MULTIDISTRITAL – CANCHIS - CUSCO</t>
  </si>
  <si>
    <t>39 SERVICIO DE MANTENIMIENTOS RUTINARIOS DE LAS REDES VIALES DEPARTAMENTALES NO PAVIMENTADAS DE COMPETENCIA DE LA DIRECCIÓN REGIONAL DE TRANSPORTES Y COMUNICACIONES CUSCO. ITEM XIII: SERVICIO DE MANTENIMIENTO RUTINARIO DE LA RED VIAL DEPARTAMENTAL NO PAVIMENTADA - CU - 126 TRAMO: VELILLE - CONCHACOLLO - MULTIDISTRITAL – CHUMBIVILCAS - CUSCO</t>
  </si>
  <si>
    <t>40 SERVICIO DE MANTENIMIENTOS RUTINARIOS DE LAS REDES VIALES DEPARTAMENTALES NO PAVIMENTADAS DE COMPETENCIA DE LA DIRECCIÓN REGIONAL DE TRANSPORTES Y COMUNICACIONES CUSCO. ITEM XIV: SERVICIO DE MANTENIMIENTO RUTINARIO DE LA RED VIAL DEPARTAMENTAL NO PAVIMENTADA – CU - 126 TRAMO: CONCHACOLLO - CHAMACA MULTIDISTRITAL – CHUMBIVILCAS - CUSCO</t>
  </si>
  <si>
    <t>SERVICIO DE MANTENIMIENTO PERIODICO DE LA RED VIAL DEPARTAMENTAL NO PAVIMENTADA - CU-129 TRAMO: ACCHA - OMACHA - MULTIDISTRITAL - PARURO – CUSCO</t>
  </si>
  <si>
    <t xml:space="preserve">03-2020-GR- DRTCC -1 </t>
  </si>
  <si>
    <t>CONVOCATORIA</t>
  </si>
  <si>
    <t>SERVICIO DE MANTENIMIENTO PERIODICO DE LA RED VIAL DEPARTAMENTAL NO PAVIMENTADA - CU-129 TRAMO: SAHUA SAHUA - EMP CU 126 (LIVITACA) - MULTIDISTRITAL - PARURO - CHUMBIVILCAS - CUSCO</t>
  </si>
  <si>
    <t>04-2020-GR- DRTCC -1</t>
  </si>
  <si>
    <t>PRESENTACION DE DOCUMENTOS PARA FIRMA DE CONTRATO</t>
  </si>
  <si>
    <t>SERVICIO DE MANTENIMIENTO PERIODICO DE LA RED VIAL DEPARTAMENTAL NO PAVIMENTADA - CU-129 TRAMO: OMACHA - SAHUA SAHUA - MULTIDISTRITAL - PARURO – CUSCO</t>
  </si>
  <si>
    <t>05-2020-GR- DRTCC -1</t>
  </si>
  <si>
    <t>SERVICIO DE MANTENIMIENTO PERIODICO DE LA RED VIAL DEPARTAMENTAL NO PAVIMENTADA - CU-103 TRAMO: KUMPI RUSHIATO - IVOCHOTE - MANTALO - MULTIDISTRITAL - LA CONVENCIÓN - CUSCO</t>
  </si>
  <si>
    <t>06-2020-GR- DRTCC -1</t>
  </si>
  <si>
    <t xml:space="preserve">SERVICIO DE MANTENIMIENTO PERIODICO DE LA RED VIAL DEPARTAMENTAL NO PAVIMENTADA - CU-104 TRAMO: ABRA REINA - VAQUERIA, KM 48.00 AL KM 58.00 DISTRITO DE QUELLOUNO, PROVINCIA DE LA CONVENCIÓN REGION DEL CUSCO. </t>
  </si>
  <si>
    <t xml:space="preserve">07-2020-GR- DRTCC -1 </t>
  </si>
  <si>
    <t xml:space="preserve">CONSENTIMIENTO DE BUENA PRO </t>
  </si>
  <si>
    <t>SERVICIO DE MANTENIMIENTO PERIODICO DE LA RED VIAL DEPARTAMENTAL NO PAVIMENTADA - CU-104 TRAMO: ABRA REINA - VAQUERIA, KM 58.00 AL KM 73.00 DISTRITO DE QUELLOUNO, PROVINCIA DE LA CONVENCIÓN REGION DEL CUSCO.</t>
  </si>
  <si>
    <t xml:space="preserve">08-2020-GR- DRTCC -1 </t>
  </si>
  <si>
    <t>SERVICIO DE MANTENIMIENTO PERIODICO DE LA RED VIAL DEPARTAMENTAL NO PAVIMENTADA - CU-104 TRAMO: PUENTE LAMPACHACA - ABRA REYNA KM 23.00 AL KM 33.00 DISTRITO DE QUELLOUNO, PROVINCIA DE LA CONVENCIÓN REGIÓN DEL CUSCO</t>
  </si>
  <si>
    <t xml:space="preserve">09-2020-GR- DRTCC -1 </t>
  </si>
  <si>
    <t>SERVICIO DE MANTENIMIENTO PERIODICO DE LA RED VIAL DEPARTAMENTAL NO PAVIMENTADA - CU-104 TRAMO: PUENTE LAMPACHACA - ABRA REYNA KM 33.00 AL KM 48.00 DISTRITO DE QUELLOUNO, PROVINCIA DE LA CONVENCIÓN REGIÓN DEL CUSCO.</t>
  </si>
  <si>
    <t xml:space="preserve">10-2020-GR- DRTCC -1 </t>
  </si>
  <si>
    <t>SERVICIO DE MANTENIMIENTO PERIODICO DE LA RED VIAL DEPARTAMENTAL NO PAVIMENTADA - CU-106 TRAMO: ABRA YANAMAYO - KELKAYBAMBA - MULTIDISTRITAL - LA CONVENCION - CUSCO DESDE LA PROGRESIVA KM 45+380 AL KM 60+980</t>
  </si>
  <si>
    <t>12-2020-GR- DRTCC -1</t>
  </si>
  <si>
    <t>SERVICIO DE MANTENIMIENTO PERIODICO DE LA RED VIAL DEPARTAMENTAL NO PAVIMENTADA - CU-106 TRAMO: ABRA YANAMAYO - KELKAYBAMBA - MULTIDISTRITAL - LA CONVENCION - CUSCO DESDE LA PROGRESIVA KM 60+980 AL KM 102+900.</t>
  </si>
  <si>
    <t>13-2020-GR- DRTCC -1</t>
  </si>
  <si>
    <t>SERVICIO DE MANTENIMIENTO PERIODICO DE LA RED VIAL DEPARTAMENTAL NO PAVIMENTADA TRAMO: EMP. PE 28B (OLLANTAYTAMBO) - ABRA YANAMAYO - MULTIDISTRITAL - URUBAMBA - CUSCO TRAMO: KM 27+230 AL KM 45+380.</t>
  </si>
  <si>
    <t>14-2020-GR- DRTCC -1</t>
  </si>
  <si>
    <t>SERVICIO DE MANTENIMIENTO PERIODICO DE LA RED VIAL DEPARTAMENTAL NO PAVIMENTADA TRAMO: EMP. PE 28B (OLLANTAYTAMBO) - ABRA YANAMAYO - MULTIDISTRITAL - URUBAMBA - CUSCO DESDE LA PROGRESIVA KM 00 AL KM 27+230.</t>
  </si>
  <si>
    <t>15-2020-GR- DRTCC -1</t>
  </si>
  <si>
    <t>SERVICIO DE MANTENIMIENTO PERIODICO DE LA RED VIAL DEPARTAMENTAL NO PAVIMENTADA CU-106 TRAMO: ABRA YANAMAYO - KELKAYBAMBA - MULTIDISTRITAL - LA CONVENCION - CUSCO DESDE LA PROGRESIVA KM 103+360 AL KM 120+160</t>
  </si>
  <si>
    <t>16-2020-GR- DRTCC -1</t>
  </si>
  <si>
    <t>SERVICIO DE MANTENIMIENTO PERIODICO DE LA RED VIAL DEPARTAMENTAL NO PAVIMENTADA CU-106 TRAMO: ABRA YANAMAYO - KELKAYBAMBA - MULTIDISTRITAL - LA CONVENCION - CUSCO DESDE LA PROGRESIVA KM 120+160 AL KM 145+360</t>
  </si>
  <si>
    <t>17-2020-GR- DRTCC -1</t>
  </si>
  <si>
    <t>SERVICIO DE MANTENIMIENTO PERIODICO DE LA RED VIAL DEPARTAMENTAL NO PAVIMENTADA - CU-104 TRAMO I: VAQUERIA-SAN MARTIN KM 73.00 AL KM 79.80 DISTRITO DE QUELLOUNO, PROVINCIA DE LA CONVENCIÓN REGIÓN DEL CUSCO.</t>
  </si>
  <si>
    <t xml:space="preserve">ADJUDICACION SIMPLIFICADA </t>
  </si>
  <si>
    <t>012-2020-GR- DRTCC -1</t>
  </si>
  <si>
    <t>SERVICIO DE MANTENIMIENTO PERIODICO DE LA RED VIAL DEPARTAMENTAL NO PAVIMENTADA - CU-104 TRAMO: VAQUERIA - SAN MARTIN KM 79.80 AL KM 87.00 DISTRITO DE QUELLOUNO, PROVINCIA DE LA CONVENCIÓN REGIÓN DEL CUSCO</t>
  </si>
  <si>
    <t>25-2020-GR- DRTCC -1</t>
  </si>
  <si>
    <t>SERVICIO DE MANTENIMIENTOS RUTINARIOS DE LAS REDES VIALES DEPARTAMENTALES NO PAVIMENTADAS DE COMPETENCIA DE LA DIRECCIÓN REGIONAL DE TRANSPORTES Y COMUNICACIONES CUSCO.</t>
  </si>
  <si>
    <t>PROCEDIMIENTO  ESPECIAL</t>
  </si>
  <si>
    <t>01-2020-GR- DRTCC -1</t>
  </si>
  <si>
    <t>EJECUSION</t>
  </si>
  <si>
    <t>CONSULTORÍA DE SUPERVISION PARA LA OBRA: MANTENIMIENTO PERIODICO DE LA RED VIAL DEPARTAMENTAL NO PAVIMENTADA -CU-103 TRAMO: KUMPI RUSHIATO - IVOCHOTE - MANTALO - MULTIDISTRITAL – LA CONVENCIÓN – CUSCO.</t>
  </si>
  <si>
    <t>013-2020-GR- DRTCC -2</t>
  </si>
  <si>
    <t>2DA CONVOCATORIA</t>
  </si>
  <si>
    <t>SERVICIO DE SUPERVISION PARA LA OBRA: MANTENIMIENTO PERIODICO DE LA RED VIAL DEPARTAMENTAL NO PAVIMENTADA -CU-129 TRAMO I: ACCHA OMACHA - MULTIDISTRITAL - PARURO – CUSCO.</t>
  </si>
  <si>
    <t>014-2020-GR- DRTCC -2</t>
  </si>
  <si>
    <t>SERVICIO DE SUPERVISION PARA LA OBRA: MANTENIMIENTO PERIODICO DE LA RED VIAL DEPARTAMENTAL NO PAVIMENTADA -CU-129 TRAMO : OMACHA - SAHUA SAHUA - MULTIDISTRITAL - PARURO – CUSCO</t>
  </si>
  <si>
    <t>015-2020-GR- DRTCC -2</t>
  </si>
  <si>
    <t>SERVICIO DE SUPERVISION PARA LA OBRA: MANTENIMIENTO PERIODICO DE LA RED VIAL DEPARTAMENTAL NO PAVIMENTADA -CU-129 TRAMO : OMACHA - SAHUA SAHUA - EMP. CU-126 (LIVITACA) - MULTIDISTRITAL - PARURO - CHUMBIVILCAS – CUSCO.</t>
  </si>
  <si>
    <t>016-2020-GR- DRTCC -2</t>
  </si>
  <si>
    <t>SERVICIO DE SUPERVISION PARA LA OBRA: MANTENIMIENTO PERIODICO DE LA RED VIAL DEPARTAMENTAL NO PAVIMENTADA -CU-106 TRAMO: ABRA YANAMAYO - KELJAYBAMBA - MULTIDISTRITAL - LA CONVENCION - CUSCO DESDE LA PROGRESIVA KM 45+380 AL KM 60+980.</t>
  </si>
  <si>
    <t>017-2020-GR- DRTCC -2</t>
  </si>
  <si>
    <t>SERVICIO DE SUPERVISION PARA LA OBRA: MANTENIMIENTO PERIODICO DE LA RED VIAL DEPARTAMENTAL NO PAVIMENTADA -CU-106 TRAMO: ABRA YANAMAYO - KELJAYBAMBA - MULTIDISTRITAL - LA CONVENCION - CUSCO, DESDE LA PROGRESIVA KM 60+980 @ KM 102+900.</t>
  </si>
  <si>
    <t>018-2020-GR- DRTCC -2</t>
  </si>
  <si>
    <t>SERVICIO DE SUPERVISION PARA LA OBRA: MANTENIMIENTO PERIODICO DE LA RED VIAL DEPARTAMENTAL NO PAVIMENTADA -CU-106 TRAMO: EMP. PE 28B (OLLANTAYTAMBO) - ABRA YANAMAYO - MULTIDISTRITAL - URUBAMBA - CUSCO TRAMO KM 27+230 @ KM 45+380</t>
  </si>
  <si>
    <t>019-2020-GR- DRTCC -2</t>
  </si>
  <si>
    <t>SERVICIO DE SUPERVISION PARA LA OBRA: MANTENIMIENTO PERIODICO DE LA RED VIAL DEPARTAMENTAL NO PAVIMENTADA -CU-106 TRAMO: EMP PE 28B (OLLANTAYTAMBO) - ABRA YANAMAYO - MULTIDISTRITAL - URUBAMBA - CUSCO, DESDE LA PROGRESIVA KM 00 @ KM 27+230</t>
  </si>
  <si>
    <t>020-2020-GR- DRTCC -2</t>
  </si>
  <si>
    <t>SERVICIO DE SUPERVISION PARA LA OBRA: MANTENIMIENTO PERIODICO DE LA RED VIAL DEPARTAMENTAL NO PAVIMENTADA -CU-106 TRAMO: ABRA YANAMAYO - KELJAYBAMBA - MULTIDISTRITAL - LA CONVENCIÓN - CUSCO, DESDE LA PROGRESIVA KM 103+360 @ KM 120+160</t>
  </si>
  <si>
    <t>021-2020-GR- DRTCC -2</t>
  </si>
  <si>
    <t>SERVICIO DE SUPERVISION PARA LA OBRA: MANTENIMIENTO PERIODICO DE LA RED VIAL DEPARTAMENTAL NO PAVIMENTADA -CU-106 TRAMO: ABRA YANAMAYO - KELJAYBAMBA - MULTIDISTRITAL - LA CONVENCIÓN - CUSCO, DESDE LA PROGRESIVA KM 120+160 @ KM 145+360</t>
  </si>
  <si>
    <t>022-2020-GR- DRTCC -2</t>
  </si>
  <si>
    <t>SERVICIO DE CONSTRUCCION DE COBERTURA EN EL PARQUE TEMATICO DE EDUCACION Y SEGURIDAD VIAL DE LA DIRECCION REGIONAL DE TRANSPORTES Y COMUNICACIONES CUSCO</t>
  </si>
  <si>
    <t>026-2020-GR- DRTCC -2</t>
  </si>
  <si>
    <t>CONTRATACIÓN DE SUMINISTRO DE MEZCLA ASFÁLTICA EN CALIENTE PARA EL MANTENIMIENTO RUTINARIO MECANIZADO RUTA CU 119, TRAMO MUYUORCCO-COLQUEMARCA-SANTO TOMAS DE LA PROVINCIA DE CHUMBIVILCAS-CUSCO</t>
  </si>
  <si>
    <t xml:space="preserve">LICITACION PUBLICA </t>
  </si>
  <si>
    <t>02-2020-GR- DRTCC -1</t>
  </si>
  <si>
    <t xml:space="preserve">CONVOCATORIA </t>
  </si>
  <si>
    <t xml:space="preserve">ADQUISICION DE EQUIPOS PARA LAS ESTACIONES PACC, CPACC Y HF DE LAS DIFERENTES REPETIDORAS DE TV PERU Y RADIO NACIONAL DENTRO DE LA REGION DEL CUSCO. </t>
  </si>
  <si>
    <t>S/.494,000.00</t>
  </si>
  <si>
    <t>SERVICIO DE ELABORACION DEL ESTUDIO DE IMPACTO AMBIENTAL Y CERTIFICACION DEL PROYCETO “MEJORAMIENTO DEL SERVICIO DE TRANSITABILIDAD VEHICULAR DE LA CARRETERA DEPARTAMENTAL CU-104 EN EL TRAMO AMPARAES -PUENTE TAHUIS, DISTRITO DE YANATILE-LARES, PROVINCIA DE CALCA-CUSCO</t>
  </si>
  <si>
    <t>027-2020-GR-DRTCC-1</t>
  </si>
  <si>
    <t>S/. 287,000.00</t>
  </si>
  <si>
    <t>CONTRATACION DE CEMENTO POTLAND TIPO I PARA LA OBRA CONSTRUCCION DEL PUENTE SAN JUAN SOBRE EL RIO APURIMAC DISTRITO DE PUMACANCHI Y LIVITACA</t>
  </si>
  <si>
    <t>SUBASTA INVERSA  ELECTRONICA</t>
  </si>
  <si>
    <t>001-2020-GR-DRTCC-1</t>
  </si>
  <si>
    <t>S/. 70,380.00</t>
  </si>
  <si>
    <t>BUENA PRO</t>
  </si>
  <si>
    <t>CONTRATACION DE ACERO CORRUGADO PARA LA OBRA CONSTRUCCION DEL PUENTE SAN JUAN SOBRE EL RIO APURIMAC DISTRITO DE PUMACANCHI Y LIVITACA</t>
  </si>
  <si>
    <t>002-2020-GR-DRTCC-1</t>
  </si>
  <si>
    <t>S/. 66,234.00</t>
  </si>
  <si>
    <t>CONTRATACION DE AGREGADO PARA LA OBRA CONSTRUCCION DEL PUENTE SAN JUAN SOBRE EL RIO APURIMAC DISTRITO DE PUMACANCHI Y LIVITACA</t>
  </si>
  <si>
    <t>003-2020-GR-DRTCC-1</t>
  </si>
  <si>
    <t>S/. 73,840.00</t>
  </si>
  <si>
    <t>SERVICIO DE SUPERVISION PARA EL MANTENIMIENTO PERIODICO DEL CAMINO DEPARTAMENTAL CU-117 (LLAULLICASA) – MANTO PARPAY – CHIFYA – EMP CU-1516 (PUENTE MOLLE MOLLE), DISTRITO DE HUANOQUITE-PROVINCIA DE PARURO-CUSCO</t>
  </si>
  <si>
    <t>02-2020-GR-DRTCC-1</t>
  </si>
  <si>
    <t>S/. 83,723.29</t>
  </si>
  <si>
    <t>SERVICIO DE MANTENIMIENTO PERIODICO DEL CAMINO DEPARTAMENTAL TRAMO EMP. CU-117 (LLAULLICASA)-MANTO PARPAY-CHIFYA-EMP- CU-1516 (PUENTE MOLLE MOLLE)-DISTRITO DE HUANOQUITE-PARURO-CUSCO</t>
  </si>
  <si>
    <t xml:space="preserve">PROCEDIMIENTO ESPECIAL </t>
  </si>
  <si>
    <t>03-2020-GR-DRTCC-1</t>
  </si>
  <si>
    <t>S/. 753,585.71</t>
  </si>
  <si>
    <t>CONVOCATIRIA</t>
  </si>
  <si>
    <t>SERVICIO DE MANTENIMIENTO PERIODICO DEL CAMINO DEPARTAMENTAL CU-122 TRAMO EMP. CU-117 (PUENTE HUARANCALLA)-SARAMAYO-COLCHA EN EL DISTRITO DE COLCHA-PARURO-CUSCO</t>
  </si>
  <si>
    <t>04-2020-GR-DRTCC-1</t>
  </si>
  <si>
    <t>S/. 381,703.59</t>
  </si>
  <si>
    <t>UNIDAD  EJECUTORA 300: EDUCACION CUSCO</t>
  </si>
  <si>
    <t>SERVICIO DE CONSULTORIA INSTRUMENTOS DE GESTION</t>
  </si>
  <si>
    <t>ADJUDICACION DE MENOR CUANTIA</t>
  </si>
  <si>
    <t>VARIOS PROVEEDORES</t>
  </si>
  <si>
    <t>CULMINADO</t>
  </si>
  <si>
    <t>SERVICIO DE PLATAFORMA VIRTUAL PARA IESP</t>
  </si>
  <si>
    <t>AS-SM-6-2019</t>
  </si>
  <si>
    <t>JIREH BUSSINES TECHNOLOGY RUC: 20490409549</t>
  </si>
  <si>
    <t xml:space="preserve">CONTRATACION DEL SERVICIO DE EJECUCION DE EXPEDIENTES TECNICOS  </t>
  </si>
  <si>
    <t>AS-SM-7-2019</t>
  </si>
  <si>
    <t>LAYO CONSTRUCTORA Y SERVICIOS RUC: 20601973406</t>
  </si>
  <si>
    <t>ADQUISICION DE MOBILIARIO PARA PARA LA EJECUCION DEL PLAN DE FORTALECIMIENTO</t>
  </si>
  <si>
    <t>AS-SM-8-2019</t>
  </si>
  <si>
    <t>MUEBLES Y DECORACIONES URPI RUC: 20484996602</t>
  </si>
  <si>
    <t>ERVICIO DE EJECUCION DE EXPEDIENTES TECNICOS PARA EL SERVICIO DE MANTENIMIENTO</t>
  </si>
  <si>
    <t>AS-SM-9-2019</t>
  </si>
  <si>
    <t>VISA COMPANY RUC: 20601858917</t>
  </si>
  <si>
    <t>CONTRATACION DEL SERVICIO DE EJECUCION DE EXPEDIENTE TECNICO PARA LA CONFECCION E INSTALACION DE JUEGOS INFANTILES</t>
  </si>
  <si>
    <t>AS-11-2019</t>
  </si>
  <si>
    <t>CONTRATACION DE EXPEDIENTES TECNICOS</t>
  </si>
  <si>
    <t>AS-10-2019</t>
  </si>
  <si>
    <t>SERVICIO DE SEGURIDAD Y VIGILANCIA IESP VILCANOTA</t>
  </si>
  <si>
    <t>AS-01-2020</t>
  </si>
  <si>
    <t>EN PROCESO</t>
  </si>
  <si>
    <t>SERVICIO DE SEGURIDAD Y VIGILANCIA IESP CLORINDA</t>
  </si>
  <si>
    <t>AS-02-2020</t>
  </si>
  <si>
    <t>ADQUISICION DE EQUIPOS MEDICOS</t>
  </si>
  <si>
    <t>AS-03-2020</t>
  </si>
  <si>
    <t>UNIDAD  EJECUTORA 302: EDUCACION CANCHIS</t>
  </si>
  <si>
    <t>MATERIAL FUNGIBLE PARA LA ATENCION A IIEE DEL AMBITO DE LA UGEL CANCHIS.
SEGÚN MEMORANDUM Nº 1716-2019/GR-C/DRE-C/UGEL-C/J-AGA.</t>
  </si>
  <si>
    <t>ACUERDO MARCO</t>
  </si>
  <si>
    <t>ORDINARIO</t>
  </si>
  <si>
    <t>S/N</t>
  </si>
  <si>
    <t>MATERIAL DIDACTICO Y LIMPIEZA PARA LA ATENCION A IIEE DEL AMBITO DE LA UGEL CANCHIS.</t>
  </si>
  <si>
    <t>CONCLUIDO</t>
  </si>
  <si>
    <t>L DIDACTICO Y LIMPIEZA PARA LA ATENCION A IIEE DEL AMBITO DE LA UGEL CANCHIS. SEGÚN MEMORANDUM Nº1720-2019/GR-C/DRE-C/UGEL-C/J-AGA.</t>
  </si>
  <si>
    <t>MATERIAL DIDACTICO, ESCRITORIO Y LIMPIEZA PARA LA ATENCION A IIEE DEL AMBITO DE LA UGEL CANCHIS.</t>
  </si>
  <si>
    <t xml:space="preserve">MATERIAL DIDACTICO, ESCRITORIO Y LIMPIEZA PARA LA ATENCION A IIEE DEL AMBITO DE LA UGEL CANCHIS. </t>
  </si>
  <si>
    <t>DISTRIBUCION DE MATERIAL DIDACTICO (ASEO Y LIMPIEZA)  PARA LA DISTRIBUCION A II.EE. DEL AMBITO DE LA UGEL CANCHIS</t>
  </si>
  <si>
    <t>ADJUDICACION
SIMPLIFICADA</t>
  </si>
  <si>
    <t>MATERIAL FUNGIBLE DOTACION 2019 PARA LAS IIEE DEL AMBITO DE NIVEL INICIAL, PRONOEI, PRIMARIA Y SECUNDARIA DEL AMBITO DE LA UGEL CANCHIS.</t>
  </si>
  <si>
    <t>MATERIAL DIDACTICO, ESCRITORIO Y LIMPIEZA PARA LA ATENCION A IIEE DEL AMBITO DE LA UGEL CANCHIS, SEGUN MEMORANDUM Nº 528-2019/GR-C/DRE-C/UGEL-C</t>
  </si>
  <si>
    <t>MATERIAL DIDACTICO, ESCRITORIO Y LIMPIEZA PARA LA ATENCION A IIEE DEL AMBITO DE LA UGEL CANCHIS. SEGÚN MEMORANDUM Nº869-2019/GR-C/DRE-C/UGEL-C/J-AGA.</t>
  </si>
  <si>
    <t xml:space="preserve"> MATERIAL DIDACTICO, ESCRITORIO Y LIMPIEZA PARA LA ATENCION A IIEE DEL AMBITO DE LA UGEL CANCHIS. SEGÚN MEMORANDUM Nº869-2019/GR-C/DRE-C/UGEL-C/J-AGA.</t>
  </si>
  <si>
    <t xml:space="preserve"> MATERIAL DIDACTICO, ESCRITORIO Y LIMPIEZA PARA LA ATENCION A IIEE DEL AMBITO DE LA UGEL CANCHIS.
</t>
  </si>
  <si>
    <t>MATERIAL DIDACTICO, ESCRITORIO Y LIMPIEZA PARA LA ATENCION A IIEE DEL AMBITO DE LA UGEL CANCHIS</t>
  </si>
  <si>
    <t>MATERIAL DIDACTICO, ESCRITORIO Y LIMPIEZA PARA LA ATENCION A IIEE DEL AMBITO DE LA UGEL CANCHIS, SEGUN MEMORANDUM Nº 869-2019/GR-C/DRE-C/UGEL-C/J-AGA.</t>
  </si>
  <si>
    <t>ADQUISICION DE MATERIAL FUNGIBLE PARA LAS IIEE DEL NIVEL PRONOEI, INICIAL, PRIMARIA, SECUNDARIA, CEBA Y CETPRO DEL AMBITO DEL LA UGEL CANCHIS.</t>
  </si>
  <si>
    <t>ADQUISICION DE MATERIAL FUNGIBLE PARA LAS IIEE DEL NIVEL PRONOEI, INICIAL, PRIMARIA, SECUNDARIA, CEBA Y CETPRO DEL AMBITO DEL LA UGEL CANCHIS</t>
  </si>
  <si>
    <t xml:space="preserve"> MATERIAL DIDACTICO Y LIMPIEZA PARA LA ATENCION A IIEE DEL AMBITO DE LA UGEL CANCHIS. SEGÚN MEMORANDUM Nº1720-2019/GR-C/DRE-C/UGEL-C/J-AGA.</t>
  </si>
  <si>
    <t xml:space="preserve"> ADQUISICION DE MATERIAL FUNGIBLE PARA LAS IIEE DEL AMBITO DE LA UGEL CANCHIS.</t>
  </si>
  <si>
    <t xml:space="preserve"> ADQUISICION DE MATERIAL FUNGIBLE PARA LAS IIEE DEL AMBITO DE LA UGEL CANCHIS. SEGUN MEMORANDUM Nº 2032-2019/GR-C/DRE-C/UGEL-C/J-AGA.</t>
  </si>
  <si>
    <t>ADQUISICION DE MATERIAL FUNGIBLE, MATERIAL DE LIMPIEZA, MATERIAL DE COCINA PARA EL AMBITO DE LA UGEL CANCHIS.</t>
  </si>
  <si>
    <t xml:space="preserve"> ADQUISICION DE MATERIAL FUNGIBLE, MATERIAL DE LIMPIEZA, MATERIAL DE COCINA PARA EL AMBITO DE LA UGEL CANCHIS. SEGUN MEMORANDUM Nº 1485-2019/GR-C/DRE-C/UGEL-C/J-AGA.</t>
  </si>
  <si>
    <t>DIDACTICO, ESCRITORIO Y LIMPIEZA PARA LA ATENCION A IIEE DEL AMBITO DE LA UGEL CANCHIS</t>
  </si>
  <si>
    <t xml:space="preserve"> DIDACTICO, ESCRITORIO Y LIMPIEZA PARA LA ATENCION A IIEE DEL AMBITO DE LA UGEL CANCHIS, SEGUN MEMORANDUM Nº 869-2019/GR-C/DRE-C/UGEL-C/J-AGA.</t>
  </si>
  <si>
    <t>FUNGIBLE PARA PROGRAMAS NO ESCOLARIZADOS DE PRONOEI DEL NIVEL DE EDUCACION INICIAL 2019.</t>
  </si>
  <si>
    <t xml:space="preserve"> MATERIAL DIDACTICO, ESCRITORIO Y LIMPIEZA PARA LA ATENCION A IIEE DEL AMBITO DE LA UGEL CANCHIS. SEGÚN MEMORANDUM Nº 528-2019/GR-C/DRE-C/UGEL-C/J-AGA.</t>
  </si>
  <si>
    <t xml:space="preserve"> MATERIAL DIDACTICO, ESCRITORIO Y LIMPIEZA PARA LA ATENCION A IIEE DEL AMBITO DE LA UGEL CANCHIS</t>
  </si>
  <si>
    <t>SERVICIO DE TRANSPORTE PARA ENTREGA DE MATERIAL EDUCATIVO Y FUNGIBLE</t>
  </si>
  <si>
    <t>1</t>
  </si>
  <si>
    <t xml:space="preserve"> MATERIAL DIDACTICO, ESCRITORIO Y LIMPIEZA PARA LA ATENCION A IIEE DEL AMBITO DE LA UGEL </t>
  </si>
  <si>
    <t>EN PROCESO PARA EL 2021</t>
  </si>
  <si>
    <t xml:space="preserve"> MATERIAL DIDACTICO, ESCRITORIO Y LIMPIEZA PARA LA ATENCION A IIEE DEL AMBITO DE LA UGEL CANCHIS. </t>
  </si>
  <si>
    <t>2</t>
  </si>
  <si>
    <t>3</t>
  </si>
  <si>
    <t>4</t>
  </si>
  <si>
    <t xml:space="preserve">ADQUISICION DE MATERIAL FUNGIBLE PARA LAS IIEE DEL NIVEL PRONOEI, INICIAL, PRIMARIA, SECUNDARIA, </t>
  </si>
  <si>
    <t>5</t>
  </si>
  <si>
    <t>6</t>
  </si>
  <si>
    <t>7</t>
  </si>
  <si>
    <t xml:space="preserve"> ADQUISICION DE MATERIAL FUNGIBLE, MATERIAL DE LIMPIEZA, MATERIAL DE COCINA PARA EL AMBITO DE LA UGEL CANCHIS</t>
  </si>
  <si>
    <t>8</t>
  </si>
  <si>
    <t>ADQUISICION DE MATERIAL FUNGIBLE, MATERIAL DE LIMPIEZA, MATERIAL DE COCINA PARA EL AMBITO DE LA UGEL CANCHIS</t>
  </si>
  <si>
    <t>ADQUISICION DE ALIMENTOS "APOYO ALIMENTARIO" COMPRENDIDOS EN EL DECRETO LEGISLATIVO 276 DE SEBE UGEL CANCHIS, PARA EL AÑO 2021</t>
  </si>
  <si>
    <t>SUBASTA INVERSA
ELECTRONICA</t>
  </si>
  <si>
    <t>ADQUISICION DE ALIMENTOS</t>
  </si>
  <si>
    <t>ADQUISICION DE MATERIAL FUNGIBLE DOTACION 2020 PARA LAS IIEE DEL NIVEL INICIAL, PRONOEI, PRIMARIA Y SECUNDARIA DEL AMBITO DE LA UGEL CANCHIS.</t>
  </si>
  <si>
    <t>9</t>
  </si>
  <si>
    <t>10</t>
  </si>
  <si>
    <t>ADQUISICION DE RECOGEDORES, PARA LAS II.EE. DEL AMBITO DE LA UGEL CANCHIS.</t>
  </si>
  <si>
    <t>11</t>
  </si>
  <si>
    <t xml:space="preserve"> ADQUISICION DE JABON LIQUIDO DE  1000 ML, POR CATALOGO ELECTRONICO DE ACUEDO MARCO- PERU COMPRAS</t>
  </si>
  <si>
    <t>12</t>
  </si>
  <si>
    <t>ADQUISICION DE JABON LIQUIDO DE  1000 ML, POR CATALOGO ELECTRONICO DE ACUEDO MARCO- PERU COMPRAS</t>
  </si>
  <si>
    <t>13</t>
  </si>
  <si>
    <t>ADQUISICION DE MATERIAL FUNGIBLE DOTACION 2021 PARA LAS IIEE DEL NIVEL INICIAL, PRONOEI, PRIMARIA Y SECUNDARIA DEL AMBITO DE LA UGEL CANCHIS.</t>
  </si>
  <si>
    <t xml:space="preserve"> ADQUISICION DE MATERIAL FUNGIBLE, MATERIAL DE LIMPIEZA, MATERIAL DE COCINA PARA EL AMBITO DE LA UGEL CANCHIS. </t>
  </si>
  <si>
    <t xml:space="preserve"> MATERIAL FUNGIBLE PARA LA ATENCION A IIEE DEL AMBITO DE LA UGEL CANCHIS.</t>
  </si>
  <si>
    <t>MATERIAL FUNGIBLE PARA LA ATENCION A IIEE DEL AMBITO DE LA UGEL CANCHIS.</t>
  </si>
  <si>
    <t xml:space="preserve">MATERIAL DIDACTICO Y LIMPIEZA PARA LA ATENCION A IIEE DEL AMBITO DE LA UGEL CANCHIS. </t>
  </si>
  <si>
    <t>MATERIAL DIDACTICO, ESCRITORIO Y LIMPIEZA PARA LA ATENCION A IIEE DEL AMBITO DE LA UGEL CANCHIS,</t>
  </si>
  <si>
    <t>UNIDAD  EJECUTORA 303: EDUCACION QUISPICANCHIS</t>
  </si>
  <si>
    <t>CONTRATACION DE SERVICIO DE TRANSPORTE Y DISTRIBUCION DE MATERIALES EDUCATIVOS Y FUNGIBLES</t>
  </si>
  <si>
    <t>PROCEDIMIENTO ELECTRONICO</t>
  </si>
  <si>
    <t>COMPRE AS-SM-1-2019-UGEL-Q</t>
  </si>
  <si>
    <t>MENDOZA DIAZ JULIO</t>
  </si>
  <si>
    <t>ADQUISICION DE LIBROS DE BIBLIOTECADE AULA PARA LAS II EEE</t>
  </si>
  <si>
    <t>COMPRE AS-SM-2-2019-UGEL-Q</t>
  </si>
  <si>
    <t>CUSCO ANUNCIOS NEGOCIOS Y PUBLICIDAD S.A.C</t>
  </si>
  <si>
    <t>ADQUISICION DE CAJAS ORGANIZADORAS</t>
  </si>
  <si>
    <t>COMPARACION DE PRECIOS</t>
  </si>
  <si>
    <t>INDUSTRIAS GENERALES JAB KIDS S.A.C</t>
  </si>
  <si>
    <t>CULIMNADO</t>
  </si>
  <si>
    <t>ADQUISICION DE ESTANTES DE BIBLIOTECA DE AULA PARA LAS II EE DE JER DEL NIVEL SECUNDARIA</t>
  </si>
  <si>
    <t>COMPRE AS-SM-3-2019-UGEL-Q</t>
  </si>
  <si>
    <t>INVERSIONES &amp; MUEBLES PERU S.A.C</t>
  </si>
  <si>
    <t>ADQUISICION DE MOCHILAS PARA LOS ALUMNOS DOCENTES Y DIRECTORES DE LA UGEL QUISPICANCHI</t>
  </si>
  <si>
    <t>COMPRE AS-SM-4-2019-UGEL-Q148,566.20</t>
  </si>
  <si>
    <t>RAMMES S.A.C</t>
  </si>
  <si>
    <t xml:space="preserve">ADQUISICION DE KIT DEPORTIVO PARA EL AREA CURRICULAR DE EDUCACION FISICA DE LAS II EE </t>
  </si>
  <si>
    <t>COMPRE AS-SM-5-2019-UGEL-Q</t>
  </si>
  <si>
    <t>MULTISERVICIOS INTERNACIONALES SUDAMERICANA S.A.C</t>
  </si>
  <si>
    <t>29/112019</t>
  </si>
  <si>
    <t>ADQUISICION DE MATERIALE DIDACTICO PARA LAS II EE DE LA UGEL QUISPICANCHI</t>
  </si>
  <si>
    <t>COMPRE AS-SM7-2019-UGEL-Q</t>
  </si>
  <si>
    <t>INVERSIONES MULTISERVICIO JHOLIVE E.I.R.L</t>
  </si>
  <si>
    <t xml:space="preserve">TACHOS PARA LAS II EEE </t>
  </si>
  <si>
    <t>CCE</t>
  </si>
  <si>
    <t>PERU COMPRAS</t>
  </si>
  <si>
    <t>COMPRE A-2019-UGEL-Q</t>
  </si>
  <si>
    <t>ADVANCED TECNOLOGY R&amp;Y E.I.R.L</t>
  </si>
  <si>
    <t>ADQUUSIICON DE CUADERNOS DE KIT DEL DOCENTE</t>
  </si>
  <si>
    <t>GAMARRA MANRIQUE MAGDALENA</t>
  </si>
  <si>
    <t>ADQUISICION DE PLUMONES PARA EL KIT DE DOCENTE</t>
  </si>
  <si>
    <t>CORPORACION KMR PERU S.A.C</t>
  </si>
  <si>
    <t>ADQUISICION DE DETERGENTE GRANULADO</t>
  </si>
  <si>
    <t>ASP</t>
  </si>
  <si>
    <t>CATALOGO ELECTRONICO</t>
  </si>
  <si>
    <t>INVERSIONES LANH E.I.R.L</t>
  </si>
  <si>
    <t>ADQUSICION DE FOTOCOPIADORA FUNCIONAL</t>
  </si>
  <si>
    <t>PALOMINO APAZA PEDRO HECTOR</t>
  </si>
  <si>
    <t>ADQUISICION DE MALETINES TIPO MORRAL</t>
  </si>
  <si>
    <t>DISTRIBUCIONES GENERALES RUYERIS SCRL</t>
  </si>
  <si>
    <t>ADQUISICION DE PROYECTORES PARA LA UGEL QUISPICANCHI</t>
  </si>
  <si>
    <t>QUICK TECH S.A.C</t>
  </si>
  <si>
    <t>ADQUISICION DE CERA Y DESINFECTANTE PARA LAS II EE</t>
  </si>
  <si>
    <t>DE LA ROSA ANDRADE MIGUEL ANGEL</t>
  </si>
  <si>
    <t>ADQUSIICON DE CPU PARA LAS II EE</t>
  </si>
  <si>
    <t>INVERSIONES TECNOLOGICA DEL PERU S.A.C</t>
  </si>
  <si>
    <t xml:space="preserve">ADQUISICION DE ESTANTES DE BIBLIOTECA DE AULA PARA LAS II EE </t>
  </si>
  <si>
    <t>INVERSIONES&amp;MUEBLES PERU S.A.C</t>
  </si>
  <si>
    <t>ADQUISICION DE BLOCK MULTICOLOR PARA EL NIVEL INICIAL</t>
  </si>
  <si>
    <t>COMERCIAL GIOVA S.A</t>
  </si>
  <si>
    <t>ADQUSICION DE MOTAS Y PERFORADORES</t>
  </si>
  <si>
    <t>FERNANDEZ CORDOVA EULOGIO ALFREDO</t>
  </si>
  <si>
    <t>ADQUISICION DE PLUMONES PARA PIZARRA</t>
  </si>
  <si>
    <t>ADQUSICION DE CAJAS ORGANIZADORAS</t>
  </si>
  <si>
    <t>ADQUISICION DE DETERGENTE GRANULADO Y FRANELA</t>
  </si>
  <si>
    <t>ADQUISICION DE ENGRANPADOR GRANDE</t>
  </si>
  <si>
    <t>RAMIREZ MIRANDA LEONArdo</t>
  </si>
  <si>
    <t>ADQUISICION DE PAPEL ARCO IRIS</t>
  </si>
  <si>
    <t>ADQUSIICION DE MATERIAL FUNGIBLE</t>
  </si>
  <si>
    <t>PEÑA GARAY FERNANDO ALEJANDRO</t>
  </si>
  <si>
    <t>ADQUISICION DE CINTA Y PAPELOGRAFO BLANCO</t>
  </si>
  <si>
    <t>ADQUISICION DE PLUMON PUNTA GRUESA</t>
  </si>
  <si>
    <t>ADICIONAL DEL MATERIAL DEL KIT DEPORTIVO</t>
  </si>
  <si>
    <t>ADQUISICION DE CABALLETES</t>
  </si>
  <si>
    <t>COMPRE AS-SM-6-2019-UGEL-Q</t>
  </si>
  <si>
    <t>ALKAPI S.A.C</t>
  </si>
  <si>
    <t>ADQUISIICON DE JUGUETE SE SET DE COCINA PARA EL NIVEL INICIAL</t>
  </si>
  <si>
    <t>CASTOR SERVICIOS MULTIPLES E.I.R.L</t>
  </si>
  <si>
    <t>COMPRE AS-SM-1-2020-UGEL-Q</t>
  </si>
  <si>
    <t xml:space="preserve">ADQUISICION DE IMPLEMENTOS DE LIMPIEZA PARA LA SEDE E II EE </t>
  </si>
  <si>
    <t>COMPRE A-2020-UGEL-Q</t>
  </si>
  <si>
    <t>INGENIERIA MONCAT</t>
  </si>
  <si>
    <t>ADQUISICION DE TABLETAS PARA TRABAJO REMOTO DE LAS II EE NO FOCALIZADAS</t>
  </si>
  <si>
    <t>JL BUSINESS AND SERVICE S.A.C</t>
  </si>
  <si>
    <t>COMPUTER AND PRINTING SOLUTIONS S.A.C</t>
  </si>
  <si>
    <t>ADQUISICION DE BIDONES CON CAÑO DE 67.5 LITROS</t>
  </si>
  <si>
    <t>CDP</t>
  </si>
  <si>
    <t>ADQUISICION DE USB</t>
  </si>
  <si>
    <t>CHERO S.C.R.L</t>
  </si>
  <si>
    <t>CONTRATACION DE SERVICIO DE APLICACION DE LA PRUEBA RAPIDA COVID-19</t>
  </si>
  <si>
    <t>COTIZACION</t>
  </si>
  <si>
    <t>CUADRO COMPARATIVO</t>
  </si>
  <si>
    <t>UMSO PERU S.A.C</t>
  </si>
  <si>
    <t>COMPRE A-2021-UGEL-Q</t>
  </si>
  <si>
    <t>PROYECCION 2021</t>
  </si>
  <si>
    <t>COMPRE AS-2021-UGEL-Q</t>
  </si>
  <si>
    <t>UNIDAD  EJECUTORA 304: EDUCACION LA CONVENCION</t>
  </si>
  <si>
    <t>ADQUISICION DE PINCELES-COMPARACION DE PRECIOS</t>
  </si>
  <si>
    <t>Procedimiento de selección comparacion de precios</t>
  </si>
  <si>
    <t>SEACE COMPRE</t>
  </si>
  <si>
    <t>MULTISERVICIOS KASURI E.I.R.L.</t>
  </si>
  <si>
    <t>PAGADO</t>
  </si>
  <si>
    <t>ADQUISICION DE CAJAS DE PLASTICO RESISTENTE CON TAPA</t>
  </si>
  <si>
    <t>INDUSTRIA LANH COMPANY S.A.C.</t>
  </si>
  <si>
    <t>ADQUISICION DE KIT DE MATERIAL DIDÁCTICO PARA PRONOEIS REF. INFORME N° 170-ME/GRC/DRE-C/DUGEL-JUEGO DE COCINAS</t>
  </si>
  <si>
    <t>Adjudicacion Simplificada</t>
  </si>
  <si>
    <t>Seace Adjudicacion Simplificada</t>
  </si>
  <si>
    <t>CORPORACION KAPEM S.A.C.</t>
  </si>
  <si>
    <t>ADQUISICION DE KIT DE COCINA PARA PRONOEIS REF. REF. INFORME N° 168-ME/GRC/DRE-C/DUGEL-LC/AGP/E-COMPARACION DE PRECIOS</t>
  </si>
  <si>
    <t>MIMBELA RUIZ JUAN CARLOS</t>
  </si>
  <si>
    <t>ADQUISICION DE MATERIAL DIDACTICO PARA IIEE DE CREACION DE NIVEL INICIAL REF. INFORME N° 0171—ADJUDICACION SIMPLIFICADA</t>
  </si>
  <si>
    <t>CORPORACION TECNOLOGICA Y EQUIPAMIENTOS S.A.C.</t>
  </si>
  <si>
    <t>ADQUISICION DE MATERIAL FUNGIBLE-PINCELES</t>
  </si>
  <si>
    <t>GAMBOA CARBAJAL JUNIOR RONY</t>
  </si>
  <si>
    <t>ADQUSICION DE INSUMOS DE LIMPIEA Y CUIDADO PERSONAL POR EL ESTADO DE EMMERGENCIA DE ACUERDO AL DECRE</t>
  </si>
  <si>
    <t>ZAVALETA CHACCA RAMON</t>
  </si>
  <si>
    <t>MATERIAL DE LIMPIEZA</t>
  </si>
  <si>
    <t>CHIARA HUILLCA ANDELI</t>
  </si>
  <si>
    <t>EN PROSESO DE PAGO</t>
  </si>
  <si>
    <t xml:space="preserve">ADQUISICION DE MATERIAL DIDACTICO PARA IIEE DE CREACION DE NIVEL INICIAL </t>
  </si>
  <si>
    <t>ADQUISICION DE KIT DE COCINA PARA PRONOEIS</t>
  </si>
  <si>
    <t xml:space="preserve">SEACE </t>
  </si>
  <si>
    <t>UNIDAD  EJECUTORA 305: EDUCACION CHUMBIVILCAS</t>
  </si>
  <si>
    <t>ADQUISICION DE MATERIALES FUNJIBLES</t>
  </si>
  <si>
    <t xml:space="preserve">PERU COMPRAS </t>
  </si>
  <si>
    <t>001</t>
  </si>
  <si>
    <t>INVERSIONES CASSIN S. A. C.</t>
  </si>
  <si>
    <t>005</t>
  </si>
  <si>
    <t>MULTISERVICIOS &amp; INVERSIONES</t>
  </si>
  <si>
    <t>007</t>
  </si>
  <si>
    <t xml:space="preserve">SAMP CUSCO S. A. C. </t>
  </si>
  <si>
    <t>009</t>
  </si>
  <si>
    <t>ESCALANTE ROCA DILMARK</t>
  </si>
  <si>
    <t>011</t>
  </si>
  <si>
    <t>012</t>
  </si>
  <si>
    <t xml:space="preserve">WINLI S. A. C. </t>
  </si>
  <si>
    <t>013</t>
  </si>
  <si>
    <t>015</t>
  </si>
  <si>
    <t>SARAVIA AMAT BERTHA</t>
  </si>
  <si>
    <t>016</t>
  </si>
  <si>
    <t>ESQUERRE QUISPE LUIS ANTONIO</t>
  </si>
  <si>
    <t>017</t>
  </si>
  <si>
    <t>018</t>
  </si>
  <si>
    <t>019</t>
  </si>
  <si>
    <t xml:space="preserve">RAMIREZ MIRANDA LEONARDO </t>
  </si>
  <si>
    <t>020</t>
  </si>
  <si>
    <t>024</t>
  </si>
  <si>
    <t>027</t>
  </si>
  <si>
    <t xml:space="preserve">ALARCON CANCINOS VIVIAN </t>
  </si>
  <si>
    <t>028</t>
  </si>
  <si>
    <t>030</t>
  </si>
  <si>
    <t xml:space="preserve">PEÑA GARAY FERNANDO ALEJA </t>
  </si>
  <si>
    <t>032</t>
  </si>
  <si>
    <t>CRUZ COLLADO LUIS ALEJANDRO</t>
  </si>
  <si>
    <t>034</t>
  </si>
  <si>
    <t xml:space="preserve">SK SOLUCIONES INTEGRALES </t>
  </si>
  <si>
    <t>035</t>
  </si>
  <si>
    <t xml:space="preserve">INVERSIONES EMPRESARIALES </t>
  </si>
  <si>
    <t>037</t>
  </si>
  <si>
    <t xml:space="preserve">INTEC INFORMATICO S. A. C. </t>
  </si>
  <si>
    <t>040</t>
  </si>
  <si>
    <t xml:space="preserve">MULTISERVICIOS &amp; INVERSIONES </t>
  </si>
  <si>
    <t>041</t>
  </si>
  <si>
    <t>042</t>
  </si>
  <si>
    <t>044</t>
  </si>
  <si>
    <t xml:space="preserve">ADVANCED TECHNOLOGY R&amp;Y </t>
  </si>
  <si>
    <t>048</t>
  </si>
  <si>
    <t>053</t>
  </si>
  <si>
    <t>054</t>
  </si>
  <si>
    <t>055</t>
  </si>
  <si>
    <t>057</t>
  </si>
  <si>
    <t>060</t>
  </si>
  <si>
    <t xml:space="preserve">STOR CUSCO S. A. C. </t>
  </si>
  <si>
    <t>062</t>
  </si>
  <si>
    <t>064</t>
  </si>
  <si>
    <t>065</t>
  </si>
  <si>
    <t>DISTRIBUIDORA MULTI COMPUT</t>
  </si>
  <si>
    <t>066</t>
  </si>
  <si>
    <t>TELESYSTEM CORPORATION E. I. R. L.</t>
  </si>
  <si>
    <t>067</t>
  </si>
  <si>
    <t>068</t>
  </si>
  <si>
    <t>MULTISERVICIOS JOR Y HELJOS</t>
  </si>
  <si>
    <t>072</t>
  </si>
  <si>
    <t xml:space="preserve">MULTIBALON GAMA EMPRESA </t>
  </si>
  <si>
    <t>073</t>
  </si>
  <si>
    <t>076</t>
  </si>
  <si>
    <t>ADQUISICION DE COMBUSTIBLE</t>
  </si>
  <si>
    <t>ADJUDICACION SIN PROCESO</t>
  </si>
  <si>
    <t>DIRECTA</t>
  </si>
  <si>
    <t>078</t>
  </si>
  <si>
    <t>ESQUIVEL DOMINGUEZ NATALY</t>
  </si>
  <si>
    <t>SERVICIO DE INTERNET</t>
  </si>
  <si>
    <t>079</t>
  </si>
  <si>
    <t>GRUPO INFINITI S.A.C</t>
  </si>
  <si>
    <t>SERVICIOS BASICOS DE AGUA</t>
  </si>
  <si>
    <t>080</t>
  </si>
  <si>
    <t xml:space="preserve">EMSAPAL </t>
  </si>
  <si>
    <t>SERVICIOS DE ENERGIA ELECTRICA</t>
  </si>
  <si>
    <t>081</t>
  </si>
  <si>
    <t>ELECTRO SUR</t>
  </si>
  <si>
    <t>SERVICIO DE ALQUILER DE LOCAL</t>
  </si>
  <si>
    <t>082</t>
  </si>
  <si>
    <t>MARIA ANGELICA DE LA TORRE AUCALLI</t>
  </si>
  <si>
    <t xml:space="preserve">SERVICIO DE TRANSPORTE PARA EL TRASLADO DE MATERIALES </t>
  </si>
  <si>
    <t>083</t>
  </si>
  <si>
    <t>ANCALLA VENERO WILFREDO</t>
  </si>
  <si>
    <t>2021</t>
  </si>
  <si>
    <t>ADQUISICION DOTACION KIT MATERIALES FUNJIBLES</t>
  </si>
  <si>
    <t>ADQUISICION DOTACION MATERIALES FUNJIBLES</t>
  </si>
  <si>
    <t>UNIDAD  EJECUTORA 306: EDUCACION PARURO</t>
  </si>
  <si>
    <t>SERVICIO DE TRANSPORTE Y CARGA DE MATERIAL EDUCATIVO Y FUNGIBLE</t>
  </si>
  <si>
    <t>ADJUDICACION SIN PROCEDIMIENTO</t>
  </si>
  <si>
    <t>CONTRATACIONES MENORES A 8 UIT</t>
  </si>
  <si>
    <t>MACHACA CRUZ ASUCENA</t>
  </si>
  <si>
    <t>7/02/2019 00:00:00</t>
  </si>
  <si>
    <t>ZANABRIA YMA JUVENAL RODRIGO</t>
  </si>
  <si>
    <t>25/03/2019 00:00:00</t>
  </si>
  <si>
    <t>ZAMALLOA BERMUDE, ADEMIR</t>
  </si>
  <si>
    <t>5/12/2019 00:00:00</t>
  </si>
  <si>
    <t>SERVICIO DE IMPRESIÓN Y FOTOCOPIADO</t>
  </si>
  <si>
    <t>BARRETO GONZALES YASMINA</t>
  </si>
  <si>
    <t>21/08/2019 00:00:00</t>
  </si>
  <si>
    <t>SERVICOPIAS CIELITO EMPRESA INDIVIDUAL DE RESPONSABILIDAD LIMITADA - SERVICOPIAS</t>
  </si>
  <si>
    <t>26/11/2019 00:00:00</t>
  </si>
  <si>
    <t>29/11/2019 00:00:00</t>
  </si>
  <si>
    <t>SERVICIO DE ALIMENTACION</t>
  </si>
  <si>
    <t xml:space="preserve"> MELENDEZ AVILES BRANDY MYLENNA</t>
  </si>
  <si>
    <t>17/07/2019 00:00:00</t>
  </si>
  <si>
    <t>HUAMANI QUILCA TOMAS</t>
  </si>
  <si>
    <t>20/09/2019 00:00:00</t>
  </si>
  <si>
    <t>3/12/2019 00:00:00</t>
  </si>
  <si>
    <t>ESTACION DE SERVICIOS PARURO SOCIEDAD ANONIMA CERRADA</t>
  </si>
  <si>
    <t>13/03/2019 00:00:00</t>
  </si>
  <si>
    <t>10/07/2019 00:00:00</t>
  </si>
  <si>
    <t>16/10/2019 00:00:00</t>
  </si>
  <si>
    <t>13/12/2019 00:00:00</t>
  </si>
  <si>
    <t>ADQUISICION DE MATERIAL FUNGIBLE</t>
  </si>
  <si>
    <t>PERUCOMPRAS</t>
  </si>
  <si>
    <t>STOR CUSCO S.A.C.</t>
  </si>
  <si>
    <t>7/03/2019 00:00:00</t>
  </si>
  <si>
    <t>ADVANCED TECHNOLOGY R&amp;Y EMPRESA INDIVIDUAL DE RESPONSABILIDAD LIMITADA</t>
  </si>
  <si>
    <t>18/03/2019 00:00:00</t>
  </si>
  <si>
    <t>RODRIGUEZ HUACAC CARLOS ROY</t>
  </si>
  <si>
    <t>11/06/2019 00:00:00</t>
  </si>
  <si>
    <t>INDUSTRIAS ROLAND PRINT S.A.C. / INROPRIN S.A.C.</t>
  </si>
  <si>
    <t>24/10/2019 00:00:00</t>
  </si>
  <si>
    <t>MULTISERVICIOS &amp; INVERSIONES COSTA E.I.R.L.</t>
  </si>
  <si>
    <t>11/11/2019 00:00:00</t>
  </si>
  <si>
    <t>15/11/2019 00:00:00</t>
  </si>
  <si>
    <t>DUE PERU COMPANY E.I.R.L.</t>
  </si>
  <si>
    <t>18/12/2019 00:00:00</t>
  </si>
  <si>
    <t>PARI'S GROUP INVERSIONES E.I.R.L</t>
  </si>
  <si>
    <t>4/12/2019 00:00:00</t>
  </si>
  <si>
    <t>PAGO DE SERVICIO DE ENERGIA ELECTRICA</t>
  </si>
  <si>
    <t>CONTRATACION DIRECTA UNICO PROVEEDOR</t>
  </si>
  <si>
    <t>VARIOS</t>
  </si>
  <si>
    <t xml:space="preserve"> ELECTRO SUR ESTE S.A.A.-20116544289</t>
  </si>
  <si>
    <t>22/01/2019 00:00:00</t>
  </si>
  <si>
    <t xml:space="preserve">ADQUISICION DE EQUIPOS </t>
  </si>
  <si>
    <t>SISTEMAS CUSCO S.A.C.</t>
  </si>
  <si>
    <t>28/06/2019 00:00:00</t>
  </si>
  <si>
    <t>MAMANI LLANOS JULIO CESAR</t>
  </si>
  <si>
    <t>16/07/2019 00:00:00</t>
  </si>
  <si>
    <t>SOLUCIONES CORPORATIVAS S&amp;O EMPRESA INDIVIDUAL DE RESPONSABILIDAD LIMITADA</t>
  </si>
  <si>
    <t>10/09/2019 00:00:00</t>
  </si>
  <si>
    <t>17/09/2019 00:00:00</t>
  </si>
  <si>
    <t>CHANINTEC SOCIEDAD ANONIMA CERRADA</t>
  </si>
  <si>
    <t>18/09/2019 00:00:00</t>
  </si>
  <si>
    <t>25/09/2019 00:00:00</t>
  </si>
  <si>
    <t>CORPORACION EL ALTISIMO EMPRESA INDIVIDUAL DE RESPONSANILIDAD LIMITADA</t>
  </si>
  <si>
    <t>IMPORTACIONES CHAMBI E.I.R.L.</t>
  </si>
  <si>
    <t>9/10/2019 00:00:00</t>
  </si>
  <si>
    <t>CARDENAS MAMANI CESAR MANUEL</t>
  </si>
  <si>
    <t>20/11/2019 00:00:00</t>
  </si>
  <si>
    <t xml:space="preserve"> BOBADILLA ANCCO ARMANDO JOSUE</t>
  </si>
  <si>
    <t>9/12/2019 00:00:00</t>
  </si>
  <si>
    <t>AONDICIONAMIENTO DE AMBIENTES</t>
  </si>
  <si>
    <t>DE LOS RIOS OVIEDO ANGELA YENIFER</t>
  </si>
  <si>
    <t>3/10/2019 00:00:00</t>
  </si>
  <si>
    <t>LEY DE CONTRATACIONES</t>
  </si>
  <si>
    <t>AS-SM-1-2020-UGEL-P-1</t>
  </si>
  <si>
    <t xml:space="preserve">CRUZ ZEGARRA EDGAR - 10408273078 </t>
  </si>
  <si>
    <t>SERVICIO DE IMPRESIONES</t>
  </si>
  <si>
    <t xml:space="preserve">30/02/2020 </t>
  </si>
  <si>
    <t>ENERGIA ELECTRICA</t>
  </si>
  <si>
    <t>DIAZ HUAMAN GLORIA MARIA</t>
  </si>
  <si>
    <t>PROYECCION</t>
  </si>
  <si>
    <t>SERVICIO DE TRANSPORTE DE DATOS - INTERNET</t>
  </si>
  <si>
    <t>ADQUISICION DE EPP</t>
  </si>
  <si>
    <t>UNIDAD  EJECUTORA 308: EDUCACION URUBAMBA</t>
  </si>
  <si>
    <t>SERVICIO DE ENERGIA ELECTRICA</t>
  </si>
  <si>
    <t xml:space="preserve">ADJUDICACION SIN PROCESO </t>
  </si>
  <si>
    <t xml:space="preserve">DIRECTA </t>
  </si>
  <si>
    <t>ADQUISION DIRECTA</t>
  </si>
  <si>
    <t>20116544289 - ELECTRO SUR ESTE S.A.A</t>
  </si>
  <si>
    <t xml:space="preserve">CULMINADO </t>
  </si>
  <si>
    <t>SERVICIO DE TRANSPORTE Y DISTRIBUCIÓN DE MATERIALES EDUCATIVOS</t>
  </si>
  <si>
    <t>20603715927 - RODGERS S.A.C.</t>
  </si>
  <si>
    <t>SERVICIO DE MANTENIMIENTO DE LOS MUROS DEL ALMACEN DEL TERRENO DE PACLAMAYO.</t>
  </si>
  <si>
    <t>0205-2019-</t>
  </si>
  <si>
    <t>10411390441 -  MELENDEZ GALIANO YOFRE CLETO</t>
  </si>
  <si>
    <t>SERVICIO DE ACONDICIONAMIENTO DE LOS AMBIENTES DEL ALMACEN UBICADOE EN EL TERRENO DE PACLAMAYO</t>
  </si>
  <si>
    <t>0219-2019-</t>
  </si>
  <si>
    <t>10405671951 - IPARRAGUIRRE MOSCOSO LUIS ALBERTO</t>
  </si>
  <si>
    <t>ADQUSICION DE MATERIAL DIDACTICO NIVEL INICIAL</t>
  </si>
  <si>
    <t>0215-2019-</t>
  </si>
  <si>
    <t>20600307453 - VITA AVENTURAS Y DEPORTES EIRL</t>
  </si>
  <si>
    <t>ADQUSICION DE MATERIAL FUNGIBLE Y DE ESCRITORIO</t>
  </si>
  <si>
    <t xml:space="preserve">CATALOGO ELECTRONICO </t>
  </si>
  <si>
    <t>20564203638 - ADVANCED TECHNOLOGY R&amp;Y EIRL</t>
  </si>
  <si>
    <t>ADQUSICION DE KITS PARA EL AREA DE MATEMATICA - NIVEL SECUNDARIA.</t>
  </si>
  <si>
    <t>0277-2019-</t>
  </si>
  <si>
    <t>20600564375 - ASESORES EDUCAMAT S.A.C.</t>
  </si>
  <si>
    <t>0008-2020-</t>
  </si>
  <si>
    <t>20600799534 - EMERTHON GROUP S.A.C</t>
  </si>
  <si>
    <t>TRANSPORTE DE MATERIAL EDUCATIVO - BIAE</t>
  </si>
  <si>
    <t>POR DEFINIR</t>
  </si>
  <si>
    <t>ADQUSICION DE MATERIAL DE LIMPIEZA</t>
  </si>
  <si>
    <t>ADQUSICION DE MATERIAL DE ESCRITORIO</t>
  </si>
  <si>
    <t xml:space="preserve">ADQUSICION DE MATERIAL DIDACTICO </t>
  </si>
  <si>
    <t>SERVICIO DE IMPRESIONES Y ENCUADERNACION</t>
  </si>
  <si>
    <t>UNIDAD  EJECUTORA 309: EDUCACION PAUCARTAMBO</t>
  </si>
  <si>
    <t>ORDEN DE COMPRA</t>
  </si>
  <si>
    <t>CORPORACION KMR PERU S.A.C 20564512851</t>
  </si>
  <si>
    <t>WS IMPORTS S.A.C 20603010397</t>
  </si>
  <si>
    <t>PEÑA CARAY FERNANDO ALEJANDRO 10238638891</t>
  </si>
  <si>
    <t>MYS SISTEMAS S.R.L 20534762365</t>
  </si>
  <si>
    <t>ESCALANTE ROCA DILMARK 10738781380</t>
  </si>
  <si>
    <t>FERNANDEZ CORDOVA EULOGIO ALFREDO 10310319401</t>
  </si>
  <si>
    <t>HUILLCA SALAS MERY            10441744141</t>
  </si>
  <si>
    <t>COMERCIAL GIOVA S.A             20125412875</t>
  </si>
  <si>
    <t>ESQUEIROS GAMARRA JACKELINE  10238239724</t>
  </si>
  <si>
    <t>SAMP CUSCO S.A.C.   20601800773</t>
  </si>
  <si>
    <t>PROCESO DE SELECCIÓN</t>
  </si>
  <si>
    <t>PLASTIQUERIA PAZ SUR S.A.C  20527551154</t>
  </si>
  <si>
    <t>14/02/52020</t>
  </si>
  <si>
    <t>MORMONTOY TORRES JOSEP JHOMANY  10458403169</t>
  </si>
  <si>
    <t>UNIDAD  EJECUTORA 310: EDUCACION ESPINAR</t>
  </si>
  <si>
    <t>POR LA COMPRA DE MATERIAL FUNGIBLE PARA PRONOI, INICIAL PRIMARIA DE TODA LAS INSTITUCIONES EDUCATIVA DE LA UGEL ESPINAR (PERU COMPRAS)</t>
  </si>
  <si>
    <t>273967-2019</t>
  </si>
  <si>
    <t>RAMIREZ MIRANDA LEONARDO</t>
  </si>
  <si>
    <t>ADQUISICION DE MATERIALES DIDACTICOS PÁRA I.E. NIVEL PRIMARIO</t>
  </si>
  <si>
    <t>COPARACION DE PRECIOS</t>
  </si>
  <si>
    <t>CONTRATACION DIRECTA</t>
  </si>
  <si>
    <t>COMPRE-SM-2-2019-UGE E-1</t>
  </si>
  <si>
    <t>VITA AVENTURAS Y DEPORTES EMPRESA INDIVIDUAL DE RESPONSABILIDAD LIMITADA</t>
  </si>
  <si>
    <t>POR LA COMPRA DE MATERIAL FUNGIBLE</t>
  </si>
  <si>
    <t>474790-2019</t>
  </si>
  <si>
    <t>474845-2019</t>
  </si>
  <si>
    <t>CONSTRUCTORA L &amp; D MARAÑON E.I.R.L.</t>
  </si>
  <si>
    <t>POR LA COMPRA DE MATERIAL DE ASEO</t>
  </si>
  <si>
    <t>COMPRE-SM-5-2019-UGE E-1</t>
  </si>
  <si>
    <t>INDUSTRIAS ORION E.I.R.L.</t>
  </si>
  <si>
    <t>ADQUISICION DE BIENES DE LIMPIEZA</t>
  </si>
  <si>
    <t>475860-2019</t>
  </si>
  <si>
    <t>MULTIVENTAS LIDMA E.I.R.L.</t>
  </si>
  <si>
    <t>COMPRE-SM-1-2019-UGE E-1</t>
  </si>
  <si>
    <t>CAÑIHUA HUANCA HERNAN PORFIRIO</t>
  </si>
  <si>
    <t>POR LA COMPRA DE PAPEL BOND PARA AS ISITUCIONES EDUCATIVAS DEL AMBITO DE L AUGEL ESPINAR.</t>
  </si>
  <si>
    <t>POR LA COMPRA DE KIT MATERIAL DIDACTICO</t>
  </si>
  <si>
    <t>COMPRE-SM-9-2019-UGE E-1</t>
  </si>
  <si>
    <t>SERVICIOS GIMALI S.A.C.</t>
  </si>
  <si>
    <t>POR LA COMPRA DE PINCELES PARA EL NIVEL INCIAL PRIMARIA SECUNDARIA.</t>
  </si>
  <si>
    <t>COMPRE-SM-3-2019-UGE E-1</t>
  </si>
  <si>
    <t>ADQUICION DE GUITARRAS PARA EDUCACION SECUNDARIA.</t>
  </si>
  <si>
    <t>COMPRE-SM-8-2019-UGE E-1</t>
  </si>
  <si>
    <t>ATINI E.I.R.L.</t>
  </si>
  <si>
    <t>POR LA COMPRA DE MATERIAL FUNGIBLE INCIAL PRIMARIA SECUNDARIA</t>
  </si>
  <si>
    <t>COMPRE-SM-7-2019-UGE E-1</t>
  </si>
  <si>
    <t>453359-2019</t>
  </si>
  <si>
    <t>456729-2019</t>
  </si>
  <si>
    <t>CORPORACION INDUSTRIAL CONSA E.I.R.L.</t>
  </si>
  <si>
    <t>POR LA COMPRA DE MATERIAL FUNGIBLE NIVEL INICIAL, PRIMARIA Y SECUNDARIA</t>
  </si>
  <si>
    <t>435120-2019</t>
  </si>
  <si>
    <t>COMERCIAL GIOVA S.A.</t>
  </si>
  <si>
    <t>POR LA COMPRA DE MATERIAL FUNGIBLE NIVEL INCIAL PRIMARIA SECUNDARIA</t>
  </si>
  <si>
    <t>435122-2019</t>
  </si>
  <si>
    <t>LINKWORKS S.A.C</t>
  </si>
  <si>
    <t>WINLI S.A.C</t>
  </si>
  <si>
    <t>POR LA COMPRA DE MATERIAL DE ASEO Y LIMPIEZA NIVEL INICIAL, PRIAMRIA Y SECUNDARIA</t>
  </si>
  <si>
    <t>1525-1-0</t>
  </si>
  <si>
    <t>1525-2-0</t>
  </si>
  <si>
    <t>1525-3-0</t>
  </si>
  <si>
    <t>1525-4-0</t>
  </si>
  <si>
    <t>MATERIAL FUNGIBLE PARA INSTITUCIONES EDUCATIVAS DE NIVEL INICIL PRIMARIA Y SECUNDARIA</t>
  </si>
  <si>
    <t>MATERIAL DE LIMPIEZA Y ASEO PARA EL NIVEL INICIAL, PRIMARIA Y SECUNDARIA</t>
  </si>
  <si>
    <t>ACTIVOS  COMPUTACIONALES Y PERIFERICPS</t>
  </si>
  <si>
    <t>UNIDAD  EJECUTORA 311: UGEL CALCA</t>
  </si>
  <si>
    <t>PETROLEO DIESEL D5</t>
  </si>
  <si>
    <t>14</t>
  </si>
  <si>
    <t>20600344782 COVASA GRIFOS EIRL.</t>
  </si>
  <si>
    <t xml:space="preserve">LA ADQUISICION DE TODOS LOS BIENES CON POR ADJUDIACCION SIN PROCESO Y POR CONVENIO MARCO </t>
  </si>
  <si>
    <t>EQUIPO DE AIRE ACONDICIONADO DE PRECISION</t>
  </si>
  <si>
    <t>10220770252 MANRIQUE CARBAJAL URSULA</t>
  </si>
  <si>
    <t>DETERGENTE GRANULADO X 2 kg</t>
  </si>
  <si>
    <t>10427517930 PANCORBO SORIA PATRICIA MARIBEL</t>
  </si>
  <si>
    <t>19/08/2019 00:00:00</t>
  </si>
  <si>
    <t>HISOPO DE PLASTICO PARA LIMPIAR BAÑO</t>
  </si>
  <si>
    <t>10249915055 RODRIGUEZ MEDINA GRACIELA</t>
  </si>
  <si>
    <t>07/08/2019 00:00:00</t>
  </si>
  <si>
    <t>DESINFECTANTE LIMPIADOR AROMATICO.</t>
  </si>
  <si>
    <t>26</t>
  </si>
  <si>
    <t>20564512851 CORPORACION KMR PERU S.A.C.</t>
  </si>
  <si>
    <t>21/10/2019 00:00:00</t>
  </si>
  <si>
    <t>TACHO DE PLÁSTICO 12 L APROX.</t>
  </si>
  <si>
    <t>20564203638 ADVANCED TECHNOLOGY R&amp;Y EMPRESA INDIVIDUAL DE RESPONSABILIDAD LIMITADA</t>
  </si>
  <si>
    <t>09/09/2019 00:00:00</t>
  </si>
  <si>
    <t>TRAPEADOR DE YUTE 1 m X 80 cm</t>
  </si>
  <si>
    <t>FOLDER DE PLASTICO TAMAÑO OFICIO</t>
  </si>
  <si>
    <t>20564058107 DIANA IMPRESORES EMPRESA INDIVIDUAL DE RESPONSABILIDAD LIMITADA-DIANA IMPRESORES E.I.R.L.</t>
  </si>
  <si>
    <t>27/12/2019 00:00:00</t>
  </si>
  <si>
    <t>LAPIZ DE CERA CRAYON GRUESO JUEGO X 12</t>
  </si>
  <si>
    <t>LAPIZ DE COLOR TAMAÑO GRANDE (JUEGO X 12 COLORES)</t>
  </si>
  <si>
    <t>07/12/2019 00:00:00</t>
  </si>
  <si>
    <t>PLASTILINA GRUESA JUEGO X 12</t>
  </si>
  <si>
    <t>10238761307 GAMARRA MANRIQUE MAGDALENA</t>
  </si>
  <si>
    <t>PLUMON MARCADOR DE TINTA AL AGUA PUNTA GRUESA JUEGO X 12 COLORES</t>
  </si>
  <si>
    <t>CUCHARA DE ACERO INOXIDABLE</t>
  </si>
  <si>
    <t>20551946372 JIMLEE S.A.C.</t>
  </si>
  <si>
    <t>12/11/2019 00:00:00</t>
  </si>
  <si>
    <t>PAÑO ABSORBENTE 20 cm X 15 cm APROX. X 12</t>
  </si>
  <si>
    <t>27/11/2019 00:00:00</t>
  </si>
  <si>
    <t>UNIDAD CENTRAL DE PROCESO - CPU</t>
  </si>
  <si>
    <t>20603961260 CONSULTING TECHNOLOGY PERU SOCIEDAD ANONIMA CERRADA</t>
  </si>
  <si>
    <t>22/11/2019 00:00:00</t>
  </si>
  <si>
    <t>FOLDER MANILA  TAMAÑO  A4</t>
  </si>
  <si>
    <t>TINTA PARA PLUMON DE PIZARRA ACRILICA X 30 mL COLOR AZUL</t>
  </si>
  <si>
    <t>10310381921 LEONARDO RAMIREZ MIRANDA</t>
  </si>
  <si>
    <t>25/11/2019 00:00:00</t>
  </si>
  <si>
    <t>TINTA PARA PLUMON DE PIZARRA ACRILICA X 30 mL COLOR ROJO</t>
  </si>
  <si>
    <t>BOLIGRAFO (LAPICERO) DE TINTA LIQUIDA PUNTA FINA COLOR  AZUL</t>
  </si>
  <si>
    <t>10310319401 FERNANDEZ CORDOVA EULOGIO ALFREDO</t>
  </si>
  <si>
    <t>06/12/2019 00:00:00</t>
  </si>
  <si>
    <t>PINCEL DE CERDA BLANCA Nº 16 PLANO</t>
  </si>
  <si>
    <t>10406614676 VILLANERA CHAVEZ HENER YANSSEN</t>
  </si>
  <si>
    <t>TELA FRANELA 50 cm X 70 cm</t>
  </si>
  <si>
    <t>10408085450  VILLANERA CHAVEZ LAYDY JULY</t>
  </si>
  <si>
    <t>TEMPERA CON APLICADOR X 250 mL COLOR AZUL</t>
  </si>
  <si>
    <t>10238638891 PEÑA GARAY FERNANDO ALEJANDRO</t>
  </si>
  <si>
    <t>CINTA DE PAPEL PARA ENMASCARAR - MASKING TAPE 3/4 in X 40 yd</t>
  </si>
  <si>
    <t>10238239724 ESQUIEROS GAMARRA JACKELINE</t>
  </si>
  <si>
    <t>26/12/2019 00:00:00</t>
  </si>
  <si>
    <t>TEMPERA CON APLICADOR X 250 mL COLOR ROJO</t>
  </si>
  <si>
    <t>16/12/2019 00:00:00</t>
  </si>
  <si>
    <t>TEMPERA CON APLICADOR X 250 mL COLOR AMARILLO</t>
  </si>
  <si>
    <t>SOBRE MANILA TAMAÑO  A4</t>
  </si>
  <si>
    <t>20552630191 LINKWORKS S.A.C</t>
  </si>
  <si>
    <t>03/12/2019 00:00:00</t>
  </si>
  <si>
    <t>LAPIZ NEGRO GRADO 2B CON BORRADOR</t>
  </si>
  <si>
    <t>PAPELOGRAFO BLANCO 56 g DE 61cm X 86 cm</t>
  </si>
  <si>
    <t>10738781380 ESCALANTE ROCA DILMARK</t>
  </si>
  <si>
    <t>PAPELOGRAFO CUADRICULADO 56 g DE 61 cm X 86 cm</t>
  </si>
  <si>
    <t>17/12/2019 00:00:00</t>
  </si>
  <si>
    <t>TEMPERA CON APLICADOR X 250 mL COLOR BLANCO</t>
  </si>
  <si>
    <t>TEMPERA CON APLICADOR X 250 mL COLOR VERDE</t>
  </si>
  <si>
    <t>FOLDER DE CARTON CON LOGOTIPO TAMAÑO OFICIO</t>
  </si>
  <si>
    <t>10473309501 SUMA QUISPE LILIANA FLOR</t>
  </si>
  <si>
    <t>19/12/2019 00:00:00</t>
  </si>
  <si>
    <t>PAPEL BOND 75 g  TAMAÑO A4</t>
  </si>
  <si>
    <t>20125412875 COMERCIAL GIOVA S.A.</t>
  </si>
  <si>
    <t>05/12/2019 00:00:00</t>
  </si>
  <si>
    <t>DETERGENTE EN POLVO X 9.5 kg</t>
  </si>
  <si>
    <t>10250029115 SERRANO MELLADO AIDE</t>
  </si>
  <si>
    <t>11/12/2019 00:00:00</t>
  </si>
  <si>
    <t>20/12/2019 00:00:00</t>
  </si>
  <si>
    <t>12/12/2019 00:00:00</t>
  </si>
  <si>
    <t>24/12/2019 00:00:00</t>
  </si>
  <si>
    <t>PLUMON MARCADOR DE TINTA AL AGUA PUNTA FINA JUEGO X 12 COLORES</t>
  </si>
  <si>
    <t>20601800773 SAMP CUSCO S.A.C</t>
  </si>
  <si>
    <t>CARTULINA SIMPLE 140 g 50 cm X 65 cm COLOR BLANCO</t>
  </si>
  <si>
    <t>20448186980 DUBAI CONSORCIO S.A.C.</t>
  </si>
  <si>
    <t>23/12/2019 00:00:00</t>
  </si>
  <si>
    <t>TONER DE IMPRESION PARA HP COD. REF. 85A CE285AD NEGRO</t>
  </si>
  <si>
    <t>10257533242 CALVO MORA PEDRO ALFONSO</t>
  </si>
  <si>
    <t>20602971342 CORPORACION DEL SABER S.R.L.</t>
  </si>
  <si>
    <t>CALAMINA GALVANIZADA 80 cm X 1.8 m</t>
  </si>
  <si>
    <t>20507738762 INVERSIONES DE FAMILIAS PERUANAS SAC</t>
  </si>
  <si>
    <t>COLA SINTETICA X 250 g</t>
  </si>
  <si>
    <t>AGENDA TAPA GRUESA DE CARTÓN IMPRESO 21 cm X 23 cm</t>
  </si>
  <si>
    <t>10451500029 NUÑEZ GUTIERREZ ROLANDO</t>
  </si>
  <si>
    <t>TABLETA PAD</t>
  </si>
  <si>
    <t>31/12/2019 00:00:00</t>
  </si>
  <si>
    <t>20571254621 CONSTRUCTORA L &amp; D MARAÑON E.I.R.L.</t>
  </si>
  <si>
    <t>20116544289 ELECTRO SUR ESTE SAA</t>
  </si>
  <si>
    <t>24/01/2019 00:00:00</t>
  </si>
  <si>
    <t>20490191730 QORINTI CONTRATISTAS CONSULTORES Y PROVEEDORES S.R.L.</t>
  </si>
  <si>
    <t>6/02/2019 00:00:00</t>
  </si>
  <si>
    <t>10244850401 YUPANQUI MAMANI AVELARDO CIRIDIO</t>
  </si>
  <si>
    <t>20543538711 FRANDA PERUVIAN GRAINS S.R.L.</t>
  </si>
  <si>
    <t>10411596244 CARPIO VALLE PAUL FRANCISCO</t>
  </si>
  <si>
    <t>19/02/2019 00:00:00</t>
  </si>
  <si>
    <t>15/03/2019 00:00:00</t>
  </si>
  <si>
    <t>9/04/2019 00:00:00</t>
  </si>
  <si>
    <t>14/05/2019 00:00:00</t>
  </si>
  <si>
    <t>12/06/2019 00:00:00</t>
  </si>
  <si>
    <t>ALQUILER DE CAMIONETA TIPO MINIVAN</t>
  </si>
  <si>
    <t>10417283086 CRUZ ENRIQUEZ RUSBEL</t>
  </si>
  <si>
    <t>11/07/2019 00:00:00</t>
  </si>
  <si>
    <t>12/07/2019 00:00:00</t>
  </si>
  <si>
    <t>SERVICIO DE ATENCION PARA EVENTOS DIVERSOS</t>
  </si>
  <si>
    <t>10446212040 HOLGUER COAQUIRA MAMANI</t>
  </si>
  <si>
    <t>26/07/2019 00:00:00</t>
  </si>
  <si>
    <t>SERVICIO DE FOTOCOPIADO</t>
  </si>
  <si>
    <t>10244846926 SOLORZANO QUISPE GLADYS</t>
  </si>
  <si>
    <t>9/08/2019 00:00:00</t>
  </si>
  <si>
    <t>14/08/2019 00:00:00</t>
  </si>
  <si>
    <t>SERVICIO DE ANILLADO Y/O ESPIRALADO</t>
  </si>
  <si>
    <t>16/08/2019 00:00:00</t>
  </si>
  <si>
    <t>SERVICIO DE IMPRESIONES EN GENERAL</t>
  </si>
  <si>
    <t>27/08/2019 00:00:00</t>
  </si>
  <si>
    <t>11/09/2019 00:00:00</t>
  </si>
  <si>
    <t>10475288560 BARRA YUPANQUI RONAL</t>
  </si>
  <si>
    <t>30/09/2019 00:00:00</t>
  </si>
  <si>
    <t>12/10/2019 00:00:00</t>
  </si>
  <si>
    <t>17/10/2019 00:00:00</t>
  </si>
  <si>
    <t>22/10/2019 00:00:00</t>
  </si>
  <si>
    <t>SERVICIO DE MANTENIMIENTO DE INFRAESTRUCTURAS EN GENERAL</t>
  </si>
  <si>
    <t>10708946431 CAMPANA MESSA BRIHAM ERNESTO</t>
  </si>
  <si>
    <t>30/10/2019 00:00:00</t>
  </si>
  <si>
    <t>5/11/2019 00:00:00</t>
  </si>
  <si>
    <t>10430414769 ENRIQUEZ VARGAS LUZ MERY</t>
  </si>
  <si>
    <t>6/12/2019 00:00:00</t>
  </si>
  <si>
    <t>SERVICIO DE ATENCION DE REFRIGERIOS</t>
  </si>
  <si>
    <t>10238982516 LUPA DE SALAS SERAFINA</t>
  </si>
  <si>
    <t>SERVICIO DE FOTOCOPIADO Y ANILLADO</t>
  </si>
  <si>
    <t>MANTENIMIENTO PREVENTIVO DE CAMIONETA</t>
  </si>
  <si>
    <t>10244895609 JUAN HECTOR PINEDO CASAFRANCA</t>
  </si>
  <si>
    <t>14/02/2020 00:00:00</t>
  </si>
  <si>
    <t>DETERGENTE EN POLVO X 2 kg</t>
  </si>
  <si>
    <t>10474265639 PACHECO HINOJOSA JULIO CESAR</t>
  </si>
  <si>
    <t>20/04/2020 00:00:00</t>
  </si>
  <si>
    <t>PAPEL TOALLA HOJA SIMPLE BLANCO X 200 m</t>
  </si>
  <si>
    <t>20509411671 MP INSTITUCIONAL SOCIEDAD ANONIMA CERRRADA</t>
  </si>
  <si>
    <t>22/04/2020 00:00:00</t>
  </si>
  <si>
    <t>DESINFECTANTE LIMPIADOR AROMATICO X 4 L</t>
  </si>
  <si>
    <t>10441744141 HUILLCA SALAS MERY</t>
  </si>
  <si>
    <t>04/08/2020 00:00:00</t>
  </si>
  <si>
    <t>MAMELUCO DE PROTECCIÓN DESCARTABLE DE POLIPROPILENO</t>
  </si>
  <si>
    <t>20603261608 INGENIERIA MONCAT E.I.R.L.</t>
  </si>
  <si>
    <t>03/07/2020 00:00:00</t>
  </si>
  <si>
    <t>MASCARILLA DESCARTABLE QUIRURGICA C/ PROTECCION P/TBC X 20</t>
  </si>
  <si>
    <t>LEJIA (HIPOCLORITO DE SODIO) AL 5% X 4 L</t>
  </si>
  <si>
    <t>20605888977 INVERSIONES Y REPRESENTACIONES JJ &amp; VM SOCIEDAD ANONIMA CERRADA</t>
  </si>
  <si>
    <t>TACHO DE PLÁSTICO CON TAPA VAIVÉN 8.5 L APROX.</t>
  </si>
  <si>
    <t>20600945441 MULTISERVICIOS &amp; INVERSIONES COSTA E.I.R.L.</t>
  </si>
  <si>
    <t>13/08/2020 00:00:00</t>
  </si>
  <si>
    <t>LEJIA (HIPOCLORITO DE SODIO) AL  5%</t>
  </si>
  <si>
    <t>13/07/2020 00:00:00</t>
  </si>
  <si>
    <t>31/07/2020 00:00:00</t>
  </si>
  <si>
    <t>BALDE DE PLASTICO CON CAÑO X 10 L</t>
  </si>
  <si>
    <t>HUACHACA BEDRIÑANA LIZ MARGOTH</t>
  </si>
  <si>
    <t>16/09/2020 00:00:00</t>
  </si>
  <si>
    <t>22/09/2020 00:00:00</t>
  </si>
  <si>
    <t>REPUESTO PARA TRAPEADOR DE YUTE 60 cm X 70 cm</t>
  </si>
  <si>
    <t>10284591220 ROCA DE LA CRUZ CONSTANTINA</t>
  </si>
  <si>
    <t>18/09/2020 00:00:00</t>
  </si>
  <si>
    <t>JABON LIQUIDO DESENGRASANTE PARA MANOS X 4 L</t>
  </si>
  <si>
    <t>ESCOBA CON MANGO DE METAL CON CERDAS PLASTICAS</t>
  </si>
  <si>
    <t>JABON DE TOCADOR LIQUIDO X 1 gal</t>
  </si>
  <si>
    <t>MASCARILLA PROTECTOR FACIAL DE POLIPROPILENO DESCARTABLE</t>
  </si>
  <si>
    <t>CASTAÑEDA ROMERO JAZMIN KAROL</t>
  </si>
  <si>
    <t>29/09/2020 00:00:00</t>
  </si>
  <si>
    <t>RECOGEDOR DE PLASTICO TAMAÑO MEDIANO</t>
  </si>
  <si>
    <t>20601348269 MULTIVENTAS LIDMA E.I.R.L.</t>
  </si>
  <si>
    <t>MASCARILLA DE PROTECCIÓN RESPIRATORIA TIPO FFP2</t>
  </si>
  <si>
    <t>TAJADOR DE METAL PARA LAPIZ</t>
  </si>
  <si>
    <t>18/02/2020 00:00:00</t>
  </si>
  <si>
    <t>TIJERA DE METAL DE 5 in CON PUNTA ROMA Y MANGO DE PLASTICO</t>
  </si>
  <si>
    <t>SACO DE POLIPROPILENO TEJIDO X 100 kg</t>
  </si>
  <si>
    <t>DESINFECTANTE LIMPIADOR AROMATICO X 1 gal</t>
  </si>
  <si>
    <t>20605866337 KS INVERSIONES Y REPRESENTACIONES S.R.L.</t>
  </si>
  <si>
    <t>10/09/2020 00:00:00</t>
  </si>
  <si>
    <t>11/05/2020 00:00:00</t>
  </si>
  <si>
    <t>MASCARILLA DESCARTABLE TIPO N-95</t>
  </si>
  <si>
    <t>19/06/2020 00:00:00</t>
  </si>
  <si>
    <t>10701020150 HUACHACA BEDRIÑANA LIZ MARGOTH</t>
  </si>
  <si>
    <t>26/08/2020 00:00:00</t>
  </si>
  <si>
    <t>PLUMON MARCADOR DE TINTA AL AGUA PUNTA GRUESA COLOR AZUL</t>
  </si>
  <si>
    <t>02/09/2020 00:00:00</t>
  </si>
  <si>
    <t>PLUMON MARCADOR DE TINTA AL AGUA PUNTA GRUESA COLOR NEGRO</t>
  </si>
  <si>
    <t>PLUMON MARCADOR DE TINTA AL AGUA PUNTA GRUESA COLOR VERDE</t>
  </si>
  <si>
    <t>14/09/2020 00:00:00</t>
  </si>
  <si>
    <t>TÓNER DE IMPRESIÓN PARA HP COD. REF. CF217A NEGRO</t>
  </si>
  <si>
    <t>20601724970 DISTRIBUIDORA LAKEN S.A.C.</t>
  </si>
  <si>
    <t>MASCARILLA DESCARTABLE QUIRURGICA 3 PLIEGUES</t>
  </si>
  <si>
    <t>30/09/2020 00:00:00</t>
  </si>
  <si>
    <t>20603952783 DATO  TEC S.A.C._x000D_</t>
  </si>
  <si>
    <t>05/10/2020 00:00:00</t>
  </si>
  <si>
    <t>ELECTRO SUR ESTE SAA</t>
  </si>
  <si>
    <t>28/01/2020 00:00:00</t>
  </si>
  <si>
    <t>20564173623 CONSTRUCTORA &amp; CONSULTORA Z Y M S.A.C.</t>
  </si>
  <si>
    <t>01/102020</t>
  </si>
  <si>
    <t>10107208645 ORTIZ VELARDE MARCO ANTONIO</t>
  </si>
  <si>
    <t>25/02/2020 00:00:00</t>
  </si>
  <si>
    <t>13/03/2020 00:00:00</t>
  </si>
  <si>
    <t>28/04/2020 00:00:00</t>
  </si>
  <si>
    <t>27/05/2020 00:00:00</t>
  </si>
  <si>
    <t>29/06/2020 00:00:00</t>
  </si>
  <si>
    <t>SERVICIO DE LEVANTAMIENTO DE INFORMACIÓN DE CAMPO PARA SANEAMIENTO FÍSICO Y LEGAL</t>
  </si>
  <si>
    <t>10244623421 CARDENAS ABUHADBA MARIO ALFREDO</t>
  </si>
  <si>
    <t>17/09/2020 00:00:00</t>
  </si>
  <si>
    <t>SERVICIO DE AGUA Y DESAGUE</t>
  </si>
  <si>
    <t>SERVICIO DE TELEFONIA MOVIL</t>
  </si>
  <si>
    <t>SERVICIO DE TELEFONIA FIJA</t>
  </si>
  <si>
    <t>ADQUSICIÓN DE MATERIALES EDUCATIVOS</t>
  </si>
  <si>
    <t>ADQUSICIÓN DE MATERIALES DE ASEO Y LIMPIEZA PARA LAS II.EE</t>
  </si>
  <si>
    <t>ADQUSICIÓN DE MATERIALES DE ESCRITORIO</t>
  </si>
  <si>
    <t>UNIDAD  EJECUTORA 312: UGEL CUSCO</t>
  </si>
  <si>
    <t>SERVICIO DE CAPACITACION PARA EL PERSONAL DE LA SEDE ADMINISTRATIVA UE 312 UGEL CUSCO</t>
  </si>
  <si>
    <t>clasica</t>
  </si>
  <si>
    <t>01-2019-cs-ugel-cusco</t>
  </si>
  <si>
    <t>EJECUTADO</t>
  </si>
  <si>
    <t>ADQUISICIÓN DE PINCEL DE CERDA BLANCA N° 016 PLANO</t>
  </si>
  <si>
    <t>COMPARACION DE PRECIO</t>
  </si>
  <si>
    <t>01-2019-UGEL CUSCO</t>
  </si>
  <si>
    <t xml:space="preserve">COMPRAS DE PINCEL DE CERRDA BLANCA N ° 16 PLANPO </t>
  </si>
  <si>
    <t>ALFOMBRA DE ESPUMA MICROPOROSA DE 15 mm X 60 cm X 60 cm COLOR AMARILLO Y BALDE CON JUEGOS CREATIVOS - EVAFLEX</t>
  </si>
  <si>
    <t>COMPRACION DE PRECIOSCLASICA</t>
  </si>
  <si>
    <t>02-2019-UGEL CUSCO</t>
  </si>
  <si>
    <t>ALFOMBRA DE ESPUMA MICROPOROSA , BALDE CON JUEGOS CREATIVOS EVAFLEX</t>
  </si>
  <si>
    <t>CATOLOGO ELECTRONICO</t>
  </si>
  <si>
    <t>O/C 201</t>
  </si>
  <si>
    <t>PAPEL BOND  75 gr TAMAÑO A4</t>
  </si>
  <si>
    <t>ADQUISICION DE  IMPRESORA MATRIZ DE PUNTO</t>
  </si>
  <si>
    <t>O/C 181</t>
  </si>
  <si>
    <t xml:space="preserve">IMPRESORA MATRIZ DE PUNTO  PRINTRONIX PARA LA SEDE </t>
  </si>
  <si>
    <t xml:space="preserve">ADQUISICION DE MATERIAL FUNGIBLE </t>
  </si>
  <si>
    <t>PAPPELOGRAFO, MATERIAL FUNGIBLE DOTACION 2020</t>
  </si>
  <si>
    <t>ADQUISICION DE MATERIALES DE LIMPIEZA</t>
  </si>
  <si>
    <t>03-2019-UGEL-CUSCO</t>
  </si>
  <si>
    <t>COMPRA DE MATERIALES DE LIMPIEZA</t>
  </si>
  <si>
    <t>ADQUISICION DE ENSERES</t>
  </si>
  <si>
    <t>COMPRACION DE PRECIOS</t>
  </si>
  <si>
    <t>04-2019-UGEL-CUSCO</t>
  </si>
  <si>
    <t>ADQUISISCION DE ENSERES (Material de cocina) PARA PRONOEI</t>
  </si>
  <si>
    <t>ADQUISICION DE EQUPOS DE PROTECCION PERSONAL</t>
  </si>
  <si>
    <t>COMPRA DIRECTA MENOR A 8 UIT</t>
  </si>
  <si>
    <t>cotizacion</t>
  </si>
  <si>
    <t xml:space="preserve">COMPRA DE MASCARILLA DESCARTABLE </t>
  </si>
  <si>
    <t xml:space="preserve">ADQUISICION DE MOCHILA PARA FUMIGACION </t>
  </si>
  <si>
    <t>O/C 15</t>
  </si>
  <si>
    <t>COMPRA DE MOCHIILA A MOTOR PARA DESINFECCION DE LOS AMBIENTES DE LA UGEL CUSCO</t>
  </si>
  <si>
    <t>ADQUISICION DE MATERIALES EDUCATIVO</t>
  </si>
  <si>
    <t>O/C 06</t>
  </si>
  <si>
    <t>COMPRA DE MATERIALES EDUCATIVOS</t>
  </si>
  <si>
    <t>COMPRAS DE MATERIAL EDUCATIVO</t>
  </si>
  <si>
    <t>O/C 05</t>
  </si>
  <si>
    <t>ADQUISISICION DE EQUPOS DE PROTECCION PERSONAL</t>
  </si>
  <si>
    <t>O/C 35</t>
  </si>
  <si>
    <t>COMPRA DE CARETA DE POLICARBONATO PARA EL PERSONAL DE LA UGE CSUCO</t>
  </si>
  <si>
    <t xml:space="preserve">SERVICIO DE TRANSPORTE </t>
  </si>
  <si>
    <t>O/S 66</t>
  </si>
  <si>
    <t>SERVICIO DE TRANSPORTE DE MATERIAL FUNGIBLE  DOTACION 2020</t>
  </si>
  <si>
    <t>O/S92</t>
  </si>
  <si>
    <t>SERVICIO DE TRANSPORTE DE MATERIAL EDUCATIVO SEGUNDA ENTREGA   DOTACION 2020</t>
  </si>
  <si>
    <t xml:space="preserve">SERVICIO DE MANTENIMIENTO </t>
  </si>
  <si>
    <t>O/S 209</t>
  </si>
  <si>
    <t>SERVICIO DE MANTENIMIENTO DE INFRAESTRUCTURA EN GENERAL DE LA UGEL CUSCO</t>
  </si>
  <si>
    <t xml:space="preserve">ADQUISICION  DE MATERIALES DE OFICINA </t>
  </si>
  <si>
    <t>actizacion</t>
  </si>
  <si>
    <t xml:space="preserve">PROYECTO </t>
  </si>
  <si>
    <t>PARA LAS OFICINAS DE LA SEDE UGEL CUSCO</t>
  </si>
  <si>
    <t xml:space="preserve">ADQUISICION DE MATERIALES ASEO Y LIMPIEZA  </t>
  </si>
  <si>
    <t>500,00.00</t>
  </si>
  <si>
    <t xml:space="preserve">ADQUISICION DE SUMINISTRO </t>
  </si>
  <si>
    <t>TONER PARA LAS OFICINAS DE LA SEDE UGEL CUSCO</t>
  </si>
  <si>
    <t xml:space="preserve">ADQUISICION DE COMBUSTIBLE </t>
  </si>
  <si>
    <t xml:space="preserve">PARA VEHICULOS DE LA INSTITUCION </t>
  </si>
  <si>
    <t>COMPRA DE MATEIAL FUNGIBLE</t>
  </si>
  <si>
    <t>SERVICIO DE FOTOCOPIAS  E IMPRESIÓN</t>
  </si>
  <si>
    <t>PARA LAS OFICNAS DE GESTION PEDAGOGICA</t>
  </si>
  <si>
    <t xml:space="preserve">CONTRATACION </t>
  </si>
  <si>
    <t xml:space="preserve">SERVICIO DE CAPACITACION PARA PERSONAL </t>
  </si>
  <si>
    <t>SERVICO DE CAPACITAACION PARA EL  PERSONAL DE LA UGEL CUSCO</t>
  </si>
  <si>
    <t xml:space="preserve">COMPRA DE EQUIPOS DE COMPUTO </t>
  </si>
  <si>
    <t>COMPRAS DE EQUIPOS MULTIFUNIONALES</t>
  </si>
  <si>
    <t>1 contratación de adquisición de material bibliográfico para la dotación a las IIEE de nivel secundario del ámbito de la unidad ejecutora 313 EDUCACIÓN CANAS.</t>
  </si>
  <si>
    <t>NO CORRESPONDE</t>
  </si>
  <si>
    <t>Nº 01-2019-UGEL CANAS/CS</t>
  </si>
  <si>
    <t>CUSCO ANUNCIOS NEGOCIOS Y PUBLICIDAD SOCIEDAD ANONIMA CERRADA, con RUC Nº 20490658921</t>
  </si>
  <si>
    <t>TERMINADO</t>
  </si>
  <si>
    <t>2 CONTRATACIÓN PARA LA ADQUISICIÓN DE MATERIAL DIDÁCTICO LA DOTACION A LAS INSTITUCIONES EDUCATIVAS DE NIVEL PRIMARIO Y SECUNDARIO DEL AMBITO DE LA UNIDAD EJECUTORA 313 EDUCACIÓN CANAS”.</t>
  </si>
  <si>
    <t>Nº 02-2019-UGEL CANAS/CS</t>
  </si>
  <si>
    <t xml:space="preserve">S/. 262,000.00 (DOSCIENTOS SESENTA Y DOS MIL CON 00/100 SOLES) </t>
  </si>
  <si>
    <t>3 CONTRATACIÓN PARA LA ADQUISICIÓN DE MATERIAL DIDÁCTICO LA DOTACION A LAS INSTITUCIONES EDUCATIVAS DE NIVEL INICIAL Y PROGRAMAS NO ESCOLARIZADOS DEL AMBITO DE LA UNIDAD EJECUTORA 313 EDUCACIÓN CANAS”.</t>
  </si>
  <si>
    <t>Nº 03-2019-UGEL CANAS/CS</t>
  </si>
  <si>
    <t>S/. 270,000.00 (DOSCIENTOS SESENTA MIL CON 00/100 SOLES)</t>
  </si>
  <si>
    <t>CONSORCIO CORPORACION TECNOLOGICA Y EQUIPAMIENTOS S.A.C. - INDUSTRIAS ROLAND PRINT S.A.C.  integrada por las empresas: CORPORACION TECNOLOGICA Y EQUIPAMIENTOS S.A.C. Con RUC Nº 20557191446, e INDUSTRIAS ROLAND PRINT S.A.C.  Con RUC N°20512201611</t>
  </si>
  <si>
    <t>4 CONTRATACION DE ADQUISICION DE SERVIDOR PARA EL SUP</t>
  </si>
  <si>
    <t>S/.32,150.00</t>
  </si>
  <si>
    <t>GLOBAL CUSCO</t>
  </si>
  <si>
    <t>7 CONTRATACION DE MATERIAL DIDACTICO, ACCESORIOS Y UTILES DE ENSEÑANZA (INICIAL)</t>
  </si>
  <si>
    <t>COMPRAS POR CATALOGO</t>
  </si>
  <si>
    <t>S/.30,000.00</t>
  </si>
  <si>
    <t>8 CONTRATACION DE MATERIAL DIDACTICO, ACCESORIOS Y UTILES DE ENSEÑANZA (PRIMARIA)</t>
  </si>
  <si>
    <t>S/.45,000.00</t>
  </si>
  <si>
    <t>9 CONTRATACION DE MATERIAL DIDACTICO, ACCESORIOS Y UTILES DE ENSEÑANZA (SECUNDARIA)</t>
  </si>
  <si>
    <t>S/.60,000.00</t>
  </si>
  <si>
    <t>10 CONTRATACION DE MATERIAL DE ASEO, LIMPIEZA Y TOCADOR (INICIAL)</t>
  </si>
  <si>
    <t>S/.18,500.00</t>
  </si>
  <si>
    <t>11 CONTRATACION DE MATERIAL DE ASEO, LIMPIEZA Y TOCADOR (PRIMARIA)</t>
  </si>
  <si>
    <t>S/.25,000.00</t>
  </si>
  <si>
    <t>12 CONTRATACION DE MATERIAL DE ASEO, LIMPIEZA Y TOCADOR (SECUNDARIA)</t>
  </si>
  <si>
    <t>13 CONTRATACION DE SUMINISTRO TONER PARA LA SEDE DE LA UGEL CANAS</t>
  </si>
  <si>
    <t>S/.22,000.00</t>
  </si>
  <si>
    <t>14 CONTRATACION DE PAPELERIA EN GENERAL, UTILES Y MATERIALES DE OFICINA (SEDE)</t>
  </si>
  <si>
    <t xml:space="preserve"> S/.50,000.00</t>
  </si>
  <si>
    <t>CONTRATACION DE SOFTWARE (MOTOR DE BASE DE DATOS - Adaptive Server EnterpriseP)PARA LA SEDE</t>
  </si>
  <si>
    <t>S/. 33,630.00</t>
  </si>
  <si>
    <t>SYSTEM DATABASE S.A.</t>
  </si>
  <si>
    <t>CONTRATACIÓN PARA LA ADQUISICIÓN DE MATERIAL DIDÁCTICO LA DOTACION A LAS INSTITUCIONES EDUCATIVAS DE NIVEL INICIAL Y PROGRAMAS NO ESCOLARIZADOS DEL AMBITO DE LA UNIDAD EJECUTORA 313 EDUCACIÓN CANAS”.</t>
  </si>
  <si>
    <t>S/.250,000.00</t>
  </si>
  <si>
    <t>CONTRATACIÓN PARA LA ADQUISICIÓN DE MATERIAL DIDÁCTICO LA DOTACION A LAS INSTITUCIONES EDUCATIVAS DE NIVEL PRIMARIO Y SECUNDARIO DEL AMBITO DE LA UNIDAD EJECUTORA 313 EDUCACIÓN CANAS”</t>
  </si>
  <si>
    <t>S/. 350,000.00</t>
  </si>
  <si>
    <t>CONTRATACION DE EQUIPOS (TABLET, FOTOCOPIADORA, COMPUTADORA DE ESCRITORIO, PROYECTOR)PARA LA SEDE</t>
  </si>
  <si>
    <t>S/. 25,000.00</t>
  </si>
  <si>
    <t>CONTRATACION DE SOFTWARE (WINDOWS SERVER 2016, SQL SERVER)PARA LA SEDE</t>
  </si>
  <si>
    <t>S/. 65,000.00</t>
  </si>
  <si>
    <t xml:space="preserve">S/. 105,892.00 (CIENTO CINCO MIL OCHOCIENTOS NOVENTA Y DOS CON 00/100 SOLES) </t>
  </si>
  <si>
    <t>CONSORCIO CORPORACION TECNOLOGICA Y EQUIPAMIENTOS S.A.C. - INDUSTRIAS ROLAND PRINT S.A.C.  integrada por las empresas: CORPORACION TECNOLOGICA Y EQUIPAMIENTOS S.A.C. Con RUC Nº 20557191446, y INDUSTRIAS ROLAND PRINT S.A.C.  Con RUC N°20512201611</t>
  </si>
  <si>
    <t>UNIDAD  EJECUTORA 313: EDUCACION CANAS</t>
  </si>
  <si>
    <t>UNIDAD  EJECUTORA 314:  EDUCACION ACOMAYO</t>
  </si>
  <si>
    <t>ADQUISICION DE MATERIAL FUNBGIBLE PERIODO -2019</t>
  </si>
  <si>
    <t>CATALAGO ELECTRONICO</t>
  </si>
  <si>
    <t>EULOGIO ALFREDO FERNANDEZ CORDOVA</t>
  </si>
  <si>
    <t>CORPORACION TECNOLOGICA Y EQUIPAMIENTO S.A.C.</t>
  </si>
  <si>
    <t>ESQUIEROS GAMARRA JACKELINE</t>
  </si>
  <si>
    <t>ADQUISICION DE TONER PERIODO 2019</t>
  </si>
  <si>
    <t>SERVICIO DE ENERGIA ELECTRICA PERIODO 2019</t>
  </si>
  <si>
    <t>ELECTRO SUR ESTE S.A.A.</t>
  </si>
  <si>
    <t>SERVICIO DE TRANSPORTE PERIODO 2019</t>
  </si>
  <si>
    <t>CONCHA SALAS RUSMAN MANUEL</t>
  </si>
  <si>
    <t>SERIVICIO DE FOTOCPIAS PERIODO 2019</t>
  </si>
  <si>
    <t>BERSABETH GIOVANNA SACACHIPANA CARPIO</t>
  </si>
  <si>
    <t>PRIMA SE SEGURO DE VEHICULO- SOAT PERIODO 2019</t>
  </si>
  <si>
    <t xml:space="preserve"> MAPFRE PERU COMPAÑIA DE SEGUROS Y REASEGUROS S.A.</t>
  </si>
  <si>
    <t>SERVICIO DE MANTENIMIENTO DE LOCAL  -UGEL ANTA PERIODO 2019</t>
  </si>
  <si>
    <t>POCCO MENDOZA ALCIDES YURY</t>
  </si>
  <si>
    <t>28/05/2019 00:00:00</t>
  </si>
  <si>
    <t>19/06/2019 00:00:00</t>
  </si>
  <si>
    <t>20/06/2019 00:00:00</t>
  </si>
  <si>
    <t>SERVICIO DE FOTOCOPIAS PERIODO 2019</t>
  </si>
  <si>
    <t>BARRA YUPANQUI RONAL</t>
  </si>
  <si>
    <t>SERVICIO DE ALIMENTACION PARA TALLERES PERIODO 2019</t>
  </si>
  <si>
    <t>TIMPO CORVACHO JUDITH</t>
  </si>
  <si>
    <t>26/09/2019 00:00:00</t>
  </si>
  <si>
    <t>27/09/2019 00:00:00</t>
  </si>
  <si>
    <t>SERVICIO DE INTERNET PERIODO 2019</t>
  </si>
  <si>
    <t>FRANK JOE CAVERO BALLON</t>
  </si>
  <si>
    <t>7/10/2019 00:00:00</t>
  </si>
  <si>
    <t>14/11/2019 00:00:00</t>
  </si>
  <si>
    <t>EMERTHON GROUP S.A.C.</t>
  </si>
  <si>
    <t>5/08/2019 00:00:00</t>
  </si>
  <si>
    <t>6/08/2019 00:00:00</t>
  </si>
  <si>
    <t>ADQUISICION DE BOLETAS DE PAGO PERIODO 2020</t>
  </si>
  <si>
    <t>INVERSIONISTAS GUTENBERG S.A.C.</t>
  </si>
  <si>
    <t>20/02/2020 00:00:00</t>
  </si>
  <si>
    <t>ADQUISICION DE SACOS Y RAFIA PERIODO 2020</t>
  </si>
  <si>
    <t>CARRION TECSI MARCO</t>
  </si>
  <si>
    <t>21/02/2020 00:00:00</t>
  </si>
  <si>
    <t>ADQUISICION DE MATERIALES DE PROTECCION PARA LA SEDE  PERIODO 2020</t>
  </si>
  <si>
    <t>ECONSTRUCK E.I.R.L.</t>
  </si>
  <si>
    <t>7/07/2020 00:00:00</t>
  </si>
  <si>
    <t>ADQUISICION DE MATERIAL DE ESCRITORIO PERIODO 2020</t>
  </si>
  <si>
    <t>INTI REPRESENTACIONES SOCIEDAD ANONIMA CERRADA</t>
  </si>
  <si>
    <t>11/09/2020 00:00:00</t>
  </si>
  <si>
    <t>ADQUISION DE MATERIAL DE ESCRITORIO PERIODO 2020</t>
  </si>
  <si>
    <t xml:space="preserve"> ALARCON CANCINOS VIVIAN</t>
  </si>
  <si>
    <t>23/09/2020 00:00:00</t>
  </si>
  <si>
    <t>ADQUISICION DE MATERIALES DE PROTECCION PARA II.EE. PERIODO 2020</t>
  </si>
  <si>
    <t>PACHECO SUTTA MARIA ROSA</t>
  </si>
  <si>
    <t>25/09/2020 00:00:00</t>
  </si>
  <si>
    <t>ADQUISICION DE MATERIAL EDUCATIVO</t>
  </si>
  <si>
    <t>PLACA CUSCO S.R.L.</t>
  </si>
  <si>
    <t>COMPROMETIDO</t>
  </si>
  <si>
    <t>SERVICIO DE ENERGIA ELECTRICA PERIODO 2020</t>
  </si>
  <si>
    <t>ADQUISICION DE PASAJE AEREO  PERIODO 2020</t>
  </si>
  <si>
    <t>LATAM AIRLINES PERU S.A.</t>
  </si>
  <si>
    <t>SERVICIO DE TRANSPORTE PERIODO 2020</t>
  </si>
  <si>
    <t>SERVICIO DE FOTOCOPIAS PERIODO 2020</t>
  </si>
  <si>
    <t>SERVICIOS DE IMPRESIONES PERIODO 2020</t>
  </si>
  <si>
    <t>SERVICIOS E INVERSIONES HUAYNA EMPRESA INDIVIDUAL DE RESPONSABILIDAD LIMITADA</t>
  </si>
  <si>
    <t>ADQUISICION DE PRIMA DE SEGURO VEHICULAR PERIODO 2020</t>
  </si>
  <si>
    <t>ADQUISICION DE MATERIAL FUNGIBLE PROYECCION 2021</t>
  </si>
  <si>
    <t>ADQUISICION DE MATERIAL DE ESCRITORIO PROYECCION 2021</t>
  </si>
  <si>
    <t>ADQUISICION DE MATERIAL DE LIMPIEZA PROYECCION 2021</t>
  </si>
  <si>
    <t>SERVICIO DE INTERNET PROYECCION 2021</t>
  </si>
  <si>
    <t>SERVICIO DE MANTENIMIENTO DE LOCAL PROYECCION 2021</t>
  </si>
  <si>
    <t>SERVICIO DE ENERGIA ELECTRICA SEDE</t>
  </si>
  <si>
    <t xml:space="preserve">SERVICIO DE ENERGIA ELECTRICA DE II.EE. </t>
  </si>
  <si>
    <t>UNIDAD  EJECUTORA 316:  EDUCACION PICHARI KIMBIRI VILLA VIRGEN</t>
  </si>
  <si>
    <t xml:space="preserve"> ADQUISICION DE SUMINISTRO COMBUSTIBLE DIESEL </t>
  </si>
  <si>
    <t>ADMINISTRACION DIRECTA</t>
  </si>
  <si>
    <t>SIN PROCESO</t>
  </si>
  <si>
    <t>20452714982 - R &amp; R NEGOCIACIONES S.R.L</t>
  </si>
  <si>
    <t>10445552700 - NADIA K. SANCHEZ PARIONA</t>
  </si>
  <si>
    <t>ADQUISICION DE MATERIALES DE OFICINA PARA EL TALLER DE FORTALECIMIENTO DE CAPACIDADES</t>
  </si>
  <si>
    <t>20601743982 - LEO CORPORACION S.R.L</t>
  </si>
  <si>
    <t xml:space="preserve">ADQUISICION DE PAPEL CONTINUO DE BOLETA DE PAGO </t>
  </si>
  <si>
    <t>20454158998 - CESCOFORMAS S.A.C-CESCOFORMAS</t>
  </si>
  <si>
    <t xml:space="preserve">ADQUISICION DE LLANTAS NEUMATICOS </t>
  </si>
  <si>
    <t>10463652592 - VILMA JERI CASTILLO</t>
  </si>
  <si>
    <t xml:space="preserve"> ADQUISICION DE MATERIAL IMPRESIÓN - CARTUCHO  </t>
  </si>
  <si>
    <t>20454158998 - LEO CORPORACION S.R.L</t>
  </si>
  <si>
    <t>ADQUISICION DE TONNER HP COD. REF. CF226A NEGRO</t>
  </si>
  <si>
    <t>10468015965 - LIZETH SUSAN SANCHEZ PARIONA</t>
  </si>
  <si>
    <t>ADQUISICION DE MATERIAL FUNGIBLE PARA PRONOEI</t>
  </si>
  <si>
    <t>CATALOGO PERU COMPRAS</t>
  </si>
  <si>
    <t>10738781380 - DILMARK ESCALANTE ROCA</t>
  </si>
  <si>
    <t>ADQUISICION DE MATERIAL ELECTRICO Y ACCESORIOS</t>
  </si>
  <si>
    <t>10454388734 - ELIZABETH E. MONTES QUITO</t>
  </si>
  <si>
    <t>ADQUISICION DE MATERIAL FUNGIBLE DOTACION 2020</t>
  </si>
  <si>
    <t>10310319401 - FERNANDEZ CORDOVA EULOGIO ALFREDO</t>
  </si>
  <si>
    <t>20564203638 - ADVANCED TECHNOLOGY R&amp;Y E.I.R.L</t>
  </si>
  <si>
    <t xml:space="preserve"> ADQUISICION DE MATERIAL FUNGIBLE DOTACION 2020</t>
  </si>
  <si>
    <t>10227323871 - CHAVEZ SOBRADO ELVA</t>
  </si>
  <si>
    <t>20601348269 - MULTIVENTAS LIDMA E.I.R.L</t>
  </si>
  <si>
    <t>ADQUISICION DE MATERIAL DE LIMPIEZA</t>
  </si>
  <si>
    <t>20487151921 - SILICON PE S.A.C</t>
  </si>
  <si>
    <t>ADQUISICION DE MATERIAL DIDACTICO</t>
  </si>
  <si>
    <t>20600564375 - ASESORES EDUCAMAT S.A.C</t>
  </si>
  <si>
    <t>ADQUISICION DE MATERAIL DIDACTICO</t>
  </si>
  <si>
    <t>ADQUISICION DE MATERIAL FUNGIBLE II.EE</t>
  </si>
  <si>
    <t>10447203061 - ARTUR C. MEDINA HUARHUACHI</t>
  </si>
  <si>
    <t>ADQUISICION DE BIBLIOTECAS ITINERANTES</t>
  </si>
  <si>
    <t>20260100808 - EDITORIAL SAN MARCOS E.I.R.L</t>
  </si>
  <si>
    <t>ADQUISICION DE TEXTOS PRUEBA ECE</t>
  </si>
  <si>
    <t>ADQUISICION DE MATERIAL DIDACTICO - CEBE</t>
  </si>
  <si>
    <t>10418422357 - VICENTE A. CASTEÑEDA BARBOZA</t>
  </si>
  <si>
    <t>ADQUISICION DE MATERIAL DE ESCRITORIO CEBE</t>
  </si>
  <si>
    <t xml:space="preserve"> ADQUISICION DE MATERIAL FUNGIBLE CEBE</t>
  </si>
  <si>
    <t>ADQUISICION DE MATERIAL DE ESCRITORIO SEDE ADMINISTRATIVA</t>
  </si>
  <si>
    <t>ADQUISICION DE MATERIAL DIDACTICO PRONOEI</t>
  </si>
  <si>
    <t>31/12/20019</t>
  </si>
  <si>
    <t>SERVICIOS BASICOS DE ENERGIA ELECTRICA</t>
  </si>
  <si>
    <t>20129646099 - ELECTROCENTRO S.A</t>
  </si>
  <si>
    <t xml:space="preserve">LOS APAGOS SE REALIZA MENSUAL </t>
  </si>
  <si>
    <t>SERVICIO DE TRANSPORTE DISTRIBUCION MATERIAL EDUC.</t>
  </si>
  <si>
    <t>10427264209 - EDY LUZ QUISPE QUILCA</t>
  </si>
  <si>
    <t xml:space="preserve"> SERVICIO DE ALIMENTACION PLA DE FORTALECIMIENTO</t>
  </si>
  <si>
    <t>10430817014 - HILDA MUÑOZ PEREZ</t>
  </si>
  <si>
    <t>SERVICIO DE ALIMENTACION PLAN DE FORTALECIMIENTO</t>
  </si>
  <si>
    <t>10432827564 - RUTH R. TAYPE CHIMAYCO</t>
  </si>
  <si>
    <t>SERVICIO DE TRANSPORTE DISTRIBUCION MATERIAL</t>
  </si>
  <si>
    <t>SERVICIO DE MODULADO COPIAS EDUCATIVOS</t>
  </si>
  <si>
    <t xml:space="preserve">10759376574 - NOEMI L. AGUILAR VILLAVERDE </t>
  </si>
  <si>
    <t xml:space="preserve">SERVICIO DE ALIMENTACION PARA TALLERES </t>
  </si>
  <si>
    <t>10249938128 - RICHAR QUISPE RAMOS</t>
  </si>
  <si>
    <t>SERVICIO DE MANTENIMIENTO PREVENTIVO FOTOCOPIADORA</t>
  </si>
  <si>
    <t>20534901152 - CORPORACION DIGITAL NORIEGA S.R.L</t>
  </si>
  <si>
    <t>SERVICIO DE MATENIMIENTO PREVENTIVO VEHICULO</t>
  </si>
  <si>
    <t>10470285601 - NILTON E. MENDOZA PEREZ</t>
  </si>
  <si>
    <t>SERVICIO DE ALIMENTACION PARA II TALLER</t>
  </si>
  <si>
    <t>10285604945 - TEOFILA QUISPE PORRAS</t>
  </si>
  <si>
    <t>SERVICIO DE ALIMENTACION PARA II TALLER FORTALEC.</t>
  </si>
  <si>
    <t>10244841584 - ZAIDA R. YABARRENA ZUÑIGA</t>
  </si>
  <si>
    <t>SERVICIO DE MANTENIMIENTO VEHICULAR</t>
  </si>
  <si>
    <t>10423701094 - GLADYS CARHUACUSMA BERNARDO</t>
  </si>
  <si>
    <t>SERVICIO DE REPARACION Y MANTENIMIENTO DE SS.HH</t>
  </si>
  <si>
    <t xml:space="preserve">20494565651 - INVERSIONES MARCELO CONTRATISTAS </t>
  </si>
  <si>
    <t xml:space="preserve">SERVICIO DE HOSPEDAJE PARA II TALLER </t>
  </si>
  <si>
    <t xml:space="preserve"> SERVICIO DE CONFECCION DE BANDEROLA </t>
  </si>
  <si>
    <t>10238008501 - LEONOR ARANA YAMPI</t>
  </si>
  <si>
    <t>SERVICIO DE PINTADO FACHADA INTERIOR EXTERIOR</t>
  </si>
  <si>
    <t>1047164325 - FILEMON MENDEZ RAMOS</t>
  </si>
  <si>
    <t>SERVICIO DE ALIMENTACION PARA EL TALLER</t>
  </si>
  <si>
    <t>10431305904 - MARGOT PALOMINO CALDERON</t>
  </si>
  <si>
    <t>SERVICIO DE INTERNET FIBRA OPTICA</t>
  </si>
  <si>
    <t>20600550102 - NEGOCIACIONES Y EJECUTORES E.I.R.L</t>
  </si>
  <si>
    <t>CONTRATO ANUAL SE PAGA MENSUAL</t>
  </si>
  <si>
    <t>10481562754 - MIRIAM TORRES CHUCO</t>
  </si>
  <si>
    <t xml:space="preserve">SERVICIO DE IMPRESIÓN ELABORACION CUADERNOS </t>
  </si>
  <si>
    <t>20400956759 - DANNYS GRAFF E.I.R.L</t>
  </si>
  <si>
    <t xml:space="preserve"> SERVICIO DE ALIMENTACION PARA PLAN DE LANZAMIENTO</t>
  </si>
  <si>
    <t>ANUAL</t>
  </si>
  <si>
    <t xml:space="preserve">LOS PAGOS SE REALIZA MENSUAL </t>
  </si>
  <si>
    <t>30/11/020</t>
  </si>
  <si>
    <t xml:space="preserve"> ADQUISICION DE MATERIAL FUNGIBLE DOTACION </t>
  </si>
  <si>
    <t xml:space="preserve">ADQUISICION DE MATERIAL FUNGIBLE DOTACION </t>
  </si>
  <si>
    <t>22 CONTRATACION DE COMBUSTIBLE</t>
  </si>
  <si>
    <t xml:space="preserve">23 CONTRATACION DE CEMENTO TIPO IP </t>
  </si>
  <si>
    <t>24 CONTRATACION DE COMBUSTIBLE</t>
  </si>
  <si>
    <t xml:space="preserve">25 CONTRATACION DE COMBUSTIBLE </t>
  </si>
  <si>
    <t xml:space="preserve">26 CONTRATACION DE CEMENTO TIPO IP </t>
  </si>
  <si>
    <t>27 CONTRATACION DE MATERIAL AGREGADO</t>
  </si>
  <si>
    <t xml:space="preserve">28 CONTRATACION DE BARRAS DE CONSTRUCCIÓN DE DIFERENTES MEDIDAS </t>
  </si>
  <si>
    <t xml:space="preserve">29 CONTRATACION DE CEMENTO TIPO IP </t>
  </si>
  <si>
    <t>NINGUNA</t>
  </si>
  <si>
    <t>CONTRATACIÓN DEL SERVICIO DE TRANSPORTE Y DISTRIBUCIÓN DE MATERIALES EDUCATIVOS</t>
  </si>
  <si>
    <t>ADQUISICIÓN DE COMBUSTIBLE PARA UNIDADES VEHICULARES</t>
  </si>
  <si>
    <t>ADQUISICIÓN DE MATERIALES PAPELERÍA EN GENERAL, ÚTILES Y MATERIAL DE OFICINA</t>
  </si>
  <si>
    <t>CONTRATACIÓN DEL SERVICIO DE IMPRESIONES EN GENERAL</t>
  </si>
  <si>
    <t>SERVICIO DE ATENCIÓN DE ALMUERZOS PARA PASANTIAS Y CONCURSOS DE EVALUACIÓN DE DIRECTORES Y DOCENTES</t>
  </si>
  <si>
    <t>CONTRATACIÓN DEL SERVICIO DE MEJORAMIENTO Y ACONDICIONAMIENTO DE AMBIENTES DE LA SEDE CENTRAL</t>
  </si>
  <si>
    <t>ADQUISICIÓN DE MATERIALES DE LIMPIEZA</t>
  </si>
  <si>
    <t>ADQUISICION DE TONERES</t>
  </si>
  <si>
    <t>ADQUISICION DE MATERIALES FUNGIBLE</t>
  </si>
  <si>
    <t>ADQUISICION DE MATERIALES  FUNGIBLE</t>
  </si>
  <si>
    <t xml:space="preserve">ADQUISICION DE TACHOS </t>
  </si>
  <si>
    <t xml:space="preserve">ADQUISICION DE BOLSAS CAMBREL </t>
  </si>
  <si>
    <t>ADQUISICION DE MATERIAL FUNGIBLE DOTACION 2022</t>
  </si>
  <si>
    <t>UNIDAD  EJECUTORA 400: SALUD CUSCO</t>
  </si>
  <si>
    <t>1. ADQUISICION DE MICROCUBETAS</t>
  </si>
  <si>
    <t>LICITACION PUBLICA</t>
  </si>
  <si>
    <t>CLASICO</t>
  </si>
  <si>
    <t>N° 002-2018</t>
  </si>
  <si>
    <t xml:space="preserve">   VARIAS ENTREGAS</t>
  </si>
  <si>
    <t xml:space="preserve">   NINGUNA</t>
  </si>
  <si>
    <t>2. ADQUISICION DE MICROCUBETAS</t>
  </si>
  <si>
    <t>N° 005-2018</t>
  </si>
  <si>
    <t xml:space="preserve">PENDIENTE </t>
  </si>
  <si>
    <t>03/12/20219</t>
  </si>
  <si>
    <t>3. ADQUISICION DE COMPUTADORAS</t>
  </si>
  <si>
    <t>N° 004-2019</t>
  </si>
  <si>
    <t xml:space="preserve">   UNA SOLA ENTREGA</t>
  </si>
  <si>
    <t>4. ADQUISICION DE EQUIPO TERMOCICLADOR</t>
  </si>
  <si>
    <t xml:space="preserve"> SITUACION DE EMERGENCIA</t>
  </si>
  <si>
    <t>Nº 001-2020</t>
  </si>
  <si>
    <t>5. ADQUISICION  DE EPP</t>
  </si>
  <si>
    <t>Nº 002-2020</t>
  </si>
  <si>
    <t>6. ADQUISICION  DE EPP</t>
  </si>
  <si>
    <t>7. ADQUISICION  DE EPP</t>
  </si>
  <si>
    <t>8. ADQUISICION  DE EPP</t>
  </si>
  <si>
    <t>9. ADQUISICION DE REGISTRADOR DE DATOS - DATA LOGGER</t>
  </si>
  <si>
    <t>10. ADQUISICION DE 100 BALONES DE OXIGENO DE 10M3</t>
  </si>
  <si>
    <t>----</t>
  </si>
  <si>
    <t>EN DENUNCIA</t>
  </si>
  <si>
    <t>11. ADQUISICION DE COMPUTADORAS DE CALLCENTER</t>
  </si>
  <si>
    <t>EN REGULARIZACION</t>
  </si>
  <si>
    <t>12. ADQUISICION DE CAMA CLINICA METALICA RODABLE</t>
  </si>
  <si>
    <t>Nº 003-2020</t>
  </si>
  <si>
    <t>UNIDAD  EJECUTORA 401: SALUD CANAS CANCHIS ESPINAR</t>
  </si>
  <si>
    <t>CONTRATACION DE SERVICIO DE TRANSPORTE, RECOJO Y DISPOSICION FINAL DE RESIDUOS SOLIDOS</t>
  </si>
  <si>
    <t>PROC. SELECCIÓN</t>
  </si>
  <si>
    <t>A.S.N° 001-2019-RSCCE</t>
  </si>
  <si>
    <t>20527871493 RECICLADORA DE METALES JJ E.I.R.L</t>
  </si>
  <si>
    <t>CONTRATACION DE HEMOGLOBINOMETRO PORTATIL</t>
  </si>
  <si>
    <t>A.S.N° 002-2019-RSCCE</t>
  </si>
  <si>
    <t>20501887286 DIAGNOSTICA PERUANA S.A.C</t>
  </si>
  <si>
    <t>CONTRATACION DE FORMATERIA PARA LA UNIDAD DE SEGUROS</t>
  </si>
  <si>
    <t>A.S.N° 003-2019-RSCCE</t>
  </si>
  <si>
    <t>20223665480 GRAFICOMP E.I.R.L</t>
  </si>
  <si>
    <t>CONTRATCION DE UTILES DE ASEO, LIMPIEZA Y TOCADOR</t>
  </si>
  <si>
    <t>A.S.N° 004-2019-RSCCE</t>
  </si>
  <si>
    <t>20519272815 JP INVERSIONES GENERALES E.I.R.L</t>
  </si>
  <si>
    <t>CONTRATACION DE BALANZA PEDIATRICA DIGITAL Y BALANZA DE PIE DIGITAL</t>
  </si>
  <si>
    <t>A.S.N° 005-2019-RSCCE</t>
  </si>
  <si>
    <t>20454094221 BIOMED S.A.C</t>
  </si>
  <si>
    <t>CONTRATCION DE EQUIPO DESTRUCTOR DE AGUJAS</t>
  </si>
  <si>
    <t>A.S.N° 006-2019-RSCCE</t>
  </si>
  <si>
    <t>20552594704 HORNOS Y SERVICIO FELIX S.A.C</t>
  </si>
  <si>
    <t>CONTRATCION DE SUMINISTRO DE COMBUSTIBLES</t>
  </si>
  <si>
    <t>A.S.N° 007-2019-RSCCE</t>
  </si>
  <si>
    <t>10294676282 CARPIO VARGAS FEDERICO ANTONIO</t>
  </si>
  <si>
    <t>CONTRATCION DE TALLIMETRO E INFANTOMETRO</t>
  </si>
  <si>
    <t>A.S.N° 008-2019-RSCCE</t>
  </si>
  <si>
    <t>20511295042 BINSERX E.I.R.L</t>
  </si>
  <si>
    <t>CONTRATCION DE MONITOR MULTIPARAMETRO PORTATIL</t>
  </si>
  <si>
    <t>A.S.N° 009-2019-RSCCE</t>
  </si>
  <si>
    <t>20545804795 GOLDEN MEDICAL TECH S.A.C</t>
  </si>
  <si>
    <t>CONTRATCION DE CUNA DE CALOR RADIANTE</t>
  </si>
  <si>
    <t>A.S.N° 010-2019-RSCCE</t>
  </si>
  <si>
    <t>20492226883 BIOMEDRAB S.A.C</t>
  </si>
  <si>
    <t>CONTRATCION DE INSUMOS ODONTOLOGICOS</t>
  </si>
  <si>
    <t>A.S.N° 011-2019-RSCCE</t>
  </si>
  <si>
    <t>20100262291 COMINDENT TARRILLO BARBA S.A.C</t>
  </si>
  <si>
    <t>CONTRATACION DE INCUBADORAS PARA BEBE</t>
  </si>
  <si>
    <t>A.S.N° 012-2019-RSCCE</t>
  </si>
  <si>
    <t>20208310730 MEDELCO S.R.L</t>
  </si>
  <si>
    <t>CONTRATACION DE INSTRUMENTAL QUIRURGICO</t>
  </si>
  <si>
    <t>A.S.N° 013-2019-RSCCE</t>
  </si>
  <si>
    <t>20524232104 OPEN MEDIC S.A.C</t>
  </si>
  <si>
    <t>CONTRATACION DE FORMATOS ADMINISTRATIVOS IMPRESOS</t>
  </si>
  <si>
    <t>A.S.N° 014-2019-RSCCE</t>
  </si>
  <si>
    <t>20559146057 INVERSIONES LAYCOTA E.I.R.L</t>
  </si>
  <si>
    <t>CONTRATCION DE REFRIGERADORAS FOTOVOLTAICAS</t>
  </si>
  <si>
    <t>A.S.N° 015-2019-RSCCE</t>
  </si>
  <si>
    <t>20433546394 EDALMI S.A.C</t>
  </si>
  <si>
    <t>CONTRATACION DE PANTOSCOPIO PEDIATRICO PORTATIL</t>
  </si>
  <si>
    <t>A.S.N° 016-2019-RSCCE</t>
  </si>
  <si>
    <t>20100162238 AMERICAN HOSP SCIEF EQUIP CO DEL PERU S.A.C</t>
  </si>
  <si>
    <t>CONTRATACION DE TELAS PARA UNIFORME INSTITUCIONAL DEL PERSONAL DE LA U.E.401 SCCE</t>
  </si>
  <si>
    <t>A.S.N° 017-2019-RSCCE</t>
  </si>
  <si>
    <t>20527828563 CUZMAR DISTRIBUCIONES - CUSCO S.A.C</t>
  </si>
  <si>
    <t>CONTRATACION DE ACONDICIONBAMIENTO Y REMODELACION DE INSTALACIONES EN GENERAL</t>
  </si>
  <si>
    <t>A.S.N° 018-2019-RSCCE</t>
  </si>
  <si>
    <t>20489980542 SUCÑIER INGENIEROS S.A.C</t>
  </si>
  <si>
    <t>CONTRATACION DE ANALIZADOR HEMATOLOGICO AUTOMATIZADO</t>
  </si>
  <si>
    <t>A.S.N° 019-2019-RSCCE</t>
  </si>
  <si>
    <t>20524800510 LAS &amp; HEALTH SUPPLY S.A.C</t>
  </si>
  <si>
    <t>CONTRATACION DE SERVICIO DE MANTENIMIENTO DE INFRAESTRUCTURA EN GENERAL EN LOS EE.SS PAMPAPHALLA, TECHO OBRERO, LA FLORIDAY UZCUPATA DE LA U.E.401 SCCE</t>
  </si>
  <si>
    <t>A.S.N° 020-2019-RSCCE</t>
  </si>
  <si>
    <t>20600434595 SELVASSUR CONSTRUCCIONES S.R.L</t>
  </si>
  <si>
    <t>CONTRATACION DE SERVICIO DE MANTENIMIENTO DE INFRAESTRUCTURA EN GENERAL EN LOS EE.SS QUEHUAR, PHINAYA, SANTA BARBARA,DE LA U.E.401 SCCE</t>
  </si>
  <si>
    <t>A.S.N° 021-2019-RSCCE</t>
  </si>
  <si>
    <t>20450605787 CONSTRUCTORA CAHUATA E.I.R.L</t>
  </si>
  <si>
    <t>CONTRATACION DE SERVICIO DE MANTENIMIENTO DE INFRAESTRUCTURA EN GENERAL EN LOS EE.SS CONDEVILUYO, HERCCA, LANGUI, LAYO DE LA U.E.401 SCCE</t>
  </si>
  <si>
    <t>A.S.N° 022-2019-RSCCE</t>
  </si>
  <si>
    <t>CONTRATACION DE SERVICIO DE MANTENIMIENTO DE INFRAESTRUCTURA EN GENERAL EN LOS EE.SS SAN PABLO, SAN PEDRO Y TINTA DE LA U.E.401 SCCE</t>
  </si>
  <si>
    <t>A.S.N° 023-2019-RSCCE</t>
  </si>
  <si>
    <t>20601011213 AZAFRAN N&amp;Y CONTRATISTAS Y CONSULTORES S.A.C</t>
  </si>
  <si>
    <t>CONTRATACION DE SERVICIO DE MANTENIMIENTO DE INFRAESTRUCTURA EN GENERAL EN LOS EE.SS COMBAPATA, CHIARA Y PITUMARCA DE LA U.E.401 SCCE</t>
  </si>
  <si>
    <t>A.S.N° 024-2019-RSCCE</t>
  </si>
  <si>
    <t>CONTRATACION DE SERVICIO DE MANTENIMIENTO DE INFRAESTRUCTURA EN GENERAL EN LOS EE.SS PONGOÑA, SURIMANA Y TOCCORORI DE LA U.E.401 SCCE</t>
  </si>
  <si>
    <t>A.S.N° 025-2019-RSCCE</t>
  </si>
  <si>
    <t>CONTRATACION DE SERVICIO DE MANTENIMIENTO DE INFRAESTRUCTURA EN GENERAL EN LOS EE.SS MOSOCLLACTA, PAMPAMARCA Y TUNGASUCA  DE LA U.E.401 SCCE</t>
  </si>
  <si>
    <t>A.S.N° 026-2019-RSCCE</t>
  </si>
  <si>
    <t>CONTRATACION DE SERVICIO DE MANTENIMIENTO DE INFRAESTRUCTURA EN GENERAL EN LOS EE.SS YANAOCA, CHITIBAMBA, HUINCHIRI Y QUEHUE DE LA U.E.401 SCCE</t>
  </si>
  <si>
    <t>A.S.N° 027-2019-RSCCE</t>
  </si>
  <si>
    <t>20601898960 MITH S.A.C</t>
  </si>
  <si>
    <t>CONTRATACION DE SERVICIO DE MANTENIMIENTO DE INFRAESTRUCTURA EN GENERAL EN LOS EE.SS YAURI, COPORAQUE, PICHIGUA Y SUYKUTAMBO DE LA U.E.401 SCCE</t>
  </si>
  <si>
    <t>A.S.N° 028-2019-RSCCE</t>
  </si>
  <si>
    <t>CONTRATACION DE SERVICIO DE MANTENIMIENTO DE INFRAESTRUCTURA EN GENERAL EN LOS EE.SS ACCOCUNCA, CONDOROMA Y PALLPATA DE LA U.E.401 SCCE</t>
  </si>
  <si>
    <t>A.S.N° 029-2019-RSCCE</t>
  </si>
  <si>
    <t>CONTRATACION DE SERVICIO DE MANTENIMIENTO DE INFRAESTRUCTURA EN GENERAL EN LOS EE.SS MARANGANI, CCUYO, CHECTUYOC Y OCOBAMBA DE LA U.E.401 SCCE</t>
  </si>
  <si>
    <t>A.S.N° 030-2019-RSCCE</t>
  </si>
  <si>
    <t>CONTRATACION DE SUMINISTRO DE COMBUSTIBLE</t>
  </si>
  <si>
    <t>S.I.E.N° 001-2020-RSCCE</t>
  </si>
  <si>
    <t>POR CONCLUIR</t>
  </si>
  <si>
    <t>S.I.E.N° 002-2020-RSCCE</t>
  </si>
  <si>
    <t>A.S.N° 001-2020-RSCCE</t>
  </si>
  <si>
    <t>CONTRATACION DE MOBILIARIO MEDICO</t>
  </si>
  <si>
    <t>A.S.N° 002-2020-RSCCE</t>
  </si>
  <si>
    <t>20603370628 GLOBAL SCIENTIFIC S.A.C</t>
  </si>
  <si>
    <t>A.S.N° 003-2020-RSCCE</t>
  </si>
  <si>
    <t>20486277069 IMPRESOS S.R.L</t>
  </si>
  <si>
    <t>CONTRATACION DE MASCARILLA DESCARTABLE USO QUIRURGICO C/TRES FILTROS X 50</t>
  </si>
  <si>
    <t>C.D.N° 001-2020-RSCCE</t>
  </si>
  <si>
    <t>20604159360 OSTEOMEDIC PERU E.I.R.L</t>
  </si>
  <si>
    <t>CONTRATACION DE PROTECTOR FACIAL CON VISOR</t>
  </si>
  <si>
    <t>C.D.N° 002-2020-RSCCE</t>
  </si>
  <si>
    <t>20603261608 INGENIERIA MONCAT E.I.R.L</t>
  </si>
  <si>
    <t>CONTRATACION DE MASCARILLA DESCARTABLE TIPO N 95</t>
  </si>
  <si>
    <t>C.D.N° 003-2020-RSCCE</t>
  </si>
  <si>
    <t>20490324047 DISTRIBUIDORA MERBEX E.I.R.L</t>
  </si>
  <si>
    <t>CONTRATACION DE MAMELUCO DE PROTECCION DESCARTABLE DE POLIETILENO</t>
  </si>
  <si>
    <t>C.D.N° 004-2020-RSCCE</t>
  </si>
  <si>
    <t>CONTRATACION DE COMBUSTIBLES Y CARBURANTES</t>
  </si>
  <si>
    <t>S.I.E.N° ----- 2021-RSCCE</t>
  </si>
  <si>
    <t>A.S.N° ------- 2021-RSCCE</t>
  </si>
  <si>
    <t>CONTRATACION DE MATERIAL, INSUMOS, INSTRUMENTAL Y ACCESORIOS  MEDICOS, QUIRURGICOS, ODONTOLOGICOS Y DE LABORATORIO</t>
  </si>
  <si>
    <t>CONTRATACION DE TEXTILES Y ACABADOS TEXTILES</t>
  </si>
  <si>
    <t>CONTRATACION DE VESTUARIOS Y ACCESORIOS, PRENDAS DIVERSAS</t>
  </si>
  <si>
    <t>CONTRATACION DE REFRIGERIOS Y ALMUERZOS</t>
  </si>
  <si>
    <t>CONTRATACION DE TRANSPORTE DE BIENES</t>
  </si>
  <si>
    <t>UNIDAD  EJECUTORA 402: HOSPITAL DE APOYO DEPARTAMENTAL CUSCO</t>
  </si>
  <si>
    <t xml:space="preserve">MEDIO PARA HEMOCULTIVO ADULTO AUTOMATIZADO </t>
  </si>
  <si>
    <t>AS N° 12-2019-HRC/CS</t>
  </si>
  <si>
    <t>20537139120 DELTALAB PERU EIRL</t>
  </si>
  <si>
    <t>EN EJECUCION CONTRACTUAL</t>
  </si>
  <si>
    <t>PRODUCTOS ALIMENTICIOS PARA SUPLEMENTO ALIMENTARIO</t>
  </si>
  <si>
    <t>AS N° 23-2019-HRC/CS</t>
  </si>
  <si>
    <t>20491221446 CONSORCIO ORION CUSCO SRL</t>
  </si>
  <si>
    <t>CONTRATO CULMINADO</t>
  </si>
  <si>
    <t>ELECTROBISTURI MONOPOLAR /BIPOLAR</t>
  </si>
  <si>
    <t>AS N° 7-2019-HRC/CS</t>
  </si>
  <si>
    <t>20102032951 A JAIME ROJAS SA</t>
  </si>
  <si>
    <t>EQUIPO DE ELECTROBISTURI CON ARGON PLASMA</t>
  </si>
  <si>
    <t>AS N° 21-2019-HRC/CS</t>
  </si>
  <si>
    <t>20100938139 INTRAMEDICA SAC</t>
  </si>
  <si>
    <t>SERVICIO DE ACONDICIONAMIENTO DE AMBIENTE PARA FARMACOTECNIA</t>
  </si>
  <si>
    <t>AS N° 17-2019-HRC/CS</t>
  </si>
  <si>
    <t>20527673934 NILCHRIS PERU SAC</t>
  </si>
  <si>
    <t xml:space="preserve">EQUIPO DE HEMODIALISIS </t>
  </si>
  <si>
    <t>AS N° 19-2019-HRC/CS</t>
  </si>
  <si>
    <t>20504312403 NIPRO MEDICAL CORP SUCURSAL PERU</t>
  </si>
  <si>
    <t>PRODUCTOS PARA ALIMENTACION  DE PACIENTES Y PERSONAL ASISTENCIAL - CARNE Y POLLO</t>
  </si>
  <si>
    <t>LP N° 3-2019-HRC/CS</t>
  </si>
  <si>
    <t>17116738643 ESPÍNOZA ALVAREZ AURELIANO</t>
  </si>
  <si>
    <t>CONSERVADORAS DE MEDICAMENTOS PARA FARMACIA</t>
  </si>
  <si>
    <t>20553817804 INTERNATIONAL PROJECT CONSULTING SA</t>
  </si>
  <si>
    <t>SUMINISTRO DE INSUMOS PARA DIALISIS PERITONEAL</t>
  </si>
  <si>
    <t>CD N° 1-2019-HRC/UL</t>
  </si>
  <si>
    <t>20462793791 FRESENIUS MEDICAL CARE DEL PERU</t>
  </si>
  <si>
    <t>EQUIPO  DE VIDEO BRONCOSCOPIO</t>
  </si>
  <si>
    <t>AS N° 16-2019-HRC/CS</t>
  </si>
  <si>
    <t>ASPIRADORA DE SECFRECIONES BASE RODABLE</t>
  </si>
  <si>
    <t>AS N° 3-2019-HRC/CS</t>
  </si>
  <si>
    <t>20563567032 DEUCE PERU SAC</t>
  </si>
  <si>
    <t>INSUMOS PARA ANALIZADOR DE GASES</t>
  </si>
  <si>
    <t>AS N° 8-2019-HRC/CS</t>
  </si>
  <si>
    <t>20501887286 DIAGNOSTICA PERUANA SAC</t>
  </si>
  <si>
    <t>EQUIPOS DE INCUBADORAS NEONATALES</t>
  </si>
  <si>
    <t>AS N° 6-2019-HRC/CS</t>
  </si>
  <si>
    <t>20538597121 DRAEGER PERU SAC</t>
  </si>
  <si>
    <t>SERVICIO DE MANTENIMIENTO PREVENTIVO Y CORRECTIVO DE TOMOGRAFO</t>
  </si>
  <si>
    <t>AS N° 11-2019-HRC/CS</t>
  </si>
  <si>
    <t>20263368992 CYMED MEDICAL SAC</t>
  </si>
  <si>
    <t>EQUIPO DE ERGOMETRIA (PARA PRUEBA DE ESFUERZO)</t>
  </si>
  <si>
    <t>20543855015 BTL PERU SAC</t>
  </si>
  <si>
    <t>EQUIPO DE VENTILADOR PULMONAR NEONATAL</t>
  </si>
  <si>
    <t>AS N° 5-2019-HRC/CS</t>
  </si>
  <si>
    <t>EQUIPO DE VENTILADOR PULMONAR DE ALTA FRECUENCIA</t>
  </si>
  <si>
    <t>MASCARILLA DESCARTABLE TIPO N95</t>
  </si>
  <si>
    <t>COMPRE N° 2-2019-HRC/UL</t>
  </si>
  <si>
    <t>20601241642 CRISOF SOLUCIONES INTEGRALES SAC</t>
  </si>
  <si>
    <t>SERVICIO DE SEGURIDAD Y VIGILANCIA</t>
  </si>
  <si>
    <t>AS N° 2-2019-HRC/CS</t>
  </si>
  <si>
    <t>20600705084 CYP SECURITY SAC</t>
  </si>
  <si>
    <t>AS N° 1-2019-HRC/CS</t>
  </si>
  <si>
    <t>20467534026 AMERICA MOVIL PERU SAC</t>
  </si>
  <si>
    <t>SUMINISTRO DE PELICULAS RADIOGRAFICAS</t>
  </si>
  <si>
    <t>COMPRE N° 1-2019-HRC/UL</t>
  </si>
  <si>
    <t>OXIGENO MEDICINAL GAS</t>
  </si>
  <si>
    <t>LP N° 1-2019-HRC/CS</t>
  </si>
  <si>
    <t>20338570041 PRAXAIR PERU SRL</t>
  </si>
  <si>
    <t>OXIGENO MEDICINAL LIQUIDO</t>
  </si>
  <si>
    <t>PAPEL TOALLA</t>
  </si>
  <si>
    <t>COMPRA ELECTRONICA</t>
  </si>
  <si>
    <t>20509411671 MP INSTITUCIONAL SAC</t>
  </si>
  <si>
    <t>REACTIVOS DE MEDIOS DE HEMOCULTIVO</t>
  </si>
  <si>
    <t>AS 12-2019-HRC/CS</t>
  </si>
  <si>
    <t>20537139120 DELTALAB PERU EIRL.</t>
  </si>
  <si>
    <t>BOLSAS DE POLIETILENO</t>
  </si>
  <si>
    <t>AS 2-2020-HRC/CS</t>
  </si>
  <si>
    <t>20498475052 PLASTICOS CONTINENTAL SAC</t>
  </si>
  <si>
    <t>COMBUSTIBLE DIESEL B5</t>
  </si>
  <si>
    <t>SIE 1-2020-HRC/CS</t>
  </si>
  <si>
    <t>INVERSIONES CECO SAC</t>
  </si>
  <si>
    <t>MONITOR MULTIPARAMETRO</t>
  </si>
  <si>
    <t>CD 3-2020-HRC/UL</t>
  </si>
  <si>
    <t>20600655478 DROGUERIA MEDICO SAC</t>
  </si>
  <si>
    <t>CAMAS DE HOSPITALIZACION</t>
  </si>
  <si>
    <t>CD 7-2020-HRC/UL</t>
  </si>
  <si>
    <t>20601058406 CORPORACION L&amp;A IMPORT SAC</t>
  </si>
  <si>
    <t>ASPIRADOR DE SECRECIONES</t>
  </si>
  <si>
    <t>CD 8-2020-HRC/UL</t>
  </si>
  <si>
    <t>20556510190 INSUMET SAC</t>
  </si>
  <si>
    <t>EQUIPO DESFIRBILADOR</t>
  </si>
  <si>
    <t>CD 2-2020-HRC/UL</t>
  </si>
  <si>
    <t>20521180260 OLIMPEX PERU SAC</t>
  </si>
  <si>
    <t>VENTILADRO VOLUMETRICO</t>
  </si>
  <si>
    <t>CD 1-2020-HRC/UL</t>
  </si>
  <si>
    <t>20465722119 GLOBAL SUPPLY SAC</t>
  </si>
  <si>
    <t>OXIMETROS DE PULSO - LARINGOSCOPIO</t>
  </si>
  <si>
    <t>CD 10-2020-HRC/UL</t>
  </si>
  <si>
    <t>20520987186 CARDIOMED DEL PERU SAC</t>
  </si>
  <si>
    <t>MESA DE NOCHE (VELADOR)</t>
  </si>
  <si>
    <t>CD 11-2020-HRC/UL</t>
  </si>
  <si>
    <t>20553715394 IMPORTADORA LATINA MEDICA SRL.</t>
  </si>
  <si>
    <t>SERVICIO DE MANTENIMIENTO INTEGRAL DE SERVICIOS HIGIENICOS DE CONSULTORIOS EXTERNOS Y PILETAS EXTERIORES</t>
  </si>
  <si>
    <t>CD 5-2020-HRC/UL</t>
  </si>
  <si>
    <t>20601627681 RIMACHI HERMANOS CONSTRUCTORES Y CONSULTORES SAC</t>
  </si>
  <si>
    <t>SERVICIO DE MANTENIMIENTO DE MODULOS COVID 19</t>
  </si>
  <si>
    <t>CD 4-2020-HRC/UL</t>
  </si>
  <si>
    <t>10239797291 CJUNO HUANCA WILFREDO</t>
  </si>
  <si>
    <t>SUSCRIPCION DE CONTRATO</t>
  </si>
  <si>
    <t>BOLSAS CUADRUPLE DE EXTRACCION DE SANGRE</t>
  </si>
  <si>
    <t>AS 1-2020-HRC/CS</t>
  </si>
  <si>
    <t>20381450377 FRESENIUS KABI PERU SAC</t>
  </si>
  <si>
    <t>SERVICIO DE CREMACION DE CADAVERES POR COVID 19</t>
  </si>
  <si>
    <t>CD 22-2020-HRC/UL</t>
  </si>
  <si>
    <t>20450546837 CENTRO DE TANATOLOGIA CUSCO SAC</t>
  </si>
  <si>
    <t>SERVICIO DE MANTENIMIENTO DE SALA DE ESPERA COVID 19</t>
  </si>
  <si>
    <t>CD 14-2020-HRC/UL</t>
  </si>
  <si>
    <t>ADQUISICION DE MANDILON DESCARTABLE, PARA PROTECCION COVID 19</t>
  </si>
  <si>
    <t>CD 15-2020-HRC/UL</t>
  </si>
  <si>
    <t>20454825455 LOBO SISTEMAS SAC</t>
  </si>
  <si>
    <t>ADQUISICION DE CHAQUETA Y PANTALON DESCARTABLE, PARA PROTECCION COVID 19</t>
  </si>
  <si>
    <t xml:space="preserve">20522237176 DIMSAN GRUOUP </t>
  </si>
  <si>
    <t>ADQUISICION DE MAMELUCO DESCARTABLE, PARA PROTECCION COVID 19</t>
  </si>
  <si>
    <t>20555963361 CORPORACION CERQUIN</t>
  </si>
  <si>
    <t>SERVICIO DE ALIMENTACION DE PACIENTES Y PERSONAL DEL HOSPITALTEMPORAL COVID19</t>
  </si>
  <si>
    <t>10050714042 LOAIZA CACARES LEANDRO</t>
  </si>
  <si>
    <t>ADQUISICION DE BALONES DE OXIGENO MEDICINAL</t>
  </si>
  <si>
    <t>CD 21-2020-HRC/UL</t>
  </si>
  <si>
    <t>20526977603 MULTISERVICIOS SALAZAR EIRL.</t>
  </si>
  <si>
    <t>SERVICIO DE MANTENIMIENTO DE SERVICIOS HIGIENICOS, LAVATORIOS, REPINTADO, CONTRAPLACADO DE PUERTAS DE CIRUGIA A</t>
  </si>
  <si>
    <t>CD 17-2020-HRC/UL</t>
  </si>
  <si>
    <t>20600434641 ICEPZE PERU EIRL.</t>
  </si>
  <si>
    <t>ADQUISICION DE MASCARILLAS N95</t>
  </si>
  <si>
    <t>CD 18-2020-HRC/UL</t>
  </si>
  <si>
    <t>20602305326 CORPZAB SAC</t>
  </si>
  <si>
    <t>SERVICIO DE MANTENIMIENTO DE DUCHAS CON INSTALACION DE AGUA CALIENTE Y CAMBIO DE LAVAMANOS DE RESIDENCIA MEDICA</t>
  </si>
  <si>
    <t>CD 12-2020-HRC/UL</t>
  </si>
  <si>
    <t>ADQUISICION DE UNIFORME ASISTENCIAL UNISEX</t>
  </si>
  <si>
    <t>CD 16-2020-HRC/UL</t>
  </si>
  <si>
    <t>20527938741 OL&amp;VER TEAM EIRL.</t>
  </si>
  <si>
    <t>AS 5-2021-HRC/CS</t>
  </si>
  <si>
    <t>JUNIO</t>
  </si>
  <si>
    <t>CD 1-2021-HRC/UL</t>
  </si>
  <si>
    <t>MARZO</t>
  </si>
  <si>
    <t>CD 2-2021-HRC/UL</t>
  </si>
  <si>
    <t>CD 3-2021-HRC/UL</t>
  </si>
  <si>
    <t>SIE 1-2021-HRC/CS</t>
  </si>
  <si>
    <t>FEBRERO</t>
  </si>
  <si>
    <t>LP 1-2021-HRC/CS</t>
  </si>
  <si>
    <t>ABRIL</t>
  </si>
  <si>
    <t>CD 4-2021-HRC/UL</t>
  </si>
  <si>
    <t>AS 2-2021-HRC/CS</t>
  </si>
  <si>
    <t>MAYO</t>
  </si>
  <si>
    <t>ADQUISICION DE BOLSAS PARA RESIDUOS SOLIDOS</t>
  </si>
  <si>
    <t>AS 1-2021-HRC/CS</t>
  </si>
  <si>
    <t>CONTRATACION DE TRANSPORTE DE RESIDUOS SOLIDOS</t>
  </si>
  <si>
    <t>AS 6-2021-HRC/CS</t>
  </si>
  <si>
    <t>AS 3-2021-HRC/CS</t>
  </si>
  <si>
    <t>CONCURSO PUBLICO</t>
  </si>
  <si>
    <t>CP 1-2021-HRC/CS</t>
  </si>
  <si>
    <t>ADQUISICION MATERIAL DE LIMPIEZA</t>
  </si>
  <si>
    <t>AS 4-2021-HRC/CS</t>
  </si>
  <si>
    <t>AS 7-2021-HRC/CS</t>
  </si>
  <si>
    <t>AS 8-2021-HRC/CS</t>
  </si>
  <si>
    <t>AS9-2021-HRC/CS</t>
  </si>
  <si>
    <t>AS 10-2021-HRC/CS</t>
  </si>
  <si>
    <t>LP 2-2021-HRC/CS</t>
  </si>
  <si>
    <t>UNIDAD  EJECUTORA 403: HOSPITAL ANTONIO LORENA</t>
  </si>
  <si>
    <t>UNIDAD  EJECUTORA 404:  SALUD LA CONVENCION</t>
  </si>
  <si>
    <t>ADQUISICIÓN  DE EQUIPO ECÓGRAFO ULTRASONIDO PORTATIL PARA EL P.S. OCCOBAMBA DE LA RED DE SERVICIOS DE SALUD LA CONVENCION</t>
  </si>
  <si>
    <t>AS-SM-12-2019-RSSLC-1</t>
  </si>
  <si>
    <t>(20556349470) MULTIMEDICA TECNOLOGICA S.A.C.</t>
  </si>
  <si>
    <t>ADQUISICIÓN  DE ESTERILIZADORES A VAPOR-AUTOCLAVES VERTICALES DE 50 L PARA LA RED DE SERVICIOS DE SALUD LA CONVENCIÓN</t>
  </si>
  <si>
    <t>AS-SM-11-2019-RSSLC-1</t>
  </si>
  <si>
    <t>(20600811364)IMPORT MEDICAL ANICAMA EIRL</t>
  </si>
  <si>
    <t>NO ENTREGÓ</t>
  </si>
  <si>
    <t>CONTRATO RESUELTO</t>
  </si>
  <si>
    <t>ADQUISICION DE ANALIZADOR BIOQUIMICO SEMIAUTOMATICO PARA LA RED DE SERVICOS DE SALUD LA CONVENCION</t>
  </si>
  <si>
    <t>AS-SM-10-2019-RSSLC-1</t>
  </si>
  <si>
    <t>(20604843554) DIAGNOSTIC LAB E&amp;M S.A.C.</t>
  </si>
  <si>
    <t>MANTENIMIENTO Y MEJORAMIENTO DEL PS DE PAMPACONAS DEL DISTRITO DE VILCABAMBA-LA CONVENCIÓN-CUSCO DE LA RED DE SERVICIOS DE SALUD LA CONVENCIÓN</t>
  </si>
  <si>
    <t>AS-SM-9-2019-RSSLC-1</t>
  </si>
  <si>
    <t>SELVASSUR CONSTRUCCIONES S.R.L.- 20600434595</t>
  </si>
  <si>
    <t>MANTENIMIENTO Y MEJORAMIENTO DEL PS DE SELVA ALEGRE DEL DISTRITO DE VILCABAMBA-LA CONVENCIÓN-CUSCO DE LA RED DE SERVICIOS DE SALUD LA CONVENCIÓN</t>
  </si>
  <si>
    <t>AS-SM-8-2019-RSSLC-1</t>
  </si>
  <si>
    <t>INVERSIONES Y REPRESENTACIONES FRUTOS DE AYACUCHO S.R.L.- 20452538211</t>
  </si>
  <si>
    <t>ADQUISICIÓN DE ANALIZADORES BIOQUÍMICOS-EQUIPOS DE REPOSICIÓN PARA LA RED DE SERVICIOS DE SALUD LA CONVENCIÓN</t>
  </si>
  <si>
    <t>COMPRE-SM-3-2019-RSSLC-1</t>
  </si>
  <si>
    <t xml:space="preserve">DIAGNOSTIC LAB E &amp; M S.A.C. con RUC N° 20604843554 </t>
  </si>
  <si>
    <t>ADQUISICIÓN DE EQUIPOS DE RAYOS X DENTAL -EQUIPOS DE REPOSICIÓN PARA LA RED DE SERVICIOS DE SALUD LA CONVENCION</t>
  </si>
  <si>
    <t>COMPRE-SM-2-2019-RSSLC-1</t>
  </si>
  <si>
    <t>MUNDO DENTAL E.I.R.L. con RUC N° 20527818762</t>
  </si>
  <si>
    <t>ADQUISICION DE UNIDADES DENTALES</t>
  </si>
  <si>
    <t>AS-SM-7-2019-RSSLC-1</t>
  </si>
  <si>
    <t>20600896777,  LATIN DENT S.A.C.</t>
  </si>
  <si>
    <t>ADQUISICION DE EQUIPO ECOGRAFO ULTRASONIDO PORTATIL</t>
  </si>
  <si>
    <t>AS-SM-6-2019-RSSLC-1</t>
  </si>
  <si>
    <t>(20376801927) MEDISONIC S.A.C.</t>
  </si>
  <si>
    <t>ADQUSICION DE EQUIPO ECOGRAFO RODABLE CON DOPPLER COLOR 4D</t>
  </si>
  <si>
    <t>AS-SM-5-2019-RSSLC-1</t>
  </si>
  <si>
    <t>ADQUISICIÓN DE INCUBADORA NEONATAL ENTANDAR - EQUIPO DE REPOSICIÓN PARA EL C.S DE HUYRO DE LA RED DE SERVICIOS DE SALUD LA CONVENCIÓN</t>
  </si>
  <si>
    <t>COMPRE-SM-1-2019-RSSLC-1</t>
  </si>
  <si>
    <t xml:space="preserve">IMPORTADORA Y DISTRIBUIDORA EDAL MED S.A.C. RUC N° 20603505761 </t>
  </si>
  <si>
    <t>SUMINISTRO GASOHOL 84 PARA LA MICRORED KAMISEA CON PUNTO DE SUMINISTRO EN LAS LOCALIDADES DE IVOCHOTE O SANIRIATO</t>
  </si>
  <si>
    <t>AS-SM-4-2019-RSSLC-1</t>
  </si>
  <si>
    <t>(10239875535) CCOPA COLQUE HIGIDIA</t>
  </si>
  <si>
    <t>ADQUISICIÓN DE BALONES DE OXIGENO MEDICINAL DE 5.5 M3</t>
  </si>
  <si>
    <t>AS-SM-3-2019-RSSLC-1</t>
  </si>
  <si>
    <t xml:space="preserve"> (20557041631) INTECWELD IMPORT S.A.C.</t>
  </si>
  <si>
    <t>SET INSTRUMENTAL PARA ATENCIÓN DE PARTO</t>
  </si>
  <si>
    <t>AS-SM-2-2019-RSSLC-1</t>
  </si>
  <si>
    <t>(20520987186) CARDIOMED DEL PERU SAC</t>
  </si>
  <si>
    <t>ADQUISICION DE COMPRA DE COMBUSTIBLE PARA LOS EESS Y LA SEDE CENTRAL DE LA RED DE SERVICIOS DE SALUD LA CONVENCION</t>
  </si>
  <si>
    <t>SIE-SIE-2-2019-RSSLC.-1</t>
  </si>
  <si>
    <t>(10250088383) CHOQUEHUANCA NUÑEZ ROCIO MIÑAGROS</t>
  </si>
  <si>
    <t>(20490129856) MAGALY'S SERVICENTRO EIRL</t>
  </si>
  <si>
    <t>SIE-SIE-1-2019-RSSLC-2</t>
  </si>
  <si>
    <t>ADQUISICION DE FORMATOS PARA LA UNIDAD DE SEGUROS</t>
  </si>
  <si>
    <t>AS-SM-1-2019-RSSLC-1</t>
  </si>
  <si>
    <t>(20564457061) IMPRENTA AMBITO GRAFICO SAC</t>
  </si>
  <si>
    <t>31/06/2019</t>
  </si>
  <si>
    <t>SIE-SIE-1-2019-RSSLC-1</t>
  </si>
  <si>
    <t>ADQUISICIÓN DE INSUMOS DE PROTECCIÓN PERSONAL (MASCARILLAS DESCARTABLES TIPO N-95) PARA EL PLAN DE CONTINGENCIA ANTE LA PRESENCIA DEL CORONAVIRUS DE LA DIRECCIÓN DE SALUD AMBIENTAL DE LA RED DE SERVICIOS DE SALUD LA CONVENCIÓN</t>
  </si>
  <si>
    <t>COMPRE-SM-7-2020-RSSLC-1</t>
  </si>
  <si>
    <t>(10459382637) ARDILES CHAVEZ INDIRA</t>
  </si>
  <si>
    <t>SE ENCUENTRA EN CONSENTIMIENTO: 9-10-2020</t>
  </si>
  <si>
    <t>ADQUISICIÓN DE ACEITES LUBRICANTES PARA LA IMPLEMENTACIÓN DEL PLAN DE INTERVENCIÓN DEL MINISTERIO DE SALUD PARA COMUNIDADES INDÍGENAS Y CENTROS POBLADOS RURALES DE LA AMAZONIA FRENTE A LA EMERGENCIA DEL COVID-19 EN LAS IPRESS DE LA MICRO RED CAMISEA DE LA RED DE SERVICIOS DE SALUD LA CONVENCIÓN</t>
  </si>
  <si>
    <t>COMPRE-SM-6-2020-RSSLC-1</t>
  </si>
  <si>
    <t>(20604839298) TECNIL DISTRIBUCIONES E.I.R.L.</t>
  </si>
  <si>
    <t>ADQUISICION DE MATERIALES DE ASEO Y LIMPIEZA (JABON PARA LAVAR ROPA) PARA LA IMPLEMENTACIÓN DEL PLAN DE INTERVENCION DEL MINSITERIO DE SLAUD PARA COMUNIDADES INDÍGENAS Y CENTROS POBLADOS RURALES DE  LA AMAZONÍA FRENTE A LA EMERGENCIA DEL COVID-19 EN LAS IPRESS DE LA MICRO RED CAMISEA DE LA RED DE SERVICIOS DE SALUD LA CONVENCION</t>
  </si>
  <si>
    <t>DIRECTA-PROC-3-2020-RSSLC-1</t>
  </si>
  <si>
    <t>(20601465141) PROVEEDORES GENERALES DE ABASTECIMIENTO E.I.R.L.</t>
  </si>
  <si>
    <t>ADQUISICION DE BALON DE OXIGENO DE 10M3 RECARGADO CON REGULADOR PARA OXIGENO MEDICINAL, FRASCO HUMIFICADOR Y MASCARA PARA OXIGENO MEDICINAL PARA ATENCION DE PACIENTES CON NEUMONIA Y DIFICULTAD RESPIRATORIA EN EL MARCO DEL COVID-19 PARA LOS ESTABLECIMIENTOS DE SALUD DE LA RED DE SERVICIOS DE SALUD LA CONVENCION</t>
  </si>
  <si>
    <t>AS-SM-5-2020-RSSLC-1</t>
  </si>
  <si>
    <t>NO SE VOLVIO A CONVOCAR</t>
  </si>
  <si>
    <t>SUMINISTRO DE COMBUSTIBLE PARA LA IMPLEMENTACIÓN DEL PLAN DE INTERVENCION DEL MINISTERIO DE SALUD PARA COMUNIDADES INDIGENAS Y CENTROS POBLADOS RURALES DE LA AMAZONIA FRENTE A LA EMERGENCIA DEL COVID-19 EN LA IPRESS DE LA MICRO RED DE SALUD DE CAMISEA DE LA RED DE SERVICIOS DE SALUD LA CONVENCION</t>
  </si>
  <si>
    <t>SIE-SIE-4-2020-RSSLC-1</t>
  </si>
  <si>
    <t>(20450696219) GRIFOS SEÑOR DE CCOYLLORRITTY PATRICIO Y DIEGO EMPRESA INDIVIDUAL DE RESPONSABILIDAD LIMITADA</t>
  </si>
  <si>
    <t>ADQUISICIÓN DE MASCARILLAS DESCARTABLES TIPO N-95 PARA EL PROGRAMA PRESUPUESTAL ENFERMEDADES NO TRANSMISIBLES DE LA RED DE SERVICIOS DE SALUD LA CONVENCION</t>
  </si>
  <si>
    <t>COMPRE-SM-5-2020-RSSLC-1</t>
  </si>
  <si>
    <t>(20602723322) GRUPO CCALLO EIRL</t>
  </si>
  <si>
    <t>ADQUISICION DE BALONES DE OXIGENO DE 10 M3 PRA ATENCION DE PACIENTES COVID-19 EN EL MARCO DE LA EMERGENCIA SANITARIA PARA LOS ESTABLECIMIENTOS DE SALUD DE LA RED DE SERVICIOS DE SALUD LA CONVENCION</t>
  </si>
  <si>
    <t>DIRECTA-PROC-2-2020-RSSLC-1</t>
  </si>
  <si>
    <t>(20526830688) OXICUSCO S.R.L.</t>
  </si>
  <si>
    <t>CONTRATACION DE OXIGENO MEDICINAL GAS PARA LOS ESTABLECIMIENTOS DE SALUD DE LA RED DE SERVICIOS DE SALUD LA CONVENCION</t>
  </si>
  <si>
    <t>AS-SM-4-2020-RSSLC-1</t>
  </si>
  <si>
    <t>SUMINISTRO DE COMBUSTIBLE  (GASOHOL 84 PLUS) PARA LOS IPRESS (INSTITUCIONES PRESTADORAS DE SERVICIOS DE SALUD) DE LA MICRORED CAMISEA DE LA RED DE SERVICIOS DE SALUD LA CONVENCIÓN</t>
  </si>
  <si>
    <t>SIE-SIE-3-2020-RSSLC-1</t>
  </si>
  <si>
    <t>(10250088383) CHOQUEHUANCA NUÑEZ ROCIO MILAGROS</t>
  </si>
  <si>
    <t>ADQUISICIÓN DE HEMOGLOBINOMETRO PORTATIL PARA LOS EESS DE LA RED DE SERVICIOS DE SALUD LA CONVENCION</t>
  </si>
  <si>
    <t>AS-SM-3-2020-RSSLC-1</t>
  </si>
  <si>
    <t>(20501887286) DIAGNOSTICA PERUANA SAC</t>
  </si>
  <si>
    <t>SUMINISTRO DE COMBUSTIBLE PARA LA OFICINA DE SISMED PARA LA DISTRIBUCION DE MEDICAMENTOS, INSUMOS Y BIOLÓGICOS A LOS ESTABLECIMEINTOS DE LA RED DE SERVICIOS DE SALUD LA CONVENCION</t>
  </si>
  <si>
    <t>SIE-SIE-2-2020-RSSLC-1</t>
  </si>
  <si>
    <t>ADQUISICIÓN DE ANALIZADOR BIOQUÍMICO SEMI AUTOMATIZADO PARA LOS ESTABLECIMIENTOS DE SALUD DE IVOCHOTE Y MIARIA DE LA RED DE SERVICIOS DE SALUD LA CONVENCIÓN</t>
  </si>
  <si>
    <t>COMPRE-SM-3-2020-RSSLC-1</t>
  </si>
  <si>
    <t>ADQUISICIÓN DE DETECTOR DE LATIDOS FETALES PORTATIL PARA LOS ESTABLECIMIENTOS DE SALUD DE LA RED DE SERVICIOS DE SALUD LA CONVENCIÓN</t>
  </si>
  <si>
    <t>COMPRE-SM-2-2020-RSSLC-1</t>
  </si>
  <si>
    <t>(20563201640) CORPORACION INTERNACIONAL MEDIC S.A.</t>
  </si>
  <si>
    <t>ADQUISICION DE INSUMOS PARA EL MANEJO Y ATENCIÓN DE CASOS COVID-19</t>
  </si>
  <si>
    <t>DIRECTA-PROC-1-2020-RSSLC-1</t>
  </si>
  <si>
    <t xml:space="preserve">(20450674592) DISTRIBUCIONES GENERALES PROGRESO PROVEEDORES E.I.R.L. </t>
  </si>
  <si>
    <t xml:space="preserve">SE RESOLVIO 1 ITEM </t>
  </si>
  <si>
    <t>SERVICIO DE INTERNET PARA LOS PUNTOS DE DIGITACION DE LOS ESTABLECIMIENTOS DE SALUD DE PERIFERIA DE LA RED DE SERVICIOS DE SALUD LA CONVENCIÓN</t>
  </si>
  <si>
    <t>AS-SM-2-2020-RSSLC-1</t>
  </si>
  <si>
    <t>(20490214616) INVERSIONES PEDRITO SATELITALES EIRL</t>
  </si>
  <si>
    <t>REQUERIMIENTO DE SERVICIO DE INTERNET PARA LA SEDE RED, C.S. SANTA ANA, C.S. PAVAYOC Y CENTRO COMUNITARIO DE SALUD MENTAL DE LA RED DE SERVICIOS DE SALUD LA CONVENCION</t>
  </si>
  <si>
    <t>AS-SM-1-2020-RSSLC-1</t>
  </si>
  <si>
    <t>SUMINISTRO DE COMBUSTIBLE PARA LA RED DE SERVICIOS DE SALUD LA CONVENCION</t>
  </si>
  <si>
    <t>SIE-SIE-1-2020-RSSLC-1</t>
  </si>
  <si>
    <t>ADQUISICIÓN DE PAPEL TOALLA HOJA SIMPLE INTERFOLIADO BLANCO X 200 HOJAS PARA  LA RED DE SERVICIOS DE SALUD LA CONVENCIÓN</t>
  </si>
  <si>
    <t>COMPRE-SM-1-2020-RSSLC-1</t>
  </si>
  <si>
    <t xml:space="preserve">(20600108931) CORPORACION KAPEM SA C </t>
  </si>
  <si>
    <t>UNIDAD  EJECUTORA 405:  RED DE SERVICIOS DE SALUD CUSCO SUR</t>
  </si>
  <si>
    <t>1 SERVICIO DE TRANSPORTE DE PRODUCTOS FARMACEUTICOS</t>
  </si>
  <si>
    <t>PROCEDIMIENTO DE SELECCIÓN</t>
  </si>
  <si>
    <t>20536510622 - OPERADORES LOGISTICOS RENACER &amp; JASEF S.A.C. - OPL RENACER &amp; JASEF S.A.C.</t>
  </si>
  <si>
    <t xml:space="preserve">2 SERVICIO DE INTERNET DE BANDA ANCHA </t>
  </si>
  <si>
    <t>20602855474 - "ZOHE CORP S.A.C."</t>
  </si>
  <si>
    <t>3 SUMINISTRO DE COMBUSTIBLE</t>
  </si>
  <si>
    <t>20534250976 - ESTACION DE SERVICIOS ASUNCION SAN ISIDRO E.I.R.L.</t>
  </si>
  <si>
    <t>4 SERVICIO DE MANTENIMIENTO DE LA INFRAESTRUCTURA DEL HOSPITAL KIMBIRI</t>
  </si>
  <si>
    <t>20568348347 - GRUPO VICA CONSTRUCCIONES E.I.R.L.</t>
  </si>
  <si>
    <t>5 SERVICIO DE MANTENIMIENTO DE AMBULANCIAS</t>
  </si>
  <si>
    <t>10442350880 - DEL PINO AYALA CHRISTIAN DANIEL</t>
  </si>
  <si>
    <t>CULMINACION</t>
  </si>
  <si>
    <t>6 ADQUISICION DE INSUMOS DE LABORATORIO</t>
  </si>
  <si>
    <t>20502896211 - DISTRIBUIDORA MEDICA TECNOLOGICA S.A.C.</t>
  </si>
  <si>
    <t>7 ADQUISICION DE REACTIVOS DE LABORATORIO PARA EL ABASTECIMIENTO DE LAS UPS DE PATOLOGIA CLINICA</t>
  </si>
  <si>
    <t>20421787485 - JAMPAR MULTIPLEST INTERNACIONAL S.R.L.</t>
  </si>
  <si>
    <t>8 INCUBADORA NEONATAL DE TRANSPORTE</t>
  </si>
  <si>
    <t>20130329471 - ALBUJAR MEDICA S.A.C.</t>
  </si>
  <si>
    <t>9 TORRE DE VIDEO LAPAROSCOPIA</t>
  </si>
  <si>
    <t>20210456831 - PREMIUM MEDICAL EIRL</t>
  </si>
  <si>
    <t>10 SUMINISTRO DE COMBUSTIBLE SIS</t>
  </si>
  <si>
    <t>10422675740 - CARDENAS NAVARRO RUTH</t>
  </si>
  <si>
    <t>11 SERVICIO DE MANTENIMIENTO PREVENTIVO Y CORRECTIVO DE LOS EQUIPOS MEDICOS DE LOS EE.SS.</t>
  </si>
  <si>
    <t>20553512019 - GESTION MEDICA EMPRESARIAL S.A.C.</t>
  </si>
  <si>
    <t>12 SERVICIO DE MANTENIMIENTO PREVENTIVO ESPECIALIZADO DE LOS EQUIPOS DE CADENA FRIO DE LOS EE.SS.</t>
  </si>
  <si>
    <t>20537611864 - SAIN ELECTROMECANICA S.R.L.</t>
  </si>
  <si>
    <t>13 ADQUISICIÓN DE EQUIPO DETECTOR DE LATIDOS FETALES DE SOBREMESA</t>
  </si>
  <si>
    <t>20520987186 - CARDIOMED DEL PERU SAC</t>
  </si>
  <si>
    <t>14 ADQUISICION DE REACTIVOS DE LABORATORIO PARA EL ESTABLECIMIENTO DE LAS UPS DE PATOLOGÍA CLÍNICA</t>
  </si>
  <si>
    <t>20523370201 - CORPORACION MEDICAL BERTH'S S.A.C.</t>
  </si>
  <si>
    <t>15 ADQUISICIÓN DE COMBUSTIBLE PARA REFERENCIAS</t>
  </si>
  <si>
    <t>16 ADQUISICION DE REACTIVOS DE LABORATORIO PARA UPS DE PATOLOGÍA CLÍNICA</t>
  </si>
  <si>
    <t>20605081569 - SD DIAGNOSTICS PERU S.A.C.</t>
  </si>
  <si>
    <t>17 ADQUISICION DE MASCARILLA DESCARTABLE</t>
  </si>
  <si>
    <t>20494281032 - AVECA S.R.L.</t>
  </si>
  <si>
    <t>18 SERVICIO DE RECOLECCION, TRANSPORTE Y DISPOSICION DE RESIDUOS SOLIDOS PELIGROSOS</t>
  </si>
  <si>
    <t>20604022992 - CONSORCIO AMBIENTAL ECOGREEN SUR S.A.C. - ECOGREEN SUR S.A.C.</t>
  </si>
  <si>
    <t>19 ADQUISICION DE CAPSULA DE AISLAMIENTO PARA TRASLADO DE PACIENTE CON COVID 19</t>
  </si>
  <si>
    <t>20601603251 - CONSTRATISTA Y MULTISERVICIOS P Y L E.I.R.L.</t>
  </si>
  <si>
    <t>20 ADQUISICION DE JABON PARA LAVAR ROPA PARA LAS COMUNIDADES INDIGENAS</t>
  </si>
  <si>
    <t>10406401486 - LIÑAN MONZON JUAN CARLOS</t>
  </si>
  <si>
    <t>21 ADQUISICION DE COMBUSTIBLE DIESEL B5 S50</t>
  </si>
  <si>
    <t>22 ADQUISICION DE MANDIL, MAMELUCOS Y KIT DE ROPA DESCARTABLE</t>
  </si>
  <si>
    <t>20511399506 - INVERSIONES GONZAMED SAC</t>
  </si>
  <si>
    <t xml:space="preserve">23 SERVICIO DE INTERNET DE BANDA ANCHA </t>
  </si>
  <si>
    <t>PROYECTADO</t>
  </si>
  <si>
    <t>24 SUMINISTRO DE COMBUSTIBLE</t>
  </si>
  <si>
    <t>25 SERVICIO DE MANTENIMIENTO DE LA INFRAESTRUCTURA DEL HOSPITAL KIMBIRI</t>
  </si>
  <si>
    <t>26 SERVICIO DE MANTENIMIENTO DE AMBULANCIAS</t>
  </si>
  <si>
    <t>27 ADQUISICION DE INSUMOS DE LABORATORIO</t>
  </si>
  <si>
    <t>28 ADQUISICION DE REACTIVOS DE LABORATORIO PARA EL ABASTECIMIENTO DE LAS UPS DE PATOLOGIA CLINICA</t>
  </si>
  <si>
    <t>29 SERVICIO DE MANTENIMIENTO PREVENTIVO Y CORRECTIVO DE LOS EQUIPOS MEDICOS DE LOS EE.SS.</t>
  </si>
  <si>
    <t>30 SERVICIO DE MANTENIMIENTO PREVENTIVO ESPECIALIZADO DE LOS EQUIPOS DE CADENA FRIO DE LOS EE.SS.</t>
  </si>
  <si>
    <t>31 SERVICIO DE RECOLECCION, TRANSPORTE Y DISPOSICION DE RESIDUOS SOLIDOS PELIGROSOS</t>
  </si>
  <si>
    <t>32 ADQUISICION DE CARNE</t>
  </si>
  <si>
    <t>33 ADQUISICION DE CEREALES</t>
  </si>
  <si>
    <t>34 ADQUISICION DE ABARROTES</t>
  </si>
  <si>
    <t>35 ADQUISICION DE VERDURAS Y TUBERCULOS</t>
  </si>
  <si>
    <t>UNIDAD  EJECUTORA 406:  RED DE SERVICIOS DE SALUD KIMBIRI PICHARI</t>
  </si>
  <si>
    <t>UNIDAD  EJECUTORA 407:  RED DE SERVICIOS DE SALUD CUSCO NORTE</t>
  </si>
  <si>
    <t>MANTENIMIENTO PREVENTIVO Y CORRECTIVO DE EQUIPAMIENTO BIOMÉDICO DE LA RED CUSCO NORTE</t>
  </si>
  <si>
    <t>CP-SM-1-2019-RSSCN-CUSCO-1</t>
  </si>
  <si>
    <t>SOLUCIONES INTEGRALES EN BIOINGENIERIA S.A.C</t>
  </si>
  <si>
    <t>IMEEDCO S.R.L. RUC 20527722064</t>
  </si>
  <si>
    <t>MANTENIMIENTO PREVENTIVO Y CORRECTIVO DE EQUIPAMIENTO BIOMÉDICO DE LA RED CUSCO NORTE MICRO RED LIMATAMBO</t>
  </si>
  <si>
    <t>ELECTROMEDICOS E.I.R.L.</t>
  </si>
  <si>
    <t>CON CONTRATO ADICIONAL</t>
  </si>
  <si>
    <t>ADQUISICIÓN DE BALONES DE OXIGENO MEDICINAL Y ACCESORIOS PARA LA RED DE SERVICIOS DE SALUD CUSCO NORTE</t>
  </si>
  <si>
    <t>AS-SM-14-2019-RSSCN-CUSCO-1</t>
  </si>
  <si>
    <t>NTECWELD IMPORT S.A.C. RUC 20557041631</t>
  </si>
  <si>
    <t>CONTRATACIÓN DEL SERVICIO DE ADECUACION Y/O ACONDICIONAMIENTO REFACCION DEL CENTRO DE SALUD MENTAL COMUNITARIO DE ANTA</t>
  </si>
  <si>
    <t>AS-SM-23-2019-RSSCN-CUSCO-1</t>
  </si>
  <si>
    <t>INKASA GESTORA DE PROYECTOS S.A.C. RUC 20564217264</t>
  </si>
  <si>
    <t>12/12/2019 - 26/12/2019</t>
  </si>
  <si>
    <t>ADQUISICIÓN DE MOBILIARIO PARA EL CENTRO DE SALUD MENTAL ANTA</t>
  </si>
  <si>
    <t>AS-SM-22-2019-RSSCN-CUSCO-1</t>
  </si>
  <si>
    <t>MUEBLES Y DECORACIONES URPI S.A.C. RUC 20484996602</t>
  </si>
  <si>
    <t>ADQUISICIÓN DE  SABANAS, COLCHAS Y FRAZADAS PARA LA RED DE SERVICIOS DE SALUD CUSCO NORTE</t>
  </si>
  <si>
    <t>AS-SM-16-2019-RSSCN-CUSCO-1</t>
  </si>
  <si>
    <t>MULTISERVICIOS GAMA S.R.L. RUC 20490389769</t>
  </si>
  <si>
    <t>ADQUISICION DE INSTRUMENTAL ODONTOLÓGICO PARA LA RED DE SERVICIOS DE SALUD CUSCO NORTE</t>
  </si>
  <si>
    <t>AS-SM-19-2019-RSSCN-CUSCO-1</t>
  </si>
  <si>
    <t>CARDIOMED DEL PERU SAC RUC 20520987186</t>
  </si>
  <si>
    <t>ADQUISICIÓN DE EQUIPOS EN REPOSICIÓN PARA LOS DIFERENTES EESS</t>
  </si>
  <si>
    <t>AS-SM-15-2019-RSSCN-CUSCO-1</t>
  </si>
  <si>
    <t>CORPORACION CIMMSA S.A. RUC 20543306771</t>
  </si>
  <si>
    <t>ADQUISICIÓN DE COLORIMETRO PORTATIL DIGITAL, CONTUCTIMETRO DIGITAL Y OTROS  PARA LA RED DE SERVICIOS DE SALUD CUSCO NORTE</t>
  </si>
  <si>
    <t>AS-SM-18-2019-RSSCN-CUSCO-1</t>
  </si>
  <si>
    <t>OMEGA PERU SAC RUC 20109350754</t>
  </si>
  <si>
    <t>7/11/2019 - 09/12/2019</t>
  </si>
  <si>
    <t>CONTRATO COMPLEMENTARIO</t>
  </si>
  <si>
    <t>ADQUISICIÓN DE ALIMENTOS Y BEBIDAS PARA LA  RED DE SERVICIOS DE SALUD CUSCO NORTE</t>
  </si>
  <si>
    <t>AS-SM-13-2019-RSSCN-CUSCO-1</t>
  </si>
  <si>
    <t>CONSORCIO ORION CUSCO S.R.L. RUC 20491221446</t>
  </si>
  <si>
    <t>28/10/2019 -  09/12/2019</t>
  </si>
  <si>
    <t>ADQUISICIÓN DE  CHALECOS Y CASACAS PARA LA RED DE SERVICIOS DE SALUD CUSCO NORTE</t>
  </si>
  <si>
    <t>AS-SM-17-2019-RSSCN-CUSCO-1</t>
  </si>
  <si>
    <t>29/10/2019 - 19/12/2019</t>
  </si>
  <si>
    <t>ADQUISICIÓN DE LIBROS, DIARIOS, REVISTAS IMPRESOS NO VINCULADOS A LA ENSEÑANZA PARA LOS DIFERENTES ESTABLECIMIENTOS DE LA RED DE SERVICIOS DE SALUD CUSCO NORTE</t>
  </si>
  <si>
    <t>AS-SM-12-2019-RSSCN-CUSCO-1</t>
  </si>
  <si>
    <t>IMPRESOS S.R.L.RUC 20486277069</t>
  </si>
  <si>
    <t>ADQUISICIÓN DE  TELA CASIMIR, POSTERIOR Y PAÑO PARA UNIFORME DEL PERSONAL DE LA RED DE SERVICIOS DE SALUD CUSCO NORTE</t>
  </si>
  <si>
    <t>AS-SM-11-2019-RSSCN-CUSCO-1</t>
  </si>
  <si>
    <t>CASA OMAR CUSCO S.R.L. RUC 20166103054</t>
  </si>
  <si>
    <t>ADQUISICIÓN DE ACCESORIOS MÉDICOS (ESTETOSCOPIO DE DOBLE CAMPANA) PARA LA RED DE SERVICIOS DE SALUD CUSCO NORTE</t>
  </si>
  <si>
    <t>AS-SM-10-2019-RSSCN-CUSCO-1</t>
  </si>
  <si>
    <t>SERVICIO BIOMEDICO Y ELECTRONICO</t>
  </si>
  <si>
    <t>CONTRATACION DE SERVICIO TECNICO DENTAL (LABORATORIO) PARA LA CONFECCION DE 480 PROTESIS EN 240 PACIENTES PARA LA RED DE SERVICIOS DE SALUD CUSCO NORTE</t>
  </si>
  <si>
    <t>AS-SM-9-2019-RSSCN-CUSCO-1</t>
  </si>
  <si>
    <t>HUANCA CHALLCO DEMETRIO RUC 10238340620</t>
  </si>
  <si>
    <t>ADQUISICIÓN DE EQUIPOS MÉDICOS POR POSICIÓN PARA EE.SS. (IOARR) DE LA RED DE SERVICIOS DE SALUD CUSCO NORTE</t>
  </si>
  <si>
    <t>AS-SM-8-2019-RSSCN-CUSCO-1</t>
  </si>
  <si>
    <t>LATIN DENT S.A.C. 20600896777</t>
  </si>
  <si>
    <t>ADQUISICIÓN DE INSUMOS Y REACTIVOS DE LABORATORIO PARA LAS DIFERENTES DEPENDENCIAS DE LA RED DE SERVICIOS DE SALUD CUSCO NORTE</t>
  </si>
  <si>
    <t>AS-SM-1-2019-RSSCN-2</t>
  </si>
  <si>
    <t>CHAPOLAB SAC RUC 20545792177</t>
  </si>
  <si>
    <t>ADQUISICIÓN DE  MATERIALES E INSUMOS DE ASEO, LIMPIEZA Y TOCADOR PARA LA DIFERENTES DEPENDENCIAS SALUD AMBIENTAL DE LA RED DE SERVICIOS DE SALUD CUSCO NORTE</t>
  </si>
  <si>
    <t>AS-SM-7-2019-RSSCN-CUSCO-1</t>
  </si>
  <si>
    <t>EFFICIENT SUPPLIER ERLTDA RUC 20601357446</t>
  </si>
  <si>
    <t>PLASTICOS CONTINENTAL S.A.C. RUC 20498475052</t>
  </si>
  <si>
    <t>CONTRATACIÓN DE SERVICIO DE TRASPORTE  DE PRODUCTOS  FARMACÉUTICOS Y OTROS BIENES PARA EL SISMED, CORRESPONDIENTE AL EJERCICIO FISCAL 2019 PARA LA RED DE SERVICIOS DE SALUD CUSCO NORTE</t>
  </si>
  <si>
    <t>AS-SM-6-2019-RSSCN-1</t>
  </si>
  <si>
    <t>EXVICAN - OCLOGISTIC</t>
  </si>
  <si>
    <t>1/07/2019 - 17/06/2020</t>
  </si>
  <si>
    <t>SERVICIO DE RECOJO, TRASPORTE Y DISPOSICIÓN FINAL DE RESIDUOS SÓLIDOS BIOCONTAMINADOS Y ESPECIALES GENERADO EN LA RED DE SERVICIOS DE SALUD CUSCO NORTE</t>
  </si>
  <si>
    <t>AS-SM-5-2019-RSSCN-CUSCO-1</t>
  </si>
  <si>
    <t>ECO METROPOLI S.R.L.</t>
  </si>
  <si>
    <t>AS-SM-1-2019-RSSCN-1</t>
  </si>
  <si>
    <t>CORPORACION MDC PERU S.A.C.</t>
  </si>
  <si>
    <t>CORPORACION MARSOF S.A.C.</t>
  </si>
  <si>
    <t>CONTRATACION DE BIENES PARA LA ADQUISICIÓN DE INSUMOS ODONTOLOGICOS PARA LAS DIFERENTES DEPENDENCIAS DE LA RED DE SERVICIOS DE SALUD CUSCO NORTE</t>
  </si>
  <si>
    <t>AS-SM-2-2019-RSSCN-1</t>
  </si>
  <si>
    <t>MORA LINO WALTER</t>
  </si>
  <si>
    <t>MEDICAL STORE ASOCIADOS S.A.C.</t>
  </si>
  <si>
    <t>SERVICIO DE SEGURIDAD Y VIGILANCIA PRIVADA PARA LAS DIFERENTES DEPENDENCIAS DE LA RED DE SERVICIOS DE SALUD CUSCO NORTE</t>
  </si>
  <si>
    <t>AS-SM-4-2019-RSSCN-1</t>
  </si>
  <si>
    <t>COBRA SEGURA S.A.C</t>
  </si>
  <si>
    <t>17/04/2019 - 16/04/2020</t>
  </si>
  <si>
    <t>ADQUISICIÓN DE FORMATOS PARA LA UNIDAD DE SEGUROS PARA LAS DIFERENTES DEPENDENCIAS DE LA RED DE SERVICIOS DE SALUD CUSCO NORTE</t>
  </si>
  <si>
    <t>AS-SM-3-2019-RSSCN-CUSCO-1</t>
  </si>
  <si>
    <t>GRAFICA GECER S.A.C.</t>
  </si>
  <si>
    <t>CONTRATACION DE BIENES COMBUSTIBLE PARA LAS DIFERENTES DEPENDENCIAS DE LA RED DE SERVICIOS DE SALUD CUSCO NORTE</t>
  </si>
  <si>
    <t>SIE-SIE-1-2019-RSSCN-CUSCO-1</t>
  </si>
  <si>
    <t>LLANTAS PARA CAMIONETAS</t>
  </si>
  <si>
    <t>IM-CE-2018-5 LLANTAS</t>
  </si>
  <si>
    <t>VILLANERA CHAVEZ HENER YANSSEN RUC 10406614676</t>
  </si>
  <si>
    <t>28/05/2019</t>
  </si>
  <si>
    <t xml:space="preserve">LLANTAS PARA AMBULANCIAS </t>
  </si>
  <si>
    <t>IM-CE-2019-2 LLANTAS, NEUMÁTICOS Y ACCESORIOS</t>
  </si>
  <si>
    <t>MULTILLANTAS Y SUMINISTROS DEL SUR S.A.C. RUC 20600858743</t>
  </si>
  <si>
    <t>12/11/2019</t>
  </si>
  <si>
    <t>IM-CE-2018-2 ÚTILES DE ESCRITORIO, PAPELES Y CARTONES</t>
  </si>
  <si>
    <t>ORDEN_DE_COMPRA-464765-2019</t>
  </si>
  <si>
    <t>PEÑA GARAY FERNANDO ALEJANDRO  RUC  10238638891</t>
  </si>
  <si>
    <t>29/11/2019</t>
  </si>
  <si>
    <t>ORDEN_DE_COMPRA-461959-2019</t>
  </si>
  <si>
    <t>SAMP CUSCO S.A.C.  RUC  20601800773</t>
  </si>
  <si>
    <t>26/11/2019.</t>
  </si>
  <si>
    <t>ORDEN_DE_COMPRA-461961-2019</t>
  </si>
  <si>
    <t>RAMIREZ MIRANDA LEONARDO  RUC  10310381921</t>
  </si>
  <si>
    <t>26/11/2019</t>
  </si>
  <si>
    <t>ORDEN_DE_COMPRA-461986-2019</t>
  </si>
  <si>
    <t>CORPORACION DEL SABER S.R.L.  RUC  20602971342</t>
  </si>
  <si>
    <t>ORDEN_DE_COMPRA-461985-2019</t>
  </si>
  <si>
    <t>ALARCON CANCINOS VIVIAN  RUC  10419561521</t>
  </si>
  <si>
    <t>ORDEN_DE_COMPRA-439215-2019</t>
  </si>
  <si>
    <t>FERNANDEZ CORDOVA EULOGIO ALFREDO  RUC  10310319401</t>
  </si>
  <si>
    <t>5/11/2019</t>
  </si>
  <si>
    <t>ORDEN_DE_COMPRA-439214-2019</t>
  </si>
  <si>
    <t>ORDEN_DE_COMPRA-433768-2019</t>
  </si>
  <si>
    <t>24/10/2019</t>
  </si>
  <si>
    <t>ORDEN_DE_COMPRA-428264-2019</t>
  </si>
  <si>
    <t>15/10/2019</t>
  </si>
  <si>
    <t>ORDEN_DE_COMPRA-420663-2019</t>
  </si>
  <si>
    <t>MASS COMPUTER S.R.L.  RUC  20454906374</t>
  </si>
  <si>
    <t>1/10/2019</t>
  </si>
  <si>
    <t>ORDEN_DE_COMPRA-420670-2019</t>
  </si>
  <si>
    <t>COMERCIAL GIOVA S.A.  RUC  20125412875</t>
  </si>
  <si>
    <t>ORDEN_DE_COMPRA-420649-2019</t>
  </si>
  <si>
    <t>ORDEN_DE_COMPRA-420618-2019</t>
  </si>
  <si>
    <t>ORDEN_DE_COMPRA-420624-2019</t>
  </si>
  <si>
    <t>ESQUIEROS GAMARRA JACKELINE  RUC  10238239724</t>
  </si>
  <si>
    <t>ORDEN_DE_COMPRA-420614-2019</t>
  </si>
  <si>
    <t>ORDEN_DE_COMPRA-420199-2019</t>
  </si>
  <si>
    <t>MULTISERVICIOS KASURI E.I.R.L.  RUC  20574793379</t>
  </si>
  <si>
    <t>30/09/2019</t>
  </si>
  <si>
    <t>ORDEN_DE_COMPRA-420207-2019</t>
  </si>
  <si>
    <t>ORDEN_DE_COMPRA-420204-2019</t>
  </si>
  <si>
    <t>ORDEN_DE_COMPRA-420218-2019</t>
  </si>
  <si>
    <t>INVERSIONES EXPORTACIONES L. &amp; K. S.A.C.  RUC  20505615264</t>
  </si>
  <si>
    <t>ORDEN_DE_COMPRA-420215-2019</t>
  </si>
  <si>
    <t>ORDEN_DE_COMPRA-354034-2019</t>
  </si>
  <si>
    <t>GAMARRA MANRIQUE MAGDALENA  RUC  10238761307</t>
  </si>
  <si>
    <t>ORDEN_DE_COMPRA-353996-2019</t>
  </si>
  <si>
    <t>ORDEN_DE_COMPRA-354040-2019</t>
  </si>
  <si>
    <t>IM-CE-2018-1 IMPRESORAS, CONSUMIBLES, REPUESTOS Y ACCESORIOS DE OFICINA</t>
  </si>
  <si>
    <t>ORDEN_DE_COMPRA-473585-2019</t>
  </si>
  <si>
    <t>COMPUSOFT DATA S.A.C.  RUC  20551755275</t>
  </si>
  <si>
    <t>ORDEN_DE_COMPRA-473576-2019</t>
  </si>
  <si>
    <t>COMPUSOFT DATA S.A.C.  RUC  220551755275</t>
  </si>
  <si>
    <t>ORDEN_DE_COMPRA-472825-2019</t>
  </si>
  <si>
    <t>GRUPO OPC S.R.L.  RUC 20454612389</t>
  </si>
  <si>
    <t>ORDEN_DE_COMPRA-460833-2019</t>
  </si>
  <si>
    <t>INVERSIONES TECNOLOGICAS DEL PERU S.A.C  RUC  20518992296</t>
  </si>
  <si>
    <t>ORDEN_DE_COMPRA-440658-2019</t>
  </si>
  <si>
    <t>ENONE E.I.R.L.RUC  20604179107</t>
  </si>
  <si>
    <t>ORDEN_DE_COMPRA-440656-2019</t>
  </si>
  <si>
    <t>COMPAÑIA DE SUMINISTROS Y SERVICIOS GENERALES -COSSEG  RUC  20564249891</t>
  </si>
  <si>
    <t>ORDEN_DE_COMPRA-419084-2019</t>
  </si>
  <si>
    <t>MICROTECH DEL PERU S.R.L.  RUC  20490864319</t>
  </si>
  <si>
    <t>ORDEN_DE_COMPRA-375474-2019</t>
  </si>
  <si>
    <t>SK SOLUCIONES INTEGRALES   RUC  20600442831</t>
  </si>
  <si>
    <t>ORDEN_DE_COMPRA-372101-2019</t>
  </si>
  <si>
    <t>CHAVEZ SOBRADO ELVA  RUC  10227323871</t>
  </si>
  <si>
    <t>ORDEN_DE_COMPRA-360324-2019</t>
  </si>
  <si>
    <t>SURCONET S.A.C.  RUC  20566092370</t>
  </si>
  <si>
    <t>ORDEN_DE_COMPRA-353904-2019</t>
  </si>
  <si>
    <t>DIABASTA S.A.C.RUC  20528319891</t>
  </si>
  <si>
    <t>CONTRATO SERVICIOS POR TERCEROS (DIGITADORES HIS Y SIS)</t>
  </si>
  <si>
    <t>LOCACION DE SERVICIO</t>
  </si>
  <si>
    <t>CON CONTRATO POR TERCEROS</t>
  </si>
  <si>
    <t xml:space="preserve"> ENERO A DICIEMBRE</t>
  </si>
  <si>
    <t>CONTRATO DE SERVICIOS PERSONAL MEDICO Y NO MEDICO</t>
  </si>
  <si>
    <t>SERVICIO POR ENERGIA ELECTRICA</t>
  </si>
  <si>
    <t>SERVICIO</t>
  </si>
  <si>
    <t>ELECTRO SUR S.A.</t>
  </si>
  <si>
    <t>ENERO A DICIEMBRE</t>
  </si>
  <si>
    <t>SEGÚN RECIBOS DE CONSUMO</t>
  </si>
  <si>
    <t>SERVICIO DE AGUA POTABLE</t>
  </si>
  <si>
    <t>SEDA CUSCO</t>
  </si>
  <si>
    <t>SERVICIO DE TELEFINIA FIJA</t>
  </si>
  <si>
    <t>TELEFONICA DEL PERU</t>
  </si>
  <si>
    <t> HughesNet</t>
  </si>
  <si>
    <t xml:space="preserve">ADQUISICION DE EQUIPOS DE PROTECCION PERSONAL </t>
  </si>
  <si>
    <t>DIRECTA-PROC-4-2020-RSSCN-CUSCO-1</t>
  </si>
  <si>
    <t>CORONADO SAAVEDRA MARGOT PAMELA</t>
  </si>
  <si>
    <t>GRUPO CCALLO E.I.R.L.</t>
  </si>
  <si>
    <t>CHAPOLAB SAC</t>
  </si>
  <si>
    <t>BALDESA INGENIEROS S.A.C. - BALDESA S.A.C.</t>
  </si>
  <si>
    <t>Servicio de Instalación y Acondicionamiento de Módulos para consultorio diferenciado para la atención Covid -19 en los centros de salud de la Red de Servicios de Salud Cusco Norte</t>
  </si>
  <si>
    <t>DIRECTA-PROC-6-2020-RSSCN-CUSCO-1</t>
  </si>
  <si>
    <t>NO CONCLUIDO</t>
  </si>
  <si>
    <t>PENDIENTE DE ENTREGA</t>
  </si>
  <si>
    <t>Contratación del Servicio de Transporte de productos Farmacéuticos y Otros bienes para el SISMED de la Red de Servicios de Salud Cusco Norte</t>
  </si>
  <si>
    <t>AS-SM-9-2020-RSSCN-CUSCO-1</t>
  </si>
  <si>
    <t>PRECIO REFERENCIAL</t>
  </si>
  <si>
    <t>Otorgamiento de la Buena Pro A TRAVES DEL SEACE 13/10/2020</t>
  </si>
  <si>
    <t>AS-SM-   -2020-RSSCN-1</t>
  </si>
  <si>
    <t>ACTOS PREPARATORIOS</t>
  </si>
  <si>
    <t>ADQUISICIÓN DE FORMATOS  PARA LAS DIFERENTES DEPENDENCIAS DE LA RED DE SERVICIOS DE SALUD CUSCO NORTE</t>
  </si>
  <si>
    <t>Adquisición de Materiales e Insumos de Aseo, Limpieza y Tocador</t>
  </si>
  <si>
    <t>AS-SM-7-2020-RSSCN-CUSCO-1</t>
  </si>
  <si>
    <t>EFFICIENT SUPPLIER EMPRESA INDIVIDUAL DE RESPONSABILIDAD LIMITADA</t>
  </si>
  <si>
    <t>ETAPA DE EJECUCION CONTRACTUAL</t>
  </si>
  <si>
    <t>INVERSIONES MULTISERVICIOS JHOLIVE E.I.R.L.</t>
  </si>
  <si>
    <t>CABANILLAS COLLANTES LITA DANY</t>
  </si>
  <si>
    <t xml:space="preserve">Adquisición de Mobiliario Médico (Mesa de Partos) </t>
  </si>
  <si>
    <t>AS-SM-6-2020-RSSCN-CUSCO-1</t>
  </si>
  <si>
    <t>BERAMED E.I.R.L.</t>
  </si>
  <si>
    <t>Contratación de Servicio de Recojo, Transporte y Disposición Final de Residuos Sólidos Biocontaminados y Especiales generados</t>
  </si>
  <si>
    <t>AS-SM-2-2020-RSSCN-CUSCO-2</t>
  </si>
  <si>
    <t>JMC GERENCIA Y CONSTRUCCION S.A.C.</t>
  </si>
  <si>
    <t>SERVICIO SEGÚN DEMANDA</t>
  </si>
  <si>
    <t xml:space="preserve">Adquisición de Insumos Odontológicos </t>
  </si>
  <si>
    <t>AS-SM-1-2020-RSSCN-CUSCO-1</t>
  </si>
  <si>
    <t>Adquisición de Jabón Líquido frasco de 01 litro con triclosan</t>
  </si>
  <si>
    <t>DIRECTA-PROC-2-2020-RSSCN-CUSCO-1</t>
  </si>
  <si>
    <t xml:space="preserve">PROVEEDORES GENERALES DE ABASTECIMIENTO E.I.R.L. </t>
  </si>
  <si>
    <t>ADQUISICIÓN DE  EQUIPOS DE  PROTECCIÓN   PARA EL PERSONAL DE SALUD</t>
  </si>
  <si>
    <t>DIRECTA-PROC-1-2020-RSSCN-CUSCO-1</t>
  </si>
  <si>
    <t>TECHNICA EMPRESARIAL DEL PERU S.A.C.</t>
  </si>
  <si>
    <t>30/042020</t>
  </si>
  <si>
    <t>CONTRATACION DE BIENES PARA LA ADQUISICION DE FORMATERIA EN GENERAL DEL SEGURO INTEGRAL DE SALUD</t>
  </si>
  <si>
    <t>AS-SM-13-2020-RSSCN-CUSCO-1</t>
  </si>
  <si>
    <t>SERVICIO DE SEGURIDAD Y VIGILANCIA PRIVADA</t>
  </si>
  <si>
    <t>AS-SM-3-2020-RSSCN-CUSCO-1</t>
  </si>
  <si>
    <t>GRUPO TACTICO ALLIONS S.A.C.</t>
  </si>
  <si>
    <t>CONTRATACION DE BIENES PARA LA ADQUISICION DE COMBUSTIBLE</t>
  </si>
  <si>
    <t>SIE-SIE-1-2020-RSSCN-1</t>
  </si>
  <si>
    <t>GRIFO GASOIL SOCIEDAD ANONIMA CERRADA- GRIFO GASOIL S.A.C.</t>
  </si>
  <si>
    <t>IM-CE-2020-7 ÚTILES DE ESCRITORIO, PAPELES Y CARTONES</t>
  </si>
  <si>
    <t>OCAM-2020-1348-42-0</t>
  </si>
  <si>
    <t>DISTRIBUIDORA CANO S.R.LTDA  RUC  20317975431</t>
  </si>
  <si>
    <t>ACEPTADA</t>
  </si>
  <si>
    <t>30/09/2020</t>
  </si>
  <si>
    <t>OCAM-2020-1348-38-0</t>
  </si>
  <si>
    <t>23/09/2020</t>
  </si>
  <si>
    <t>OCAM-2020-1348-39-0</t>
  </si>
  <si>
    <t>OCAM-2020-1348-37-0</t>
  </si>
  <si>
    <t>ADVANCED TECHNOLOGY R&amp;Y EMPRESA INDIVIDUAL DE RESPONSABILIDAD LIMITADA  RUC  20564203638</t>
  </si>
  <si>
    <t>OCAM-2020-1348-40-0</t>
  </si>
  <si>
    <t xml:space="preserve">IM-CE-2020-6 IMPRESORAS, CONSUMIBLES, REPUESTOS Y ACCESORIOS DE OFICINA </t>
  </si>
  <si>
    <t>OCAM-2020-1348-31-0</t>
  </si>
  <si>
    <t>JUNIOR COLOR CORPORATION E.I.R.L  RUC  20600015801</t>
  </si>
  <si>
    <t>22/09/2020</t>
  </si>
  <si>
    <t>OCAM-2020-1348-35-0</t>
  </si>
  <si>
    <t>MC ERATECH S.A.C.  RUC  20605265201</t>
  </si>
  <si>
    <t>OCAM-2020-1348-33-0</t>
  </si>
  <si>
    <t>SISTEMS SOLUTION DERMITH S.R.L.  RUC  20602981241</t>
  </si>
  <si>
    <t>OCAM-2020-1348-34-0</t>
  </si>
  <si>
    <t>IMPORTACIONES JUVAS HNOS. S.A.C.  RUC  20600886283</t>
  </si>
  <si>
    <t>OCAM-2020-1348-30-0</t>
  </si>
  <si>
    <t>TRADING SERVICE M&amp;A SRLTDA  RUC  20107903951</t>
  </si>
  <si>
    <t>OCAM-2020-1348-29-0</t>
  </si>
  <si>
    <t>OCAM-2020-1348-28-0</t>
  </si>
  <si>
    <t xml:space="preserve">IM-CE-2020-4 MATERIALES DE PROTECCION PARA LA SALUD </t>
  </si>
  <si>
    <t>OCAM-2020-1348-36-0</t>
  </si>
  <si>
    <t>SANCHEZ AÑAMURO FABIAN FREDY  RUC  10777997993</t>
  </si>
  <si>
    <t>OCAM-2020-1348-24-0</t>
  </si>
  <si>
    <t>ALKHOFAR SOCIEDAD ANONIMA CERRADA  RUC  20506248036</t>
  </si>
  <si>
    <t>PAGADA</t>
  </si>
  <si>
    <t>29/09/2020</t>
  </si>
  <si>
    <t>OCAM-2020-1348-18-0</t>
  </si>
  <si>
    <t xml:space="preserve">IM-CE-2020-3 MATERIALES E INSUMOS DE LIMPIEZA, PAPELES PARA ASEO Y LIMPIEZA </t>
  </si>
  <si>
    <t>OCAM-2020-1348-25-0</t>
  </si>
  <si>
    <t>PALOMINO HURTADO PAUL WILBER  RUC  10462895483</t>
  </si>
  <si>
    <t>OCAM-2020-1348-26-0</t>
  </si>
  <si>
    <t>JP INVERSIONES GENERALES EMPRESA INDIVIDUAL DE RESPONSABILIDAD LIMITADA  RUC  20519272815</t>
  </si>
  <si>
    <t>OCAM-2020-1348-17-0</t>
  </si>
  <si>
    <t>DAVILA BUENDIA YAKELYN  RUC  10435437333</t>
  </si>
  <si>
    <t>04/09/2020</t>
  </si>
  <si>
    <t>OCAM-2020-1348-16-0</t>
  </si>
  <si>
    <t>APAZA PACCOSONCCO ROXANA FILOMENA  RUC  10402129706</t>
  </si>
  <si>
    <t>01/10/2020</t>
  </si>
  <si>
    <t>OCAM-2020-1348-15-0</t>
  </si>
  <si>
    <t>CHAMBI ESENARRO LEONARDA FLORA  RUC  10094506889</t>
  </si>
  <si>
    <t>14/09/2020</t>
  </si>
  <si>
    <t>OCAM-2020-1348-14-0</t>
  </si>
  <si>
    <t>VILLANERA CHAVEZ LAYDY JULY  RUC  10408085450</t>
  </si>
  <si>
    <t>OCAM-2020-1348-13-0</t>
  </si>
  <si>
    <t>TECNICA SOCIEDAD ANONIMA CERRADA  RUC  20454944543</t>
  </si>
  <si>
    <t>24/09/2020</t>
  </si>
  <si>
    <t>OCAM-2020-1348-11-0</t>
  </si>
  <si>
    <t>OCAM-2020-1348-9-0</t>
  </si>
  <si>
    <t>OGAMIG S.A.C.  RUC  20492631800</t>
  </si>
  <si>
    <t>26/08/2020</t>
  </si>
  <si>
    <t>OCAM-2020-1348-5-0</t>
  </si>
  <si>
    <t>05/06/2020</t>
  </si>
  <si>
    <t>OCAM-2020-1348-4-0</t>
  </si>
  <si>
    <t>HUILLCA SALAS MERY  RUC  10441744141</t>
  </si>
  <si>
    <t>24/04/2020</t>
  </si>
  <si>
    <t xml:space="preserve">IM-CE-2020-1 BATERÍAS, PILAS Y ACCESORIOS </t>
  </si>
  <si>
    <t>OCAM-2020-1348-41-0</t>
  </si>
  <si>
    <t>28/09/2020</t>
  </si>
  <si>
    <t xml:space="preserve">IM-CE-2019-8 BEBIDAS NO ALCOHÓLICAS </t>
  </si>
  <si>
    <t>OCAM-2020-1348-43-0</t>
  </si>
  <si>
    <t>SÁNCHEZ PARIONA MULTISERVICIOS - E.I.R.L. RUC 20605566805</t>
  </si>
  <si>
    <t xml:space="preserve">02/10/2020 </t>
  </si>
  <si>
    <t>ADQUISICION DE MEDICAMENTOS</t>
  </si>
  <si>
    <t>DIRECCION REGIONAL DE SALUD CUSCO</t>
  </si>
  <si>
    <t>COMPRAS MENORES A 8 UTS DIVERSOS</t>
  </si>
  <si>
    <t>SEGÚN REQUERIMIENTOS</t>
  </si>
  <si>
    <t>LOCACION DE SERVICO</t>
  </si>
  <si>
    <t>SIE-SIE-1-2021-RSSCN-CUSCO-1</t>
  </si>
  <si>
    <t>AS-SM-1-2021-RSSCN-1</t>
  </si>
  <si>
    <t>AS-SM-2-2021-RSSCN-1</t>
  </si>
  <si>
    <t>AS-SM-3-2021-RSSCN-CUSCO-1</t>
  </si>
  <si>
    <t>AS-SM-4-2021-RSSCN-1</t>
  </si>
  <si>
    <t>AS-SM-5-2021-RSSCN-CUSCO-1</t>
  </si>
  <si>
    <t>CONTRATACIÓN DE SERVICIO DE TRASPORTE DE PRODUCTOS FARMACÉUTICOS Y OTROS BIENES PARA EL SISMED,  PARA LA RED DE SERVICIOS DE SALUD CUSCO NORTE</t>
  </si>
  <si>
    <t>AS-SM-6-2021-RSSCN-CUSCO-1</t>
  </si>
  <si>
    <t>ADQUISICIÓN DE MATERIALES E INSUMOS DE ASEO, LIMPIEZA Y TOCADOR PARA LA DIFERENTES DEPENDENCIAS SALUD AMBIENTAL DE LA RED DE SERVICIOS DE SALUD CUSCO NORTE</t>
  </si>
  <si>
    <t>AS-SM-7-2021-RSSCN-CUSCO-1</t>
  </si>
  <si>
    <t xml:space="preserve">ADQUISICION DE TEXTILES Y ACABADOS TEXTILES  - TELA DE UNIFORME PARA PERSONAL </t>
  </si>
  <si>
    <t>AS-SM-8-2021-RSSCN-CUSCO-1</t>
  </si>
  <si>
    <t>ADQUISICION VESTIUARIO PARA LAS DIFERENTES ESTRATEGIAS</t>
  </si>
  <si>
    <t>AS-SM-9-2021-RSSCN-CUSCO-1</t>
  </si>
  <si>
    <t xml:space="preserve">ADQUISICION DE FORMATOS PARA LAS DIFERENTES  ESTRATEGIAS Y PROGRAMAS PRESUPUESTALES </t>
  </si>
  <si>
    <t>AS-SM-10-2021-RSSCN-CUSCO-1</t>
  </si>
  <si>
    <t>UTILES DE ESCRITORIO, PAPELERIA Y UTILES DE ESCRITORIO</t>
  </si>
  <si>
    <t>IM-CE-2021</t>
  </si>
  <si>
    <t>EQUIPOS DE COMUTO, ACCESORIOS Y OTROS</t>
  </si>
  <si>
    <t xml:space="preserve">BATERIAS Y PILAS </t>
  </si>
  <si>
    <t>EQUIPO DE IMPRESORA MULTIFUNCIONAL</t>
  </si>
  <si>
    <t xml:space="preserve">EQUIPO DE COMPUTO DE ESCRITORIO LAPTOPS </t>
  </si>
  <si>
    <t>EQUIPO DE PROYECTOR MULTIMEDIA</t>
  </si>
  <si>
    <t>EQUIPOS DE COMUTO  PERIFERICOS IMPRESORAS</t>
  </si>
  <si>
    <t>UNIDAD  EJECUTORA 408: HOSPITAL ESPINAR</t>
  </si>
  <si>
    <t>UNIDAD  EJECUTORA 409: HOSPITAL ALFREDO CALLO RODRIGUEZ</t>
  </si>
  <si>
    <t>UNIDAD  EJECUTORA 410: HOSPITAL QUILLABAMBA</t>
  </si>
  <si>
    <t>UNIDAD  EJECUTORA 411: HOSPITAL CHUMBIVILCAS</t>
  </si>
  <si>
    <t>FUENTE DE FINANCIAMIENTO  RECURSOS PUBLICOS  (CONSOLIDADO)</t>
  </si>
  <si>
    <t>789 SEDE CUSCO</t>
  </si>
  <si>
    <t>789</t>
  </si>
  <si>
    <t>BANCO DE LA NACION</t>
  </si>
  <si>
    <t>161-047716</t>
  </si>
  <si>
    <t>2005</t>
  </si>
  <si>
    <t>SOLES</t>
  </si>
  <si>
    <t>------</t>
  </si>
  <si>
    <t>790 PER PLAN COPESCO</t>
  </si>
  <si>
    <t>790</t>
  </si>
  <si>
    <t>791 PLAN MERISS INKA</t>
  </si>
  <si>
    <t>791</t>
  </si>
  <si>
    <t>792 IMA</t>
  </si>
  <si>
    <t>792</t>
  </si>
  <si>
    <t>161-047791</t>
  </si>
  <si>
    <t>794 AGRICULTURA CUSCO</t>
  </si>
  <si>
    <t>794</t>
  </si>
  <si>
    <t>161-047767</t>
  </si>
  <si>
    <t>795 TRANSPORTES CUSCO</t>
  </si>
  <si>
    <t>795</t>
  </si>
  <si>
    <t>161-047775</t>
  </si>
  <si>
    <t>796 EDUCACION CUSCO</t>
  </si>
  <si>
    <t>796</t>
  </si>
  <si>
    <t>161-047724</t>
  </si>
  <si>
    <t>798 SALUD CUSCO</t>
  </si>
  <si>
    <t>798</t>
  </si>
  <si>
    <t>161-047732</t>
  </si>
  <si>
    <t>1105 EDUCACION CANCHIS</t>
  </si>
  <si>
    <t>1105</t>
  </si>
  <si>
    <t>1106 EDUCACION QUISPICANCHIS</t>
  </si>
  <si>
    <t>1106</t>
  </si>
  <si>
    <t>1107 EDUCACION LA CONVENCION</t>
  </si>
  <si>
    <t>1107</t>
  </si>
  <si>
    <t>1129 SALUD CANAS-CANCHIS-ESPINAR</t>
  </si>
  <si>
    <t>1129</t>
  </si>
  <si>
    <t>TESORO PUBLICO</t>
  </si>
  <si>
    <t>00-221-009124</t>
  </si>
  <si>
    <t>1130 HOSPITAL REGIONAL CUSCO</t>
  </si>
  <si>
    <t>1130</t>
  </si>
  <si>
    <t>161-047740</t>
  </si>
  <si>
    <t>1169 HOSPITAL ANTONIO LORENA CUSCO</t>
  </si>
  <si>
    <t>1169</t>
  </si>
  <si>
    <t>161-047759</t>
  </si>
  <si>
    <t>1170 SALUD LA CONVENCIÓN CUSCO</t>
  </si>
  <si>
    <t>1170</t>
  </si>
  <si>
    <t>00-211-004231</t>
  </si>
  <si>
    <t>1239 EDUCACION CHUMBIVILCAS</t>
  </si>
  <si>
    <t>1239</t>
  </si>
  <si>
    <t>161-116335</t>
  </si>
  <si>
    <t>1322 RED DE SERVICIOS DE SALUD CUSCO SUR</t>
  </si>
  <si>
    <t>1322</t>
  </si>
  <si>
    <t>161-101818</t>
  </si>
  <si>
    <t>1348 RED DE SERVICIOS DE SALUD CUSCO NORTE</t>
  </si>
  <si>
    <t>1348</t>
  </si>
  <si>
    <t>161-116661</t>
  </si>
  <si>
    <t>1524 EDUCACION PAUCARTAMBO</t>
  </si>
  <si>
    <t>1524</t>
  </si>
  <si>
    <t>161-209805</t>
  </si>
  <si>
    <t>1525  EDUCACION ESPINAR</t>
  </si>
  <si>
    <t>1525</t>
  </si>
  <si>
    <t>1547 HOSPITAL ESPINAR</t>
  </si>
  <si>
    <t>1547</t>
  </si>
  <si>
    <t>0226-020268</t>
  </si>
  <si>
    <t>1550 UGEL CALCA</t>
  </si>
  <si>
    <t>1550</t>
  </si>
  <si>
    <t>161-218707</t>
  </si>
  <si>
    <t>1240 EDUCACION PARURO</t>
  </si>
  <si>
    <t>1240</t>
  </si>
  <si>
    <t>1242 EDUCACION URUBAMBA</t>
  </si>
  <si>
    <t>1242</t>
  </si>
  <si>
    <t>1625 ALFREDO CALLO RODRÍGUEZ -SICUANI-CANCHIS</t>
  </si>
  <si>
    <t>1625</t>
  </si>
  <si>
    <t>221-028031</t>
  </si>
  <si>
    <t xml:space="preserve">1626 HOSPITAL DE QUILLABAMBA </t>
  </si>
  <si>
    <t>1626</t>
  </si>
  <si>
    <t>211-028408</t>
  </si>
  <si>
    <t>1644 UGEL CUSCO</t>
  </si>
  <si>
    <t>1644</t>
  </si>
  <si>
    <t>161-261599</t>
  </si>
  <si>
    <t>1665 EDUCACIÓN CANAS</t>
  </si>
  <si>
    <t>1665</t>
  </si>
  <si>
    <t>00-225-002045 (RO)</t>
  </si>
  <si>
    <t>2017</t>
  </si>
  <si>
    <t>1668 EDUCACIÓN ACOMAYO</t>
  </si>
  <si>
    <t>1668</t>
  </si>
  <si>
    <t>00-162-001078</t>
  </si>
  <si>
    <t>1666 SALUD CHUMBIVILCAS</t>
  </si>
  <si>
    <t>1666</t>
  </si>
  <si>
    <t>1682 UGEL ANTA</t>
  </si>
  <si>
    <t>1682</t>
  </si>
  <si>
    <t>1694 UGEL PICHARI KIMBIRI VILLA VIRGEN</t>
  </si>
  <si>
    <t>1694</t>
  </si>
  <si>
    <t>161-031305</t>
  </si>
  <si>
    <t>161-372757</t>
  </si>
  <si>
    <t>CUT</t>
  </si>
  <si>
    <t>161-041599</t>
  </si>
  <si>
    <t>0161040428</t>
  </si>
  <si>
    <t>161-047783</t>
  </si>
  <si>
    <t>161-0161047791 CUT</t>
  </si>
  <si>
    <t>161-031321</t>
  </si>
  <si>
    <t>161-031348</t>
  </si>
  <si>
    <t>161-031372 RDR</t>
  </si>
  <si>
    <t>161-033561 SISMED</t>
  </si>
  <si>
    <t>CUT-RDR</t>
  </si>
  <si>
    <t>161-047732 RDR CUT</t>
  </si>
  <si>
    <t>211-003-685</t>
  </si>
  <si>
    <t>211-004-223</t>
  </si>
  <si>
    <t>00-221-007328</t>
  </si>
  <si>
    <t>00-221-010817</t>
  </si>
  <si>
    <t>CUT-DRD</t>
  </si>
  <si>
    <t>161-034509</t>
  </si>
  <si>
    <t>161-035858</t>
  </si>
  <si>
    <t>161-036714</t>
  </si>
  <si>
    <t>161-037125</t>
  </si>
  <si>
    <t>161047759 CUT -RDR</t>
  </si>
  <si>
    <t>0211-003758</t>
  </si>
  <si>
    <t>0211-004177</t>
  </si>
  <si>
    <t>00-161-116343</t>
  </si>
  <si>
    <t>161-101826</t>
  </si>
  <si>
    <t>161-158232</t>
  </si>
  <si>
    <t>161-116653</t>
  </si>
  <si>
    <t>161-137472</t>
  </si>
  <si>
    <t>161-209783</t>
  </si>
  <si>
    <t>00,226019588</t>
  </si>
  <si>
    <t>0226-020241</t>
  </si>
  <si>
    <t>00226020381</t>
  </si>
  <si>
    <t>00226020268</t>
  </si>
  <si>
    <t>172 006701</t>
  </si>
  <si>
    <t>221-028031 CUT</t>
  </si>
  <si>
    <t>221-028058</t>
  </si>
  <si>
    <t>221-028163</t>
  </si>
  <si>
    <t>211-028394</t>
  </si>
  <si>
    <t>211-029838</t>
  </si>
  <si>
    <t>RDR CUT</t>
  </si>
  <si>
    <t>211 - 028408</t>
  </si>
  <si>
    <t>225-002037</t>
  </si>
  <si>
    <t>00-162-0001078</t>
  </si>
  <si>
    <t>223-008577</t>
  </si>
  <si>
    <t>223-008437</t>
  </si>
  <si>
    <t>223-0084445</t>
  </si>
  <si>
    <t xml:space="preserve">3.RECURSOS OPERACIONES </t>
  </si>
  <si>
    <t>OFICIALES DE CREDITO EXTERNO</t>
  </si>
  <si>
    <t>161-204609</t>
  </si>
  <si>
    <t>2013</t>
  </si>
  <si>
    <t>161-204595</t>
  </si>
  <si>
    <t>161-229415</t>
  </si>
  <si>
    <t>161-229407</t>
  </si>
  <si>
    <t>161-000149</t>
  </si>
  <si>
    <t>DOLARES</t>
  </si>
  <si>
    <t>161-000157</t>
  </si>
  <si>
    <t>792 IMA - CREDITO EXTERNO</t>
  </si>
  <si>
    <t xml:space="preserve">161-0161047791 CUT </t>
  </si>
  <si>
    <t>161-204579</t>
  </si>
  <si>
    <t>2014</t>
  </si>
  <si>
    <t>2016</t>
  </si>
  <si>
    <t>221028031</t>
  </si>
  <si>
    <t>2020</t>
  </si>
  <si>
    <t>0</t>
  </si>
  <si>
    <t>0223-0084445</t>
  </si>
  <si>
    <t>720.00</t>
  </si>
  <si>
    <t>789 SEDE CUSCO-DONACIONES</t>
  </si>
  <si>
    <t>161-046108</t>
  </si>
  <si>
    <t>161-156310</t>
  </si>
  <si>
    <t>789 SEDE CUSCO-TRANSFERENCIAS</t>
  </si>
  <si>
    <t>161-036773</t>
  </si>
  <si>
    <t>161-057622</t>
  </si>
  <si>
    <t>161-164933</t>
  </si>
  <si>
    <t>161-174645</t>
  </si>
  <si>
    <t>161-118095</t>
  </si>
  <si>
    <t>161-157953</t>
  </si>
  <si>
    <t>161-079170</t>
  </si>
  <si>
    <t>161-136212</t>
  </si>
  <si>
    <t>161-040428</t>
  </si>
  <si>
    <t>792 IMA -TRNSFERENCIAS</t>
  </si>
  <si>
    <t>161-0161047791</t>
  </si>
  <si>
    <t>792 IMA- DONACIONES</t>
  </si>
  <si>
    <t>161-088935-DONACIONES</t>
  </si>
  <si>
    <t>2008</t>
  </si>
  <si>
    <t xml:space="preserve">161-034630 D YT </t>
  </si>
  <si>
    <t>2003</t>
  </si>
  <si>
    <t>161-101206 MINSA</t>
  </si>
  <si>
    <t>2009</t>
  </si>
  <si>
    <t>161-047732 TRAN-CUT</t>
  </si>
  <si>
    <t>0221007360</t>
  </si>
  <si>
    <t>00211008941</t>
  </si>
  <si>
    <t>2011</t>
  </si>
  <si>
    <t>7143.38</t>
  </si>
  <si>
    <t>00-221-007379</t>
  </si>
  <si>
    <t>00-221-010957</t>
  </si>
  <si>
    <t>CUT-TRANSFERENCIAS</t>
  </si>
  <si>
    <t>161-037060</t>
  </si>
  <si>
    <t>TESORO</t>
  </si>
  <si>
    <t>13R18TR</t>
  </si>
  <si>
    <t>00-211-003774</t>
  </si>
  <si>
    <t>0211-24933</t>
  </si>
  <si>
    <t>161-101834</t>
  </si>
  <si>
    <t>161-104132</t>
  </si>
  <si>
    <t>161-126004</t>
  </si>
  <si>
    <t>161-128619</t>
  </si>
  <si>
    <t>161-158305</t>
  </si>
  <si>
    <t>161-116823</t>
  </si>
  <si>
    <t>0226-021108</t>
  </si>
  <si>
    <t>221-028538</t>
  </si>
  <si>
    <t>211-028408 CUT</t>
  </si>
  <si>
    <t>211 - 030232</t>
  </si>
  <si>
    <t xml:space="preserve">161-047716 </t>
  </si>
  <si>
    <t>161-079065</t>
  </si>
  <si>
    <t>3'239,839.25</t>
  </si>
  <si>
    <t>161-047732 RD CUT</t>
  </si>
  <si>
    <t>161-047732 FED-CUT</t>
  </si>
  <si>
    <t>161-047732 MINERO-CUT</t>
  </si>
  <si>
    <t>0221011163</t>
  </si>
  <si>
    <t xml:space="preserve">1107 EDUCACION LA CONVENCION </t>
  </si>
  <si>
    <t>CUT-FED</t>
  </si>
  <si>
    <t>CUT-CANON,SOBRE CANON</t>
  </si>
  <si>
    <t>18R19TR</t>
  </si>
  <si>
    <t>00-226-019561</t>
  </si>
  <si>
    <t>PEN-NUEVO SOL</t>
  </si>
  <si>
    <t>172 006698</t>
  </si>
  <si>
    <t>225-002045</t>
  </si>
  <si>
    <t xml:space="preserve">             -CONTRIBUCIONES A FONDOS</t>
  </si>
  <si>
    <t xml:space="preserve">             -FONDO DE COMPENSACION MUNICIPAL</t>
  </si>
  <si>
    <t xml:space="preserve">             - IMPUESTOS MUNICIPALES </t>
  </si>
  <si>
    <t xml:space="preserve">             - DETRACCIONES</t>
  </si>
  <si>
    <t xml:space="preserve"> - OTROS (ESPECIFIQUE)</t>
  </si>
  <si>
    <t>792 IMA ENCARGOS ONG</t>
  </si>
  <si>
    <t>BANCO CONTINENTAL</t>
  </si>
  <si>
    <t>792 IMA SALDOS ANTERIORES</t>
  </si>
  <si>
    <t>161-000663- VARIOS</t>
  </si>
  <si>
    <t>161-023345 CONVENIOS</t>
  </si>
  <si>
    <t>161-050911 RETENCIONES</t>
  </si>
  <si>
    <t>1130 HOSPITAL REGIONAL CUSCO OTROS - FONDOS SUJETOS DE RESTRICCIÓ  B.N.</t>
  </si>
  <si>
    <t>16-002658</t>
  </si>
  <si>
    <t>1322 RED DE SERVICIOS DE SALUD CUSCO SUR D.U. 051-2020-MEDIDAS EXTRAORDINARIAS COVID 19</t>
  </si>
  <si>
    <t>TOTAL :</t>
  </si>
  <si>
    <t>2. RECURSOS DIRECT. RECAUDADOS</t>
  </si>
  <si>
    <t>Administrativos</t>
  </si>
  <si>
    <t>Funcionarios y Directivos</t>
  </si>
  <si>
    <t>Funcionario 1</t>
  </si>
  <si>
    <t>Funcionario 2</t>
  </si>
  <si>
    <t>Funcionario 3</t>
  </si>
  <si>
    <t>Funcionario 4</t>
  </si>
  <si>
    <t>Funcionario 5</t>
  </si>
  <si>
    <t>Funcionario 6</t>
  </si>
  <si>
    <t>Funcionario 7</t>
  </si>
  <si>
    <t>Profesionales</t>
  </si>
  <si>
    <t>Servidor Profesional A</t>
  </si>
  <si>
    <t>Servidor Profesional B</t>
  </si>
  <si>
    <t>Servidor Profesional C</t>
  </si>
  <si>
    <t>Servidor Profesional D</t>
  </si>
  <si>
    <t>Servidor Profesional E</t>
  </si>
  <si>
    <t>Servidor Profesional F</t>
  </si>
  <si>
    <t>Tecnicos</t>
  </si>
  <si>
    <t>Servidor Tecnico A</t>
  </si>
  <si>
    <t>Servidor Tecnico B</t>
  </si>
  <si>
    <t>Servidor Tecnico C</t>
  </si>
  <si>
    <t>Servidor Tecnico D</t>
  </si>
  <si>
    <t>Servidor Tecnico E</t>
  </si>
  <si>
    <t>Servidor Tecnico F</t>
  </si>
  <si>
    <t>Auxiliares</t>
  </si>
  <si>
    <t>Servidor Auxiliar A</t>
  </si>
  <si>
    <t>Servidor Auxiliar B</t>
  </si>
  <si>
    <t>Servidor Auxiliar C</t>
  </si>
  <si>
    <t>Servidor Auxiliar D</t>
  </si>
  <si>
    <t>Servidor Auxiliar E</t>
  </si>
  <si>
    <t>Servidor Auxiliar F</t>
  </si>
  <si>
    <t>OTROS ACTIVOS</t>
  </si>
  <si>
    <t>Consejero Regional</t>
  </si>
  <si>
    <t>Regimen Privado</t>
  </si>
  <si>
    <t>Directivos</t>
  </si>
  <si>
    <t>Directivo 3</t>
  </si>
  <si>
    <t>Directivo 4</t>
  </si>
  <si>
    <t>Directivo 5</t>
  </si>
  <si>
    <t>Directivo 6</t>
  </si>
  <si>
    <t>Profesional 2</t>
  </si>
  <si>
    <t>Profesional 3</t>
  </si>
  <si>
    <t>Profesional 4</t>
  </si>
  <si>
    <t>Profesional 5</t>
  </si>
  <si>
    <t>Profesional 6</t>
  </si>
  <si>
    <t>Tecnico 2</t>
  </si>
  <si>
    <t>Tecnico 4</t>
  </si>
  <si>
    <t>Tecnico 5</t>
  </si>
  <si>
    <t>Auxiliar 3</t>
  </si>
  <si>
    <t>Auxiliar 4</t>
  </si>
  <si>
    <t>Auxiliar 5</t>
  </si>
  <si>
    <t>Asistenciales</t>
  </si>
  <si>
    <t>Servidor profesional</t>
  </si>
  <si>
    <t>Servidor Tecnico</t>
  </si>
  <si>
    <t>Servidor Auxiliar</t>
  </si>
  <si>
    <t>Carreras Especiales</t>
  </si>
  <si>
    <t>Profesionales de la Salud</t>
  </si>
  <si>
    <t>medico Cirujano</t>
  </si>
  <si>
    <t>Medico Cirujano N-5</t>
  </si>
  <si>
    <t>Medico Cirujano N-4</t>
  </si>
  <si>
    <t>Medico Cirujano N-3</t>
  </si>
  <si>
    <t>Medico Cirujano N-2</t>
  </si>
  <si>
    <t>Medico Cirujano N-1</t>
  </si>
  <si>
    <t>Cirujano Dentista</t>
  </si>
  <si>
    <t>Cirujano Dentista (nivel I)</t>
  </si>
  <si>
    <t>Cirujano Dentista (nivel II)</t>
  </si>
  <si>
    <t>Cirujano Dentista (nivel III)</t>
  </si>
  <si>
    <t>Cirujano Dentista (nivel IV)</t>
  </si>
  <si>
    <t>Cirujano Dentista (nivel V)</t>
  </si>
  <si>
    <t>Enfermera</t>
  </si>
  <si>
    <t>Enfermera (nivel 10)</t>
  </si>
  <si>
    <t>Enfermera (nivel 11)</t>
  </si>
  <si>
    <t>Enfermera (nivel 12)</t>
  </si>
  <si>
    <t>Enfermera (nivel 13)</t>
  </si>
  <si>
    <t>Enfermera (nivel 14)</t>
  </si>
  <si>
    <t>Obtetriz</t>
  </si>
  <si>
    <t>Obstetriz (nivel I)</t>
  </si>
  <si>
    <t>Obstetriz (nivel II)</t>
  </si>
  <si>
    <t>Obstetriz (nivel III)</t>
  </si>
  <si>
    <t>Obstetriz (nivel V)</t>
  </si>
  <si>
    <t>psicologo</t>
  </si>
  <si>
    <t>Psicologo IV</t>
  </si>
  <si>
    <t>Psicologo V</t>
  </si>
  <si>
    <t>Otros Profesionales de Salud</t>
  </si>
  <si>
    <t>Otro Profesional de Salud (nivel IV)</t>
  </si>
  <si>
    <t>Otro Profesional de Salud (nivel V)</t>
  </si>
  <si>
    <t>Otro Profesional de Salud (nivel VI)</t>
  </si>
  <si>
    <t>Otro Profesional de Salud (nivel VII)</t>
  </si>
  <si>
    <t>Otro Profesional de Salud (nivel VIII)</t>
  </si>
  <si>
    <t>Otro Profesional de Salud (G5 nivel-V)</t>
  </si>
  <si>
    <t>Otro Profesional de Salud (G5 nivel-IV)</t>
  </si>
  <si>
    <t>Tecnologo Medico</t>
  </si>
  <si>
    <t>Tecnologo Medico (nivel 1)</t>
  </si>
  <si>
    <t>Tecnologo Medico (nivel 3)</t>
  </si>
  <si>
    <t>Tecnologo Medico (nivel 4)</t>
  </si>
  <si>
    <t>Tecnologo Medico (nivel 5)</t>
  </si>
  <si>
    <t>otros Carreras Especiales</t>
  </si>
  <si>
    <t>Destacado de..</t>
  </si>
  <si>
    <t>Serum</t>
  </si>
  <si>
    <t>Profesionales de la Educación</t>
  </si>
  <si>
    <t>Reforma Magisterial</t>
  </si>
  <si>
    <t>Profesor VI-40 con Título Pedagógico</t>
  </si>
  <si>
    <t>Profesor V-40 con Título Pedagógico</t>
  </si>
  <si>
    <t>Profesor IV-40 con Título Pedagógico</t>
  </si>
  <si>
    <t>Profesor III-40 con Título Pedagógico</t>
  </si>
  <si>
    <t>Profesor II-40 con Título Pedagógico</t>
  </si>
  <si>
    <t>Profesor I-40 con Título Pedagógico</t>
  </si>
  <si>
    <t>Profesor IV-32 con Titulo pedagógico</t>
  </si>
  <si>
    <t>Profesor III-32 con Titulo pedagógico</t>
  </si>
  <si>
    <t>Profesor II-32 con Titulo pedagógico</t>
  </si>
  <si>
    <t>Profesor I-32 con Titulo pedagógico</t>
  </si>
  <si>
    <t>Profesor VI-30 con Título Pedagógico</t>
  </si>
  <si>
    <t>Profesor V-30 con Título Pedagógico</t>
  </si>
  <si>
    <t>Profesor IV-30 con Título Pedagógico</t>
  </si>
  <si>
    <t>Profesor III-30 con Título Pedagógico</t>
  </si>
  <si>
    <t>Profesor II-30 con Título Pedagógico</t>
  </si>
  <si>
    <t>Profesor I-30 con Título Pedagógico</t>
  </si>
  <si>
    <t>Profesor VII-30 con Título Pedagógico</t>
  </si>
  <si>
    <t>Profesor VII-40 con Título Pedagógico</t>
  </si>
  <si>
    <t>Profesor contratado</t>
  </si>
  <si>
    <t>Profesor G-40 Título Pedagógico</t>
  </si>
  <si>
    <t>Profesor G-30 Título Pedagógico</t>
  </si>
  <si>
    <t>Auxiliar de Educación</t>
  </si>
  <si>
    <t>Profesor E-30 con Est.Secund.Completa</t>
  </si>
  <si>
    <t>Profesor VI-32 con Titulo pedagógico</t>
  </si>
  <si>
    <t>Profesor V-32 con Titulo pedagógico</t>
  </si>
  <si>
    <t>Otros Reforma Magisterial</t>
  </si>
  <si>
    <t>Eventual</t>
  </si>
  <si>
    <t>Prof.por hora</t>
  </si>
  <si>
    <t>Totales</t>
  </si>
  <si>
    <t>OTROS (ESPECIFICAR) (**) OTRAS RETRIBUCIONES</t>
  </si>
  <si>
    <t>Activos</t>
  </si>
  <si>
    <t>Subtotal Funcionarios y Directivos</t>
  </si>
  <si>
    <t>Subtotal Profesionales</t>
  </si>
  <si>
    <t>Servidor Técnico A</t>
  </si>
  <si>
    <t>Servidor Técnico B</t>
  </si>
  <si>
    <t>Servidor Técnico C</t>
  </si>
  <si>
    <t>Servidor Técnico D</t>
  </si>
  <si>
    <t>Servidor Técnico E</t>
  </si>
  <si>
    <t>Servidor Técnico F</t>
  </si>
  <si>
    <t>Subtotal Tecnicos</t>
  </si>
  <si>
    <t>Subtotal Auxiliares</t>
  </si>
  <si>
    <t>Subtotal Administrativos</t>
  </si>
  <si>
    <t>Subtotal Asistenciales</t>
  </si>
  <si>
    <t>Profesorado</t>
  </si>
  <si>
    <t>Profesor A-24 con Est. Secund. Completa</t>
  </si>
  <si>
    <t>Profesor A-30 con Est. Secund. Completa</t>
  </si>
  <si>
    <t>Profesor A-40 con Est. Secund. Completa</t>
  </si>
  <si>
    <t>Profesor B-24 con Est. Secund. Completa</t>
  </si>
  <si>
    <t>Profesor B-30 con Est. Secund. Completa</t>
  </si>
  <si>
    <t>Profesor B-40 con Est. Secund. Completa</t>
  </si>
  <si>
    <t>Profesor C-24 con Est. Secund. Completa</t>
  </si>
  <si>
    <t>Profesor C-30 con Est. Secund. Completa</t>
  </si>
  <si>
    <t>Profesor C-40 con Est. Secund. Completa</t>
  </si>
  <si>
    <t>Profesor D-24 con Est. Secund. Completa</t>
  </si>
  <si>
    <t>Profesor D-30 con Est. Secund. Completa</t>
  </si>
  <si>
    <t>Profesor D-40 con Est. Secund. Completa</t>
  </si>
  <si>
    <t>Profesor E-24 con Est. Secund. Completa</t>
  </si>
  <si>
    <t>Profesor E-30 con Est. Secund. Completa</t>
  </si>
  <si>
    <t>Profesor E-40 con Est. Secund. Completa</t>
  </si>
  <si>
    <t>Profesor G-24 Título Pedagógico</t>
  </si>
  <si>
    <t>Profesor III-24 con Titulo Pedagogico</t>
  </si>
  <si>
    <t>Profesor III-30 con Titulo Pedagogico</t>
  </si>
  <si>
    <t>Profesor III-32 con Titulo Pedagogico</t>
  </si>
  <si>
    <t>Profesor III-40 con Titulo Pedagogico</t>
  </si>
  <si>
    <t>Profesor II-24 con Titulo Pedagogico</t>
  </si>
  <si>
    <t>Profesor II-30 con Titulo Pedagogico</t>
  </si>
  <si>
    <t>Profesor II-32 con Titulo Pedagogico</t>
  </si>
  <si>
    <t>Profesor II-40 con Titulo Pedagogico</t>
  </si>
  <si>
    <t>Profesor IV-24 con Titulo Pedagogico</t>
  </si>
  <si>
    <t>Profesor IV-32 con Titulo Pedagogico</t>
  </si>
  <si>
    <t>Profesor IV-30 con Titulo Pedagogico</t>
  </si>
  <si>
    <t>Profesor IV-40 con Titulo Pedagogico</t>
  </si>
  <si>
    <t>Profesor I-24 con Titulo Pedagogico</t>
  </si>
  <si>
    <t>Profesor I-30 con Titulo Pedagogico</t>
  </si>
  <si>
    <t>Profesor I-32 con Titulo Pedagogico</t>
  </si>
  <si>
    <t>Profesor I-40 con Titulo Pedagogico</t>
  </si>
  <si>
    <t>Profesor V-24 con Titulo Pedagogico</t>
  </si>
  <si>
    <t>Profesor V-30 con Titulo Pedagogico</t>
  </si>
  <si>
    <t>Profesor V-32 con Titulo Pedagogico</t>
  </si>
  <si>
    <t>Profesor V-40 con Titulo Pedagogico</t>
  </si>
  <si>
    <t>Profesor VI-30 con Titulo Pedagogico</t>
  </si>
  <si>
    <t>Profesor VI-32 con Titulo Pedagogico</t>
  </si>
  <si>
    <t>Profesor VI-40 con Titulo Pedagogico</t>
  </si>
  <si>
    <t>Profesor VII-30 con Titulo Pedagogico</t>
  </si>
  <si>
    <t>Profesor VII-40 con Titulo Pedagogico</t>
  </si>
  <si>
    <t>Subtotal Profesorado</t>
  </si>
  <si>
    <t>Médico Cirujano N-1</t>
  </si>
  <si>
    <t>Médico Cirujano N-2</t>
  </si>
  <si>
    <t>Médico Cirujano N-3</t>
  </si>
  <si>
    <t>Médico Cirujano N-4</t>
  </si>
  <si>
    <t>Médico Cirujano N-5</t>
  </si>
  <si>
    <t>Obtetriz (nivel I)</t>
  </si>
  <si>
    <t>Obtetriz (nivel II)</t>
  </si>
  <si>
    <t>Obtetriz (nivel III)</t>
  </si>
  <si>
    <t>Obtetriz (nivel V)</t>
  </si>
  <si>
    <t>Otros Profesional de Salud (G5 nivel IV)</t>
  </si>
  <si>
    <t>Otros Profesional de Salud (G5 nivel V)</t>
  </si>
  <si>
    <t>Otros Profesional de Salud (nivel IV)</t>
  </si>
  <si>
    <t>Otros Profesional de Salud (nivel V)</t>
  </si>
  <si>
    <t>Otros Profesional de Salud (nivel VI)</t>
  </si>
  <si>
    <t>Otros Profesional de Salud (nivel VII)</t>
  </si>
  <si>
    <t>Otros Profesional de Salud (nivel VIII)</t>
  </si>
  <si>
    <t>Subtotal Profesionales de la Salud</t>
  </si>
  <si>
    <t>Carrera Publica Magisterial</t>
  </si>
  <si>
    <t>Profesor G-24 Titúlo Pedagógico</t>
  </si>
  <si>
    <t>Profesor G-30 Titúlo Pedagógico</t>
  </si>
  <si>
    <t>Profesor G-40 Titúlo Pedagógico</t>
  </si>
  <si>
    <t>Subtotal Carrera Publica Magisterial</t>
  </si>
  <si>
    <t>Profesor A-24 con Estud.Prof. Concluido</t>
  </si>
  <si>
    <t>Profesor A-30 con Estud.Prof. Concluido</t>
  </si>
  <si>
    <t>Profesor A-40 con Estud.Prof. Concluido</t>
  </si>
  <si>
    <t>Profesor B-24 con Estud. De Nivel Superior</t>
  </si>
  <si>
    <t>Profesor B-30 con Estud. De Nivel Superior</t>
  </si>
  <si>
    <t>Profesor B-40 con Estud. De Nivel Superior</t>
  </si>
  <si>
    <t>Profesor C-24 con Est. Pedag.No Concluido</t>
  </si>
  <si>
    <t>Profesor C-30 con Est. Pedag.No Concluido</t>
  </si>
  <si>
    <t>Profesor C-40 con Est. Pedag.No Concluido</t>
  </si>
  <si>
    <t xml:space="preserve">Profesor D-24 con Est.No Pedag.Nivel Sup
</t>
  </si>
  <si>
    <t xml:space="preserve">Profesor D-30 con Est.No Pedag.Nivel Sup
</t>
  </si>
  <si>
    <t xml:space="preserve">Profesor D-40 con Est.No Pedag.Nivel Sup
</t>
  </si>
  <si>
    <t>Profesor E-24 con Est.Secund.Completa</t>
  </si>
  <si>
    <t>Profesor E-40 con Est.Secund.Completa</t>
  </si>
  <si>
    <t>Profesor V-24 con Título Pedagógico</t>
  </si>
  <si>
    <t>Subtotal Reforma Magisterial</t>
  </si>
  <si>
    <t>Subtotal Carreras Especiales</t>
  </si>
  <si>
    <t>Subtotal Regimen Privado</t>
  </si>
  <si>
    <t>A=Total Activos</t>
  </si>
  <si>
    <t>Destacado de ….</t>
  </si>
  <si>
    <t>Prof. Por hora</t>
  </si>
  <si>
    <t>SubTotal Activos</t>
  </si>
  <si>
    <t>Otros</t>
  </si>
  <si>
    <t xml:space="preserve">        Consejero Regional</t>
  </si>
  <si>
    <t>00</t>
  </si>
  <si>
    <t>Contrato Administrativo de Servicio</t>
  </si>
  <si>
    <t>Auxiliar, personal de limpieza, guardiania</t>
  </si>
  <si>
    <t>RIQUELME HUALLPARIMACHI SIMEON  (R/J)</t>
  </si>
  <si>
    <t>TECNICO EN INFORMATICA</t>
  </si>
  <si>
    <t>GERENTES REGIONALES</t>
  </si>
  <si>
    <t>SILVA GUEVARA YABEL</t>
  </si>
  <si>
    <t>ING. CIVIL</t>
  </si>
  <si>
    <t>Gerencial</t>
  </si>
  <si>
    <t>TTUPA HUANCARA VICENTE  (R/J)</t>
  </si>
  <si>
    <t>TECNICO ELECTRICISTA</t>
  </si>
  <si>
    <t>TECNICO I</t>
  </si>
  <si>
    <t>ZAVALLA POZO EVERT</t>
  </si>
  <si>
    <t>ING. DE SISTEMAS E INFORMATICA</t>
  </si>
  <si>
    <t>Técnicos</t>
  </si>
  <si>
    <t>PROFESIONAL V</t>
  </si>
  <si>
    <t>AGUILAR CONDORI MANUEL</t>
  </si>
  <si>
    <t>CONTADOR PUBLICO</t>
  </si>
  <si>
    <t>PROFESIONAL IV</t>
  </si>
  <si>
    <t>ALARCON URRUTIA GABRIELA</t>
  </si>
  <si>
    <t>ECONOMISTA</t>
  </si>
  <si>
    <t>ALEGRIA MENDOZA DEYVIS</t>
  </si>
  <si>
    <t>BACHILLER EN ADMINITRACION</t>
  </si>
  <si>
    <t>CASTILLO FLOREZ LUIZ EZEQUIEL</t>
  </si>
  <si>
    <t>CIENCIAS DE LA COMUNICACIÓN</t>
  </si>
  <si>
    <t>CHAMPI SOTA LEYDI MELISSA</t>
  </si>
  <si>
    <t>CHAVEZ USCAMAITA GANDHY</t>
  </si>
  <si>
    <t>BACHILLER EN ECONOMIA</t>
  </si>
  <si>
    <t>09</t>
  </si>
  <si>
    <t>FARFAN CCONCHO JACKELIN</t>
  </si>
  <si>
    <t>LICENCIADO EN TURISMO</t>
  </si>
  <si>
    <t>GAMARRA SOLORZANO DIANA INDIRA</t>
  </si>
  <si>
    <t>TECNICO III</t>
  </si>
  <si>
    <t>GARCIA PACHECO CESAR  AUGUSTO</t>
  </si>
  <si>
    <t>TECNICO</t>
  </si>
  <si>
    <t>GONZALES ABRILL CARMELA NATIVIDAD</t>
  </si>
  <si>
    <t>ABOGADA</t>
  </si>
  <si>
    <t>HUAMAN MAQUE JHOSIMAR</t>
  </si>
  <si>
    <t>LICENCIADO EN CIENCIAS DE LA COMUNICACION</t>
  </si>
  <si>
    <t>PROFESIONAL II</t>
  </si>
  <si>
    <t>HUILLCA CCONISLLA DIEGO</t>
  </si>
  <si>
    <t>NINGUNO</t>
  </si>
  <si>
    <t>TECNICO II</t>
  </si>
  <si>
    <t>HURTADO CASTRO ANA MILAGROS</t>
  </si>
  <si>
    <t>ARQUITECTO</t>
  </si>
  <si>
    <t>MOLERO CHILQUETUMA PATRICIA YESICA</t>
  </si>
  <si>
    <t>CONTADOR PUBLICO COLEGIADO</t>
  </si>
  <si>
    <t>PACHECO GALLEGOS EVELIN CLAUDIA</t>
  </si>
  <si>
    <t>DIRECTOR DE UNIDAD OPERATIVA</t>
  </si>
  <si>
    <t>PRADO BARRETO IVAN</t>
  </si>
  <si>
    <t>INGENIERIA DE MINAS</t>
  </si>
  <si>
    <t>PROFESIONAL III</t>
  </si>
  <si>
    <t>QUISPE SAICO IRVIN AURELIO</t>
  </si>
  <si>
    <t>RODRIGUEZ GOMEZ CESAR AUGUSTO</t>
  </si>
  <si>
    <t>ABOGADO</t>
  </si>
  <si>
    <t>SARMIENTO ROZAS NEYDA MARINA</t>
  </si>
  <si>
    <t>PROFESIONAL I</t>
  </si>
  <si>
    <t>SOLIS ALAGON VIRGINIA</t>
  </si>
  <si>
    <t>Auxiliar Administrativo</t>
  </si>
  <si>
    <t>VALENCIA HUILLCA CARLOS</t>
  </si>
  <si>
    <t>LICENCIADO EN EDUCACION PRIMARIA</t>
  </si>
  <si>
    <t>VEGA TAMAYO JENIFER ZAIDA</t>
  </si>
  <si>
    <t>ALONZO MEDINA LISSBET</t>
  </si>
  <si>
    <t>BOLAÑOS GONZALES FREDY.TOMAS  (R/J)</t>
  </si>
  <si>
    <t>SERVICIO DE MANTENIMIENTO</t>
  </si>
  <si>
    <t>CACHI HUALLPA SOFIA</t>
  </si>
  <si>
    <t>CASTAÑEDA CACHI TOMAS                     (ANT</t>
  </si>
  <si>
    <t>TÉCNICO AGROPECUARIO</t>
  </si>
  <si>
    <t>CORRALES WAGNER KARIN</t>
  </si>
  <si>
    <t>ESPINOZA RAMIREZ JIMMY JHON</t>
  </si>
  <si>
    <t>MERMA PUMA HENRY    (R/J)</t>
  </si>
  <si>
    <t>MOGROVEJO MORA MARISOL</t>
  </si>
  <si>
    <t>DIRECTOR DE OFICINA</t>
  </si>
  <si>
    <t>MORALES PAREJA OLGA MARITZA</t>
  </si>
  <si>
    <t>MOROCCO FARFAN CIRILO    (R/J)</t>
  </si>
  <si>
    <t>AUXILIAR ADMINISTRATIVO</t>
  </si>
  <si>
    <t>MUÑIZ ORELLANA JUAN.ERNESTO (R/J)</t>
  </si>
  <si>
    <t>TECNICO EN ELECTRICIDAD INDUSTRIAL</t>
  </si>
  <si>
    <t>PIMENTEL CABAÑAS VILMA</t>
  </si>
  <si>
    <t>PUENTE CASTILLO ENRIQUE.SEMINARIO    (ANTG)</t>
  </si>
  <si>
    <t>QUISPE CASTILLO GREGORIO ADRIAN</t>
  </si>
  <si>
    <t>VALDIVIA BACA GLORIA  (R/J)</t>
  </si>
  <si>
    <t>ZUNIGA AGUILAR GREGORIO</t>
  </si>
  <si>
    <t>MERCADOTECNIA</t>
  </si>
  <si>
    <t>ALVAREZ VARGAS JULY.ARLETTE</t>
  </si>
  <si>
    <t>AMACHE CABRERA JOSE</t>
  </si>
  <si>
    <t>PERSONAL DE SEGURIDAD</t>
  </si>
  <si>
    <t>ARANIBAR GIL JORGE LUIS</t>
  </si>
  <si>
    <t>BENDEZU FARFAN LUZ ISABEL TATIANA</t>
  </si>
  <si>
    <t>CARDENAS GONZALES FIDEL        (R/J)</t>
  </si>
  <si>
    <t>CHOFER</t>
  </si>
  <si>
    <t>CARRASCO QUINTANA YULY</t>
  </si>
  <si>
    <t>GERENTE GENERAL REGIONAL</t>
  </si>
  <si>
    <t>DANCOURT VELASQUEZ DANIEL</t>
  </si>
  <si>
    <t>ING. AGRONOMO</t>
  </si>
  <si>
    <t>LA SERNA GALLEGOS ROSSANA BEATRIZ</t>
  </si>
  <si>
    <t>LICENCIADA EN ENFERMERIA</t>
  </si>
  <si>
    <t>LUQUE FARFAN ERIKA YAMILE</t>
  </si>
  <si>
    <t>ENFERMERA/O</t>
  </si>
  <si>
    <t>MAMANI GUTIERREZ JOSE.ANTONIO       (ANTIG)</t>
  </si>
  <si>
    <t>MERCADO CHOQUE DAVID</t>
  </si>
  <si>
    <t>PACHECO CUEVA JOAQUIN</t>
  </si>
  <si>
    <t>VILLANUEVA MENDIGURE LUIS ENRIQUE</t>
  </si>
  <si>
    <t>INGENIERÍA AMBIENTAL</t>
  </si>
  <si>
    <t>VILLAVICENCIO LOZANO ISELA MARISOL</t>
  </si>
  <si>
    <t>TECNICO ADMINISTRATIVO I</t>
  </si>
  <si>
    <t>01202739</t>
  </si>
  <si>
    <t>COILA APAZA LEONIDAS</t>
  </si>
  <si>
    <t>PROFESIONAL ADMINISTRATIVO</t>
  </si>
  <si>
    <t>01513594</t>
  </si>
  <si>
    <t>CHIPANA LUQUE FLAVIO</t>
  </si>
  <si>
    <t>80474582</t>
  </si>
  <si>
    <t>CHALLCO MASCIOTTI ELMER</t>
  </si>
  <si>
    <t>AUXILIAR ADMINISTRATIVO I</t>
  </si>
  <si>
    <t>23945667</t>
  </si>
  <si>
    <t>ALARCON ARRIAGA DORIS SOCORRO</t>
  </si>
  <si>
    <t>TECNICO EN TOPOGRAFIA</t>
  </si>
  <si>
    <t>24486065</t>
  </si>
  <si>
    <t>MUÑOZ SUAREZ WILFREDO</t>
  </si>
  <si>
    <t>INGENIERO EN CIENCIAS AGRARIAS II</t>
  </si>
  <si>
    <t>23880193</t>
  </si>
  <si>
    <t>CHACON VILLASANTE LUIS JUSTO</t>
  </si>
  <si>
    <t>23948616</t>
  </si>
  <si>
    <t>ALATA CHILLIHUA LUIS BRAULIO</t>
  </si>
  <si>
    <t>23960493</t>
  </si>
  <si>
    <t>ANGULO RODRIGUEZ DANIEL</t>
  </si>
  <si>
    <t>43392470</t>
  </si>
  <si>
    <t>CALDERON RIMACHI YOSSET</t>
  </si>
  <si>
    <t>24383630</t>
  </si>
  <si>
    <t>HUALLPA SOLLASE MACARIO</t>
  </si>
  <si>
    <t>21541546</t>
  </si>
  <si>
    <t>CASALINO PAZOS GINO LUIS</t>
  </si>
  <si>
    <t>25135716</t>
  </si>
  <si>
    <t>QUISPE MAMANI DANIEL</t>
  </si>
  <si>
    <t>INGENIERO AGRONOMO</t>
  </si>
  <si>
    <t>23823001</t>
  </si>
  <si>
    <t>CHAMPI AYMA GUALBERTO</t>
  </si>
  <si>
    <t>TECNICO ADMINISTRATIVO</t>
  </si>
  <si>
    <t>24986242</t>
  </si>
  <si>
    <t>ESCALANTE PUENTE DE LA VEGA FREDI</t>
  </si>
  <si>
    <t>00000000</t>
  </si>
  <si>
    <t>NO REGISTRADO NO REGISTRADO NO REGISTRADO</t>
  </si>
  <si>
    <t>10471138</t>
  </si>
  <si>
    <t>GARCIA CASTELO RENAND</t>
  </si>
  <si>
    <t>25319203</t>
  </si>
  <si>
    <t>OROPEZA LUCA MARINO</t>
  </si>
  <si>
    <t>GUARDAPARQUE</t>
  </si>
  <si>
    <t>23871473</t>
  </si>
  <si>
    <t>HUAMAN PEREZ RAMIRO</t>
  </si>
  <si>
    <t>24982340</t>
  </si>
  <si>
    <t>VIVANCO KJURO WILBER</t>
  </si>
  <si>
    <t>24708621</t>
  </si>
  <si>
    <t>HUAMAN HUAMAN FROILAN</t>
  </si>
  <si>
    <t>23932364</t>
  </si>
  <si>
    <t>GALLEGOS ÑAUPAC ISABEL MARIA</t>
  </si>
  <si>
    <t>07818321</t>
  </si>
  <si>
    <t>FUENTES TUMPE CARMELA</t>
  </si>
  <si>
    <t>23894038</t>
  </si>
  <si>
    <t>MARTINEZ MENDIZABAL SUSANA LILIANA</t>
  </si>
  <si>
    <t>INGENIERO II</t>
  </si>
  <si>
    <t>ESPECIALISTA</t>
  </si>
  <si>
    <t xml:space="preserve">  </t>
  </si>
  <si>
    <t>23873551</t>
  </si>
  <si>
    <t>REYNAGA FARFAN VICTOR HUGO</t>
  </si>
  <si>
    <t>GUARDIAN</t>
  </si>
  <si>
    <t>AUXILIAR AGROPECUARIO</t>
  </si>
  <si>
    <t>24671943</t>
  </si>
  <si>
    <t>AIMITUMA MAMANI VICENTE</t>
  </si>
  <si>
    <t>MECANICO</t>
  </si>
  <si>
    <t>SOLDADOR MECANICO</t>
  </si>
  <si>
    <t>80148702</t>
  </si>
  <si>
    <t>CCORAHUA QUISPE VICTOR</t>
  </si>
  <si>
    <t>23989338</t>
  </si>
  <si>
    <t>SERRANO ORTIZ NAZARIO</t>
  </si>
  <si>
    <t>23892991</t>
  </si>
  <si>
    <t>HUAMANI AYME PABLO</t>
  </si>
  <si>
    <t>23967465</t>
  </si>
  <si>
    <t>QUISPE SERRANO JULIO</t>
  </si>
  <si>
    <t>COORDINADOR</t>
  </si>
  <si>
    <t>TECNICO AGROPECUARIO</t>
  </si>
  <si>
    <t>25304753</t>
  </si>
  <si>
    <t>MEJIA JUSTINIANI PEDRO</t>
  </si>
  <si>
    <t>42000796</t>
  </si>
  <si>
    <t>MAMANI PFACCHA ANDRES</t>
  </si>
  <si>
    <t>ESPECIALISTA EN SISTEMAS</t>
  </si>
  <si>
    <t>44783959</t>
  </si>
  <si>
    <t>AUCAISE QUISPE HERSON CARLOS</t>
  </si>
  <si>
    <t>PERSONAL DE LIMPIEZA</t>
  </si>
  <si>
    <t>40803589</t>
  </si>
  <si>
    <t>ALARCON GALINDO RICHARD</t>
  </si>
  <si>
    <t>AGENTE PASTORAL</t>
  </si>
  <si>
    <t>24480636</t>
  </si>
  <si>
    <t>MAMANI CCOYOCUSI JUAN</t>
  </si>
  <si>
    <t>TECNICO FORESTAL</t>
  </si>
  <si>
    <t>24487931</t>
  </si>
  <si>
    <t>GALLEGOS FARFAN JULIO</t>
  </si>
  <si>
    <t>VERIFICADOR</t>
  </si>
  <si>
    <t>43674923</t>
  </si>
  <si>
    <t>CARDENAS BARRIONUEVO EDILBERTO</t>
  </si>
  <si>
    <t>43612757</t>
  </si>
  <si>
    <t>HANCCO SONCCO HECTOR MOISES</t>
  </si>
  <si>
    <t>40006945</t>
  </si>
  <si>
    <t>ARENAS MONGE CARLOS</t>
  </si>
  <si>
    <t>43230885</t>
  </si>
  <si>
    <t>MAMANI PFACCHA JOSE LUIS</t>
  </si>
  <si>
    <t>44798839</t>
  </si>
  <si>
    <t>ZARATE HUILLCA CESAR AUGUSTO</t>
  </si>
  <si>
    <t>ADMINISTRADOR</t>
  </si>
  <si>
    <t>SECRETARIA/O</t>
  </si>
  <si>
    <t>23924409</t>
  </si>
  <si>
    <t>VALENCIA OBANDO MARINA</t>
  </si>
  <si>
    <t>23968695</t>
  </si>
  <si>
    <t>RAMOS AMACHI HECTOR</t>
  </si>
  <si>
    <t>LIMPIEZA</t>
  </si>
  <si>
    <t>EMPADRONADOR</t>
  </si>
  <si>
    <t>TOPOGRAFO</t>
  </si>
  <si>
    <t>OPERADOR ADMINISTRATIVO</t>
  </si>
  <si>
    <t>ESPECIALISTA ADMINISTRATIVO</t>
  </si>
  <si>
    <t>ESPECIALISTA EN TESORERIA</t>
  </si>
  <si>
    <t>CONTADOR</t>
  </si>
  <si>
    <t>FISCALIZADOR</t>
  </si>
  <si>
    <t>23934068</t>
  </si>
  <si>
    <t>MARIACA BRAVO WELLINGTON HERMOGENES</t>
  </si>
  <si>
    <t>ASISTENTE CONTABLE</t>
  </si>
  <si>
    <t>ESPECIALISTA EN PRESUPUESTO</t>
  </si>
  <si>
    <t>ESPECIALISTA EN CONTRATACIONES Y ADQUISICIONES</t>
  </si>
  <si>
    <t>INGENIERO CIVIL</t>
  </si>
  <si>
    <t>ASISTENTE ADMINISTRATIVO</t>
  </si>
  <si>
    <t>41737118</t>
  </si>
  <si>
    <t>HUALLPA SULLCA MARISOL</t>
  </si>
  <si>
    <t>23800867</t>
  </si>
  <si>
    <t>CHOQQUE CCASA FELIPE</t>
  </si>
  <si>
    <t>23964933</t>
  </si>
  <si>
    <t>AGUIRRE BARRIENTOS EDILBERTO ALEJANDRO</t>
  </si>
  <si>
    <t>25009211</t>
  </si>
  <si>
    <t>SANTOS PEREZ MARCO ANTONIO</t>
  </si>
  <si>
    <t>45719326</t>
  </si>
  <si>
    <t>ORTIZ COLLANTES GEORGE WILLINGTON SEGUNDO</t>
  </si>
  <si>
    <t>INGENIERO</t>
  </si>
  <si>
    <t>44944167</t>
  </si>
  <si>
    <t>LANDIO CRUZ CHRISTIAN JENS</t>
  </si>
  <si>
    <t>45134146</t>
  </si>
  <si>
    <t>VILCA BECERRA ALBERS ANTONY</t>
  </si>
  <si>
    <t>41763940</t>
  </si>
  <si>
    <t>CANALES CASTILLO JANETT</t>
  </si>
  <si>
    <t>43126013</t>
  </si>
  <si>
    <t>ORTIZ BELLIDO CESAR ARTURO</t>
  </si>
  <si>
    <t>23987757</t>
  </si>
  <si>
    <t>OCHOA GUILLEN CIRO</t>
  </si>
  <si>
    <t>23957913</t>
  </si>
  <si>
    <t>CONDORI SEQUEIROS MARCOS</t>
  </si>
  <si>
    <t>02429207</t>
  </si>
  <si>
    <t>QUISOCALA RAMOS HUBERT</t>
  </si>
  <si>
    <t>45976021</t>
  </si>
  <si>
    <t>QUINTO LAUREL HENRY</t>
  </si>
  <si>
    <t>46571606</t>
  </si>
  <si>
    <t>CUTIPA MARCELO ANGIE SANDIBELL</t>
  </si>
  <si>
    <t>47307002</t>
  </si>
  <si>
    <t>PHUÑO QUISPE JOAQUIN RONALD</t>
  </si>
  <si>
    <t>43344133</t>
  </si>
  <si>
    <t>QUISPE CUSIATAN RUMY</t>
  </si>
  <si>
    <t>45911149</t>
  </si>
  <si>
    <t>ACUÑA MUÑOZ CINDI ROSALI</t>
  </si>
  <si>
    <t>OPERADOR SEACE</t>
  </si>
  <si>
    <t>45999068</t>
  </si>
  <si>
    <t>HURTADO MUÑOZ RURU MABEL</t>
  </si>
  <si>
    <t>24005012</t>
  </si>
  <si>
    <t>HUAYLLAPUMA ALVAREZ MARILUZ</t>
  </si>
  <si>
    <t>46344099</t>
  </si>
  <si>
    <t>PEÑA ALVAREZ SANDRA KELLY</t>
  </si>
  <si>
    <t>COORDINADOR LOCAL - PREVAED</t>
  </si>
  <si>
    <t>40151789</t>
  </si>
  <si>
    <t>TRUJILLO GUEVARA WENDEL JESUS</t>
  </si>
  <si>
    <t>23933974</t>
  </si>
  <si>
    <t>PUMA SORIA EDGAR</t>
  </si>
  <si>
    <t>23961410</t>
  </si>
  <si>
    <t>CCAHUANTICO FERNANDEZ MARIA</t>
  </si>
  <si>
    <t>24705831</t>
  </si>
  <si>
    <t>LAVILLA CONDORI EDWIN</t>
  </si>
  <si>
    <t>40965645</t>
  </si>
  <si>
    <t>HUAMANI PACCAYA WILBER</t>
  </si>
  <si>
    <t>23948264</t>
  </si>
  <si>
    <t>CJURO PEÑA ALGER DIMAS</t>
  </si>
  <si>
    <t>41580452</t>
  </si>
  <si>
    <t>SUTEC CURIE JOELY BAYED</t>
  </si>
  <si>
    <t>41900587</t>
  </si>
  <si>
    <t>NOHA VALDIVIA EMMY ESTHER</t>
  </si>
  <si>
    <t>23953107</t>
  </si>
  <si>
    <t>AMAR CONDORI GIANI</t>
  </si>
  <si>
    <t>41662794</t>
  </si>
  <si>
    <t>HUACHO SALAS WILLY</t>
  </si>
  <si>
    <t>24287084</t>
  </si>
  <si>
    <t>PATILLA MEJIA ANTONIO</t>
  </si>
  <si>
    <t>23821906</t>
  </si>
  <si>
    <t>ALIAGA ARROYO MIGUEL</t>
  </si>
  <si>
    <t>41583765</t>
  </si>
  <si>
    <t>PACOCHA SOLLASI ADRIANA</t>
  </si>
  <si>
    <t>44517102</t>
  </si>
  <si>
    <t>VILLA PILLPINTO MIRIAM</t>
  </si>
  <si>
    <t>42713949</t>
  </si>
  <si>
    <t>ARREDONDO NUÑEZ LUCIO SHANON</t>
  </si>
  <si>
    <t>46086200</t>
  </si>
  <si>
    <t>FLORES SERRANO DANNY INDIRA</t>
  </si>
  <si>
    <t>40003233</t>
  </si>
  <si>
    <t>ROZAS CAMPOS JUAN RODOLFO</t>
  </si>
  <si>
    <t>43470522</t>
  </si>
  <si>
    <t>MOINA PANTI NILDA</t>
  </si>
  <si>
    <t>23885201</t>
  </si>
  <si>
    <t>MENZALA RIVERA EVANGELINO</t>
  </si>
  <si>
    <t>43888009</t>
  </si>
  <si>
    <t>TAPIA CONTRERAS ANNY</t>
  </si>
  <si>
    <t>24006130</t>
  </si>
  <si>
    <t>NUÑEZ GARCIA NELZON</t>
  </si>
  <si>
    <t>00487801</t>
  </si>
  <si>
    <t>QUINTANILLA MAMANI MARLENE HAYDEE</t>
  </si>
  <si>
    <t>40388127</t>
  </si>
  <si>
    <t>FELIX QUISPE MARCO ANTONIO</t>
  </si>
  <si>
    <t>47615659</t>
  </si>
  <si>
    <t>CHOQUE LIMO YORVIL</t>
  </si>
  <si>
    <t>70566774</t>
  </si>
  <si>
    <t>CUADROS TAMAYO JOSSUE GERMAIN</t>
  </si>
  <si>
    <t>41267640</t>
  </si>
  <si>
    <t>QUISPE QUISPE SUSANA</t>
  </si>
  <si>
    <t>46066097</t>
  </si>
  <si>
    <t>DELGADO SALAZAR PILAR DANIELA</t>
  </si>
  <si>
    <t>45297088</t>
  </si>
  <si>
    <t>CANA CANCHA MICHELLE</t>
  </si>
  <si>
    <t>46468456</t>
  </si>
  <si>
    <t>COAYLA CUPI MITSHY SHARMELY</t>
  </si>
  <si>
    <t>23869354</t>
  </si>
  <si>
    <t>BALLADARES APARICIO DALMECIO ABRAHAM</t>
  </si>
  <si>
    <t>44982906</t>
  </si>
  <si>
    <t>TERAN HUILLCA ROSMERY</t>
  </si>
  <si>
    <t>43158269</t>
  </si>
  <si>
    <t>CENTENO CARRASCO MARITZA</t>
  </si>
  <si>
    <t>47450885</t>
  </si>
  <si>
    <t>GONGORA CALVO JOHANNA KATHERINE</t>
  </si>
  <si>
    <t>45153617</t>
  </si>
  <si>
    <t>GALINDO GAMONAL JANET</t>
  </si>
  <si>
    <t>23893165</t>
  </si>
  <si>
    <t>YABAR BERRIO JESSIKA INGRID</t>
  </si>
  <si>
    <t>42996532</t>
  </si>
  <si>
    <t>VICENTE MENDOZA EDWARD</t>
  </si>
  <si>
    <t>INGENIERO DE SISTEMAS</t>
  </si>
  <si>
    <t>43715409</t>
  </si>
  <si>
    <t>QUISPE ROCCA YOLVI</t>
  </si>
  <si>
    <t>ESPECIALISTA EN EDUCACION</t>
  </si>
  <si>
    <t>40921236</t>
  </si>
  <si>
    <t>CASAS VALER LUCY</t>
  </si>
  <si>
    <t>ESPECIALISTA EN CONVIVENCIA ESCOLAR</t>
  </si>
  <si>
    <t>42433110</t>
  </si>
  <si>
    <t>SALLUCA RODRIGUEZ LAUREM AMELIA</t>
  </si>
  <si>
    <t>GESTOR(A) EDUCATIVO(A)</t>
  </si>
  <si>
    <t>40440484</t>
  </si>
  <si>
    <t>VARGAS VARGAS MARLENE</t>
  </si>
  <si>
    <t>COORDINADOR REGIONAL DE CALIDAD DE INFORMACIÓN</t>
  </si>
  <si>
    <t>46028256</t>
  </si>
  <si>
    <t>MAYHUA PACHECO CARL LEVISS</t>
  </si>
  <si>
    <t>GESTOR REGIONAL PARA EL INCREMENTO EN EL ACCESO</t>
  </si>
  <si>
    <t>70144250</t>
  </si>
  <si>
    <t>GARAY PINTO ZILA JAFET</t>
  </si>
  <si>
    <t>ESPECIALISTA GENERACION DE CONDICIONES EN IIEE CREADAS</t>
  </si>
  <si>
    <t>ESPECIALISTA EN EDUC.ESPECIAL</t>
  </si>
  <si>
    <t>23998022</t>
  </si>
  <si>
    <t>HUANACO BUSTINZA MERY ZULEMA</t>
  </si>
  <si>
    <t>VIGILANTE</t>
  </si>
  <si>
    <t>45538252</t>
  </si>
  <si>
    <t>NINA MERMA ANDRES</t>
  </si>
  <si>
    <t>45692627</t>
  </si>
  <si>
    <t>COLLANTES VALER CRISBETH</t>
  </si>
  <si>
    <t>71526446</t>
  </si>
  <si>
    <t>VALERIANO LABRA BILLY</t>
  </si>
  <si>
    <t>74320016</t>
  </si>
  <si>
    <t>BELLO APARICIO JHERSON</t>
  </si>
  <si>
    <t>24714116</t>
  </si>
  <si>
    <t>MAMANI TINTA MIGUEL</t>
  </si>
  <si>
    <t>40139521</t>
  </si>
  <si>
    <t>RODRIGUEZ MONZON ROBERTO</t>
  </si>
  <si>
    <t>41679370</t>
  </si>
  <si>
    <t>MENDOZA QUISPE JAVIER</t>
  </si>
  <si>
    <t>42563136</t>
  </si>
  <si>
    <t>QUISPE AQUINO JOSE LUIS</t>
  </si>
  <si>
    <t>41050104</t>
  </si>
  <si>
    <t>PINO CCAÑIHUA MANUEL</t>
  </si>
  <si>
    <t>41798614</t>
  </si>
  <si>
    <t>AQUINO ZUNIGA WILBER</t>
  </si>
  <si>
    <t>43059004</t>
  </si>
  <si>
    <t>CACERES MAMANI GIRALDO</t>
  </si>
  <si>
    <t>73806294</t>
  </si>
  <si>
    <t>CCAMA LLOCLLE ESMERALDA</t>
  </si>
  <si>
    <t>45246039</t>
  </si>
  <si>
    <t>HUILLCA SUELDO DAVID</t>
  </si>
  <si>
    <t>45712481</t>
  </si>
  <si>
    <t>CHAMPI AMAO JORGE</t>
  </si>
  <si>
    <t>48339905</t>
  </si>
  <si>
    <t>GUEVARA CCOA NOE</t>
  </si>
  <si>
    <t>71013369</t>
  </si>
  <si>
    <t>GALVEZ LOPEZ WILIAN</t>
  </si>
  <si>
    <t>24291390</t>
  </si>
  <si>
    <t>SUÑA PAUCCARA LUCIANO</t>
  </si>
  <si>
    <t>47641271</t>
  </si>
  <si>
    <t>SUÑA HANCCO ROSA LORENZA</t>
  </si>
  <si>
    <t>60354108</t>
  </si>
  <si>
    <t>MAMANI CARDENAS HUMBERTO</t>
  </si>
  <si>
    <t>45700094</t>
  </si>
  <si>
    <t>LOPINTA ALVAREZ MARIZOL</t>
  </si>
  <si>
    <t>24940319</t>
  </si>
  <si>
    <t>TORRES OCHOA NELLY</t>
  </si>
  <si>
    <t>45833200</t>
  </si>
  <si>
    <t>SURCO QUISPE NORKA</t>
  </si>
  <si>
    <t>42083188</t>
  </si>
  <si>
    <t>ESCALANTE CORNEJO RUTH</t>
  </si>
  <si>
    <t>47299655</t>
  </si>
  <si>
    <t>OVIEDO GONZALES RILE GILBERT</t>
  </si>
  <si>
    <t>73039002</t>
  </si>
  <si>
    <t>DOLMOS CUSI LUIGI</t>
  </si>
  <si>
    <t>73528168</t>
  </si>
  <si>
    <t>PALOMINO MONTESINOS HAIDER</t>
  </si>
  <si>
    <t>40890070</t>
  </si>
  <si>
    <t>CHAVEZ HUAMAN MERCEDES</t>
  </si>
  <si>
    <t>74276105</t>
  </si>
  <si>
    <t>HUARCO TAMBOHUACSO YESICA</t>
  </si>
  <si>
    <t>24717267</t>
  </si>
  <si>
    <t>TAIPE QUISPE JUAN CIRIACO</t>
  </si>
  <si>
    <t>24717272</t>
  </si>
  <si>
    <t>GAYONA QUISPE JUAN ANTONIO</t>
  </si>
  <si>
    <t>43370093</t>
  </si>
  <si>
    <t>JANCCO PUMACARI RENE</t>
  </si>
  <si>
    <t>44440631</t>
  </si>
  <si>
    <t>LAURA TINTAYA EDGAR</t>
  </si>
  <si>
    <t>25124118</t>
  </si>
  <si>
    <t>CJUNO HUILLCA MAURO</t>
  </si>
  <si>
    <t>46638030</t>
  </si>
  <si>
    <t>VILLALBA FOLLANA ROSABELL ERNESTINA</t>
  </si>
  <si>
    <t>47738735</t>
  </si>
  <si>
    <t>GARCIA SALCEDO RENE</t>
  </si>
  <si>
    <t>74089757</t>
  </si>
  <si>
    <t>QUISPE HUITOCALLO LUZ MARINA</t>
  </si>
  <si>
    <t>25060059</t>
  </si>
  <si>
    <t>FARFAN BLANCO BRAULIO</t>
  </si>
  <si>
    <t>42873028</t>
  </si>
  <si>
    <t>PERALTA OLIVERA ABEL</t>
  </si>
  <si>
    <t>48323478</t>
  </si>
  <si>
    <t>CORDOVA CARRION YOLANDA</t>
  </si>
  <si>
    <t>25061321</t>
  </si>
  <si>
    <t>ARELLANO CONDORI JORGE GERARDO</t>
  </si>
  <si>
    <t>ESPECIALISTA EN MONITOREO Y EVALUACIÓN</t>
  </si>
  <si>
    <t>42699998</t>
  </si>
  <si>
    <t>CRUZ ANGELINO LUCIA</t>
  </si>
  <si>
    <t>42745496</t>
  </si>
  <si>
    <t>CUELLAR ALARCON ROBERTH VIRGILIO</t>
  </si>
  <si>
    <t>OBSTETRA</t>
  </si>
  <si>
    <t>42887144</t>
  </si>
  <si>
    <t>ACHAHUI FRANCO DENISSE MARIANA</t>
  </si>
  <si>
    <t>INGENIERO SANITARIO</t>
  </si>
  <si>
    <t>23850161</t>
  </si>
  <si>
    <t>NAYHUA MARIN JESUS</t>
  </si>
  <si>
    <t>COMUNICADOR SOCIAL</t>
  </si>
  <si>
    <t>43368955</t>
  </si>
  <si>
    <t>MAMANI FARE EDITH</t>
  </si>
  <si>
    <t>24491038</t>
  </si>
  <si>
    <t>TARCO GONGORA JUDITH</t>
  </si>
  <si>
    <t>43612549</t>
  </si>
  <si>
    <t>VALENCIA CORDOVA ROY GREGORIO</t>
  </si>
  <si>
    <t>42895943</t>
  </si>
  <si>
    <t>QUISPE YAÑEZ MIRTHA LIZ</t>
  </si>
  <si>
    <t>40470327</t>
  </si>
  <si>
    <t>CHALLCO MERMA ERIKA</t>
  </si>
  <si>
    <t>25001177</t>
  </si>
  <si>
    <t>SARMIENTO HUANCA EFRAIN</t>
  </si>
  <si>
    <t>40075250</t>
  </si>
  <si>
    <t>LOVATON RAMOS JORGE FERNANDO</t>
  </si>
  <si>
    <t>44404208</t>
  </si>
  <si>
    <t>QUISPE BLANCO SARITA DEL PILAR</t>
  </si>
  <si>
    <t>MEDICO I</t>
  </si>
  <si>
    <t>42162347</t>
  </si>
  <si>
    <t>HOLGUIN CHAÑI VLADIMIR ILICH</t>
  </si>
  <si>
    <t>41565478</t>
  </si>
  <si>
    <t>HUARCA HINOJOSA LISSETTE</t>
  </si>
  <si>
    <t>44356409</t>
  </si>
  <si>
    <t>VELARDE LOAIZA FELICITAS</t>
  </si>
  <si>
    <t>PSICOLOGO</t>
  </si>
  <si>
    <t>QUIMICO FARMACEUTICO</t>
  </si>
  <si>
    <t>42000698</t>
  </si>
  <si>
    <t>CALIZAYA ANCO KARINA SUSAN</t>
  </si>
  <si>
    <t>45430567</t>
  </si>
  <si>
    <t>CUORI QUISPE HAROLD JAMES</t>
  </si>
  <si>
    <t>42866458</t>
  </si>
  <si>
    <t>SUNI CCONCHA VIANNEY</t>
  </si>
  <si>
    <t>TECNICO EN CONTABILIDAD</t>
  </si>
  <si>
    <t>TECNICO EN FARMACIA</t>
  </si>
  <si>
    <t>44301702</t>
  </si>
  <si>
    <t>MEZA PAREDES JEHOBANIA</t>
  </si>
  <si>
    <t>72414777</t>
  </si>
  <si>
    <t>MUÑIZ SILVA MARCO ANTONIO</t>
  </si>
  <si>
    <t>44085114</t>
  </si>
  <si>
    <t>OVIEDO CORDOVA LISBETH JACKELINE</t>
  </si>
  <si>
    <t>40197308</t>
  </si>
  <si>
    <t>CCOLLATUPA CABRERA NORMA SOFIA</t>
  </si>
  <si>
    <t>ARTESANO</t>
  </si>
  <si>
    <t>44865927</t>
  </si>
  <si>
    <t>HUARANCCA SALAS SENOVIO PEDRO</t>
  </si>
  <si>
    <t>43100136</t>
  </si>
  <si>
    <t>JALIXTO PAUCAR NILDA</t>
  </si>
  <si>
    <t>ASISTENTE ADMINISTRATIVO I</t>
  </si>
  <si>
    <t>ASISTENTE ADMINISTRATIVO E INFORMATICO</t>
  </si>
  <si>
    <t>23966578</t>
  </si>
  <si>
    <t>DUEÑAS CORRIDO LUIS ALBERTO</t>
  </si>
  <si>
    <t>25001563</t>
  </si>
  <si>
    <t>VIZCARRA LA TORRE HENRY</t>
  </si>
  <si>
    <t>45270285</t>
  </si>
  <si>
    <t>VILLCA CONDORI BENANCIO</t>
  </si>
  <si>
    <t>24001662</t>
  </si>
  <si>
    <t>ZORRILLA BRAVO GINA JANETT</t>
  </si>
  <si>
    <t>23885919</t>
  </si>
  <si>
    <t>AGUILAR DE NUÑEZ ELSA</t>
  </si>
  <si>
    <t>23939069</t>
  </si>
  <si>
    <t>FLOREZ RONDAN HERMELINDA</t>
  </si>
  <si>
    <t>23827697</t>
  </si>
  <si>
    <t>FONSECA SANTA CRUZ ARTURO</t>
  </si>
  <si>
    <t>41409715</t>
  </si>
  <si>
    <t>VARGAS AROSTEGUI NADYA CARMEN</t>
  </si>
  <si>
    <t>40347932</t>
  </si>
  <si>
    <t>LAZO SALAS EDWARD</t>
  </si>
  <si>
    <t>42617366</t>
  </si>
  <si>
    <t>BUSTAMANTE USNAYO CARLA MARILYN</t>
  </si>
  <si>
    <t>41462616</t>
  </si>
  <si>
    <t>DURAN TTITO EVELINA ROCIO</t>
  </si>
  <si>
    <t>INGENIERO QUIMICO</t>
  </si>
  <si>
    <t>23846358</t>
  </si>
  <si>
    <t>CALLAHUI RIOS CLORINDA</t>
  </si>
  <si>
    <t>23944352</t>
  </si>
  <si>
    <t>GAMBOA UGARTE CESAR RAUL</t>
  </si>
  <si>
    <t>40645859</t>
  </si>
  <si>
    <t>SANTILLANA MOREANO ANGELICA</t>
  </si>
  <si>
    <t>23998150</t>
  </si>
  <si>
    <t>ARRIAGA CARREÑO CARLOS HERNAN</t>
  </si>
  <si>
    <t>40545000</t>
  </si>
  <si>
    <t>LAZO MAMANI JUAN CARLOS</t>
  </si>
  <si>
    <t>23994221</t>
  </si>
  <si>
    <t>MOSCOSO SANCHEZ DANNY ROBERT</t>
  </si>
  <si>
    <t>23932891</t>
  </si>
  <si>
    <t>MARCAPURA ARAGON ARLETTY ANGELICA</t>
  </si>
  <si>
    <t>42887160</t>
  </si>
  <si>
    <t>URQUIZO AYALA DUVALIER</t>
  </si>
  <si>
    <t>JEFE DE AREA</t>
  </si>
  <si>
    <t>09593699</t>
  </si>
  <si>
    <t>VILA MAGUIÑA CYNTHIA CAROL</t>
  </si>
  <si>
    <t>ODONTOLOGO</t>
  </si>
  <si>
    <t>41345589</t>
  </si>
  <si>
    <t>URETA ALEGRIA GLORIA MARIA</t>
  </si>
  <si>
    <t>43432233</t>
  </si>
  <si>
    <t>BARCENA MOLINA CARMEN RUTH</t>
  </si>
  <si>
    <t>41936792</t>
  </si>
  <si>
    <t>FUENTES HUAMANI JOHN ROSS</t>
  </si>
  <si>
    <t>23954373</t>
  </si>
  <si>
    <t>CASTRO QUISPE ROCIO MIROSLAVA</t>
  </si>
  <si>
    <t>24492371</t>
  </si>
  <si>
    <t>CJUIRO CASTRO MARLENY</t>
  </si>
  <si>
    <t>25000681</t>
  </si>
  <si>
    <t>MONTESINOS GARRIDO ROSSE MARY</t>
  </si>
  <si>
    <t>TECNICO EN ENFERMERIA</t>
  </si>
  <si>
    <t>43612789</t>
  </si>
  <si>
    <t>FERNANDEZ BATALLANOS ERNESTINA</t>
  </si>
  <si>
    <t>43342337</t>
  </si>
  <si>
    <t>VARGAS VARGAS GUISELA MARGOT</t>
  </si>
  <si>
    <t>TECNICO EN LABORATORIO</t>
  </si>
  <si>
    <t>72701732</t>
  </si>
  <si>
    <t>TICONA APAZA JEUS REUEL</t>
  </si>
  <si>
    <t>TECNICO EN NUTRICION</t>
  </si>
  <si>
    <t>23855165</t>
  </si>
  <si>
    <t>HANCCO QUISPE VILMA</t>
  </si>
  <si>
    <t>ESPECIALISTA EN REMUNERACIONES</t>
  </si>
  <si>
    <t>73033448</t>
  </si>
  <si>
    <t>PEÑA HUAIHUA CAROL JAMILET</t>
  </si>
  <si>
    <t>ASISTENTE LEGAL</t>
  </si>
  <si>
    <t>42809334</t>
  </si>
  <si>
    <t>CHOQUE HUILLCA JOHN BORIS</t>
  </si>
  <si>
    <t>48518967</t>
  </si>
  <si>
    <t>SULLCA HUAMAN CLAUDIO</t>
  </si>
  <si>
    <t>46033923</t>
  </si>
  <si>
    <t>CARRILLO DELGADO SURANAIHUA</t>
  </si>
  <si>
    <t>TECNICO EN SOPORTE INFORMATICO</t>
  </si>
  <si>
    <t>71828621</t>
  </si>
  <si>
    <t>ESQUIVEL COLLANTES RUBEN EDISON</t>
  </si>
  <si>
    <t>41325133</t>
  </si>
  <si>
    <t>TOCRA HUAMANI VERONICA CECILIA</t>
  </si>
  <si>
    <t>30850721</t>
  </si>
  <si>
    <t>ARIAS SOSA JACKELINE KELLY</t>
  </si>
  <si>
    <t>46963938</t>
  </si>
  <si>
    <t>ACETUNA CCOLQUE YENCY</t>
  </si>
  <si>
    <t>ASISTENTE DE CONVIVENCIA ESCOLAR</t>
  </si>
  <si>
    <t>46634346</t>
  </si>
  <si>
    <t>SONCCO HUANCA JOSE FRANKLIN</t>
  </si>
  <si>
    <t>42451373</t>
  </si>
  <si>
    <t>HUILLCA CUSI JULIA PRIMITIVA</t>
  </si>
  <si>
    <t>41588082</t>
  </si>
  <si>
    <t>AMANQUI CACHICATARI ANA CECILIA</t>
  </si>
  <si>
    <t>RESPONSABLE LOCAL DE LA CALIDAD DE LA INFORMACION</t>
  </si>
  <si>
    <t>42166765</t>
  </si>
  <si>
    <t>PORCEL HUAMANI LIZANDRO</t>
  </si>
  <si>
    <t>PERSONAL DE VIGILANCIA</t>
  </si>
  <si>
    <t>42055837</t>
  </si>
  <si>
    <t>PINEDA AGUILAR OLIVIA IRENE</t>
  </si>
  <si>
    <t>10043902</t>
  </si>
  <si>
    <t>MAMANI TAIRO FRIDA</t>
  </si>
  <si>
    <t>24708711</t>
  </si>
  <si>
    <t>CAHUANA ASLLA RAUL</t>
  </si>
  <si>
    <t>44703257</t>
  </si>
  <si>
    <t>APAZA MAMANI EBERT</t>
  </si>
  <si>
    <t>24713923</t>
  </si>
  <si>
    <t>MAMANI SUYO PERCY</t>
  </si>
  <si>
    <t>41795791</t>
  </si>
  <si>
    <t>MAMANI SONCCO MARIO RAFAEL</t>
  </si>
  <si>
    <t>24660485</t>
  </si>
  <si>
    <t>ACHAHUANCO FERNANDEZ MARCELINO</t>
  </si>
  <si>
    <t>80053840</t>
  </si>
  <si>
    <t>SURCO TICONA ELOY JAIME</t>
  </si>
  <si>
    <t>41678109</t>
  </si>
  <si>
    <t>OLMEDO TAIPE ANICETO</t>
  </si>
  <si>
    <t>45858981</t>
  </si>
  <si>
    <t>GUSMAN CCAMA ULISES WILLIAM</t>
  </si>
  <si>
    <t>29659933</t>
  </si>
  <si>
    <t>VELASQUEZ ORDOÑEZ DONATO</t>
  </si>
  <si>
    <t>46188502</t>
  </si>
  <si>
    <t>CALLO TICA LEO YURI</t>
  </si>
  <si>
    <t>71293226</t>
  </si>
  <si>
    <t>QUISPE USCAMAYTA CARLOS ENRIQUE</t>
  </si>
  <si>
    <t>24683451</t>
  </si>
  <si>
    <t>HUARACHA CHURA RAFAEL ANGEL</t>
  </si>
  <si>
    <t>COORDINADOR DE INNOVACIÓN Y SOPORTE TECNOLÓGICO</t>
  </si>
  <si>
    <t>23989745</t>
  </si>
  <si>
    <t>GARATE CHAMBILLA LUIS ANGEL</t>
  </si>
  <si>
    <t>43231622</t>
  </si>
  <si>
    <t>PUMA MAMANI ABEL</t>
  </si>
  <si>
    <t>70210751</t>
  </si>
  <si>
    <t>HUARSAYA HILAQUIJHUA CLAUDIA MARIBEL</t>
  </si>
  <si>
    <t>45870099</t>
  </si>
  <si>
    <t>MAMANI ARPI MELITON CLEVER</t>
  </si>
  <si>
    <t>47697848</t>
  </si>
  <si>
    <t>TTURO KANA SHIAM YERHEMY</t>
  </si>
  <si>
    <t>47440806</t>
  </si>
  <si>
    <t>CJUNO CCALTA MARISOL</t>
  </si>
  <si>
    <t>42521716</t>
  </si>
  <si>
    <t>CHURATA MAMANI EDGAR</t>
  </si>
  <si>
    <t>44851362</t>
  </si>
  <si>
    <t>YANA BEJAR MARCO ARTURO</t>
  </si>
  <si>
    <t>47666139</t>
  </si>
  <si>
    <t>HUILLCA CCASA ROGER</t>
  </si>
  <si>
    <t>46545909</t>
  </si>
  <si>
    <t>PUMA MAMANI GRIMALDO</t>
  </si>
  <si>
    <t>48384718</t>
  </si>
  <si>
    <t>CONDORI QUISPE JORGE SCOTT</t>
  </si>
  <si>
    <t>43749706</t>
  </si>
  <si>
    <t>PINEDA AGUILAR HUGO GILMER</t>
  </si>
  <si>
    <t>45824590</t>
  </si>
  <si>
    <t>AROQUIPA MAMANI PERCY RUBEN</t>
  </si>
  <si>
    <t>46801607</t>
  </si>
  <si>
    <t>LARICO QUISPE IRENE GLADYS</t>
  </si>
  <si>
    <t>76393825</t>
  </si>
  <si>
    <t>CAHUANA MERCADO DIANET MILUSKA</t>
  </si>
  <si>
    <t>40271393</t>
  </si>
  <si>
    <t>ANDIA CHOQUE JUAN CHRISTIAN</t>
  </si>
  <si>
    <t>43066383</t>
  </si>
  <si>
    <t>DEZA QUISPE HUGO</t>
  </si>
  <si>
    <t>40956836</t>
  </si>
  <si>
    <t>QUISPE HUILLCA SANTIAGO</t>
  </si>
  <si>
    <t>72736522</t>
  </si>
  <si>
    <t>SALAS  CACERES  HUBERTH CALIPTO</t>
  </si>
  <si>
    <t>45590106</t>
  </si>
  <si>
    <t>CHOQUEHUANCA QUIÑONES JHON DARWIN</t>
  </si>
  <si>
    <t>43506908</t>
  </si>
  <si>
    <t>HUILLCA CANDIA VICTOR MANUEL</t>
  </si>
  <si>
    <t>48068156</t>
  </si>
  <si>
    <t>TITO PIMENTEL LUZIMAR BERTHA</t>
  </si>
  <si>
    <t>45711167</t>
  </si>
  <si>
    <t>CARREON CUSIHUAMAN DEAYBY EDUARDO</t>
  </si>
  <si>
    <t>70493356</t>
  </si>
  <si>
    <t>MAYTA YANA WINNIE LUZBELINA</t>
  </si>
  <si>
    <t>43704879</t>
  </si>
  <si>
    <t>CCALLO LOPEZ RUTHSANEL</t>
  </si>
  <si>
    <t>24704616</t>
  </si>
  <si>
    <t>HUAMAN VALDEZ RUTH VICTORIA</t>
  </si>
  <si>
    <t>42820982</t>
  </si>
  <si>
    <t>CONDORI CONDORI CARMEN MARGOT</t>
  </si>
  <si>
    <t>46636980</t>
  </si>
  <si>
    <t>JALIRE CONTRERAS YOVANA</t>
  </si>
  <si>
    <t>24713008</t>
  </si>
  <si>
    <t>MORENO YANQUE MAGNOLIA LEONOR</t>
  </si>
  <si>
    <t>72684399</t>
  </si>
  <si>
    <t>SAAVEDRA LA ROSA LUCIA BELEN</t>
  </si>
  <si>
    <t>APOYO EDUCATIVO</t>
  </si>
  <si>
    <t>41732698</t>
  </si>
  <si>
    <t>ÑAUPA BAUTISTA ROXANA</t>
  </si>
  <si>
    <t>24683181</t>
  </si>
  <si>
    <t>ARMUTO QUISPE LEANDRA</t>
  </si>
  <si>
    <t>06897326</t>
  </si>
  <si>
    <t>TITO VILCHEZ ORBELINDA NELLY</t>
  </si>
  <si>
    <t>40815283</t>
  </si>
  <si>
    <t>MONROY LAQUITA ROBERTO SELTIO</t>
  </si>
  <si>
    <t>24705906</t>
  </si>
  <si>
    <t>FLOREZ YAPO JUAN</t>
  </si>
  <si>
    <t>42653575</t>
  </si>
  <si>
    <t>HUAYLLANI CUTIRE JUAN GUENIBRINO</t>
  </si>
  <si>
    <t>24707777</t>
  </si>
  <si>
    <t>PALOMINO CHOQUE BEATRIZ</t>
  </si>
  <si>
    <t>42287951</t>
  </si>
  <si>
    <t>CHOQUEHUANCA CASTRO ABEL EULALIO</t>
  </si>
  <si>
    <t>24714047</t>
  </si>
  <si>
    <t>AYMA CHECYA SATURNINO ROBERTO</t>
  </si>
  <si>
    <t>42035705</t>
  </si>
  <si>
    <t>CCALLO LLOCLLE WILFREDO</t>
  </si>
  <si>
    <t>29559958</t>
  </si>
  <si>
    <t>COLQUE CAHUANTICO ELSA</t>
  </si>
  <si>
    <t>42320949</t>
  </si>
  <si>
    <t>MARKENA HUANCA DAVID ALFREDO</t>
  </si>
  <si>
    <t>24711520</t>
  </si>
  <si>
    <t>VELASQUEZ HUAHUASONCCO VIDAL</t>
  </si>
  <si>
    <t>40426417</t>
  </si>
  <si>
    <t>CALLO TINTAYA JORGE</t>
  </si>
  <si>
    <t>24706701</t>
  </si>
  <si>
    <t>CALLO QUISPE JOSE</t>
  </si>
  <si>
    <t>70457313</t>
  </si>
  <si>
    <t>GARCIA ESPINOZA GEORGE JAIME</t>
  </si>
  <si>
    <t>24575721</t>
  </si>
  <si>
    <t>MAMANI ROSAS TEOFILO</t>
  </si>
  <si>
    <t>24713941</t>
  </si>
  <si>
    <t>MAMANI OLLACHICA MAURA LIVIA</t>
  </si>
  <si>
    <t>41406772</t>
  </si>
  <si>
    <t>PARI CONDE MARISOL</t>
  </si>
  <si>
    <t>44762894</t>
  </si>
  <si>
    <t>YANA BEJAR ROSA YANINA</t>
  </si>
  <si>
    <t>42623870</t>
  </si>
  <si>
    <t>LLALLA CUSI ELENA</t>
  </si>
  <si>
    <t>46552401</t>
  </si>
  <si>
    <t>CHUCTAYA CCORIMANYA YULY</t>
  </si>
  <si>
    <t>41832103</t>
  </si>
  <si>
    <t>QUISPE CABALLERO MARIBEL</t>
  </si>
  <si>
    <t>48223109</t>
  </si>
  <si>
    <t>HUARICALLO APAZA LUZ ADORAIDA</t>
  </si>
  <si>
    <t>48122782</t>
  </si>
  <si>
    <t>MOSCOSO VERA SONIA LAURA</t>
  </si>
  <si>
    <t>43080503</t>
  </si>
  <si>
    <t>CCOMPI VILCA YENI</t>
  </si>
  <si>
    <t>42552269</t>
  </si>
  <si>
    <t>AGUILAR ESQUIVEL YAQUELIN</t>
  </si>
  <si>
    <t>44521462</t>
  </si>
  <si>
    <t>CENTENO CHOQUECOTA SOLEDAD</t>
  </si>
  <si>
    <t>48447858</t>
  </si>
  <si>
    <t>CONCHACALLA CRUZ LUD MADAY GLORIA</t>
  </si>
  <si>
    <t>44041996</t>
  </si>
  <si>
    <t>APAZA CCOTO ROXANA</t>
  </si>
  <si>
    <t>46731163</t>
  </si>
  <si>
    <t>DEZA APAZA LIDIA</t>
  </si>
  <si>
    <t>41596891</t>
  </si>
  <si>
    <t>VILCA MENDOZA GLORIA JESSICA</t>
  </si>
  <si>
    <t>PERSONAL DE MANTENIMIENTO SRN</t>
  </si>
  <si>
    <t>02263628</t>
  </si>
  <si>
    <t>RODRIGUEZ MAMANI SONIA MARUJA</t>
  </si>
  <si>
    <t>00373566</t>
  </si>
  <si>
    <t>DELGADO MADUEÑO SIMON ROGER</t>
  </si>
  <si>
    <t>24582873</t>
  </si>
  <si>
    <t>CHINO QUISPE CRISPIN</t>
  </si>
  <si>
    <t>24662578</t>
  </si>
  <si>
    <t>TAIRO PUMA ADRIAN</t>
  </si>
  <si>
    <t>24714166</t>
  </si>
  <si>
    <t>ESTRADA NUÑEZ DAVID</t>
  </si>
  <si>
    <t>24000938</t>
  </si>
  <si>
    <t>ALVAREZ GAVANCHO GIOVANNA</t>
  </si>
  <si>
    <t>41325134</t>
  </si>
  <si>
    <t>SOTO SANO WILFREDO</t>
  </si>
  <si>
    <t>24718743</t>
  </si>
  <si>
    <t>CALCINA CJUNO JOSE</t>
  </si>
  <si>
    <t>80263672</t>
  </si>
  <si>
    <t>PACHAVILCA HUAHUAMAMANI LUIS</t>
  </si>
  <si>
    <t>40468044</t>
  </si>
  <si>
    <t>HUILLCA CRUZ NANCY</t>
  </si>
  <si>
    <t>24689853</t>
  </si>
  <si>
    <t>CCOLQUE PAREDES LUIS WASHINGTON</t>
  </si>
  <si>
    <t>42454103</t>
  </si>
  <si>
    <t>CCAHUANA PUMA BLAS ISAIAS</t>
  </si>
  <si>
    <t>44731974</t>
  </si>
  <si>
    <t>CAHUANA QUISPE RAMIRO</t>
  </si>
  <si>
    <t>42394326</t>
  </si>
  <si>
    <t>CHALLCO LLOCLLE SAULO GERMAN</t>
  </si>
  <si>
    <t>48231981</t>
  </si>
  <si>
    <t>CHUQUITAPA CUENTAS MIGUEL ANGEL</t>
  </si>
  <si>
    <t>24580671</t>
  </si>
  <si>
    <t>CRUZ MUELLE JAMES LUCAS</t>
  </si>
  <si>
    <t>24583202</t>
  </si>
  <si>
    <t>QUISPE MAMANI GUADALUPE</t>
  </si>
  <si>
    <t>24583339</t>
  </si>
  <si>
    <t>CHINO CONDORI DONATO</t>
  </si>
  <si>
    <t>40764133</t>
  </si>
  <si>
    <t>TAPARACO HUAYLLA NICOLAS</t>
  </si>
  <si>
    <t>43448144</t>
  </si>
  <si>
    <t>JALIXTO QUISPE ALICIA</t>
  </si>
  <si>
    <t>24695568</t>
  </si>
  <si>
    <t>ASLLA CCOYURI PONCIANO</t>
  </si>
  <si>
    <t>42117184</t>
  </si>
  <si>
    <t>HUALLPA YAURI JUVENAL</t>
  </si>
  <si>
    <t>46907635</t>
  </si>
  <si>
    <t>AMANCA YANQUE FIDEL</t>
  </si>
  <si>
    <t>40587456</t>
  </si>
  <si>
    <t>CUSI ESPINOZA PERCI</t>
  </si>
  <si>
    <t>44727554</t>
  </si>
  <si>
    <t>QUISPE LEON YUREMA</t>
  </si>
  <si>
    <t>77575191</t>
  </si>
  <si>
    <t>CHOQUE ULLOA ARNOLD</t>
  </si>
  <si>
    <t>43269672</t>
  </si>
  <si>
    <t>CHOQUEVILCA QUISPE JORGE EVERLIN</t>
  </si>
  <si>
    <t>24586579</t>
  </si>
  <si>
    <t>QUISPE VILCA VICTOR</t>
  </si>
  <si>
    <t>44260353</t>
  </si>
  <si>
    <t>CCALLO LLOCLLE JORGE</t>
  </si>
  <si>
    <t>42144052</t>
  </si>
  <si>
    <t>QUISPE MAMANI OCTAVIA</t>
  </si>
  <si>
    <t>46961490</t>
  </si>
  <si>
    <t>ARCE CUTIRE FIDEL</t>
  </si>
  <si>
    <t>24699911</t>
  </si>
  <si>
    <t>VELASQUEZ ACHA RUFO WALTER</t>
  </si>
  <si>
    <t>24694206</t>
  </si>
  <si>
    <t>CHOQUEVILCA CURO BENEDICTO</t>
  </si>
  <si>
    <t>47758324</t>
  </si>
  <si>
    <t>MAMANI CHAMBI MIRELA</t>
  </si>
  <si>
    <t>46093756</t>
  </si>
  <si>
    <t>CASTELO ROA HUGO</t>
  </si>
  <si>
    <t>61681330</t>
  </si>
  <si>
    <t>ARPI CONDORI VERONICA</t>
  </si>
  <si>
    <t>24703056</t>
  </si>
  <si>
    <t>CATARI CHINCHERCOMA LUCIA LOLA</t>
  </si>
  <si>
    <t>41831161</t>
  </si>
  <si>
    <t>CACERES CHUQUITAPA NELLY</t>
  </si>
  <si>
    <t>43971701</t>
  </si>
  <si>
    <t>OVIEDO CCAHUATA ZENAIDA</t>
  </si>
  <si>
    <t>42791401</t>
  </si>
  <si>
    <t>IBARRA COSTAS MARIELA ELIZABETH</t>
  </si>
  <si>
    <t>42605704</t>
  </si>
  <si>
    <t>CONDORI QUISPE OSWALDO</t>
  </si>
  <si>
    <t>72241964</t>
  </si>
  <si>
    <t>LIPA CCUNO ESTEBAN</t>
  </si>
  <si>
    <t>24583306</t>
  </si>
  <si>
    <t>ARROSQUIPA MONTAÑEZ SANTOS</t>
  </si>
  <si>
    <t>24705796</t>
  </si>
  <si>
    <t>LOAIZA VELARDE FREDDY</t>
  </si>
  <si>
    <t>02265422</t>
  </si>
  <si>
    <t>FRISANCHO MUÑOZ ERON</t>
  </si>
  <si>
    <t>43394546</t>
  </si>
  <si>
    <t>YALLERCO RAMIREZ MARI LUZ</t>
  </si>
  <si>
    <t>42861100</t>
  </si>
  <si>
    <t>CARDENAS CONDE GLUDY</t>
  </si>
  <si>
    <t>24866438</t>
  </si>
  <si>
    <t>CANO MEZA MELCHOR</t>
  </si>
  <si>
    <t>46116589</t>
  </si>
  <si>
    <t>CONTRERAS MOSCOSO URPI</t>
  </si>
  <si>
    <t>24705910</t>
  </si>
  <si>
    <t>PARI MAMANI NAZARIO</t>
  </si>
  <si>
    <t>80051713</t>
  </si>
  <si>
    <t>CHOQUE HUAYHUA AQUILINO</t>
  </si>
  <si>
    <t>42187102</t>
  </si>
  <si>
    <t>QUISPE MAMANI BERTHA</t>
  </si>
  <si>
    <t>42332592</t>
  </si>
  <si>
    <t>CHALLCO PUMA HUGO</t>
  </si>
  <si>
    <t>25003548</t>
  </si>
  <si>
    <t>HERRERA GOMEZ WALTER RUPERTO</t>
  </si>
  <si>
    <t>24713618</t>
  </si>
  <si>
    <t>LIMPE SOTA WALTER OVER</t>
  </si>
  <si>
    <t>45064479</t>
  </si>
  <si>
    <t>CAYLLAHUA OTAZU JOSE LUIS</t>
  </si>
  <si>
    <t>42157179</t>
  </si>
  <si>
    <t>BARRIENTOS YUCRA DOMINGO GUZMAN</t>
  </si>
  <si>
    <t>43247204</t>
  </si>
  <si>
    <t>FARFAN CACERES JOSE LUIS</t>
  </si>
  <si>
    <t>COORDINADOR ADMINISTRATIVO Y DE RECURSOS ZONA RURAL</t>
  </si>
  <si>
    <t>70371895</t>
  </si>
  <si>
    <t>PUMA HUILLCA CARMEN LUZ</t>
  </si>
  <si>
    <t>COORDINADOR ADMINISTRATIVO Y DE RECURSOS ZONA URBANA</t>
  </si>
  <si>
    <t>45463954</t>
  </si>
  <si>
    <t>TTITO CCOA URIEL</t>
  </si>
  <si>
    <t>70492186</t>
  </si>
  <si>
    <t>ZUÑIGA QUISPE YAMILET</t>
  </si>
  <si>
    <t>24716245</t>
  </si>
  <si>
    <t>DIAZ OSORIO EDWIN SANTIAGO</t>
  </si>
  <si>
    <t>24715020</t>
  </si>
  <si>
    <t>MELENDEZ ZACONETTA CARMEN SUSANA</t>
  </si>
  <si>
    <t>40876502</t>
  </si>
  <si>
    <t>AYALA CHINO VERONICA ISABEL</t>
  </si>
  <si>
    <t>41925866</t>
  </si>
  <si>
    <t>MONROY LAQUITA BRENDA</t>
  </si>
  <si>
    <t>43824720</t>
  </si>
  <si>
    <t>HUALLPARA RIVERA GABRIEL</t>
  </si>
  <si>
    <t>43447012</t>
  </si>
  <si>
    <t>VALERIANO TUNI DOMINGO</t>
  </si>
  <si>
    <t>42254540</t>
  </si>
  <si>
    <t>QUISPE SOLORZANO GABRIEL</t>
  </si>
  <si>
    <t>42475886</t>
  </si>
  <si>
    <t>CJUNO CCALTA DELIA</t>
  </si>
  <si>
    <t>48259373</t>
  </si>
  <si>
    <t>HUALLPA CONDORI DANY</t>
  </si>
  <si>
    <t>42831209</t>
  </si>
  <si>
    <t>MERCADO CAHUANA VIANCA</t>
  </si>
  <si>
    <t>72736523</t>
  </si>
  <si>
    <t>SALAS CACERES EDISON ANIBAL</t>
  </si>
  <si>
    <t>41434488</t>
  </si>
  <si>
    <t>MERMA LARA ISABEL</t>
  </si>
  <si>
    <t>47580847</t>
  </si>
  <si>
    <t>QQUENTA MEZA IRMA</t>
  </si>
  <si>
    <t>45690359</t>
  </si>
  <si>
    <t>HUAYLLA HUAYHUA YURI</t>
  </si>
  <si>
    <t>42846134</t>
  </si>
  <si>
    <t>ARAOZ FLOREZ KARLA</t>
  </si>
  <si>
    <t>PROFESIONAL EN TERAPIA FISICA  -  PRITE</t>
  </si>
  <si>
    <t>42018611</t>
  </si>
  <si>
    <t>YABAR MAMANI ZENAIDA</t>
  </si>
  <si>
    <t>PROFESIONAL EN EDUC. ESPECIAL PARA FORMACION LABORAL</t>
  </si>
  <si>
    <t>24718640</t>
  </si>
  <si>
    <t>OLIVERA CONDORI YENNY</t>
  </si>
  <si>
    <t>41148683</t>
  </si>
  <si>
    <t>SOLIS OSORIO SAYDA</t>
  </si>
  <si>
    <t>ESPECIALISTA EN PROCESO ADMINISTRATIVO DISCIPLINARIO</t>
  </si>
  <si>
    <t>41909692</t>
  </si>
  <si>
    <t>CAHUANA CHALCO BETZABE GERALDINE</t>
  </si>
  <si>
    <t>ANALISTA ADMINISTRATIVO E INSTITUCIONAL</t>
  </si>
  <si>
    <t>43863560</t>
  </si>
  <si>
    <t>MONTUFAR FLOREZ KELLY MARIELA</t>
  </si>
  <si>
    <t>24707120</t>
  </si>
  <si>
    <t>SAMATA BACA JOSE LUIS</t>
  </si>
  <si>
    <t>47438433</t>
  </si>
  <si>
    <t>PUÑAL PEÑA JOEL ESAU</t>
  </si>
  <si>
    <t>43184303</t>
  </si>
  <si>
    <t>PUMACAJIA CORNEJO JHENDELYD OFELIA</t>
  </si>
  <si>
    <t>ACOMPAÑANTE PEDA. EIB PARA NIVEL INICIAL</t>
  </si>
  <si>
    <t>24712932</t>
  </si>
  <si>
    <t>MACEDO LUQUE JUDITH</t>
  </si>
  <si>
    <t>ACOMPAÑANTE PEDA. EIB PRIMARIA</t>
  </si>
  <si>
    <t>24700144</t>
  </si>
  <si>
    <t>APAZA MAMANI PIEDAD</t>
  </si>
  <si>
    <t>24717014</t>
  </si>
  <si>
    <t>SUNI AYMACHOQUE ALFREDO</t>
  </si>
  <si>
    <t>ACOMPAÑANTE PEDAGÓGICO POLIDOCENTE PRIMARIA</t>
  </si>
  <si>
    <t>23974661</t>
  </si>
  <si>
    <t>PUENTE DE LA VEGA FARFAN ELSA</t>
  </si>
  <si>
    <t>24663020</t>
  </si>
  <si>
    <t>CHALLCO INCA MODESTA</t>
  </si>
  <si>
    <t>24705438</t>
  </si>
  <si>
    <t>LAGUNA APAZA LEONOR</t>
  </si>
  <si>
    <t>24710399</t>
  </si>
  <si>
    <t>CANAHUIRE CHOQUEPATA JUANA</t>
  </si>
  <si>
    <t>24714024</t>
  </si>
  <si>
    <t>CURIE SUYO OLINDA</t>
  </si>
  <si>
    <t>ACOMPAÑANTE PEDAGOGICO DE MATEMATICA SPSR</t>
  </si>
  <si>
    <t>28296756</t>
  </si>
  <si>
    <t>MENDEZ CACERES HIPOLITO</t>
  </si>
  <si>
    <t>23836898</t>
  </si>
  <si>
    <t>LOZANO PULLA DE QUISPE MARIA LUZ</t>
  </si>
  <si>
    <t>25061741</t>
  </si>
  <si>
    <t>CHAVEZ GAMARRA FRANCISCO</t>
  </si>
  <si>
    <t>ACOMPAÑANTE PEDAGOGICO DE COMUNICACION SPSR</t>
  </si>
  <si>
    <t>24705692</t>
  </si>
  <si>
    <t>RODRIGUEZ CRUZ MARCELA YANET</t>
  </si>
  <si>
    <t>23809748</t>
  </si>
  <si>
    <t>HUAMAN CCORIMANYA PIO</t>
  </si>
  <si>
    <t>25187395</t>
  </si>
  <si>
    <t>SALAS QUISPE WILBER CLEMENTE</t>
  </si>
  <si>
    <t>45352546</t>
  </si>
  <si>
    <t>GARCIA VALENCIA NARCISA MARGARITA</t>
  </si>
  <si>
    <t>41318025</t>
  </si>
  <si>
    <t>FARFAN VILCAHUAMAN ZULEMA</t>
  </si>
  <si>
    <t>40764105</t>
  </si>
  <si>
    <t>QUISPE PFACHA DAVID</t>
  </si>
  <si>
    <t>40922432</t>
  </si>
  <si>
    <t>SEQUEIROS CCOA KARINA</t>
  </si>
  <si>
    <t>23980034</t>
  </si>
  <si>
    <t>JERI CCORO JUAN</t>
  </si>
  <si>
    <t>70381280</t>
  </si>
  <si>
    <t>SANCHEZ CALLALLI JENNY</t>
  </si>
  <si>
    <t>42397624</t>
  </si>
  <si>
    <t>ARPI HUARCAYA MARIA ROXANA</t>
  </si>
  <si>
    <t>24001533</t>
  </si>
  <si>
    <t>RAMOS LLASAC SONIA</t>
  </si>
  <si>
    <t>COORDINADOR DE CRFA</t>
  </si>
  <si>
    <t>40410333</t>
  </si>
  <si>
    <t>SANKA AGUILAR SABINO</t>
  </si>
  <si>
    <t>23965916</t>
  </si>
  <si>
    <t>CCOA PAUCAR VICTORIANO FIDEL</t>
  </si>
  <si>
    <t>PROMOTOR(A) DE BIENESTAR RESIDENCIAS</t>
  </si>
  <si>
    <t>46704855</t>
  </si>
  <si>
    <t>ZAVALA USCCACHI LIZBET ROXANA</t>
  </si>
  <si>
    <t>40845502</t>
  </si>
  <si>
    <t>CHUMBES CATALAN MARTHA MARIA</t>
  </si>
  <si>
    <t>42449056</t>
  </si>
  <si>
    <t>QUISPE SULLCAPUMA SABINO</t>
  </si>
  <si>
    <t>41167534</t>
  </si>
  <si>
    <t>LOZA APAZA JUANA</t>
  </si>
  <si>
    <t>PERSONAL DE COCINA</t>
  </si>
  <si>
    <t>42143479</t>
  </si>
  <si>
    <t>CHAÑI ALVAREZ CARMEN ROSA</t>
  </si>
  <si>
    <t>25008737</t>
  </si>
  <si>
    <t>SINSAYA COLOMA JULIA</t>
  </si>
  <si>
    <t>25186909</t>
  </si>
  <si>
    <t>QUISPE SANTOS GREGORIA SATURNINA</t>
  </si>
  <si>
    <t>41844267</t>
  </si>
  <si>
    <t>AUQUIPATA QUISPE ZENOBIA</t>
  </si>
  <si>
    <t>25134597</t>
  </si>
  <si>
    <t>BLANCO CABALLERO REYNA MAGARITA</t>
  </si>
  <si>
    <t>47995223</t>
  </si>
  <si>
    <t>TACURI HUAMAN DINA</t>
  </si>
  <si>
    <t>45948347</t>
  </si>
  <si>
    <t>CHOQUE MORALES YESENIA</t>
  </si>
  <si>
    <t>25218386</t>
  </si>
  <si>
    <t>CHOQUEHUALLPA BARCENA CARMEN CECILIA</t>
  </si>
  <si>
    <t>25183011</t>
  </si>
  <si>
    <t>CARDENAS QUISPE VICTOR RAUL</t>
  </si>
  <si>
    <t>23939410</t>
  </si>
  <si>
    <t>LUQUE AYALA MARIA ROSARIO</t>
  </si>
  <si>
    <t>74883376</t>
  </si>
  <si>
    <t>YUCA QUISPE WASHINGTON</t>
  </si>
  <si>
    <t>40215560</t>
  </si>
  <si>
    <t>OVIEDO QUISPE WILLIAN</t>
  </si>
  <si>
    <t>47914530</t>
  </si>
  <si>
    <t>MAMANI QUISPE SUSANA</t>
  </si>
  <si>
    <t>73955380</t>
  </si>
  <si>
    <t>LOAYZA MEDRANO MICHAEL GUSTAVO</t>
  </si>
  <si>
    <t>18163826</t>
  </si>
  <si>
    <t>NARVAEZ ABURTO CESAR OLEGARIO</t>
  </si>
  <si>
    <t>46146809</t>
  </si>
  <si>
    <t>CORNEJO CCASA MIJAEL</t>
  </si>
  <si>
    <t>01559714</t>
  </si>
  <si>
    <t>CALLOAPAZA ARAPA ALICIA DELIA</t>
  </si>
  <si>
    <t>25199661</t>
  </si>
  <si>
    <t>BARRIENTOS MORMONTOY RENE</t>
  </si>
  <si>
    <t>75997565</t>
  </si>
  <si>
    <t>CAMA PHOCCO ROEL</t>
  </si>
  <si>
    <t>25215594</t>
  </si>
  <si>
    <t>HUILLCA CJANAHUIRI JULIANA</t>
  </si>
  <si>
    <t>23857180</t>
  </si>
  <si>
    <t>VILCA CALA FELICIANO</t>
  </si>
  <si>
    <t>25218070</t>
  </si>
  <si>
    <t>CUMPA BONIFACIO MARLENI SOFIA</t>
  </si>
  <si>
    <t>76193389</t>
  </si>
  <si>
    <t>QUISPE FERNANDEZ RUDY</t>
  </si>
  <si>
    <t>25222716</t>
  </si>
  <si>
    <t>FLORES SANTA CRUZ WILFREDO</t>
  </si>
  <si>
    <t>10503254</t>
  </si>
  <si>
    <t>ILLANES CHALLCO ROBERTO</t>
  </si>
  <si>
    <t>44952195</t>
  </si>
  <si>
    <t>AMAU PACCHA FREDY</t>
  </si>
  <si>
    <t>46734697</t>
  </si>
  <si>
    <t>MACHACCA QUISPE FILIBERTO</t>
  </si>
  <si>
    <t>48485068</t>
  </si>
  <si>
    <t>HUAMAN HUAMAN DANTE</t>
  </si>
  <si>
    <t>46948051</t>
  </si>
  <si>
    <t>CABANA CHOQUEHUAYTA EDWIN VLADIMIR</t>
  </si>
  <si>
    <t>40786874</t>
  </si>
  <si>
    <t>ECHARRI ROZAS REDI</t>
  </si>
  <si>
    <t>46353403</t>
  </si>
  <si>
    <t>CCORIMANYA DIAZ JEAN CARLOS</t>
  </si>
  <si>
    <t>46273552</t>
  </si>
  <si>
    <t>MAMANI MAMANI ELISA</t>
  </si>
  <si>
    <t>42966329</t>
  </si>
  <si>
    <t>LEON HANCCO FIDEL</t>
  </si>
  <si>
    <t>40856536</t>
  </si>
  <si>
    <t>HAQUEHUA QUISPE JAVIER</t>
  </si>
  <si>
    <t>42167298</t>
  </si>
  <si>
    <t>MACEDO LUQUE JUSTA VERONICA</t>
  </si>
  <si>
    <t>70063956</t>
  </si>
  <si>
    <t>CUTIRE ACOSTA IVAN RONY</t>
  </si>
  <si>
    <t>74042261</t>
  </si>
  <si>
    <t>HUAMAN PILCO ELVIS JUSTINIANO</t>
  </si>
  <si>
    <t>72664836</t>
  </si>
  <si>
    <t>MELO AMANCA ROY OSNAR</t>
  </si>
  <si>
    <t>41494285</t>
  </si>
  <si>
    <t>NAHUAMEL USCAMAYTA FRANKLYN</t>
  </si>
  <si>
    <t>41971048</t>
  </si>
  <si>
    <t>HUAMAN ROQUE EDWIN</t>
  </si>
  <si>
    <t>47624032</t>
  </si>
  <si>
    <t>DURAN AYMACHOQUE DENNIS</t>
  </si>
  <si>
    <t>46671763</t>
  </si>
  <si>
    <t>DIAZ MEDRANO ERICK JOEL</t>
  </si>
  <si>
    <t>70371154</t>
  </si>
  <si>
    <t>CABALLERO CONDEÑA BRISELDA</t>
  </si>
  <si>
    <t>70053337</t>
  </si>
  <si>
    <t>TURPO QUISPE EDY</t>
  </si>
  <si>
    <t>25185963</t>
  </si>
  <si>
    <t>QUISPE GIL JULIO APOLINAR</t>
  </si>
  <si>
    <t>40956830</t>
  </si>
  <si>
    <t>QUISPE CAMANI JOSE</t>
  </si>
  <si>
    <t>44584180</t>
  </si>
  <si>
    <t>LAURA FERNANDEZ GREGORIO</t>
  </si>
  <si>
    <t>45698940</t>
  </si>
  <si>
    <t>HUAMAN CCORIMANYA GRECIA KIARA</t>
  </si>
  <si>
    <t>47060805</t>
  </si>
  <si>
    <t>ALVAREZ ZEA CARLOS EDUARDO</t>
  </si>
  <si>
    <t>47042353</t>
  </si>
  <si>
    <t>CHAMORRO YAURI RUTH VIOLETA</t>
  </si>
  <si>
    <t>47449454</t>
  </si>
  <si>
    <t>TTITO TTITO RONAL</t>
  </si>
  <si>
    <t>47844630</t>
  </si>
  <si>
    <t>ZARATE CCANASI CLAUDIA</t>
  </si>
  <si>
    <t>41684993</t>
  </si>
  <si>
    <t>MUÑOZ QUISPE WILFREDO</t>
  </si>
  <si>
    <t>42066044</t>
  </si>
  <si>
    <t>QUISPE HUAMAN SONIA ELISABETH</t>
  </si>
  <si>
    <t>45134178</t>
  </si>
  <si>
    <t>RAMOS GUTIERREZ JOSE JAVIER</t>
  </si>
  <si>
    <t>02895083</t>
  </si>
  <si>
    <t>GUEVARA CERNA MERLAN DEL ROSARIO</t>
  </si>
  <si>
    <t>70413366</t>
  </si>
  <si>
    <t>YAPO AYERVE ESTRELLA MARYS</t>
  </si>
  <si>
    <t>46918761</t>
  </si>
  <si>
    <t>CHALLCO SOLIS JUAN CARLOS</t>
  </si>
  <si>
    <t>76669815</t>
  </si>
  <si>
    <t>USCACHI HUAMAN KAREN JENNIFER</t>
  </si>
  <si>
    <t>23830003</t>
  </si>
  <si>
    <t>DE LA CRUZ GUTIERREZ DONATILDA</t>
  </si>
  <si>
    <t>23978631</t>
  </si>
  <si>
    <t>GUERRERO CRUZ EDITH</t>
  </si>
  <si>
    <t>25214599</t>
  </si>
  <si>
    <t>HUALLPA APAZA ROSA</t>
  </si>
  <si>
    <t>44644850</t>
  </si>
  <si>
    <t>MONTALVO LOAIZA KENY MIGUEL</t>
  </si>
  <si>
    <t>73780945</t>
  </si>
  <si>
    <t>AUQUIPUMA CHACON GABRIELA</t>
  </si>
  <si>
    <t>48099241</t>
  </si>
  <si>
    <t>GARCIA MAMANI ZULLY LISBETTI</t>
  </si>
  <si>
    <t>47543964</t>
  </si>
  <si>
    <t>QUISPE CHAVEZ YESABELLA</t>
  </si>
  <si>
    <t>41798611</t>
  </si>
  <si>
    <t>TTITO CONZA MARY LUZ</t>
  </si>
  <si>
    <t>45916185</t>
  </si>
  <si>
    <t>CABALLERO JAUJA MILAGROS SARA</t>
  </si>
  <si>
    <t>70054459</t>
  </si>
  <si>
    <t>FLORES CONDO MARIA DEL PILAR</t>
  </si>
  <si>
    <t>46065580</t>
  </si>
  <si>
    <t>VINO MENDOZA BRIDLY BETSABE</t>
  </si>
  <si>
    <t>73323964</t>
  </si>
  <si>
    <t>MACHACA PAUCARA RONALD ALBERTO</t>
  </si>
  <si>
    <t>43167665</t>
  </si>
  <si>
    <t>MONTALVO ORCCON MARIBEL</t>
  </si>
  <si>
    <t>70938461</t>
  </si>
  <si>
    <t>YSHIKAWA MERMA YUKIKO ANTONIETA</t>
  </si>
  <si>
    <t>47772980</t>
  </si>
  <si>
    <t>CAHUASCANCO CALLISAYA YENNI FER</t>
  </si>
  <si>
    <t>45428560</t>
  </si>
  <si>
    <t>SALAS CAYO ANGELA MILAGROS</t>
  </si>
  <si>
    <t>41136513</t>
  </si>
  <si>
    <t>ZARATE SEGURA RUSSELL RIGOBERTO</t>
  </si>
  <si>
    <t>76231388</t>
  </si>
  <si>
    <t>QUISPE HUILLCA JUAN GUALBERTO</t>
  </si>
  <si>
    <t>61239538</t>
  </si>
  <si>
    <t>SOLANO MONGE NELY ERIKA</t>
  </si>
  <si>
    <t>42851646</t>
  </si>
  <si>
    <t>MATEO CRUZ ELIEL CALEB</t>
  </si>
  <si>
    <t>40052413</t>
  </si>
  <si>
    <t>CHOQUENAIRA LABRA HERNAN</t>
  </si>
  <si>
    <t>70377874</t>
  </si>
  <si>
    <t>CASTILLO QUISPE KEIKO JULISSA</t>
  </si>
  <si>
    <t>43257991</t>
  </si>
  <si>
    <t>CARHUARUPAY PILLCO MARLENY</t>
  </si>
  <si>
    <t>23950245</t>
  </si>
  <si>
    <t>MOJONERO ZAPATA LIBIA</t>
  </si>
  <si>
    <t>24488647</t>
  </si>
  <si>
    <t>CRUZ ESCOBEDO MARISA</t>
  </si>
  <si>
    <t>45080539</t>
  </si>
  <si>
    <t>LOAIZA MEDINA WILDER RAUL</t>
  </si>
  <si>
    <t>42679069</t>
  </si>
  <si>
    <t>MERMA USCACHI LIZETTE</t>
  </si>
  <si>
    <t>73337463</t>
  </si>
  <si>
    <t>CCAPATINTA HUILLCA RUDDY</t>
  </si>
  <si>
    <t>10230413</t>
  </si>
  <si>
    <t>PILARES BLANCO JOSE LUIS</t>
  </si>
  <si>
    <t>44821565</t>
  </si>
  <si>
    <t>TAYPE CONDORI NANCY</t>
  </si>
  <si>
    <t>42325210</t>
  </si>
  <si>
    <t>GUTIERREZ MUÑIZ SEMINARIO</t>
  </si>
  <si>
    <t>41597308</t>
  </si>
  <si>
    <t>MENDOZA ARIZABAL VILMA</t>
  </si>
  <si>
    <t>25199428</t>
  </si>
  <si>
    <t>HUAMAN CHECYA ROMI</t>
  </si>
  <si>
    <t>25218846</t>
  </si>
  <si>
    <t>CHOQUE PAZ NOEMY</t>
  </si>
  <si>
    <t>41217217</t>
  </si>
  <si>
    <t>GALIANO BLANCO MEGALITH</t>
  </si>
  <si>
    <t>70672071</t>
  </si>
  <si>
    <t>CHAVEZ VELASQUEZ PAMELA GABRIELA</t>
  </si>
  <si>
    <t>43647139</t>
  </si>
  <si>
    <t>CCALLO HUILLCA CAROLINA</t>
  </si>
  <si>
    <t>42310639</t>
  </si>
  <si>
    <t>SALAS PILCO BETZABE</t>
  </si>
  <si>
    <t>41334025</t>
  </si>
  <si>
    <t>MAMANI HUANACO HERMOGENES</t>
  </si>
  <si>
    <t>45994874</t>
  </si>
  <si>
    <t>ARROSQUIPA OLIVERA ISAURA</t>
  </si>
  <si>
    <t>25203589</t>
  </si>
  <si>
    <t>SEQUEIROS BERMUDEZ CONSTANTINO</t>
  </si>
  <si>
    <t>24678028</t>
  </si>
  <si>
    <t>FLOREZ MAMANI DAVID ABEL</t>
  </si>
  <si>
    <t>42390437</t>
  </si>
  <si>
    <t>CARDENAS VILLAVICENCIO LENIN RAUL</t>
  </si>
  <si>
    <t>25219788</t>
  </si>
  <si>
    <t>CHALLCO PUMA DANIEL</t>
  </si>
  <si>
    <t>41893179</t>
  </si>
  <si>
    <t>CHUNCA SONCCO IGNACIO</t>
  </si>
  <si>
    <t>40547351</t>
  </si>
  <si>
    <t>ARIZAPANA MAMANI YOLANDA</t>
  </si>
  <si>
    <t>47542829</t>
  </si>
  <si>
    <t>QUISPE YUCRA ADA LUZ</t>
  </si>
  <si>
    <t>23956001</t>
  </si>
  <si>
    <t>MUÑIZ PAUCARMAYTA IRMA SONIA</t>
  </si>
  <si>
    <t>23961309</t>
  </si>
  <si>
    <t>ZEGARRA YANQUI SONIA</t>
  </si>
  <si>
    <t>47225688</t>
  </si>
  <si>
    <t>CHILLIHUANI MERMA GUIDO EDGAR</t>
  </si>
  <si>
    <t>23827961</t>
  </si>
  <si>
    <t>MUÑIZ QUIÑONES YSABEL</t>
  </si>
  <si>
    <t>25217182</t>
  </si>
  <si>
    <t>APARICIO CAMA TANIA LUZ</t>
  </si>
  <si>
    <t>45957041</t>
  </si>
  <si>
    <t>GUERRERO CRUZ VIOLETA</t>
  </si>
  <si>
    <t>43342951</t>
  </si>
  <si>
    <t>QUISPE YUCRA ZORAIDA</t>
  </si>
  <si>
    <t>41718277</t>
  </si>
  <si>
    <t>HUAYHUA CCAPATINTA PATRICIA</t>
  </si>
  <si>
    <t>41451408</t>
  </si>
  <si>
    <t>ARIZABAL TTACCA JESUS</t>
  </si>
  <si>
    <t>23864234</t>
  </si>
  <si>
    <t>CUETO SAMATA WILFREDO</t>
  </si>
  <si>
    <t>46316499</t>
  </si>
  <si>
    <t>MAMANI HUAMAN VILMA</t>
  </si>
  <si>
    <t>25220867</t>
  </si>
  <si>
    <t>CHOQUEHUALLPA QUISPE MARIBEL</t>
  </si>
  <si>
    <t>43594460</t>
  </si>
  <si>
    <t>CALLO LEON ROSA LUZ</t>
  </si>
  <si>
    <t>40509414</t>
  </si>
  <si>
    <t>FLORES HUAMAN RUTH</t>
  </si>
  <si>
    <t>47276874</t>
  </si>
  <si>
    <t>SUNA LAYME NELLY MIRIAM</t>
  </si>
  <si>
    <t>47307796</t>
  </si>
  <si>
    <t>QUIÑONES OJEDA INGRID HELLEM</t>
  </si>
  <si>
    <t>70600059</t>
  </si>
  <si>
    <t>CCAHUANA AGUILAR NAYSHA</t>
  </si>
  <si>
    <t>48386800</t>
  </si>
  <si>
    <t>HAQUEHUA MARTIARENA LILIANA DALIA</t>
  </si>
  <si>
    <t>41053536</t>
  </si>
  <si>
    <t>MANDURA ASLLA LUZGARDA</t>
  </si>
  <si>
    <t>25220726</t>
  </si>
  <si>
    <t>TUNI ZUNA JUDITH ELIZABETH</t>
  </si>
  <si>
    <t>41487386</t>
  </si>
  <si>
    <t>TICUÑA HUAMAN VANESA</t>
  </si>
  <si>
    <t>43087321</t>
  </si>
  <si>
    <t>TAPIA PUMA LUZMARINA</t>
  </si>
  <si>
    <t>46081747</t>
  </si>
  <si>
    <t>TTITO OCSA MARIA ANTONIETA</t>
  </si>
  <si>
    <t>46027455</t>
  </si>
  <si>
    <t>HAQQUEHUA QUISPE LIVIA</t>
  </si>
  <si>
    <t>70371144</t>
  </si>
  <si>
    <t>MACHACCA QUISPE NIMIA GREGORIA</t>
  </si>
  <si>
    <t>47205881</t>
  </si>
  <si>
    <t>CHOQUE MORALES YOLANDA</t>
  </si>
  <si>
    <t>44723013</t>
  </si>
  <si>
    <t>TUNI MAMANI JULIA</t>
  </si>
  <si>
    <t>44101880</t>
  </si>
  <si>
    <t>ROCCA CONDORI SONIA</t>
  </si>
  <si>
    <t>23933650</t>
  </si>
  <si>
    <t>MERCADO CAMPOS SAYDA SILVIA</t>
  </si>
  <si>
    <t>47018824</t>
  </si>
  <si>
    <t>PICCHOTTITO CHATA JENNY RUTH</t>
  </si>
  <si>
    <t>41862277</t>
  </si>
  <si>
    <t>SUMIRE CALLE SEGUNDINA</t>
  </si>
  <si>
    <t>44424456</t>
  </si>
  <si>
    <t>SONCO JARA JUDITH ELSA</t>
  </si>
  <si>
    <t>42153647</t>
  </si>
  <si>
    <t>VARGAS GUTIERREZ VALENTIN</t>
  </si>
  <si>
    <t>25217689</t>
  </si>
  <si>
    <t>ANDIA NOA FELICIANO</t>
  </si>
  <si>
    <t>24709162</t>
  </si>
  <si>
    <t>CONDORI PILLCO MARINA</t>
  </si>
  <si>
    <t>46848161</t>
  </si>
  <si>
    <t>ALVAREZ CCASA CEFERINA MILENI</t>
  </si>
  <si>
    <t>45406663</t>
  </si>
  <si>
    <t>MAMANI QUISPE BENICIA</t>
  </si>
  <si>
    <t>40140337</t>
  </si>
  <si>
    <t>YUPANQUI HUARAICAMA LIVIA</t>
  </si>
  <si>
    <t>46603673</t>
  </si>
  <si>
    <t>AUCCAILLE ROMERO BERTHA</t>
  </si>
  <si>
    <t>25215353</t>
  </si>
  <si>
    <t>CHARA YUPANQUI CIRILO</t>
  </si>
  <si>
    <t>46359670</t>
  </si>
  <si>
    <t>HUAMAN VALDEZ GUILLERMINA</t>
  </si>
  <si>
    <t>48622914</t>
  </si>
  <si>
    <t>QUISPE SULLCAPUMA GRIMANESA</t>
  </si>
  <si>
    <t>76425917</t>
  </si>
  <si>
    <t>CONDORI SUCLLI ISABEL</t>
  </si>
  <si>
    <t>24567886</t>
  </si>
  <si>
    <t>HUILLCA LABRA MATIAS NATIVIDAD</t>
  </si>
  <si>
    <t>47912819</t>
  </si>
  <si>
    <t>PARHUAYO IRCO VERONICA</t>
  </si>
  <si>
    <t>25220026</t>
  </si>
  <si>
    <t>VARGAS HUILLCA MODESTA RAYMUNDA</t>
  </si>
  <si>
    <t>41428212</t>
  </si>
  <si>
    <t>SUNI CCASA ALBERTO VALENTIN</t>
  </si>
  <si>
    <t>25199331</t>
  </si>
  <si>
    <t>AUCAPURI FIGUEROA MIRIAM</t>
  </si>
  <si>
    <t>76695816</t>
  </si>
  <si>
    <t>HUANCA ARMUTO DEYVIS</t>
  </si>
  <si>
    <t>70385024</t>
  </si>
  <si>
    <t>ALLPITA QUISPE MARCO ANTONIO</t>
  </si>
  <si>
    <t>25183383</t>
  </si>
  <si>
    <t>BERNAL USCACHI URIEL</t>
  </si>
  <si>
    <t>41597298</t>
  </si>
  <si>
    <t>AUCCAPIÑA CCORIMANYA EDEN</t>
  </si>
  <si>
    <t>10447391</t>
  </si>
  <si>
    <t>PACCO MELO ZENON</t>
  </si>
  <si>
    <t>48475522</t>
  </si>
  <si>
    <t>NINA SULLCAPUMA EDWIN</t>
  </si>
  <si>
    <t>25219665</t>
  </si>
  <si>
    <t>QUISPE CHALLCO HILARIO</t>
  </si>
  <si>
    <t>42322266</t>
  </si>
  <si>
    <t>SOBIA LAURA WENCESLAO</t>
  </si>
  <si>
    <t>74538762</t>
  </si>
  <si>
    <t>MAMANI MAMANI ADRIAN</t>
  </si>
  <si>
    <t>42066869</t>
  </si>
  <si>
    <t>CRUZ LIMA NAHON</t>
  </si>
  <si>
    <t>24695726</t>
  </si>
  <si>
    <t>HUAIHUA CHECYA CELESTINO</t>
  </si>
  <si>
    <t>45112741</t>
  </si>
  <si>
    <t>HUAMAN HUAMAN FREDY</t>
  </si>
  <si>
    <t>43956798</t>
  </si>
  <si>
    <t>COPARA CONDORI NICO</t>
  </si>
  <si>
    <t>47217750</t>
  </si>
  <si>
    <t>YAURI CCANAHUIRE JOSE</t>
  </si>
  <si>
    <t>25214147</t>
  </si>
  <si>
    <t>DELGADO QUISPE MARCO</t>
  </si>
  <si>
    <t>41588113</t>
  </si>
  <si>
    <t>HUAMAN CONDEÑA ADOLFO</t>
  </si>
  <si>
    <t>25210390</t>
  </si>
  <si>
    <t>OJEDA QUISPE FAUSTO CIRILO</t>
  </si>
  <si>
    <t>47429268</t>
  </si>
  <si>
    <t>CHAMPI PFOCCO EGIDIO</t>
  </si>
  <si>
    <t>46051381</t>
  </si>
  <si>
    <t>TURPO LAYME EPIFANIA</t>
  </si>
  <si>
    <t>41439152</t>
  </si>
  <si>
    <t>HUILLCAHUAMAN ZUÑIGA MARTHA LUISA</t>
  </si>
  <si>
    <t>42800429</t>
  </si>
  <si>
    <t>SALAZAR USCAMAYTA EBERTH</t>
  </si>
  <si>
    <t>46211009</t>
  </si>
  <si>
    <t>APAZA SONCCO JOSE SANTOS</t>
  </si>
  <si>
    <t>74458432</t>
  </si>
  <si>
    <t>CONDORI LUNA MARIA LUZ</t>
  </si>
  <si>
    <t>47853412</t>
  </si>
  <si>
    <t>CONDORI HUAYCHAY LUIS RAFAEL</t>
  </si>
  <si>
    <t>40016025</t>
  </si>
  <si>
    <t>ALVAREZ VILLEGAS FREDY</t>
  </si>
  <si>
    <t>24678201</t>
  </si>
  <si>
    <t>RODRIGUEZ GARCIA ALVINO</t>
  </si>
  <si>
    <t>44262733</t>
  </si>
  <si>
    <t>HUAMAN CCASA EXALTACION</t>
  </si>
  <si>
    <t>25198964</t>
  </si>
  <si>
    <t>AUCCAPIÑA CCORIMANYA JUAN BAUTISTA</t>
  </si>
  <si>
    <t>70599910</t>
  </si>
  <si>
    <t>MERCADO AGUILAR BEGNI YULEYSI</t>
  </si>
  <si>
    <t>23917971</t>
  </si>
  <si>
    <t>CURASI MIRANDA LUIS</t>
  </si>
  <si>
    <t>25185326</t>
  </si>
  <si>
    <t>CHATA AYMA PRIMITIVO</t>
  </si>
  <si>
    <t>25217797</t>
  </si>
  <si>
    <t>QUIROZ YUPANQUI JULIA</t>
  </si>
  <si>
    <t>46791481</t>
  </si>
  <si>
    <t>CABRERA CHURA YASMIR YANELA</t>
  </si>
  <si>
    <t>24702681</t>
  </si>
  <si>
    <t>LOAIZA VELARDE MARTIN RAMIRO</t>
  </si>
  <si>
    <t>01327468</t>
  </si>
  <si>
    <t>CARLOSVIZA CONDORI DE CUTIPA PAULA ISABEL</t>
  </si>
  <si>
    <t>25214438</t>
  </si>
  <si>
    <t>ESENARRO YUPANQUI NADIL CELSA</t>
  </si>
  <si>
    <t>45210823</t>
  </si>
  <si>
    <t>CAPARO MERMA MARCELINO</t>
  </si>
  <si>
    <t>01547869</t>
  </si>
  <si>
    <t>VILCA CASTILLO GUILLERMO RENE</t>
  </si>
  <si>
    <t>76425968</t>
  </si>
  <si>
    <t>MAYO GONZALO VALERIO</t>
  </si>
  <si>
    <t>40326514</t>
  </si>
  <si>
    <t>TAIPE MAMANI YESENIA ELIZABETH</t>
  </si>
  <si>
    <t>46696882</t>
  </si>
  <si>
    <t>HUAMAN LUNA JILMER ELVIS</t>
  </si>
  <si>
    <t>42606377</t>
  </si>
  <si>
    <t>PUCUTUNI CUSIHUALLPA ROGER</t>
  </si>
  <si>
    <t>44603806</t>
  </si>
  <si>
    <t>CCOYORI MERMA SANTOS</t>
  </si>
  <si>
    <t>24682951</t>
  </si>
  <si>
    <t>MALDONADO CCANCHI JUSTO EFRAIN</t>
  </si>
  <si>
    <t>25185075</t>
  </si>
  <si>
    <t>ARIAS CHALLCO GREGORIO</t>
  </si>
  <si>
    <t>41803719</t>
  </si>
  <si>
    <t>CHILLIHUANI YUCRA JUAN</t>
  </si>
  <si>
    <t>46111625</t>
  </si>
  <si>
    <t>ACHAHUI CHILLIHUANI WILBERTH</t>
  </si>
  <si>
    <t>46409581</t>
  </si>
  <si>
    <t>CONDORI CHILLIHUANI GRACIELA</t>
  </si>
  <si>
    <t>43114093</t>
  </si>
  <si>
    <t>ESPINO AUCCAPURE KEVIN ARTHUR</t>
  </si>
  <si>
    <t>48388362</t>
  </si>
  <si>
    <t>CONDORI SUCLLE JUAN JOSE</t>
  </si>
  <si>
    <t>46500714</t>
  </si>
  <si>
    <t>LUNA MAYO RENE SAMUEL</t>
  </si>
  <si>
    <t>25220724</t>
  </si>
  <si>
    <t>CALVO TORRES ROGER BENJAMIN</t>
  </si>
  <si>
    <t>41799478</t>
  </si>
  <si>
    <t>YARICE MUÑOZ IDA SONIA</t>
  </si>
  <si>
    <t>25203329</t>
  </si>
  <si>
    <t>USCAMAYTA NINA JUAN DE DIOS</t>
  </si>
  <si>
    <t>25205415</t>
  </si>
  <si>
    <t>CHILLIHUANI QUISPE ESTEBAN</t>
  </si>
  <si>
    <t>47468632</t>
  </si>
  <si>
    <t>CARDENAS VILLAVICENCIO INDIRA ROSIBEL</t>
  </si>
  <si>
    <t>46159483</t>
  </si>
  <si>
    <t>GOMEZ ULLOA FIEDRA VERONICA</t>
  </si>
  <si>
    <t>10772103</t>
  </si>
  <si>
    <t>ZAPATA MONTALVO MARIO</t>
  </si>
  <si>
    <t>42950508</t>
  </si>
  <si>
    <t>MAMANI QUISPE EDWIN</t>
  </si>
  <si>
    <t>40140336</t>
  </si>
  <si>
    <t>SALAS ZARATE RAUL</t>
  </si>
  <si>
    <t>25223262</t>
  </si>
  <si>
    <t>LUNA QUISPE LEONARDO</t>
  </si>
  <si>
    <t>45018750</t>
  </si>
  <si>
    <t>TAYPE MAMANI ALEXANDER</t>
  </si>
  <si>
    <t>44117696</t>
  </si>
  <si>
    <t>HUILLCAHUAMAN ZUÑIGA MARCO ANTONIO</t>
  </si>
  <si>
    <t>47009178</t>
  </si>
  <si>
    <t>TICONA APAZA PEDRO</t>
  </si>
  <si>
    <t>46634380</t>
  </si>
  <si>
    <t>QUISPE RAMOS ELIZABED SALOME</t>
  </si>
  <si>
    <t>25220094</t>
  </si>
  <si>
    <t>JANCCO CHARA JESSICA DELIA</t>
  </si>
  <si>
    <t>25210207</t>
  </si>
  <si>
    <t>URRUTIA ALVAREZ MARIO WILBERT</t>
  </si>
  <si>
    <t>41077675</t>
  </si>
  <si>
    <t>MARRON CAHUANA CESAR WASHINGTON</t>
  </si>
  <si>
    <t>25196395</t>
  </si>
  <si>
    <t>TAPIA ROMERO FIDEL</t>
  </si>
  <si>
    <t>43472281</t>
  </si>
  <si>
    <t>PACHECO HUILLCAHUAMAN ALEX JHON</t>
  </si>
  <si>
    <t>80071081</t>
  </si>
  <si>
    <t>QUISPE CURASI BENEDICTO</t>
  </si>
  <si>
    <t>70458289</t>
  </si>
  <si>
    <t>CANO CCOA CECILIA</t>
  </si>
  <si>
    <t>25218568</t>
  </si>
  <si>
    <t>MONJE CASTILLO FREDY RICHARD</t>
  </si>
  <si>
    <t>42411237</t>
  </si>
  <si>
    <t>YUPANQUI QQUENAYA MAURO</t>
  </si>
  <si>
    <t>80591419</t>
  </si>
  <si>
    <t>ANCCASI CHALLCO HENRY ANTONIO</t>
  </si>
  <si>
    <t>25220211</t>
  </si>
  <si>
    <t>APAZA HUILLCA APOLINAR</t>
  </si>
  <si>
    <t>44858356</t>
  </si>
  <si>
    <t>PACHECO HUILLCAHUAMAN RUTH DAYSI</t>
  </si>
  <si>
    <t>46199478</t>
  </si>
  <si>
    <t>CHILE HUAMAN GRENDY</t>
  </si>
  <si>
    <t>71690543</t>
  </si>
  <si>
    <t>LUQUE ARAGON DALILA</t>
  </si>
  <si>
    <t>41830272</t>
  </si>
  <si>
    <t>HUILLCA POZO TIBURCIO</t>
  </si>
  <si>
    <t>70062889</t>
  </si>
  <si>
    <t>HUAMAN ROQUE MIGUEL ANGEL</t>
  </si>
  <si>
    <t>70063102</t>
  </si>
  <si>
    <t>SINSAYA YUCA SUSAN YUREMA</t>
  </si>
  <si>
    <t>42195692</t>
  </si>
  <si>
    <t>LEVANO ZARATE JAIME SANTOS</t>
  </si>
  <si>
    <t>40927399</t>
  </si>
  <si>
    <t>CESPEDES HANCCO NELLY INES</t>
  </si>
  <si>
    <t>43015011</t>
  </si>
  <si>
    <t>SEQUEIROS CCOA JOSE LUIS</t>
  </si>
  <si>
    <t>46672983</t>
  </si>
  <si>
    <t>HUAMAN YAURI ROSA</t>
  </si>
  <si>
    <t>70054475</t>
  </si>
  <si>
    <t>TAIPE YANQUE PAOLA NUBER</t>
  </si>
  <si>
    <t>47708260</t>
  </si>
  <si>
    <t>QUISPE CUTIRE MILAGROS</t>
  </si>
  <si>
    <t>44581540</t>
  </si>
  <si>
    <t>HUMPPIRE CASTILLO LUZ MERY</t>
  </si>
  <si>
    <t>44702316</t>
  </si>
  <si>
    <t>ESPINO AUCCAPURE LUZ MARIBEL</t>
  </si>
  <si>
    <t>45900540</t>
  </si>
  <si>
    <t>VEGA TAYPE SINTHIA SUMMARIL</t>
  </si>
  <si>
    <t>45669916</t>
  </si>
  <si>
    <t>AUCCAPIÑA PILLACA CANDY YURICO</t>
  </si>
  <si>
    <t>43211589</t>
  </si>
  <si>
    <t>SARA BELLOTA ROSA</t>
  </si>
  <si>
    <t>71122267</t>
  </si>
  <si>
    <t>TUNQUIPA TACURI MAIDA</t>
  </si>
  <si>
    <t>23824986</t>
  </si>
  <si>
    <t>VILLASANTE DIAZ ANAMARIA TANIA</t>
  </si>
  <si>
    <t>46438998</t>
  </si>
  <si>
    <t>TTITO CCOA ROGER</t>
  </si>
  <si>
    <t>01219880</t>
  </si>
  <si>
    <t>TICONA CONDORI FELIX SILVESTRE</t>
  </si>
  <si>
    <t>44607340</t>
  </si>
  <si>
    <t>MAMANI CURASI VICTOR RAUL</t>
  </si>
  <si>
    <t>72646271</t>
  </si>
  <si>
    <t>RODRIGUEZ QUISPE LUZ MARIA</t>
  </si>
  <si>
    <t>43017006</t>
  </si>
  <si>
    <t>BELLOTA ESQUIVEL RUBEN ERNESTO</t>
  </si>
  <si>
    <t>41845789</t>
  </si>
  <si>
    <t>FLOREZ QUISPE RICARDO</t>
  </si>
  <si>
    <t>45383913</t>
  </si>
  <si>
    <t>GUTIERREZ QUISPE IRVING BERNER</t>
  </si>
  <si>
    <t>25220770</t>
  </si>
  <si>
    <t>SALOMA AUQUIPATA MIREYA JULIETA</t>
  </si>
  <si>
    <t>46086184</t>
  </si>
  <si>
    <t>AYMA AGUILAR LISBETH</t>
  </si>
  <si>
    <t>72228608</t>
  </si>
  <si>
    <t>QUISPE BUSTAMANTE KAREN</t>
  </si>
  <si>
    <t>44290807</t>
  </si>
  <si>
    <t>HUACAC PAULLO WILMAR</t>
  </si>
  <si>
    <t>46706107</t>
  </si>
  <si>
    <t>CONDORI HUIRSE ALAIN YURY</t>
  </si>
  <si>
    <t>42396214</t>
  </si>
  <si>
    <t>ARONI SOLIS VILMA</t>
  </si>
  <si>
    <t>46051738</t>
  </si>
  <si>
    <t>CCAMA HANCCO RUT ANA</t>
  </si>
  <si>
    <t>23965050</t>
  </si>
  <si>
    <t>RAMOS FLOREZ JESSICA</t>
  </si>
  <si>
    <t>40451895</t>
  </si>
  <si>
    <t>ORTEGA PORTUGAL MARITZA</t>
  </si>
  <si>
    <t>43733462</t>
  </si>
  <si>
    <t>MUÑOZ QUISPE ROMULO</t>
  </si>
  <si>
    <t>40150089</t>
  </si>
  <si>
    <t>MALPARTIDA AYMA EDISON</t>
  </si>
  <si>
    <t>41293788</t>
  </si>
  <si>
    <t>HUAMANI CRUZ PAULINA</t>
  </si>
  <si>
    <t>43851776</t>
  </si>
  <si>
    <t>ALARCON TEJADA NELY</t>
  </si>
  <si>
    <t>48142607</t>
  </si>
  <si>
    <t>ARESTEGUI GRANDE BETSY</t>
  </si>
  <si>
    <t>40119923</t>
  </si>
  <si>
    <t>CHAVEZ CENTENO ANA MARIA</t>
  </si>
  <si>
    <t>43358733</t>
  </si>
  <si>
    <t>PINTO FUENTES RUTH</t>
  </si>
  <si>
    <t>45452647</t>
  </si>
  <si>
    <t>LOAYZA SOLOISOLO JONATHAN PERCY</t>
  </si>
  <si>
    <t>45573004</t>
  </si>
  <si>
    <t>VERA PILARES NOHELIA</t>
  </si>
  <si>
    <t>42191296</t>
  </si>
  <si>
    <t>SALAS CJUIRO KARINA</t>
  </si>
  <si>
    <t>40918551</t>
  </si>
  <si>
    <t>GERVASSI ORTIZ LUIS ALBERTO</t>
  </si>
  <si>
    <t>COORDINADOR DE REDES EDUCATIVAS RURALES</t>
  </si>
  <si>
    <t>25009064</t>
  </si>
  <si>
    <t>CANDIA QUISPE JAVIER DARWIN</t>
  </si>
  <si>
    <t>24970555</t>
  </si>
  <si>
    <t>ZERON DIAZ ABEL</t>
  </si>
  <si>
    <t>23821367</t>
  </si>
  <si>
    <t>GALLEGOS FERNANDEZ MAURO</t>
  </si>
  <si>
    <t>25008675</t>
  </si>
  <si>
    <t>OLAZABAL ECHEGARAY MIGUEL ANGEL</t>
  </si>
  <si>
    <t>23974041</t>
  </si>
  <si>
    <t>ARELLANO ORE ESTEBAN GREGORIO</t>
  </si>
  <si>
    <t>73311911</t>
  </si>
  <si>
    <t>CASAVERDE GONZALES NAVIA CRUSKAYA</t>
  </si>
  <si>
    <t>72635695</t>
  </si>
  <si>
    <t>ZAMORA PAREDES MAIRA</t>
  </si>
  <si>
    <t>48045669</t>
  </si>
  <si>
    <t>LOPEZ QUINTANILLA GIULIANA YANET</t>
  </si>
  <si>
    <t>45572997</t>
  </si>
  <si>
    <t>FUENTES RIMACHI SALOME</t>
  </si>
  <si>
    <t>42816771</t>
  </si>
  <si>
    <t>ALVAREZ HURTADO RICARDO</t>
  </si>
  <si>
    <t>24975974</t>
  </si>
  <si>
    <t>QUISPE LUQUE FLORENTINO</t>
  </si>
  <si>
    <t>43143369</t>
  </si>
  <si>
    <t>MAMANI CONDORI FREDY</t>
  </si>
  <si>
    <t>45123284</t>
  </si>
  <si>
    <t>APAZA HUAMAN RULY</t>
  </si>
  <si>
    <t>07537127</t>
  </si>
  <si>
    <t>OJEDA MUÑOZ WALTER FLORENTINO</t>
  </si>
  <si>
    <t>45362951</t>
  </si>
  <si>
    <t>CHECCA QUISPE LEONIDAS</t>
  </si>
  <si>
    <t>24994016</t>
  </si>
  <si>
    <t>QUISPE GUZMAN NELLY</t>
  </si>
  <si>
    <t>42111807</t>
  </si>
  <si>
    <t>CAMPOS CASTRO CARLOS ALBERTO</t>
  </si>
  <si>
    <t>23819761</t>
  </si>
  <si>
    <t>AÑANCA ZUNIGA FAUSTO</t>
  </si>
  <si>
    <t>40931699</t>
  </si>
  <si>
    <t>06808410</t>
  </si>
  <si>
    <t>MORANTE PAIVA VIOLETA</t>
  </si>
  <si>
    <t>25321492</t>
  </si>
  <si>
    <t>CASA BALBOA JOSEFA</t>
  </si>
  <si>
    <t>43811112</t>
  </si>
  <si>
    <t>PILCO FLORES YANETH BEATRIZ</t>
  </si>
  <si>
    <t>70330307</t>
  </si>
  <si>
    <t>ARONE NAVARRO DARIA</t>
  </si>
  <si>
    <t>46115430</t>
  </si>
  <si>
    <t>PARICAHUA ZAPANA YHON ALEX</t>
  </si>
  <si>
    <t>46093742</t>
  </si>
  <si>
    <t>VARGAS CANAZA MILKA VERENA</t>
  </si>
  <si>
    <t>47658042</t>
  </si>
  <si>
    <t>ALVAREZ MAMANI ZARINA</t>
  </si>
  <si>
    <t>23925579</t>
  </si>
  <si>
    <t>SARAVIA REYNA CONSUELO ISABEL</t>
  </si>
  <si>
    <t>24965282</t>
  </si>
  <si>
    <t>USCA SALAZAR CORNELIA</t>
  </si>
  <si>
    <t>24993912</t>
  </si>
  <si>
    <t>MIRANDA HUILLCA ROSA</t>
  </si>
  <si>
    <t>40027474</t>
  </si>
  <si>
    <t>SACA QUISPE YOLA</t>
  </si>
  <si>
    <t>24951960</t>
  </si>
  <si>
    <t>SERRANO QUISPE MERCEDES</t>
  </si>
  <si>
    <t>24491793</t>
  </si>
  <si>
    <t>SAYAN LOAIZA PASTOR</t>
  </si>
  <si>
    <t>24993044</t>
  </si>
  <si>
    <t>SALINAS AQUINO EUGENIO</t>
  </si>
  <si>
    <t>24958395</t>
  </si>
  <si>
    <t>BECERRA AGUIRRE JOSEFINA</t>
  </si>
  <si>
    <t>25004700</t>
  </si>
  <si>
    <t>MONROY YUCRA JORGE</t>
  </si>
  <si>
    <t>25012197</t>
  </si>
  <si>
    <t>AGUILAR FLORES YOLA</t>
  </si>
  <si>
    <t>COORDINADOR DE RESIDENCIA ESTUDIANTIL - SRE</t>
  </si>
  <si>
    <t>45618363</t>
  </si>
  <si>
    <t>PERALTA HUAMAN VERONICA</t>
  </si>
  <si>
    <t>40376004</t>
  </si>
  <si>
    <t>RUELAS BAUTISTA MARIA DEL CARMEN</t>
  </si>
  <si>
    <t>23860803</t>
  </si>
  <si>
    <t>PILLCO HUAMAN JUSTINA LORENZA</t>
  </si>
  <si>
    <t>40298388</t>
  </si>
  <si>
    <t>HUINCHONTI MOSQUITIRO MARLENY</t>
  </si>
  <si>
    <t>43531326</t>
  </si>
  <si>
    <t>MAMANI HUAMANTALLA SANTOS</t>
  </si>
  <si>
    <t>45613177</t>
  </si>
  <si>
    <t>JIMENEZ ECHEGARAY EDWARD RICARDO</t>
  </si>
  <si>
    <t>GESTOR(A) EDUCATIVO(A) DE COMUNICACIÓN</t>
  </si>
  <si>
    <t>44872934</t>
  </si>
  <si>
    <t>MAMANI TORRES OLIVER</t>
  </si>
  <si>
    <t>46018350</t>
  </si>
  <si>
    <t>OLIVERA VALDEZ MARISOL YASMINA</t>
  </si>
  <si>
    <t>GESTOR(A) EDUCATIVO(A) DE MATEMÁTICA</t>
  </si>
  <si>
    <t>71057246</t>
  </si>
  <si>
    <t>USANDIVARES HUILLCA ROGER</t>
  </si>
  <si>
    <t>40026877</t>
  </si>
  <si>
    <t>HUAMAN LUCANA EDGARD</t>
  </si>
  <si>
    <t>71940295</t>
  </si>
  <si>
    <t>PANCORBO CANDIA LUZ SAIDITH</t>
  </si>
  <si>
    <t>46315865</t>
  </si>
  <si>
    <t>GOSHI PARIOMBERI URIEL</t>
  </si>
  <si>
    <t>41934621</t>
  </si>
  <si>
    <t>LIMO ANDIA FREDY</t>
  </si>
  <si>
    <t>45427192</t>
  </si>
  <si>
    <t>RAMOS VILLON JOSE DAVID</t>
  </si>
  <si>
    <t>44526033</t>
  </si>
  <si>
    <t>ROJAS HUAMAN RAY ROSMEL</t>
  </si>
  <si>
    <t>25009516</t>
  </si>
  <si>
    <t>HUAMAN ESPINOZA CESAR ELIAS</t>
  </si>
  <si>
    <t>72103429</t>
  </si>
  <si>
    <t>CANAL ORTIZ RODRIGO THOMAS</t>
  </si>
  <si>
    <t>43426959</t>
  </si>
  <si>
    <t>CONDORI VARGAS MANUEL</t>
  </si>
  <si>
    <t>45036606</t>
  </si>
  <si>
    <t>SANTOS OCAMPO IRVIN</t>
  </si>
  <si>
    <t>43466246</t>
  </si>
  <si>
    <t>PANDO OLARTE URBANO</t>
  </si>
  <si>
    <t>40751262</t>
  </si>
  <si>
    <t>QUILLAHUAMAN ZEGARRA JOSE LUIS</t>
  </si>
  <si>
    <t>24971000</t>
  </si>
  <si>
    <t>VALDEZ COBOS LUCIO</t>
  </si>
  <si>
    <t>PERSONAL DE SERVICIO - SRE</t>
  </si>
  <si>
    <t>71205678</t>
  </si>
  <si>
    <t>TAPARA ILLATUPA MARIO ISRAEL</t>
  </si>
  <si>
    <t>PERSONAL DE LIMPIEZA Y MANTENIMIENTO - SRE</t>
  </si>
  <si>
    <t>70221130</t>
  </si>
  <si>
    <t>SINOVAS SOLER VICENTE ANTONIO</t>
  </si>
  <si>
    <t>80676684</t>
  </si>
  <si>
    <t>KORIKI GENACATE JOSE ANTONIO</t>
  </si>
  <si>
    <t>42887000</t>
  </si>
  <si>
    <t>RODRIGUEZ CHAHUAYO PERCY</t>
  </si>
  <si>
    <t>70069293</t>
  </si>
  <si>
    <t>CURI CCASANI JUDY DANITZA</t>
  </si>
  <si>
    <t>47269227</t>
  </si>
  <si>
    <t>CALDERON HUAMAN MONICA</t>
  </si>
  <si>
    <t>23971494</t>
  </si>
  <si>
    <t>RICALDE BAYONA RINI</t>
  </si>
  <si>
    <t>74310648</t>
  </si>
  <si>
    <t>SORIA VILLILLI JULY JACKELIN</t>
  </si>
  <si>
    <t>24965368</t>
  </si>
  <si>
    <t>CONDORI ESPINOZA GUMERCINDO</t>
  </si>
  <si>
    <t>47046849</t>
  </si>
  <si>
    <t>FIGUEROA SALAS FRISIEL</t>
  </si>
  <si>
    <t>44663779</t>
  </si>
  <si>
    <t>SOTO VALER CESAR AUGUSTO</t>
  </si>
  <si>
    <t>24949905</t>
  </si>
  <si>
    <t>ZUNIGA MAMANI JUANA</t>
  </si>
  <si>
    <t>24947531</t>
  </si>
  <si>
    <t>GUILLEN CAVIEDES ALFONSO</t>
  </si>
  <si>
    <t>42712975</t>
  </si>
  <si>
    <t>DAVALOS PEÑA NILDA</t>
  </si>
  <si>
    <t>44276445</t>
  </si>
  <si>
    <t>TORRES HUAMAN ALEJANDRINA</t>
  </si>
  <si>
    <t>46697803</t>
  </si>
  <si>
    <t>PERALTA HUAMAN WILFREDO</t>
  </si>
  <si>
    <t>46702846</t>
  </si>
  <si>
    <t>ALAGON HUAMANGUILLAS ROSMEL</t>
  </si>
  <si>
    <t>44948178</t>
  </si>
  <si>
    <t>MENDOZA CASTILLO YESENIA</t>
  </si>
  <si>
    <t>24999276</t>
  </si>
  <si>
    <t>RIVERA CHACON FREDY</t>
  </si>
  <si>
    <t>24999269</t>
  </si>
  <si>
    <t>RIVERA AGUILA BENJAMIN EULOGIO</t>
  </si>
  <si>
    <t>41093182</t>
  </si>
  <si>
    <t>MARTINEZ DIAZ ABEL</t>
  </si>
  <si>
    <t>41405080</t>
  </si>
  <si>
    <t>ESPINOZA PUMACARI DELIA</t>
  </si>
  <si>
    <t>24008202</t>
  </si>
  <si>
    <t>QUISPE CARRASCO JOVITA</t>
  </si>
  <si>
    <t>43794379</t>
  </si>
  <si>
    <t>OSCCO TOCO ANICETO</t>
  </si>
  <si>
    <t>24999258</t>
  </si>
  <si>
    <t>CONTRERAS FERNANDEZ JUAN</t>
  </si>
  <si>
    <t>41601555</t>
  </si>
  <si>
    <t>BECERRA VARGAS MANUEL ANGEL</t>
  </si>
  <si>
    <t>42858629</t>
  </si>
  <si>
    <t>FUENTES PUMA JULIO CESAR</t>
  </si>
  <si>
    <t>45375785</t>
  </si>
  <si>
    <t>TINOCO TAPARA ROGER</t>
  </si>
  <si>
    <t>47353669</t>
  </si>
  <si>
    <t>YUPANQUI HUAMAN RONALD DAVID</t>
  </si>
  <si>
    <t>40249680</t>
  </si>
  <si>
    <t>BERRIOS QUISPE DAVID ISRAEL</t>
  </si>
  <si>
    <t>70135680</t>
  </si>
  <si>
    <t>QUISPE GAMIO BLANCO ALBERTO</t>
  </si>
  <si>
    <t>41605906</t>
  </si>
  <si>
    <t>ESCALANTE CARRILLO ELIAS</t>
  </si>
  <si>
    <t>45412472</t>
  </si>
  <si>
    <t>UMERES SURCO EDDY</t>
  </si>
  <si>
    <t>25012400</t>
  </si>
  <si>
    <t>GALLEGOS COLQUEHUANCA JOSEFINA</t>
  </si>
  <si>
    <t>47823454</t>
  </si>
  <si>
    <t>MEJIA DURAND WILMER</t>
  </si>
  <si>
    <t>10595468</t>
  </si>
  <si>
    <t>LUQUE CACERES MARY ELISA</t>
  </si>
  <si>
    <t>43958652</t>
  </si>
  <si>
    <t>LEON YUPANQUI YURI</t>
  </si>
  <si>
    <t>40138001</t>
  </si>
  <si>
    <t>TAPIA AYMARA PERCY</t>
  </si>
  <si>
    <t>30862338</t>
  </si>
  <si>
    <t>TOVAR CASTILLO YULIANA MARCELA</t>
  </si>
  <si>
    <t>43123496</t>
  </si>
  <si>
    <t>DUEÑAS ALANYA GARY ARNOLD</t>
  </si>
  <si>
    <t>47039097</t>
  </si>
  <si>
    <t>CARBAJAL ARAGON RONALD YONATAN</t>
  </si>
  <si>
    <t>70523869</t>
  </si>
  <si>
    <t>AGUILAR ZUNIGA LUIS ANGEL</t>
  </si>
  <si>
    <t>77423763</t>
  </si>
  <si>
    <t>GOMEZ PEÑA ELEAZAR</t>
  </si>
  <si>
    <t>42064288</t>
  </si>
  <si>
    <t>ARIAS AUCCA JOHN</t>
  </si>
  <si>
    <t>70103826</t>
  </si>
  <si>
    <t>USCAMAYTA PINCHI KATHERIN</t>
  </si>
  <si>
    <t>45291032</t>
  </si>
  <si>
    <t>PILCO COLQUE FLOR GRISAIDA</t>
  </si>
  <si>
    <t>44624057</t>
  </si>
  <si>
    <t>CUSI MORVELI ANA KARLA</t>
  </si>
  <si>
    <t>43741971</t>
  </si>
  <si>
    <t>ENCISO SOTOMAYOR ESMERALDA</t>
  </si>
  <si>
    <t>45224190</t>
  </si>
  <si>
    <t>MAMANI CHOQUEHUANCA MARITZA</t>
  </si>
  <si>
    <t>47340960</t>
  </si>
  <si>
    <t>DE LA COLINA ROMAN JOAN RUKMALI</t>
  </si>
  <si>
    <t>43132520</t>
  </si>
  <si>
    <t>LUQUE CONDORI JUAN</t>
  </si>
  <si>
    <t>72093664</t>
  </si>
  <si>
    <t>CHALLCO LUQUE STEPHANIE</t>
  </si>
  <si>
    <t>70563445</t>
  </si>
  <si>
    <t>CARRANZA VILLA RUTH ESTHER</t>
  </si>
  <si>
    <t>41944499</t>
  </si>
  <si>
    <t>RAYME HUAMANI MIGUEL WHDNER</t>
  </si>
  <si>
    <t>44195910</t>
  </si>
  <si>
    <t>GARCIA PAREJA MERY</t>
  </si>
  <si>
    <t>71795881</t>
  </si>
  <si>
    <t>ROMERO GONZÁLES JOSÉ MIGUEL</t>
  </si>
  <si>
    <t>42303376</t>
  </si>
  <si>
    <t>AQUIMA MAMANI YANETT YSABEL</t>
  </si>
  <si>
    <t>47673783</t>
  </si>
  <si>
    <t>GONZALES CRUZ SARITA YISSELL</t>
  </si>
  <si>
    <t>72230129</t>
  </si>
  <si>
    <t>VILLANUEVA TORRES ELENA ELIZABETH</t>
  </si>
  <si>
    <t>77070653</t>
  </si>
  <si>
    <t>FIESTAS CUZQUE YESSENIA MILAGROS</t>
  </si>
  <si>
    <t>44545311</t>
  </si>
  <si>
    <t>SISA FLORES ELENA MELISSA</t>
  </si>
  <si>
    <t>45511798</t>
  </si>
  <si>
    <t>MORA HUAMAN ELIZABETH</t>
  </si>
  <si>
    <t>45849143</t>
  </si>
  <si>
    <t>KJURO SIVINCHA MONICA</t>
  </si>
  <si>
    <t>44144915</t>
  </si>
  <si>
    <t>QUISPE CHOQUEHUANCA ANA JULIA</t>
  </si>
  <si>
    <t>74399020</t>
  </si>
  <si>
    <t>AQUEHUA MAURI LUIS ANTONIO</t>
  </si>
  <si>
    <t>46494869</t>
  </si>
  <si>
    <t>ZAPANA COQUEÑA ROSA ANGELA</t>
  </si>
  <si>
    <t>24986258</t>
  </si>
  <si>
    <t>HUAYTA PALACIOS LUISA</t>
  </si>
  <si>
    <t>40157427</t>
  </si>
  <si>
    <t>DAVALOS CACERES REF</t>
  </si>
  <si>
    <t>42659400</t>
  </si>
  <si>
    <t>PALOMINO CUSI CARMEN</t>
  </si>
  <si>
    <t>41886172</t>
  </si>
  <si>
    <t>FONSECA CHALLCO LUZ MARINA</t>
  </si>
  <si>
    <t>24990261</t>
  </si>
  <si>
    <t>PUMA GUTIERREZ YANET</t>
  </si>
  <si>
    <t>45354574</t>
  </si>
  <si>
    <t>MORALES MORA KATHERINE LILIANA</t>
  </si>
  <si>
    <t>24950149</t>
  </si>
  <si>
    <t>REYES COLCA EVANGELINO</t>
  </si>
  <si>
    <t>24978982</t>
  </si>
  <si>
    <t>SINCHI JUAREZ ROSA ALBINA</t>
  </si>
  <si>
    <t>40303441</t>
  </si>
  <si>
    <t>DAVALOS CASA MERCEDES</t>
  </si>
  <si>
    <t>24976368</t>
  </si>
  <si>
    <t>CONDORI QUIPO DANIEL</t>
  </si>
  <si>
    <t>40693288</t>
  </si>
  <si>
    <t>HEREDIA NAVIDES REUHMERY MARIZA</t>
  </si>
  <si>
    <t>80090355</t>
  </si>
  <si>
    <t>BARGAYA MAMANI WILFREDO HENRY</t>
  </si>
  <si>
    <t>62152337</t>
  </si>
  <si>
    <t>LAYME HUANCAHUIRI MARTHA</t>
  </si>
  <si>
    <t>25009174</t>
  </si>
  <si>
    <t>CHALLCO CARDENAS ROCIO</t>
  </si>
  <si>
    <t>10679145</t>
  </si>
  <si>
    <t>TINAJEROS TAPIA EDGAR ALFREDO</t>
  </si>
  <si>
    <t>46872170</t>
  </si>
  <si>
    <t>LIMACHI FLORES WALTER</t>
  </si>
  <si>
    <t>24995285</t>
  </si>
  <si>
    <t>QUINTANILLA MEJIA MARITZA</t>
  </si>
  <si>
    <t>24006566</t>
  </si>
  <si>
    <t>CANDIA AMAO HAYDEE</t>
  </si>
  <si>
    <t>01559216</t>
  </si>
  <si>
    <t>AÑACATA HUARACHI MELITON</t>
  </si>
  <si>
    <t>41022103</t>
  </si>
  <si>
    <t>DEZA QUISPE ADOLFO</t>
  </si>
  <si>
    <t>40839898</t>
  </si>
  <si>
    <t>QUISPE MARCELO GIOVANA MILAGROS</t>
  </si>
  <si>
    <t>25006834</t>
  </si>
  <si>
    <t>GUZMAN HUILLCA JOSE</t>
  </si>
  <si>
    <t>47148881</t>
  </si>
  <si>
    <t>QUIÑONES CARBAJAL LICMAR DE LA ''C''</t>
  </si>
  <si>
    <t>43882966</t>
  </si>
  <si>
    <t>TAPARA LOPEZ RUTMERY</t>
  </si>
  <si>
    <t>41037123</t>
  </si>
  <si>
    <t>OSCCO CHAMPI DULMA OLIVIA</t>
  </si>
  <si>
    <t>45619192</t>
  </si>
  <si>
    <t>RICALDE RIVERA MARIZOL</t>
  </si>
  <si>
    <t>43817486</t>
  </si>
  <si>
    <t>CHAUCA HURTADO FLOR DE LIZ</t>
  </si>
  <si>
    <t>41113398</t>
  </si>
  <si>
    <t>CCAIHUARI QUISPE ELVIS</t>
  </si>
  <si>
    <t>41433570</t>
  </si>
  <si>
    <t>JORDAN BACA YASIRA ZANDY</t>
  </si>
  <si>
    <t>25008769</t>
  </si>
  <si>
    <t>CESPEDES LIMA WILLIAN</t>
  </si>
  <si>
    <t>47332021</t>
  </si>
  <si>
    <t>CHAVEZ QUISPE JEMMY</t>
  </si>
  <si>
    <t>25006996</t>
  </si>
  <si>
    <t>QUISPICUSI HUAMAN ANA MARIA</t>
  </si>
  <si>
    <t>45475484</t>
  </si>
  <si>
    <t>MAMANI MAMANI RUTH</t>
  </si>
  <si>
    <t>46742212</t>
  </si>
  <si>
    <t>CALLAPIÑA VALER JUDITH GARDA</t>
  </si>
  <si>
    <t>41403642</t>
  </si>
  <si>
    <t>SEGUNDO UGARTE ANAHY</t>
  </si>
  <si>
    <t>77334021</t>
  </si>
  <si>
    <t>ANCASI TAPIA KAROL</t>
  </si>
  <si>
    <t>44975707</t>
  </si>
  <si>
    <t>CAMACHO BECERRA MIRTHA</t>
  </si>
  <si>
    <t>72687206</t>
  </si>
  <si>
    <t>CAPA VICENTE NEBER</t>
  </si>
  <si>
    <t>73415079</t>
  </si>
  <si>
    <t>CAMACHO DIAZ PAOLA</t>
  </si>
  <si>
    <t>24972695</t>
  </si>
  <si>
    <t>QUISPE LIMAIPUMA JUSTINO</t>
  </si>
  <si>
    <t>44287391</t>
  </si>
  <si>
    <t>SEMPERI FERNANDEZ NOE</t>
  </si>
  <si>
    <t>24969366</t>
  </si>
  <si>
    <t>YUCRA QUISPE NELLY</t>
  </si>
  <si>
    <t>24991684</t>
  </si>
  <si>
    <t>MEDINA HUAMAN SONILDA</t>
  </si>
  <si>
    <t>23983809</t>
  </si>
  <si>
    <t>RIVERA FLOREZ VENECIA</t>
  </si>
  <si>
    <t>41050936</t>
  </si>
  <si>
    <t>GALLEGOS ALVAREZ EDGAR</t>
  </si>
  <si>
    <t>41727425</t>
  </si>
  <si>
    <t>SUCSO ALAGON PERCY</t>
  </si>
  <si>
    <t>41050922</t>
  </si>
  <si>
    <t>RICALDE RIVERA EDGAR</t>
  </si>
  <si>
    <t>25009619</t>
  </si>
  <si>
    <t>RIOS CHACAYA ROBE</t>
  </si>
  <si>
    <t>42225633</t>
  </si>
  <si>
    <t>KORINTI IRAGAKORI URIEL</t>
  </si>
  <si>
    <t>23971393</t>
  </si>
  <si>
    <t>LLACMA USCA CASIMIRO LUCIO</t>
  </si>
  <si>
    <t>24992271</t>
  </si>
  <si>
    <t>PALOMINO PALOMINO MARCOS</t>
  </si>
  <si>
    <t>24960531</t>
  </si>
  <si>
    <t>QUISPE PEREZ FELICITAS</t>
  </si>
  <si>
    <t>24988507</t>
  </si>
  <si>
    <t>HERMOZA PINEDO JAVIER</t>
  </si>
  <si>
    <t>23971425</t>
  </si>
  <si>
    <t>QUISPE QUISPE JOSE</t>
  </si>
  <si>
    <t>24991267</t>
  </si>
  <si>
    <t>APAZA CANDIA SONIA</t>
  </si>
  <si>
    <t>25300783</t>
  </si>
  <si>
    <t>MORA YAÑAC MARIA LUZ</t>
  </si>
  <si>
    <t>46874254</t>
  </si>
  <si>
    <t>RAMOS TINTA EDITH</t>
  </si>
  <si>
    <t>24950144</t>
  </si>
  <si>
    <t>AMACHI ALVARO LEONARDO</t>
  </si>
  <si>
    <t>24994928</t>
  </si>
  <si>
    <t>CHECCA AQUINO MARIA LOURDES</t>
  </si>
  <si>
    <t>42913107</t>
  </si>
  <si>
    <t>SULLCA BOCANGELINO YENY</t>
  </si>
  <si>
    <t>25004778</t>
  </si>
  <si>
    <t>QUISPE GALLEGOS CESAR</t>
  </si>
  <si>
    <t>44094452</t>
  </si>
  <si>
    <t>GASIUT SALAS YENI</t>
  </si>
  <si>
    <t>08143375</t>
  </si>
  <si>
    <t>RODRIGUEZ PAUCAR CARLOS ALBERTO</t>
  </si>
  <si>
    <t>25012062</t>
  </si>
  <si>
    <t>HUAMAN VALENCIA PEDRO ABEL</t>
  </si>
  <si>
    <t>70448815</t>
  </si>
  <si>
    <t>BALTA ARAMBURU SANDRA SHERLY</t>
  </si>
  <si>
    <t>24965503</t>
  </si>
  <si>
    <t>ESTRADA ZAMATA SAMUEL</t>
  </si>
  <si>
    <t>25004759</t>
  </si>
  <si>
    <t>CHECCA AQUINO GOYA</t>
  </si>
  <si>
    <t>25006327</t>
  </si>
  <si>
    <t>GOMEZ FLORES GARDENIA</t>
  </si>
  <si>
    <t>42613465</t>
  </si>
  <si>
    <t>CHAMPI ALVAREZ SONIA</t>
  </si>
  <si>
    <t>25006209</t>
  </si>
  <si>
    <t>HOLGADO SALAS MARTHA</t>
  </si>
  <si>
    <t>40088595</t>
  </si>
  <si>
    <t>ESCALANTE HUANACO MIRIAM</t>
  </si>
  <si>
    <t>24953062</t>
  </si>
  <si>
    <t>CHACON CANAL FORTUNATA</t>
  </si>
  <si>
    <t>41055392</t>
  </si>
  <si>
    <t>CCOÑISLLA MAMANI ROSAURA LOREDANA</t>
  </si>
  <si>
    <t>02145674</t>
  </si>
  <si>
    <t>QUISPE QUISPE SANTOS ALEJANDRO</t>
  </si>
  <si>
    <t>24966198</t>
  </si>
  <si>
    <t>CASAFRANCA ORCOTUMA WASHINGTON</t>
  </si>
  <si>
    <t>42922666</t>
  </si>
  <si>
    <t>CANDIA MORALES MARLENI</t>
  </si>
  <si>
    <t>47789196</t>
  </si>
  <si>
    <t>GUTIERREZ MONTEROLA KELI</t>
  </si>
  <si>
    <t>24993939</t>
  </si>
  <si>
    <t>RAMOS ESCALANTE MACARIO</t>
  </si>
  <si>
    <t>04825232</t>
  </si>
  <si>
    <t>GONZALES VALER JORGE ANIBAL</t>
  </si>
  <si>
    <t>72072886</t>
  </si>
  <si>
    <t>HUILLCA SALDIVAR CAMILO</t>
  </si>
  <si>
    <t>44452504</t>
  </si>
  <si>
    <t>ALVAREZ VARGAS MANUEL</t>
  </si>
  <si>
    <t>44501001</t>
  </si>
  <si>
    <t>CHALLCO AYMACHOQUE JUAN FRANCISCO</t>
  </si>
  <si>
    <t>46629687</t>
  </si>
  <si>
    <t>VIVANCO CRUZ ANALI</t>
  </si>
  <si>
    <t>40629978</t>
  </si>
  <si>
    <t>LOPEZ HUAIHUA PERCI</t>
  </si>
  <si>
    <t>44727588</t>
  </si>
  <si>
    <t>QUISPE SARAVIA ARNOLD SILVESTER</t>
  </si>
  <si>
    <t>24951140</t>
  </si>
  <si>
    <t>LUQUE GAMARRA CARLOS</t>
  </si>
  <si>
    <t>43733331</t>
  </si>
  <si>
    <t>LAUCATA DELGADO MARIZA</t>
  </si>
  <si>
    <t>25006279</t>
  </si>
  <si>
    <t>CHAMPI ALVAREZ ADELA</t>
  </si>
  <si>
    <t>41810696</t>
  </si>
  <si>
    <t>RAMIREZ ZAMATA YICELL</t>
  </si>
  <si>
    <t>40384414</t>
  </si>
  <si>
    <t>QUINTANA PUMACHOQUE MARLENE</t>
  </si>
  <si>
    <t>44531893</t>
  </si>
  <si>
    <t>AMACHI CONDORI RICHARD</t>
  </si>
  <si>
    <t>44951263</t>
  </si>
  <si>
    <t>COLQUEHUANCA ITUSACA ALEX</t>
  </si>
  <si>
    <t>24959686</t>
  </si>
  <si>
    <t>CACERES ARIAS ELISEO</t>
  </si>
  <si>
    <t>40575431</t>
  </si>
  <si>
    <t>GAYONA AGUERO YANET</t>
  </si>
  <si>
    <t>24949436</t>
  </si>
  <si>
    <t>MEZA ESCOBAR DARWIN AVELARDO</t>
  </si>
  <si>
    <t>24979770</t>
  </si>
  <si>
    <t>CARDENAS POZO ROMULO</t>
  </si>
  <si>
    <t>60436339</t>
  </si>
  <si>
    <t>PUMA SALDIVAR YAKELIN</t>
  </si>
  <si>
    <t>25008501</t>
  </si>
  <si>
    <t>CCORA QUISPE CORNELIA</t>
  </si>
  <si>
    <t>23974138</t>
  </si>
  <si>
    <t>RODAS QUISPE DAVID</t>
  </si>
  <si>
    <t>42583884</t>
  </si>
  <si>
    <t>CASA GUZMAN RAMON</t>
  </si>
  <si>
    <t>31174857</t>
  </si>
  <si>
    <t>TAIPICURI ZUÑIGA JULIAN</t>
  </si>
  <si>
    <t>40931577</t>
  </si>
  <si>
    <t>TAIPICURI AGUILAR JUAN MIGDONIO</t>
  </si>
  <si>
    <t>41814401</t>
  </si>
  <si>
    <t>ALVAREZ AYALA MARTHA</t>
  </si>
  <si>
    <t>23810021</t>
  </si>
  <si>
    <t>RAMOS BOLIVAR BUENAVENTURA</t>
  </si>
  <si>
    <t>25012637</t>
  </si>
  <si>
    <t>ESTRADA HUAMAN JUAN JOSE</t>
  </si>
  <si>
    <t>70545697</t>
  </si>
  <si>
    <t>RODRIGUEZ BARRIENTOS YURI GUSTAVO</t>
  </si>
  <si>
    <t>47002200</t>
  </si>
  <si>
    <t>CHAVEZ COBOS SARITA</t>
  </si>
  <si>
    <t>45928237</t>
  </si>
  <si>
    <t>ARENAS LLAMOCCA KRYS LEONICIA</t>
  </si>
  <si>
    <t>45154994</t>
  </si>
  <si>
    <t>VARGAS OLIVERA DAISY KARINA</t>
  </si>
  <si>
    <t>45851359</t>
  </si>
  <si>
    <t>GUEVARA CCURISI MARIBEL ROCIO</t>
  </si>
  <si>
    <t>47184305</t>
  </si>
  <si>
    <t>PAJA HUAMAN CAROL DORELY</t>
  </si>
  <si>
    <t>42183900</t>
  </si>
  <si>
    <t>RIVAS ALVAREZ MARIA MILAGROS</t>
  </si>
  <si>
    <t>47981984</t>
  </si>
  <si>
    <t>HUAMAN HUACAC GABRIEL</t>
  </si>
  <si>
    <t>40116180</t>
  </si>
  <si>
    <t>LOAIZA JARA SONIA VERONICA</t>
  </si>
  <si>
    <t>41506524</t>
  </si>
  <si>
    <t>LOPEZ HINOJOSA GUSTAVO</t>
  </si>
  <si>
    <t>46338073</t>
  </si>
  <si>
    <t>AVALOS DURAN YOVANI</t>
  </si>
  <si>
    <t>47441211</t>
  </si>
  <si>
    <t>RIVAS DEL POZO JHERALD</t>
  </si>
  <si>
    <t>47421813</t>
  </si>
  <si>
    <t>CUEVA GONZALES VICTOR ANTHONY</t>
  </si>
  <si>
    <t>42504357</t>
  </si>
  <si>
    <t>AGUILAR NAVARRO BEDER</t>
  </si>
  <si>
    <t>47772787</t>
  </si>
  <si>
    <t>ABARCA BAUTISTA RUTH KELLY</t>
  </si>
  <si>
    <t>47085094</t>
  </si>
  <si>
    <t>CCOISO RIVERA YUDAYRA</t>
  </si>
  <si>
    <t>72271052</t>
  </si>
  <si>
    <t>MORALES MORA JHUNIA ANITA</t>
  </si>
  <si>
    <t>46776936</t>
  </si>
  <si>
    <t>VARGAS ALTAMIRANO SILVIA</t>
  </si>
  <si>
    <t>45650935</t>
  </si>
  <si>
    <t>GALLEGOS COLQUEHUANCA ALAN</t>
  </si>
  <si>
    <t>42004713</t>
  </si>
  <si>
    <t>PEREZ HUARCAYA RENZO MIKHAIL</t>
  </si>
  <si>
    <t>46582141</t>
  </si>
  <si>
    <t>ROJAS SAYRE BELIA</t>
  </si>
  <si>
    <t>42676377</t>
  </si>
  <si>
    <t>OJEDA LOPEZ ANGHELLA JESUS</t>
  </si>
  <si>
    <t>24006505</t>
  </si>
  <si>
    <t>ALAGON QUISPE ELVIRA</t>
  </si>
  <si>
    <t>72516928</t>
  </si>
  <si>
    <t>HUANCA PANIHUARA NURIA STEFI</t>
  </si>
  <si>
    <t>47546783</t>
  </si>
  <si>
    <t>ESCALANTE OJEDA MARYLIA</t>
  </si>
  <si>
    <t>40803576</t>
  </si>
  <si>
    <t>ATAUSINCHI PUMA JENRRY</t>
  </si>
  <si>
    <t>ACOMPAÑANTE PEDA. IIEE MULTIGRADO MONOLINGUE CASTELLANO</t>
  </si>
  <si>
    <t>24716094</t>
  </si>
  <si>
    <t>CJUIRO VILLACORTA CELIA</t>
  </si>
  <si>
    <t>40720804</t>
  </si>
  <si>
    <t>HUAMAN DAMIAN JAVIER</t>
  </si>
  <si>
    <t>41360698</t>
  </si>
  <si>
    <t>HUACAC OLAVE ERIC</t>
  </si>
  <si>
    <t>48567314</t>
  </si>
  <si>
    <t>TARICUARIMA ANDALUZ JOSE CARLOS</t>
  </si>
  <si>
    <t>40173704</t>
  </si>
  <si>
    <t>RIVAS ALVAREZ GLINNY DILENIA</t>
  </si>
  <si>
    <t>23967494</t>
  </si>
  <si>
    <t>MENDEZ QUISPE EDWIN FRANCISCO</t>
  </si>
  <si>
    <t>41226096</t>
  </si>
  <si>
    <t>CHALLCO CORRALES DIMAS</t>
  </si>
  <si>
    <t>23933664</t>
  </si>
  <si>
    <t>ATAULLUCO CAHUATA FREDY</t>
  </si>
  <si>
    <t>25321104</t>
  </si>
  <si>
    <t>ZANS GIL WILLIAM ADOLFO</t>
  </si>
  <si>
    <t>41293857</t>
  </si>
  <si>
    <t>FRISANCHO PEZO ROBERT</t>
  </si>
  <si>
    <t>41001273</t>
  </si>
  <si>
    <t>PAPA DELGADO GLADYS FLOR</t>
  </si>
  <si>
    <t>29708022</t>
  </si>
  <si>
    <t>ANTESANA JIMÉNEZ LUZ MIRIAN</t>
  </si>
  <si>
    <t>23989092</t>
  </si>
  <si>
    <t>PINTO PILLCO LUZ MARINA</t>
  </si>
  <si>
    <t>25012272</t>
  </si>
  <si>
    <t>HUAMANI MIRAYA ANA LUZ</t>
  </si>
  <si>
    <t>45766606</t>
  </si>
  <si>
    <t>MIRANDA CAPITAN GUADA LUPE</t>
  </si>
  <si>
    <t>23970415</t>
  </si>
  <si>
    <t>RIOS SEBASTIAN DAMARIS</t>
  </si>
  <si>
    <t>24576990</t>
  </si>
  <si>
    <t>AIQUE SALAS GEORGINA LUZMILA</t>
  </si>
  <si>
    <t>80388705</t>
  </si>
  <si>
    <t>SIMON RODRIGUEZ EUDOCIA</t>
  </si>
  <si>
    <t>42064290</t>
  </si>
  <si>
    <t>CHINCHIQUITI RIVAS LIZBETH</t>
  </si>
  <si>
    <t>46348224</t>
  </si>
  <si>
    <t>MELGAR PAITAN LIZETT PAMELA</t>
  </si>
  <si>
    <t>24994446</t>
  </si>
  <si>
    <t>DAVILA PEREZ VILMA</t>
  </si>
  <si>
    <t>00164683</t>
  </si>
  <si>
    <t>SEBASTIAN LIZARDO JOSABETH</t>
  </si>
  <si>
    <t>40452235</t>
  </si>
  <si>
    <t>MAROCHO OLIVO RUTH MILAGROS</t>
  </si>
  <si>
    <t>42616806</t>
  </si>
  <si>
    <t>MAMANI CONDO MARITZA</t>
  </si>
  <si>
    <t>24487146</t>
  </si>
  <si>
    <t>RODRIGUEZ CUSIHUAMAN MARIZA RAIMUNDA</t>
  </si>
  <si>
    <t>24991480</t>
  </si>
  <si>
    <t>ARENAS NAVARRETE MIGUEL</t>
  </si>
  <si>
    <t>41790033</t>
  </si>
  <si>
    <t>SAAVEDRA BARDALES ELISEO</t>
  </si>
  <si>
    <t>41704582</t>
  </si>
  <si>
    <t>QUISPE HUALLPA JHON FREDY</t>
  </si>
  <si>
    <t>44555328</t>
  </si>
  <si>
    <t>MAMANI APAZA ROY ROBER</t>
  </si>
  <si>
    <t>24990202</t>
  </si>
  <si>
    <t>MAMANI CRUZ GREGORIO</t>
  </si>
  <si>
    <t>40663565</t>
  </si>
  <si>
    <t>CUSSI TIMPO RAUL</t>
  </si>
  <si>
    <t>23940261</t>
  </si>
  <si>
    <t>CABRERA TARCO CALIXTO</t>
  </si>
  <si>
    <t>42677676</t>
  </si>
  <si>
    <t>CHIRINOS ESTRADA JULIAN</t>
  </si>
  <si>
    <t>23968960</t>
  </si>
  <si>
    <t>LEON WARTHON MARLENY</t>
  </si>
  <si>
    <t>23926720</t>
  </si>
  <si>
    <t>PEREZ BAEZ ODALIS</t>
  </si>
  <si>
    <t>40181296</t>
  </si>
  <si>
    <t>GUZMAN MEZA YOANY</t>
  </si>
  <si>
    <t>23932058</t>
  </si>
  <si>
    <t>HUAROC VARGAS ARTURO AMADEO</t>
  </si>
  <si>
    <t>23996236</t>
  </si>
  <si>
    <t>MOLINA GONZALES CARMEN</t>
  </si>
  <si>
    <t>41610644</t>
  </si>
  <si>
    <t>AYMACHOQUE AYMACHOQUE LUIS</t>
  </si>
  <si>
    <t>43281219</t>
  </si>
  <si>
    <t>CASAS CAYO MICHAEL</t>
  </si>
  <si>
    <t>48585616</t>
  </si>
  <si>
    <t>FARFAN TUPAYACHI WENDY</t>
  </si>
  <si>
    <t>PROGRAMADOR</t>
  </si>
  <si>
    <t>47822423</t>
  </si>
  <si>
    <t>VIZARRETA FURO DANNEYSI</t>
  </si>
  <si>
    <t>43392109</t>
  </si>
  <si>
    <t>ANGULO AEDO MIGUEL</t>
  </si>
  <si>
    <t>74560185</t>
  </si>
  <si>
    <t>MENDOZA AQUINO JACOB</t>
  </si>
  <si>
    <t>41066534</t>
  </si>
  <si>
    <t>QUISPE HUAMAN JAVIER</t>
  </si>
  <si>
    <t>25012275</t>
  </si>
  <si>
    <t>VARGAS SALAZAR ANGELA RITTELA</t>
  </si>
  <si>
    <t>71725373</t>
  </si>
  <si>
    <t>HUILLCA MIRANO WANDERLEY</t>
  </si>
  <si>
    <t>24994971</t>
  </si>
  <si>
    <t>ARAGON LOAYZA DARWIN</t>
  </si>
  <si>
    <t>45923782</t>
  </si>
  <si>
    <t>OLARTE CONDORI GUIDO</t>
  </si>
  <si>
    <t>ESPECIALISTA EN SISTEMAS INFORMATICOS</t>
  </si>
  <si>
    <t>73224420</t>
  </si>
  <si>
    <t>SALAS CJUIRO ESTEFANY</t>
  </si>
  <si>
    <t>ANALISTA DE INFRAESTRUCTURA</t>
  </si>
  <si>
    <t>41168465</t>
  </si>
  <si>
    <t>PEREZ HURTADO IRAMI MARY</t>
  </si>
  <si>
    <t>43533533</t>
  </si>
  <si>
    <t>ACHAHUANCO MAMANI MARCO ANTONIO</t>
  </si>
  <si>
    <t>DIGITADOR</t>
  </si>
  <si>
    <t>02298382</t>
  </si>
  <si>
    <t>BARRA CORNEJO GLADYS</t>
  </si>
  <si>
    <t>TECNICO EN ENFERMERIA I</t>
  </si>
  <si>
    <t>42772851</t>
  </si>
  <si>
    <t>ALLHUIRCA JORDAN ALEXANDER</t>
  </si>
  <si>
    <t>02040950</t>
  </si>
  <si>
    <t>OLVEA VILLASANTE WILDER</t>
  </si>
  <si>
    <t>42484197</t>
  </si>
  <si>
    <t>ACHAHUI MERCADO ELIANA</t>
  </si>
  <si>
    <t>40335637</t>
  </si>
  <si>
    <t>APAZA CHOQUE JULIO</t>
  </si>
  <si>
    <t>TECNICO DE MANTENIMIENTO</t>
  </si>
  <si>
    <t>43828407</t>
  </si>
  <si>
    <t>ARTEAGA SALCEDO ALEXS ADEMIR</t>
  </si>
  <si>
    <t>70063957</t>
  </si>
  <si>
    <t>CUTIRE ACOSTA ELVIZ EDUARDO</t>
  </si>
  <si>
    <t>46951546</t>
  </si>
  <si>
    <t>CACHI QUISPE YENI MILAGROS</t>
  </si>
  <si>
    <t>43072715</t>
  </si>
  <si>
    <t>BENITES TAPASCO HENRY</t>
  </si>
  <si>
    <t>40790970</t>
  </si>
  <si>
    <t>CASA HUANACO VICENTE EDUARDO</t>
  </si>
  <si>
    <t>TECNICO EN FARMACIA I</t>
  </si>
  <si>
    <t>40777175</t>
  </si>
  <si>
    <t>CAYLLAHUA OTAZU JOEL ANGEL</t>
  </si>
  <si>
    <t>40104635</t>
  </si>
  <si>
    <t>CCALLO LAUCATA MARTHA</t>
  </si>
  <si>
    <t>44857537</t>
  </si>
  <si>
    <t>HUACARPUMA BUSTAMANTE FRESIA JAQUELINE</t>
  </si>
  <si>
    <t>24718889</t>
  </si>
  <si>
    <t>CCORIMANYA CONDE ISABEL</t>
  </si>
  <si>
    <t>24704900</t>
  </si>
  <si>
    <t>CONDORI ARAPA PORFIRIO</t>
  </si>
  <si>
    <t>24719271</t>
  </si>
  <si>
    <t>CCOYO HUAYTA BERTHA MARLENI</t>
  </si>
  <si>
    <t>42981554</t>
  </si>
  <si>
    <t>HUARACHA CHURATA FANY</t>
  </si>
  <si>
    <t>02298924</t>
  </si>
  <si>
    <t>TORRES CHOQUEHUANCA CELSO EDGAR</t>
  </si>
  <si>
    <t>47490791</t>
  </si>
  <si>
    <t>HUAYLLA HUILLCA MARTHA</t>
  </si>
  <si>
    <t>43974799</t>
  </si>
  <si>
    <t>CONDORI CRUZ SARA LIDIA</t>
  </si>
  <si>
    <t>CONTADOR I</t>
  </si>
  <si>
    <t>24714875</t>
  </si>
  <si>
    <t>SANCHEZ MEDINA BERNABE</t>
  </si>
  <si>
    <t>46247654</t>
  </si>
  <si>
    <t>CCALA HUANCA ESTHER MILAGROS</t>
  </si>
  <si>
    <t>MEDICO</t>
  </si>
  <si>
    <t>42970258</t>
  </si>
  <si>
    <t>RODRIGUEZ MAMANI ROXANA</t>
  </si>
  <si>
    <t>41030590</t>
  </si>
  <si>
    <t>HUAYHUA HUAMANI GLADIS SILVIA</t>
  </si>
  <si>
    <t>NUTRICIONISTA</t>
  </si>
  <si>
    <t>46144716</t>
  </si>
  <si>
    <t>PANOCCA UMIYAURI RUTH NELIDA</t>
  </si>
  <si>
    <t>42001399</t>
  </si>
  <si>
    <t>ESQUIVEL CAHUANA MANUEL</t>
  </si>
  <si>
    <t>TECNICO EN TRANSPORTE</t>
  </si>
  <si>
    <t>24706115</t>
  </si>
  <si>
    <t>FLORES CCOPA ASCENCIO</t>
  </si>
  <si>
    <t>24002956</t>
  </si>
  <si>
    <t>DUEÑAS FARFAN CECILIA</t>
  </si>
  <si>
    <t>45531434</t>
  </si>
  <si>
    <t>GONZALES CALDERON LUIS RAMIRO</t>
  </si>
  <si>
    <t>43162962</t>
  </si>
  <si>
    <t>HUILLCA KANA WILFREDO</t>
  </si>
  <si>
    <t>42756276</t>
  </si>
  <si>
    <t>GUTIERREZ CAYLLAHUA SHIRLEY</t>
  </si>
  <si>
    <t>40223120</t>
  </si>
  <si>
    <t>HANCCO APAZA TEODORA LIDIA</t>
  </si>
  <si>
    <t>42067558</t>
  </si>
  <si>
    <t>HILARIO MACUTELA JEANET</t>
  </si>
  <si>
    <t>RELACIONISTA PUBLICO</t>
  </si>
  <si>
    <t>40298018</t>
  </si>
  <si>
    <t>HUALLA VEGA DENIS</t>
  </si>
  <si>
    <t>47213556</t>
  </si>
  <si>
    <t>HUALLPA LLANOS RUDOL KATARI</t>
  </si>
  <si>
    <t>41605818</t>
  </si>
  <si>
    <t>HUAMAN CONCHACALLA MILKA</t>
  </si>
  <si>
    <t>46081023</t>
  </si>
  <si>
    <t>HUAÑEC HUAMAN YESICA</t>
  </si>
  <si>
    <t>45227967</t>
  </si>
  <si>
    <t>NINA CHOQUE RENE</t>
  </si>
  <si>
    <t>02432536</t>
  </si>
  <si>
    <t>RUELAS ALFARO ESSAUL</t>
  </si>
  <si>
    <t>45023259</t>
  </si>
  <si>
    <t>SOLIS CHURA CLEOFE</t>
  </si>
  <si>
    <t>43747250</t>
  </si>
  <si>
    <t>TAIÑA ORCONI SONIA</t>
  </si>
  <si>
    <t>70292461</t>
  </si>
  <si>
    <t>QUISPE CACERES RONAL DEIVIS</t>
  </si>
  <si>
    <t>ASISTENTE SOCIAL</t>
  </si>
  <si>
    <t>41080995</t>
  </si>
  <si>
    <t>LIMPE SOTA BETSABE</t>
  </si>
  <si>
    <t>29678953</t>
  </si>
  <si>
    <t>LLERENA VALCARCEL RAQUEL</t>
  </si>
  <si>
    <t>10086081</t>
  </si>
  <si>
    <t>LAURA MONTESINOS PEDRO LEON</t>
  </si>
  <si>
    <t>41162618</t>
  </si>
  <si>
    <t>TTITO QUISPE GLADYS</t>
  </si>
  <si>
    <t>47242851</t>
  </si>
  <si>
    <t>CHURAPA FLORES JOEL</t>
  </si>
  <si>
    <t>80629550</t>
  </si>
  <si>
    <t>MAMANI JACINTO JULIO AMERICO</t>
  </si>
  <si>
    <t>02300220</t>
  </si>
  <si>
    <t>ORTEGA ESQUIVIAS MARTHA YEMYN</t>
  </si>
  <si>
    <t>47509859</t>
  </si>
  <si>
    <t>PUMALIQUE MENDOZA YANIRA ADELY</t>
  </si>
  <si>
    <t>42255886</t>
  </si>
  <si>
    <t>MAMANI PATIÑO KARINA</t>
  </si>
  <si>
    <t>42547297</t>
  </si>
  <si>
    <t>MAQQUE MAMANI ADOLFO</t>
  </si>
  <si>
    <t>46242129</t>
  </si>
  <si>
    <t>MENDOZA PANIURA JEANETTE</t>
  </si>
  <si>
    <t>45006395</t>
  </si>
  <si>
    <t>MAMANI CCASA CARLOS</t>
  </si>
  <si>
    <t>24712515</t>
  </si>
  <si>
    <t>YUCRA CHOQUEPUMA FILOMENO</t>
  </si>
  <si>
    <t>46452465</t>
  </si>
  <si>
    <t>NAVARRO PACHA BRISCA</t>
  </si>
  <si>
    <t>44151399</t>
  </si>
  <si>
    <t>TACO CHUCHULLO YENI</t>
  </si>
  <si>
    <t>46688065</t>
  </si>
  <si>
    <t>TARCO CCOYO GLENY</t>
  </si>
  <si>
    <t>01318151</t>
  </si>
  <si>
    <t>FLORES COILA MARIA ELIZABETH</t>
  </si>
  <si>
    <t>44901800</t>
  </si>
  <si>
    <t>ACHAHUI AGUILAR YASMANY OZIEL</t>
  </si>
  <si>
    <t>45269054</t>
  </si>
  <si>
    <t>COLONIA PALACIOS JOSE ISMAEL</t>
  </si>
  <si>
    <t>BIOLOGO</t>
  </si>
  <si>
    <t>04419250</t>
  </si>
  <si>
    <t>VILCA QUEQUE GERMAN</t>
  </si>
  <si>
    <t>43061325</t>
  </si>
  <si>
    <t>CARLOS ESTRADA GREYSI</t>
  </si>
  <si>
    <t>40862556</t>
  </si>
  <si>
    <t>TINTAYA ROJAS WILBERT</t>
  </si>
  <si>
    <t>47473724</t>
  </si>
  <si>
    <t>MAMANI MAMANI SAUL WILSON</t>
  </si>
  <si>
    <t>46984038</t>
  </si>
  <si>
    <t>MAMANI HUILLCA DANTE</t>
  </si>
  <si>
    <t>42723841</t>
  </si>
  <si>
    <t>ORTEGA ALVARADO JACQUELINE NARDY</t>
  </si>
  <si>
    <t>42755402</t>
  </si>
  <si>
    <t>APAZA APAZA ERIKA MARISOL</t>
  </si>
  <si>
    <t>24586468</t>
  </si>
  <si>
    <t>ROMAN BERDEJO CARLOS ALBERTO</t>
  </si>
  <si>
    <t>46261249</t>
  </si>
  <si>
    <t>VARGAS SALHUA ROLANDO</t>
  </si>
  <si>
    <t>24719236</t>
  </si>
  <si>
    <t>CONDORI JIHUALLANCA MILTON</t>
  </si>
  <si>
    <t>43532511</t>
  </si>
  <si>
    <t>YANQUI ARIZABAL AURELIO</t>
  </si>
  <si>
    <t>80402230</t>
  </si>
  <si>
    <t>MOLINA JAQQUEHUA EDY</t>
  </si>
  <si>
    <t>42849113</t>
  </si>
  <si>
    <t>YANQUI ARIZABAL GUIDO AURELIO</t>
  </si>
  <si>
    <t>42841917</t>
  </si>
  <si>
    <t>LOPEZ MACHACA MILUSKA ITHARINA</t>
  </si>
  <si>
    <t>24568182</t>
  </si>
  <si>
    <t>PUMA CHALLCO SEBASTIAN FABIAN</t>
  </si>
  <si>
    <t>45486214</t>
  </si>
  <si>
    <t>TURPO CCAHUATA FRANKLIN</t>
  </si>
  <si>
    <t>24706830</t>
  </si>
  <si>
    <t>TTITO UGARTE IVAN</t>
  </si>
  <si>
    <t>42755413</t>
  </si>
  <si>
    <t>VARGAS PORTILLA CRISTIAN SIXTO</t>
  </si>
  <si>
    <t>41953814</t>
  </si>
  <si>
    <t>JULY TAIRO JULIO CESAR</t>
  </si>
  <si>
    <t>45194801</t>
  </si>
  <si>
    <t>CALLO QUISPE ROSSMERY</t>
  </si>
  <si>
    <t>43056914</t>
  </si>
  <si>
    <t>VELARDE CCALLO JUAN</t>
  </si>
  <si>
    <t>41013309</t>
  </si>
  <si>
    <t>SUMA MONTUFAR TUVIAS</t>
  </si>
  <si>
    <t>43182366</t>
  </si>
  <si>
    <t>TARQUI CHALLCO YESSYCA JACKELINE</t>
  </si>
  <si>
    <t>41831152</t>
  </si>
  <si>
    <t>MAMANI HUAMAN DORIS</t>
  </si>
  <si>
    <t>44137351</t>
  </si>
  <si>
    <t>SOTO MAITA JORGE</t>
  </si>
  <si>
    <t>23988859</t>
  </si>
  <si>
    <t>VILLAFUERTE MANSILLA YERCINIO</t>
  </si>
  <si>
    <t>44310053</t>
  </si>
  <si>
    <t>ROMERO MAMANI DINORA</t>
  </si>
  <si>
    <t>45753698</t>
  </si>
  <si>
    <t>TINCO VASQUEZ MERY</t>
  </si>
  <si>
    <t>47511597</t>
  </si>
  <si>
    <t>CAYO MERMA SHEYMI JHOANA</t>
  </si>
  <si>
    <t>40138814</t>
  </si>
  <si>
    <t>MENDOZA ZAVALA LIDIA</t>
  </si>
  <si>
    <t>41892667</t>
  </si>
  <si>
    <t>CORRALES MALLQUI HORTENCIA</t>
  </si>
  <si>
    <t>73745956</t>
  </si>
  <si>
    <t>QUISPE BARRIENTOS YONI</t>
  </si>
  <si>
    <t>47231182</t>
  </si>
  <si>
    <t>CHAVEZ REYES GYANMARCOS VICENTE</t>
  </si>
  <si>
    <t>45154056</t>
  </si>
  <si>
    <t>SUTTY HUANACO MIRIAM</t>
  </si>
  <si>
    <t>45205536</t>
  </si>
  <si>
    <t>CHILLITUPA ZEVALLOS BERTHA</t>
  </si>
  <si>
    <t>MEDICO ESPECIALISTA</t>
  </si>
  <si>
    <t>40382101</t>
  </si>
  <si>
    <t>QUINTAZI MESTAS ERICK JOEL</t>
  </si>
  <si>
    <t>70281685</t>
  </si>
  <si>
    <t>VILA MEDINA ANA LISSETH</t>
  </si>
  <si>
    <t>41698069</t>
  </si>
  <si>
    <t>CCALLO LAUCATA SOFIA NANCY</t>
  </si>
  <si>
    <t>40890298</t>
  </si>
  <si>
    <t>SANTOS PALOMINO ISAIAS</t>
  </si>
  <si>
    <t>43158129</t>
  </si>
  <si>
    <t>MOROCCO QUISPE SAIDA</t>
  </si>
  <si>
    <t>46632136</t>
  </si>
  <si>
    <t>CHINO PARI JUDI YULMAN</t>
  </si>
  <si>
    <t>46653981</t>
  </si>
  <si>
    <t>BONIFACIO DALENS SOL DELICIA</t>
  </si>
  <si>
    <t>49029582</t>
  </si>
  <si>
    <t>VELÁZQUEZ GONZÁLEZ DE CAMACHO ANILEC</t>
  </si>
  <si>
    <t>40618226</t>
  </si>
  <si>
    <t>VISA PUMA ANA MARIA</t>
  </si>
  <si>
    <t>44609740</t>
  </si>
  <si>
    <t>MAMANI AMARU SILVIA</t>
  </si>
  <si>
    <t>45530121</t>
  </si>
  <si>
    <t>OPORTO OVALLE CESIA</t>
  </si>
  <si>
    <t>47872001</t>
  </si>
  <si>
    <t>RODRIGUEZ CABALLERO MARILYN</t>
  </si>
  <si>
    <t>45632957</t>
  </si>
  <si>
    <t>CORONEL FLOREZ PATRICIA MERCEDES</t>
  </si>
  <si>
    <t>46052795</t>
  </si>
  <si>
    <t>FLOREZ CRUZ AMERICA KAREN</t>
  </si>
  <si>
    <t>47216084</t>
  </si>
  <si>
    <t>VILCA HUARACCALLO LISBE DEISI</t>
  </si>
  <si>
    <t>46899445</t>
  </si>
  <si>
    <t>CONDORI MORIANO MILAGROS</t>
  </si>
  <si>
    <t>47799386</t>
  </si>
  <si>
    <t>MAMANI MENDOZA MARIELA AYDEE</t>
  </si>
  <si>
    <t>42581076</t>
  </si>
  <si>
    <t>CUYO MAMANI KARIN NADIA</t>
  </si>
  <si>
    <t>44137352</t>
  </si>
  <si>
    <t>CAHUANA CANAZA ROXANA</t>
  </si>
  <si>
    <t>45456537</t>
  </si>
  <si>
    <t>COLQUE HANCCO ANGEL MANUEL</t>
  </si>
  <si>
    <t>TRABAJADOR SOCIAL</t>
  </si>
  <si>
    <t>44775033</t>
  </si>
  <si>
    <t>VARGAS MAMANI GUISELLA CARDELY</t>
  </si>
  <si>
    <t>42076920</t>
  </si>
  <si>
    <t>VALENCIA ALANOCA DELIA</t>
  </si>
  <si>
    <t>72893430</t>
  </si>
  <si>
    <t>ARAUJO CAYO ERIKA</t>
  </si>
  <si>
    <t>43931910</t>
  </si>
  <si>
    <t>SARAZA CAHUANA CINDY LUCIA</t>
  </si>
  <si>
    <t>ESPECIALISTA ADMINISTRATIVO I</t>
  </si>
  <si>
    <t>70172914</t>
  </si>
  <si>
    <t>BUSTAMANTE CAHUANA RICHARD EDISON</t>
  </si>
  <si>
    <t>TECNOLOGO MEDICO EN LAB. CLINICO Y ANATOMIA PATOLOGICA</t>
  </si>
  <si>
    <t>44453111</t>
  </si>
  <si>
    <t>OBREGON MOLLINEDO PAMELA</t>
  </si>
  <si>
    <t>46902866</t>
  </si>
  <si>
    <t>PUGA PILLCO LUZ MARINA</t>
  </si>
  <si>
    <t>ESPECIALISTA EN SOPORTE INFORMATICO</t>
  </si>
  <si>
    <t>40518781</t>
  </si>
  <si>
    <t>CHAMBI CCALLA OSWALDO</t>
  </si>
  <si>
    <t>47292088</t>
  </si>
  <si>
    <t>PEÑA MEJIA WENDY STEPHANY</t>
  </si>
  <si>
    <t>73004581</t>
  </si>
  <si>
    <t>FARFAN RODRIGUEZ YULIANA ALEXANDRA</t>
  </si>
  <si>
    <t>MEDICO PSIQUIATRA</t>
  </si>
  <si>
    <t>41925625</t>
  </si>
  <si>
    <t>ESCALANTE MERMA EDITH</t>
  </si>
  <si>
    <t>46499655</t>
  </si>
  <si>
    <t>LOZADA CHILLIHUA VICTOR RAUL</t>
  </si>
  <si>
    <t>43863558</t>
  </si>
  <si>
    <t>ACHAHUI VENTURA RAUL</t>
  </si>
  <si>
    <t>45369281</t>
  </si>
  <si>
    <t>AYALA AQUINO NATALIA</t>
  </si>
  <si>
    <t>42358247</t>
  </si>
  <si>
    <t>VILCA SURCO FLOR PIEDAD</t>
  </si>
  <si>
    <t>24710598</t>
  </si>
  <si>
    <t>MENDOZA PINEDA AMANDA</t>
  </si>
  <si>
    <t>43361208</t>
  </si>
  <si>
    <t>CAHUANA CUMPA YENI</t>
  </si>
  <si>
    <t>06435978</t>
  </si>
  <si>
    <t>BORNAZ URQUIZO NILDA EMILSE</t>
  </si>
  <si>
    <t>45296505</t>
  </si>
  <si>
    <t>LEANDRO CCORAHUA BETTY</t>
  </si>
  <si>
    <t>24706280</t>
  </si>
  <si>
    <t>CHARA CHINO ADELA</t>
  </si>
  <si>
    <t>42421990</t>
  </si>
  <si>
    <t>MAMANI AVEGA LIDIA</t>
  </si>
  <si>
    <t>48253992</t>
  </si>
  <si>
    <t>CORAHUA PHOCCO AMANDA</t>
  </si>
  <si>
    <t>42344476</t>
  </si>
  <si>
    <t>OTAZU VILLAFUERTE ERICK</t>
  </si>
  <si>
    <t>TRABAJADOR DE SERVICIOS GENERALES</t>
  </si>
  <si>
    <t>41864259</t>
  </si>
  <si>
    <t>SANTE HUAYLLANI MARIA MAGDALENA</t>
  </si>
  <si>
    <t>24714178</t>
  </si>
  <si>
    <t>MACEDO HUMEREZ SHANDA LUZ</t>
  </si>
  <si>
    <t>23854787</t>
  </si>
  <si>
    <t>ANDIA ENRIQUEZ LIBERTAD</t>
  </si>
  <si>
    <t>42700378</t>
  </si>
  <si>
    <t>QUISPE JIHUALLANCA HEBER JAIME</t>
  </si>
  <si>
    <t>Interno (de salud)</t>
  </si>
  <si>
    <t>INTERNO DE LA SALUD</t>
  </si>
  <si>
    <t>48212515</t>
  </si>
  <si>
    <t>ANAHUI MAMANI YURY SAMUEL</t>
  </si>
  <si>
    <t>Sin Grupo Ocupacional</t>
  </si>
  <si>
    <t>73148548</t>
  </si>
  <si>
    <t>ASTORGA GUTIERREZ KAREN LILIANA</t>
  </si>
  <si>
    <t>45217151</t>
  </si>
  <si>
    <t>CAMINO CARRASCO EDWARD FERNANDO</t>
  </si>
  <si>
    <t>73974650</t>
  </si>
  <si>
    <t>CAMPOS SEGOVIA SHARMELY</t>
  </si>
  <si>
    <t>73077326</t>
  </si>
  <si>
    <t>CCANA TAIRO ANALI</t>
  </si>
  <si>
    <t>46666980</t>
  </si>
  <si>
    <t>CONDORI CAUCHA ANGELA PATRICIA</t>
  </si>
  <si>
    <t>71867883</t>
  </si>
  <si>
    <t>CONDORI HUARAKA MIRIAN</t>
  </si>
  <si>
    <t>73049145</t>
  </si>
  <si>
    <t>CRUZ HUANCA ANA ISABEL</t>
  </si>
  <si>
    <t>76600445</t>
  </si>
  <si>
    <t>CUTIPA QUISPE ANNI ALEXANDRA</t>
  </si>
  <si>
    <t>71058140</t>
  </si>
  <si>
    <t>FALCON HUANCAHUIRI BRENDA MILAGROS</t>
  </si>
  <si>
    <t>71885963</t>
  </si>
  <si>
    <t>FLOREZ HUACASI GLADYS</t>
  </si>
  <si>
    <t>44314478</t>
  </si>
  <si>
    <t>HUAMAN DELGADO JUAN JOSE</t>
  </si>
  <si>
    <t>74704341</t>
  </si>
  <si>
    <t>LLANCAY PANIHUARA AMSHY CELESTE</t>
  </si>
  <si>
    <t>72525589</t>
  </si>
  <si>
    <t>NAVARRO CACERES LAURA ESTRELLA</t>
  </si>
  <si>
    <t>45453656</t>
  </si>
  <si>
    <t>PAUCAR TITO LIZ SHEILA</t>
  </si>
  <si>
    <t>70243903</t>
  </si>
  <si>
    <t>PINELO CALDERON SAMMY</t>
  </si>
  <si>
    <t>76338528</t>
  </si>
  <si>
    <t>PUMA ENRIQUEZ NAY RUTH</t>
  </si>
  <si>
    <t>47108315</t>
  </si>
  <si>
    <t>SOLIS COMPI YUBISA CAROLINA</t>
  </si>
  <si>
    <t>72328453</t>
  </si>
  <si>
    <t>TARACAYA UGARTE DIOMAR</t>
  </si>
  <si>
    <t>42912363</t>
  </si>
  <si>
    <t>TUMPE QUISPE HUGO ANDHERSON</t>
  </si>
  <si>
    <t>76187590</t>
  </si>
  <si>
    <t>USCAMAYTA APAZA JUAN CARLOS</t>
  </si>
  <si>
    <t>71584015</t>
  </si>
  <si>
    <t>ZAMBRANO OLAVE MINDY</t>
  </si>
  <si>
    <t>76429376</t>
  </si>
  <si>
    <t>ARREDONDO AYMA ARNOLD DANELLY</t>
  </si>
  <si>
    <t>70669879</t>
  </si>
  <si>
    <t>AVILES ABELLANEDA LEO ANTHONY</t>
  </si>
  <si>
    <t>45094823</t>
  </si>
  <si>
    <t>CARDENAS ONOFRIO CRISTIAN BRADIMIR</t>
  </si>
  <si>
    <t>71747007</t>
  </si>
  <si>
    <t>CHAMBI HUAMAN YANDELI VICTORIA</t>
  </si>
  <si>
    <t>73471436</t>
  </si>
  <si>
    <t>CHOQUE TECCSE WINNIE NAIRA</t>
  </si>
  <si>
    <t>47306798</t>
  </si>
  <si>
    <t>GAMARRA PURE YURI HECTOR</t>
  </si>
  <si>
    <t>74526817</t>
  </si>
  <si>
    <t>GUTIERREZ ZARATE YOSELIN</t>
  </si>
  <si>
    <t>72718715</t>
  </si>
  <si>
    <t>MARMANILLO VALENZA RAUL</t>
  </si>
  <si>
    <t>72491448</t>
  </si>
  <si>
    <t>PRADA MUÑOZ JOEL LENON</t>
  </si>
  <si>
    <t>46769005</t>
  </si>
  <si>
    <t>VALENCIA USCACHI FERNANDO HALBER</t>
  </si>
  <si>
    <t>42344529</t>
  </si>
  <si>
    <t>ALARCON CARRION GIOVANNA JACQUELINE</t>
  </si>
  <si>
    <t>40428036</t>
  </si>
  <si>
    <t>PINO FARFAN EVELIM MONICA</t>
  </si>
  <si>
    <t>24001704</t>
  </si>
  <si>
    <t>VALENCIA HERRERA GESTALY</t>
  </si>
  <si>
    <t>40179297</t>
  </si>
  <si>
    <t>COAQUIRA MAMANI RUBEN ULISES</t>
  </si>
  <si>
    <t>40019306</t>
  </si>
  <si>
    <t>ARANA GARCIA ALIDA</t>
  </si>
  <si>
    <t>24003503</t>
  </si>
  <si>
    <t>TORRES VICTORIO HALINE GUADALUPE</t>
  </si>
  <si>
    <t>23992675</t>
  </si>
  <si>
    <t>ESPINOZA VEGA CENTENO JESUS HUMBERTO</t>
  </si>
  <si>
    <t>23979380</t>
  </si>
  <si>
    <t>ARAGON CARRASCO VIOLETA</t>
  </si>
  <si>
    <t>25001595</t>
  </si>
  <si>
    <t>IBARRA GARCIA MARIA SOLEDAD</t>
  </si>
  <si>
    <t>43261508</t>
  </si>
  <si>
    <t>NUÑEZ TORRES JOSHEP JOHAN</t>
  </si>
  <si>
    <t>42104531</t>
  </si>
  <si>
    <t>PAUCAR RAMOS RUTH AYDEE</t>
  </si>
  <si>
    <t>43349830</t>
  </si>
  <si>
    <t>ATAUCHI ZUNIGA CELICA KARINA</t>
  </si>
  <si>
    <t>00551158</t>
  </si>
  <si>
    <t>BANEGAS ACOSTA BLANCA LIDIA</t>
  </si>
  <si>
    <t>ENFERMERA/O ESPECIALISTA</t>
  </si>
  <si>
    <t>31037024</t>
  </si>
  <si>
    <t>CACERES CASAS AIDA ISABEL</t>
  </si>
  <si>
    <t>23999721</t>
  </si>
  <si>
    <t>CCOMPI TACO VIRGINIA</t>
  </si>
  <si>
    <t>40613703</t>
  </si>
  <si>
    <t>CHURA AQUINO ROCIO</t>
  </si>
  <si>
    <t>43472194</t>
  </si>
  <si>
    <t>CORRALES ALVAREZ KATHERINE MONCHY</t>
  </si>
  <si>
    <t>42058857</t>
  </si>
  <si>
    <t>DELGADO CARRASCO EMERIDA</t>
  </si>
  <si>
    <t>44632930</t>
  </si>
  <si>
    <t>ENRIQUEZ QUISPE ROSA ISABEL</t>
  </si>
  <si>
    <t>40356323</t>
  </si>
  <si>
    <t>FLORES APAZA DORA</t>
  </si>
  <si>
    <t>45075104</t>
  </si>
  <si>
    <t>GONZALES CABRERA LIZBETH</t>
  </si>
  <si>
    <t>46093706</t>
  </si>
  <si>
    <t>SALCEDO CORDOVA RUTH NATALY</t>
  </si>
  <si>
    <t>23965462</t>
  </si>
  <si>
    <t>VALDEZ VALDIVIA KARINA</t>
  </si>
  <si>
    <t>42742181</t>
  </si>
  <si>
    <t>VERA LATORRE ROCIO ELIZABET</t>
  </si>
  <si>
    <t>40653661</t>
  </si>
  <si>
    <t>YUPANQUI TTITO LUZ MARINA</t>
  </si>
  <si>
    <t>44975726</t>
  </si>
  <si>
    <t>SOTO DAVALOS LISSY STEFANY</t>
  </si>
  <si>
    <t>42280648</t>
  </si>
  <si>
    <t>HUAMANI FLORES MARLUBE</t>
  </si>
  <si>
    <t>44116519</t>
  </si>
  <si>
    <t>MACEDO RUPA LEYLIT</t>
  </si>
  <si>
    <t>41886174</t>
  </si>
  <si>
    <t>MORA ALVAREZ LUZ ELIANA</t>
  </si>
  <si>
    <t>80018451</t>
  </si>
  <si>
    <t>HURTADO PEÑA SILMA</t>
  </si>
  <si>
    <t>42311912</t>
  </si>
  <si>
    <t>CHALLCO GARCIA CARLOS FELIX</t>
  </si>
  <si>
    <t>23998721</t>
  </si>
  <si>
    <t>CUADROS CCONOCUICA DINA CHARLES</t>
  </si>
  <si>
    <t>46051681</t>
  </si>
  <si>
    <t>LOCUMBER QUISPE LISETH CATHARINE</t>
  </si>
  <si>
    <t>44649215</t>
  </si>
  <si>
    <t>SANTISTEBAN QUISPE EVELIN ENITH</t>
  </si>
  <si>
    <t>43224038</t>
  </si>
  <si>
    <t>MORMONTOY HEREDIA HELEM JESENIA</t>
  </si>
  <si>
    <t>43684800</t>
  </si>
  <si>
    <t>LA TORRE ARROYO MAHARANI</t>
  </si>
  <si>
    <t>40489612</t>
  </si>
  <si>
    <t>RIVERA ZUÑIGA HORTENSIA</t>
  </si>
  <si>
    <t>40519912</t>
  </si>
  <si>
    <t>RODRIGUEZ FLOREZ NOHEMI</t>
  </si>
  <si>
    <t>40836440</t>
  </si>
  <si>
    <t>ASCUE ESCALANTE LISSETH</t>
  </si>
  <si>
    <t>25000109</t>
  </si>
  <si>
    <t>CCORIMANYA CATALAN KARINA</t>
  </si>
  <si>
    <t>41848442</t>
  </si>
  <si>
    <t>HOLGUIN GARATE KATERINE</t>
  </si>
  <si>
    <t>43201543</t>
  </si>
  <si>
    <t>PACHECO ZAPANA MARIA ELENA</t>
  </si>
  <si>
    <t>44425938</t>
  </si>
  <si>
    <t>OVIEDO LICONA YOVANA ASUNCION</t>
  </si>
  <si>
    <t>OPERADOR DE EQUIPO MEDICO</t>
  </si>
  <si>
    <t>23999220</t>
  </si>
  <si>
    <t>VALDIVIA ALVAREZ EDWIN</t>
  </si>
  <si>
    <t>23967552</t>
  </si>
  <si>
    <t>AGUILAR JORGE NELLY</t>
  </si>
  <si>
    <t>44797438</t>
  </si>
  <si>
    <t>ALFARO PERCCA NANCY</t>
  </si>
  <si>
    <t>41915367</t>
  </si>
  <si>
    <t>ARANYA HUARCA LUZ MARINA</t>
  </si>
  <si>
    <t>41980533</t>
  </si>
  <si>
    <t>AYQUIPA TAMAYO KARINA</t>
  </si>
  <si>
    <t>70376404</t>
  </si>
  <si>
    <t>CANDIA OCHOA EVELIN</t>
  </si>
  <si>
    <t>47518244</t>
  </si>
  <si>
    <t>CONDORI HUAYTA MAIRA ALEXANDRA</t>
  </si>
  <si>
    <t>24000107</t>
  </si>
  <si>
    <t>DAZA MAYO ANA MARUJA</t>
  </si>
  <si>
    <t>23978331</t>
  </si>
  <si>
    <t>GUZMAN FIGUEROA TRICIA JESUS</t>
  </si>
  <si>
    <t>23960760</t>
  </si>
  <si>
    <t>MAMANI MAMANI EPIFANIA</t>
  </si>
  <si>
    <t>42938679</t>
  </si>
  <si>
    <t>MARCA ZEVALLOS DINA ALEJANDRINA</t>
  </si>
  <si>
    <t>40072439</t>
  </si>
  <si>
    <t>MARIN DAVILA MARIA EUGENIA</t>
  </si>
  <si>
    <t>43905543</t>
  </si>
  <si>
    <t>MARIN DAVILA WILFREDO</t>
  </si>
  <si>
    <t>45453653</t>
  </si>
  <si>
    <t>QUISPE MALDONADO ERNESTO</t>
  </si>
  <si>
    <t>47459948</t>
  </si>
  <si>
    <t>QUISPE MENDOZA LIZ CECILIA</t>
  </si>
  <si>
    <t>24388862</t>
  </si>
  <si>
    <t>ROCCA HUALLPA BERTHA</t>
  </si>
  <si>
    <t>40324914</t>
  </si>
  <si>
    <t>SALOMA GERONIMO AGUSTINA</t>
  </si>
  <si>
    <t>41109373</t>
  </si>
  <si>
    <t>TTITO MOJONERO CARLA YANET</t>
  </si>
  <si>
    <t>40638365</t>
  </si>
  <si>
    <t>BARRIOS CARHUARUPAY CARMEN</t>
  </si>
  <si>
    <t>43112629</t>
  </si>
  <si>
    <t>CERVANTES ALVAREZ JOVITA</t>
  </si>
  <si>
    <t>41313036</t>
  </si>
  <si>
    <t>GAMARRA SALLO MAGALY</t>
  </si>
  <si>
    <t>23940409</t>
  </si>
  <si>
    <t>MAMANI MAMANI VIRGINIA</t>
  </si>
  <si>
    <t>47345264</t>
  </si>
  <si>
    <t>PUMA GUZMAN NINFA</t>
  </si>
  <si>
    <t>44935276</t>
  </si>
  <si>
    <t>BOLAÑOS GUZMAN YOLA</t>
  </si>
  <si>
    <t>43841760</t>
  </si>
  <si>
    <t>DIAZ ALTAMIRANO MARIA LUZ</t>
  </si>
  <si>
    <t>47705982</t>
  </si>
  <si>
    <t>GONZALES TARACAYA JUDITH</t>
  </si>
  <si>
    <t>44691028</t>
  </si>
  <si>
    <t>ARANA ORTIZ ANA MADELEYNE</t>
  </si>
  <si>
    <t>45034058</t>
  </si>
  <si>
    <t>MOSCOSO GAMARRA RUTH MERY</t>
  </si>
  <si>
    <t>44946004</t>
  </si>
  <si>
    <t>FERNANDEZ QUISPE ROSALINA</t>
  </si>
  <si>
    <t>46244546</t>
  </si>
  <si>
    <t>INQUILTUPA HUAMAN YENNY</t>
  </si>
  <si>
    <t>72778288</t>
  </si>
  <si>
    <t>PALMA CAMPANA RICHARD</t>
  </si>
  <si>
    <t>AUXILIAR DE NUTRICION</t>
  </si>
  <si>
    <t>45710250</t>
  </si>
  <si>
    <t>LIZARRAGA FUENTES LISSETH</t>
  </si>
  <si>
    <t>41053505</t>
  </si>
  <si>
    <t>RODRIGUEZ CALLAÑAUPA MAGDALENA</t>
  </si>
  <si>
    <t>23998498</t>
  </si>
  <si>
    <t>VARGAS CHICLLA LILIA</t>
  </si>
  <si>
    <t>41068327</t>
  </si>
  <si>
    <t>ZUBILETA ALEGRE EDITH</t>
  </si>
  <si>
    <t>CONTADOR GENERAL</t>
  </si>
  <si>
    <t>23924306</t>
  </si>
  <si>
    <t>HUAMAN LLIHUAC EFRAIN</t>
  </si>
  <si>
    <t>41604332</t>
  </si>
  <si>
    <t>TARCO ECOS YULY</t>
  </si>
  <si>
    <t>TECNICO EN COMPUTACION E INFORMATICA</t>
  </si>
  <si>
    <t>41027906</t>
  </si>
  <si>
    <t>GUZMAN VARGAS JHESSEL</t>
  </si>
  <si>
    <t>45205525</t>
  </si>
  <si>
    <t>LUNA MAQUERHUA NELSON MOISES</t>
  </si>
  <si>
    <t>73504542</t>
  </si>
  <si>
    <t>PFOCCO MACEDO CRISTIAN</t>
  </si>
  <si>
    <t>41954896</t>
  </si>
  <si>
    <t>QUISPE PAREJA CARLOS</t>
  </si>
  <si>
    <t>40871973</t>
  </si>
  <si>
    <t>VALENCIA CORDOVA ROCIO EUNICE</t>
  </si>
  <si>
    <t>TRABAJADOR DE SERVICIOS</t>
  </si>
  <si>
    <t>72310257</t>
  </si>
  <si>
    <t>APAZA VELEZ CATHERINE MEDALITH</t>
  </si>
  <si>
    <t>41888541</t>
  </si>
  <si>
    <t>ALVARADO BRAVO ROCKY</t>
  </si>
  <si>
    <t>02439343</t>
  </si>
  <si>
    <t>APAZA ROJAS AGAPITA</t>
  </si>
  <si>
    <t>23980393</t>
  </si>
  <si>
    <t>CALANCHE CUSIHUAMAN GUILLERMO</t>
  </si>
  <si>
    <t>23995988</t>
  </si>
  <si>
    <t>CARBAJAL VICTORIA ROSA</t>
  </si>
  <si>
    <t>40927423</t>
  </si>
  <si>
    <t>CONDE ALMANZA YULIANA</t>
  </si>
  <si>
    <t>25198672</t>
  </si>
  <si>
    <t>CUTIRE MAMANI JULIANA</t>
  </si>
  <si>
    <t>23944061</t>
  </si>
  <si>
    <t>ESTRADA MELENDEZ PEDRO DAVID</t>
  </si>
  <si>
    <t>43399782</t>
  </si>
  <si>
    <t>GARATE GALLEGOS JUAN GABRIEL</t>
  </si>
  <si>
    <t>80087664</t>
  </si>
  <si>
    <t>HERMOZA ARMUTO WALTER TORIBIO</t>
  </si>
  <si>
    <t>40309164</t>
  </si>
  <si>
    <t>HERMOZA PINEDO HORTENCIA</t>
  </si>
  <si>
    <t>23998056</t>
  </si>
  <si>
    <t>LEON HUAMAN MADLENE</t>
  </si>
  <si>
    <t>42625956</t>
  </si>
  <si>
    <t>MANDORA PACCO HILDA</t>
  </si>
  <si>
    <t>23954935</t>
  </si>
  <si>
    <t>MARTINEZ NUÑEZ DEL PRADO JESUS WILFREDO</t>
  </si>
  <si>
    <t>40086225</t>
  </si>
  <si>
    <t>GUTIERREZ HUANCA NATIVIDAD</t>
  </si>
  <si>
    <t>43102570</t>
  </si>
  <si>
    <t>OJEDA VILCA MIGUEL ANGEL</t>
  </si>
  <si>
    <t>23958528</t>
  </si>
  <si>
    <t>PAULLO HUILLCA LUZ MARINA</t>
  </si>
  <si>
    <t>23998258</t>
  </si>
  <si>
    <t>POMPILLA LA HERMOZA IVAN ALEXANDER</t>
  </si>
  <si>
    <t>43425563</t>
  </si>
  <si>
    <t>MUÑOZ ALFEREZ WILBERT ANGEL</t>
  </si>
  <si>
    <t>40228181</t>
  </si>
  <si>
    <t>ROJAS CHIPANA CESAR ANTONIO</t>
  </si>
  <si>
    <t>40225950</t>
  </si>
  <si>
    <t>ROMERO CHAVEZ EDITH</t>
  </si>
  <si>
    <t>23991061</t>
  </si>
  <si>
    <t>SALCEDO QUISPE JOSE LUIS</t>
  </si>
  <si>
    <t>45485391</t>
  </si>
  <si>
    <t>TECSE AFAN ARTURO</t>
  </si>
  <si>
    <t>41122234</t>
  </si>
  <si>
    <t>YANQUI APAZA LUIS HUGO</t>
  </si>
  <si>
    <t>42239493</t>
  </si>
  <si>
    <t>MENDOZA QUECAÑO DINORA KATY</t>
  </si>
  <si>
    <t>TECNOLOGO MEDICO</t>
  </si>
  <si>
    <t>70765772</t>
  </si>
  <si>
    <t>PAUCCA LANDEO PERCY ROMARIO</t>
  </si>
  <si>
    <t>46348025</t>
  </si>
  <si>
    <t>QUISPE ROSAS JULY ELIZABETH</t>
  </si>
  <si>
    <t>42195743</t>
  </si>
  <si>
    <t>ALENCASTRE LLANOS ELOY</t>
  </si>
  <si>
    <t>46293048</t>
  </si>
  <si>
    <t>SENCIA HUACHO MARGOT</t>
  </si>
  <si>
    <t>43537583</t>
  </si>
  <si>
    <t>CARHUAVILCA GAMBOA YELIN HASSETZ</t>
  </si>
  <si>
    <t>45888038</t>
  </si>
  <si>
    <t>CARO MIRANDA JENNY ACENETH</t>
  </si>
  <si>
    <t>41951241</t>
  </si>
  <si>
    <t>CJURO HUACAC JACQUELINE ANGELICA</t>
  </si>
  <si>
    <t>23934248</t>
  </si>
  <si>
    <t>FUENTES HUARHUA MARIA LILIA</t>
  </si>
  <si>
    <t>42664236</t>
  </si>
  <si>
    <t>HUAYLLANI PUMA KATHERINE MARIA</t>
  </si>
  <si>
    <t>44131846</t>
  </si>
  <si>
    <t>MERINO DUEÑAS LIZNABEL</t>
  </si>
  <si>
    <t>40166275</t>
  </si>
  <si>
    <t>MINGA GUZMAN LUZ MARINA</t>
  </si>
  <si>
    <t>23982821</t>
  </si>
  <si>
    <t>ANDIA SANCHEZ MILAGROS YESENIA</t>
  </si>
  <si>
    <t>43190679</t>
  </si>
  <si>
    <t>CAHUA ROJAS MERY</t>
  </si>
  <si>
    <t>47800053</t>
  </si>
  <si>
    <t>CAMACHO CHOQQUE DEYSI</t>
  </si>
  <si>
    <t>47441318</t>
  </si>
  <si>
    <t>CJUNO VELASQUE MARTHA</t>
  </si>
  <si>
    <t>72903842</t>
  </si>
  <si>
    <t>DIAZ ARANIBAR YANET</t>
  </si>
  <si>
    <t>43267153</t>
  </si>
  <si>
    <t>ALARCON LUJAN FIORELLA OLINDA</t>
  </si>
  <si>
    <t>23983534</t>
  </si>
  <si>
    <t>CURI URBINA RINA</t>
  </si>
  <si>
    <t>OPERADOR PAD</t>
  </si>
  <si>
    <t>44188997</t>
  </si>
  <si>
    <t>CHAMBI HUILLCA JONNY JIMMY</t>
  </si>
  <si>
    <t>23998353</t>
  </si>
  <si>
    <t>CHAPARRO VARGAS ALEX</t>
  </si>
  <si>
    <t>40525892</t>
  </si>
  <si>
    <t>HUALLPA DORADO PERCY</t>
  </si>
  <si>
    <t>23885736</t>
  </si>
  <si>
    <t>MOSCOSO MORALES WILBERT ROBERTO</t>
  </si>
  <si>
    <t>42898389</t>
  </si>
  <si>
    <t>PAUCAR ZEGARRA KARHOL</t>
  </si>
  <si>
    <t>40705833</t>
  </si>
  <si>
    <t>MONZON SALAS LUZ MARINA</t>
  </si>
  <si>
    <t>41229369</t>
  </si>
  <si>
    <t>OCHOA CHALLCO ORFILIA NANCY</t>
  </si>
  <si>
    <t>44594964</t>
  </si>
  <si>
    <t>ORE SEGOVIA XIOMARA LISETH</t>
  </si>
  <si>
    <t>41895335</t>
  </si>
  <si>
    <t>PEREZ FERNANDEZ SANDRA VERONICA</t>
  </si>
  <si>
    <t>23801827</t>
  </si>
  <si>
    <t>COA CUNO GUDITH</t>
  </si>
  <si>
    <t>41596696</t>
  </si>
  <si>
    <t>QUISPE MACEDO MARCO JAVIER</t>
  </si>
  <si>
    <t>46062394</t>
  </si>
  <si>
    <t>TAIPE CANO MIRYAN</t>
  </si>
  <si>
    <t>40773030</t>
  </si>
  <si>
    <t>PINO LLAMOCCA LAURA</t>
  </si>
  <si>
    <t>44120282</t>
  </si>
  <si>
    <t>RODRIGUEZ LOAIZA JOHANNA</t>
  </si>
  <si>
    <t>45007492</t>
  </si>
  <si>
    <t>SAIRE SOTO KATI ROXANA</t>
  </si>
  <si>
    <t>43787162</t>
  </si>
  <si>
    <t>VILLA QUISPE EDITH LAURA</t>
  </si>
  <si>
    <t>47511614</t>
  </si>
  <si>
    <t>VILLAVICENCIO CONDORI YENI</t>
  </si>
  <si>
    <t>40082619</t>
  </si>
  <si>
    <t>HUAMAN ROCA MARGOT</t>
  </si>
  <si>
    <t>46026620</t>
  </si>
  <si>
    <t>GUTIERREZ HUARCAY ROCIO</t>
  </si>
  <si>
    <t>46502967</t>
  </si>
  <si>
    <t>LIRA CCAHUAYA FLOR DE MARIA</t>
  </si>
  <si>
    <t>44694620</t>
  </si>
  <si>
    <t>LOAYZA ALVAREZ YURI JONAS</t>
  </si>
  <si>
    <t>42308437</t>
  </si>
  <si>
    <t>HUAMAN YUCA ANDREA JERONIMA</t>
  </si>
  <si>
    <t>45109033</t>
  </si>
  <si>
    <t>MOROCCOLLA QUINTANILLA BIDALINA</t>
  </si>
  <si>
    <t>40544530</t>
  </si>
  <si>
    <t>LUNA MAQUERHUA ROSA MARIA</t>
  </si>
  <si>
    <t>40640817</t>
  </si>
  <si>
    <t>OJEDA CRUZ MILAGROS</t>
  </si>
  <si>
    <t>44397838</t>
  </si>
  <si>
    <t>ORTIZ BUSTAMANTE FRANK JESUS</t>
  </si>
  <si>
    <t>48176969</t>
  </si>
  <si>
    <t>QUISPE CCOLQUE ELIZABETH</t>
  </si>
  <si>
    <t>41640415</t>
  </si>
  <si>
    <t>RONDON ALVAREZ MIRIAN</t>
  </si>
  <si>
    <t>42171607</t>
  </si>
  <si>
    <t>SIHUIN CHACMANA MARIA SOLEDAD</t>
  </si>
  <si>
    <t>24001947</t>
  </si>
  <si>
    <t>PERALTA HUAMAN MARIBEL</t>
  </si>
  <si>
    <t>41244338</t>
  </si>
  <si>
    <t>VALDEIGLESIAS GUERREROS MANUELA</t>
  </si>
  <si>
    <t>01696249</t>
  </si>
  <si>
    <t>ZUÑIGA GUTIERREZ JULIA TERESA</t>
  </si>
  <si>
    <t>ESPECIALISTA EN SALUD PUBLICA I</t>
  </si>
  <si>
    <t>42860563</t>
  </si>
  <si>
    <t>NINA ABRILL KELY</t>
  </si>
  <si>
    <t>45304948</t>
  </si>
  <si>
    <t>TORRES DIAZ CELIA ALEXANDRA</t>
  </si>
  <si>
    <t>45402259</t>
  </si>
  <si>
    <t>PAZ CALLAPIÑA YUSBEN</t>
  </si>
  <si>
    <t>45113031</t>
  </si>
  <si>
    <t>ABRILL TAIPE MARIA ISABEL</t>
  </si>
  <si>
    <t>24005790</t>
  </si>
  <si>
    <t>MELGAREJO CHACON NIDIA</t>
  </si>
  <si>
    <t>25218459</t>
  </si>
  <si>
    <t>ARANA GARCIA ENRIQUE</t>
  </si>
  <si>
    <t>43708303</t>
  </si>
  <si>
    <t>CONTRERAS ESTUMBELO LEONITH VERONICA</t>
  </si>
  <si>
    <t>42516267</t>
  </si>
  <si>
    <t>BRICEÑO MARMANILLO HILDA YANINA</t>
  </si>
  <si>
    <t>43543503</t>
  </si>
  <si>
    <t>TAGLE GORBEÑA MAGALY</t>
  </si>
  <si>
    <t>40939223</t>
  </si>
  <si>
    <t>CUSIHUALLPA BELLIDO HAYDEE</t>
  </si>
  <si>
    <t>41549283</t>
  </si>
  <si>
    <t>ÑAUPA QUISPE CRIS ELIANA</t>
  </si>
  <si>
    <t>42808100</t>
  </si>
  <si>
    <t>QUISPE BELLIDO YOLA YADMIN</t>
  </si>
  <si>
    <t>41821820</t>
  </si>
  <si>
    <t>TAPIA DELGADO BHELU</t>
  </si>
  <si>
    <t>42150500</t>
  </si>
  <si>
    <t>MOSCOSO CACERES MAGALI</t>
  </si>
  <si>
    <t>23994476</t>
  </si>
  <si>
    <t>GARCIA TURPO LIZ EDITH</t>
  </si>
  <si>
    <t>23860625</t>
  </si>
  <si>
    <t>VASQUEZ ACOSTA MARISOL</t>
  </si>
  <si>
    <t>01327205</t>
  </si>
  <si>
    <t>GARATE ESQUIVEL GRETTY MARLENY</t>
  </si>
  <si>
    <t>42664213</t>
  </si>
  <si>
    <t>ENRIQUEZ TISOC GLADYS</t>
  </si>
  <si>
    <t>70005477</t>
  </si>
  <si>
    <t>CANDIA RIVERA ELIZABETH</t>
  </si>
  <si>
    <t>42921645</t>
  </si>
  <si>
    <t>RIVERA PACHIÑO BEATRIZ</t>
  </si>
  <si>
    <t>44131716</t>
  </si>
  <si>
    <t>RODRIGUEZ ZEA RUTH FIORELA</t>
  </si>
  <si>
    <t>46423398</t>
  </si>
  <si>
    <t>CUTIRE ARCE JAIME ALBERTO</t>
  </si>
  <si>
    <t>TECNOLOGO MEDICO EN RADIOLOGIA</t>
  </si>
  <si>
    <t>47332490</t>
  </si>
  <si>
    <t>BLAS AGUILAR SERGIO ERNESTO</t>
  </si>
  <si>
    <t>47113581</t>
  </si>
  <si>
    <t>APARICIO VALENCIA MARIA</t>
  </si>
  <si>
    <t>41456202</t>
  </si>
  <si>
    <t>VERA ZAMORA ROSA</t>
  </si>
  <si>
    <t>40712526</t>
  </si>
  <si>
    <t>FERNANDEZ VELASQUEZ SOLEDAD</t>
  </si>
  <si>
    <t>43202112</t>
  </si>
  <si>
    <t>MONTESINOS MENDOZA MELVA</t>
  </si>
  <si>
    <t>08491532</t>
  </si>
  <si>
    <t>RAMIREZ GUILLEN NERI</t>
  </si>
  <si>
    <t>43019899</t>
  </si>
  <si>
    <t>TECSI FLORES MARIA SOCORRO</t>
  </si>
  <si>
    <t>47572340</t>
  </si>
  <si>
    <t>ARNADO CACERES YAKELINE</t>
  </si>
  <si>
    <t>23982082</t>
  </si>
  <si>
    <t>FARFAN CACERES BERNARDINO</t>
  </si>
  <si>
    <t>23992849</t>
  </si>
  <si>
    <t>SANTANDER MUJICA EDWARD</t>
  </si>
  <si>
    <t>44455091</t>
  </si>
  <si>
    <t>TRUJILLO GRANDEZ ADRIANO YOVANNY</t>
  </si>
  <si>
    <t>42473870</t>
  </si>
  <si>
    <t>TRUJILLO VILLALTA LIZ GOYA</t>
  </si>
  <si>
    <t>23947267</t>
  </si>
  <si>
    <t>JIMENEZ SAYRE JUANA</t>
  </si>
  <si>
    <t>44966922</t>
  </si>
  <si>
    <t>MEZA APAZA LIVIA KAROL</t>
  </si>
  <si>
    <t>24367451</t>
  </si>
  <si>
    <t>NINA CATARI MARTHA MARUJA</t>
  </si>
  <si>
    <t>DIGITALIZADOR</t>
  </si>
  <si>
    <t>47202718</t>
  </si>
  <si>
    <t>RODRIGUEZ MIRANDA ABEL</t>
  </si>
  <si>
    <t>23996065</t>
  </si>
  <si>
    <t>ASTETE HUAYLLA CLELIA ROSSI</t>
  </si>
  <si>
    <t>40866010</t>
  </si>
  <si>
    <t>PAUCAR KCANA FERNANDO</t>
  </si>
  <si>
    <t>40752415</t>
  </si>
  <si>
    <t>ALVAREZ CAPCHA LOURDES</t>
  </si>
  <si>
    <t>46337705</t>
  </si>
  <si>
    <t>CCANCHI ZARATE KERLY PAMELA</t>
  </si>
  <si>
    <t>41956137</t>
  </si>
  <si>
    <t>CHAPARRO VELASQUEZ JANET</t>
  </si>
  <si>
    <t>45026848</t>
  </si>
  <si>
    <t>CORTEZ HUAMAN YESSI KAROL</t>
  </si>
  <si>
    <t>40326593</t>
  </si>
  <si>
    <t>CUBA GAMARRA MELISSA</t>
  </si>
  <si>
    <t>43861202</t>
  </si>
  <si>
    <t>DELGADO HUAMANTUPA MONICA</t>
  </si>
  <si>
    <t>42458202</t>
  </si>
  <si>
    <t>GONZALES ROCHA FANI</t>
  </si>
  <si>
    <t>46133319</t>
  </si>
  <si>
    <t>HALANOCA QUISPE LINDA CATERIN</t>
  </si>
  <si>
    <t>40712027</t>
  </si>
  <si>
    <t>HUILLCA NINACO YULY</t>
  </si>
  <si>
    <t>41388118</t>
  </si>
  <si>
    <t>JIMENEZ POLAR JHANIZE IRENE</t>
  </si>
  <si>
    <t>41935825</t>
  </si>
  <si>
    <t>LAROTA CALLOQUISPE MATILDE FLORENCIA</t>
  </si>
  <si>
    <t>44129110</t>
  </si>
  <si>
    <t>MAÑACCASA PANIURA NANCY</t>
  </si>
  <si>
    <t>45558783</t>
  </si>
  <si>
    <t>MUJICA AYALA MELISSA ADRIANA</t>
  </si>
  <si>
    <t>42733008</t>
  </si>
  <si>
    <t>MUJICA AYALA SONIA LEONOR</t>
  </si>
  <si>
    <t>42370890</t>
  </si>
  <si>
    <t>PIROMALLY GARCIA ANNY EUFEMIA</t>
  </si>
  <si>
    <t>41105725</t>
  </si>
  <si>
    <t>PITA ARZUBIALDE NOEMI ISABEL</t>
  </si>
  <si>
    <t>45469976</t>
  </si>
  <si>
    <t>POCCORY MACEDO ROSMERY</t>
  </si>
  <si>
    <t>41130001</t>
  </si>
  <si>
    <t>SERRANO MAKERHUA YULY</t>
  </si>
  <si>
    <t>42332581</t>
  </si>
  <si>
    <t>CACERES LIMACHI MERY</t>
  </si>
  <si>
    <t>23941201</t>
  </si>
  <si>
    <t>CERVANTES BUSTAMANTE TANIA MARLENY</t>
  </si>
  <si>
    <t>42699725</t>
  </si>
  <si>
    <t>LOVATON CARMONA MARIA JESUS</t>
  </si>
  <si>
    <t>42843088</t>
  </si>
  <si>
    <t>OCHOA BARCENA ZUELY</t>
  </si>
  <si>
    <t>24000345</t>
  </si>
  <si>
    <t>SALAZAR CONTRERAS RUTH</t>
  </si>
  <si>
    <t>44943067</t>
  </si>
  <si>
    <t>GARCIA RIVERA VANESA</t>
  </si>
  <si>
    <t>41418347</t>
  </si>
  <si>
    <t>VELARDE MONZON LIUDVINKA</t>
  </si>
  <si>
    <t>23954828</t>
  </si>
  <si>
    <t>MEDRANO CONTRERAS DINA</t>
  </si>
  <si>
    <t>42256260</t>
  </si>
  <si>
    <t>OLIVERA CONDORI KARINA</t>
  </si>
  <si>
    <t>41435423</t>
  </si>
  <si>
    <t>HUACAC DE LA VEGA ROSSI MARY</t>
  </si>
  <si>
    <t>43890856</t>
  </si>
  <si>
    <t>LOAIZA JARA LISSET GUADALUPE</t>
  </si>
  <si>
    <t>42162351</t>
  </si>
  <si>
    <t>PINO HUANCA SUSAN MARIBEL</t>
  </si>
  <si>
    <t>40394315</t>
  </si>
  <si>
    <t>CARBAJAL SICLLA MARIA MILAGROS</t>
  </si>
  <si>
    <t>41247455</t>
  </si>
  <si>
    <t>LLANOS RODRIGUEZ PAZZIS MARITZA</t>
  </si>
  <si>
    <t>40262517</t>
  </si>
  <si>
    <t>RODRIGUEZ CHAVEZ JAILAN</t>
  </si>
  <si>
    <t>ESPECIALISTA EN COMPUTO E INFORMATICA</t>
  </si>
  <si>
    <t>42057885</t>
  </si>
  <si>
    <t>CASTILLA CONDORI JHULVER RENAN</t>
  </si>
  <si>
    <t>47685587</t>
  </si>
  <si>
    <t>HUILLCA APAZA KATERINE</t>
  </si>
  <si>
    <t>40567229</t>
  </si>
  <si>
    <t>AGUILAR TACUSI ARNALDO</t>
  </si>
  <si>
    <t>06273580</t>
  </si>
  <si>
    <t>ANCON SOLIS GEOVANNI</t>
  </si>
  <si>
    <t>24001973</t>
  </si>
  <si>
    <t>FUENTES VEGA JOSE ANTONIO</t>
  </si>
  <si>
    <t>09535477</t>
  </si>
  <si>
    <t>TORRE ISLA PEDRO ABRAHAM</t>
  </si>
  <si>
    <t>42416735</t>
  </si>
  <si>
    <t>CUEVAS CISNEROS JIMY WILLIAMS</t>
  </si>
  <si>
    <t>40286490</t>
  </si>
  <si>
    <t>CACERES PEÑALVA YEMIS</t>
  </si>
  <si>
    <t>41743198</t>
  </si>
  <si>
    <t>SARMIENTO VALVERDE GEORGINA SILVIA</t>
  </si>
  <si>
    <t>23893327</t>
  </si>
  <si>
    <t>COANQUI GONZALES WOLFRAM CALIXTO</t>
  </si>
  <si>
    <t>24003963</t>
  </si>
  <si>
    <t>GARCIA VERA YANET ZENOVIA</t>
  </si>
  <si>
    <t>40567098</t>
  </si>
  <si>
    <t>GUEVARA FARFAN CARMEN FANNY</t>
  </si>
  <si>
    <t>23989305</t>
  </si>
  <si>
    <t>MOSCOSO ZAPATA MARIA YSABEL</t>
  </si>
  <si>
    <t>41793448</t>
  </si>
  <si>
    <t>ARZUBIALDE GAMARRA PAMELA</t>
  </si>
  <si>
    <t>40088473</t>
  </si>
  <si>
    <t>CORDERO SANCHEZ LEYDA</t>
  </si>
  <si>
    <t>23980859</t>
  </si>
  <si>
    <t>SALAS VELASQUEZ JOSE ANTONIO</t>
  </si>
  <si>
    <t>41894466</t>
  </si>
  <si>
    <t>LOPEZ LENES KERCY FERDINAND</t>
  </si>
  <si>
    <t>80060484</t>
  </si>
  <si>
    <t>ACO CORRALES MARGOT MARITZA</t>
  </si>
  <si>
    <t>41229043</t>
  </si>
  <si>
    <t>HUAMAN LA TORRE YELINA YESHICA</t>
  </si>
  <si>
    <t>24716993</t>
  </si>
  <si>
    <t>ARENAS QUISPE NANCY</t>
  </si>
  <si>
    <t>23865782</t>
  </si>
  <si>
    <t>BELLIDO CALANCHI AMANDINA</t>
  </si>
  <si>
    <t>23915937</t>
  </si>
  <si>
    <t>ROMAN ARENAS ASUNCION VICTORIA</t>
  </si>
  <si>
    <t>40024314</t>
  </si>
  <si>
    <t>ESPEJO FARFAN HELARD EDISON</t>
  </si>
  <si>
    <t>23849819</t>
  </si>
  <si>
    <t>ALEGRIA HUAMAN JULIO CESAR</t>
  </si>
  <si>
    <t>72318782</t>
  </si>
  <si>
    <t>QUISPE ROMAN SANDRA SONIA</t>
  </si>
  <si>
    <t>44118241</t>
  </si>
  <si>
    <t>PUMA QQUILLE JUSTINO</t>
  </si>
  <si>
    <t>45230934</t>
  </si>
  <si>
    <t>FUENTES VARGAS MILAGROS</t>
  </si>
  <si>
    <t>24005800</t>
  </si>
  <si>
    <t>SOSA HUAMAN IVAN</t>
  </si>
  <si>
    <t>42643948</t>
  </si>
  <si>
    <t>AQUINO ROCCA LUZMILA</t>
  </si>
  <si>
    <t>23878489</t>
  </si>
  <si>
    <t>FUENTES MORALES MATILDE</t>
  </si>
  <si>
    <t>42208888</t>
  </si>
  <si>
    <t>PEREZ RAYO KATIA ROSSI</t>
  </si>
  <si>
    <t>44835564</t>
  </si>
  <si>
    <t>CABALLERO SAIRE YESENIA</t>
  </si>
  <si>
    <t>40705281</t>
  </si>
  <si>
    <t>CALLA SUAREZ YOVANA</t>
  </si>
  <si>
    <t>41088237</t>
  </si>
  <si>
    <t>CASTAÑEDA ESPEJO MARYLUZ AVELINA</t>
  </si>
  <si>
    <t>47952020</t>
  </si>
  <si>
    <t>CJURO CUSIQUISPE GRIMALDINA</t>
  </si>
  <si>
    <t>41439525</t>
  </si>
  <si>
    <t>DELGADO CHURATA ANA MARIA</t>
  </si>
  <si>
    <t>40835154</t>
  </si>
  <si>
    <t>GUTIERREZ CALLAPIÑA JUDITH BARBARA</t>
  </si>
  <si>
    <t>42639864</t>
  </si>
  <si>
    <t>HURTADO CCANA SONIA MERCEDES</t>
  </si>
  <si>
    <t>41709055</t>
  </si>
  <si>
    <t>MEZA DURAN RUCCI</t>
  </si>
  <si>
    <t>46544284</t>
  </si>
  <si>
    <t>MONTES NAVARRO JAQUELIN</t>
  </si>
  <si>
    <t>43770049</t>
  </si>
  <si>
    <t>PUMA PANUERA DORIS</t>
  </si>
  <si>
    <t>41041469</t>
  </si>
  <si>
    <t>RODRIGUEZ CALLAÑAUPA PILAR</t>
  </si>
  <si>
    <t>42843099</t>
  </si>
  <si>
    <t>TITO QUISPE HECTOR ABEL</t>
  </si>
  <si>
    <t>42810488</t>
  </si>
  <si>
    <t>ZUÑIGA GUTIERREZ ELOIZA MARCELA</t>
  </si>
  <si>
    <t>43171643</t>
  </si>
  <si>
    <t>PALOMINO RADO ELIZABETH</t>
  </si>
  <si>
    <t>23929104</t>
  </si>
  <si>
    <t>HUILLCAHUAMAN LOAYZA GLORIA</t>
  </si>
  <si>
    <t>40543402</t>
  </si>
  <si>
    <t>VELASQUE CAMARA REINA LUZ</t>
  </si>
  <si>
    <t>40228787</t>
  </si>
  <si>
    <t>CCALLO MAQUERHUA ALICIA</t>
  </si>
  <si>
    <t>08823013</t>
  </si>
  <si>
    <t>VILLAVICENCIO VILCHEZ NANCY CECILIA</t>
  </si>
  <si>
    <t>44647014</t>
  </si>
  <si>
    <t>VILLASANTE CCOPA MARLENI GABRIELA</t>
  </si>
  <si>
    <t>45433992</t>
  </si>
  <si>
    <t>GONZALES VELAZQUE NORKA</t>
  </si>
  <si>
    <t>42145576</t>
  </si>
  <si>
    <t>PUMA QUISPE CATALINA</t>
  </si>
  <si>
    <t>42080440</t>
  </si>
  <si>
    <t>QUISPE TUPA WILBER</t>
  </si>
  <si>
    <t>23862227</t>
  </si>
  <si>
    <t>VELAZCO MIRANDA EDWIN</t>
  </si>
  <si>
    <t>24391874</t>
  </si>
  <si>
    <t>VILLALBA HUANCA LUZ MARINA</t>
  </si>
  <si>
    <t>43237784</t>
  </si>
  <si>
    <t>ANGLES CCORI YANET CONSUELO</t>
  </si>
  <si>
    <t>45669888</t>
  </si>
  <si>
    <t>GUZMAN RAMOS ALEXANDER THON</t>
  </si>
  <si>
    <t>41284124</t>
  </si>
  <si>
    <t>MANGO MAMANI MARLENY</t>
  </si>
  <si>
    <t>41053950</t>
  </si>
  <si>
    <t>PUMA CONTRERAS AUGUSTO</t>
  </si>
  <si>
    <t>44170511</t>
  </si>
  <si>
    <t>CHOSEC CACERES ROXANA</t>
  </si>
  <si>
    <t>45925213</t>
  </si>
  <si>
    <t>MUÑIZ CASTAÑEDA HARNOLD</t>
  </si>
  <si>
    <t>80245563</t>
  </si>
  <si>
    <t>OLIVERA ORUE DANNY</t>
  </si>
  <si>
    <t>40884251</t>
  </si>
  <si>
    <t>HOLGADO CHUNCA HUGO BELTRAN</t>
  </si>
  <si>
    <t>41620662</t>
  </si>
  <si>
    <t>ALVAREZ HUILLCA HOOBER</t>
  </si>
  <si>
    <t>44678703</t>
  </si>
  <si>
    <t>CCAMA TINTAYA OSCAR PEDRO</t>
  </si>
  <si>
    <t>40149261</t>
  </si>
  <si>
    <t>BORDA HUAMAN ELOY ROLANDO</t>
  </si>
  <si>
    <t>TECNICO ESPECIALIZADO EN RADIOLOGIA</t>
  </si>
  <si>
    <t>23838280</t>
  </si>
  <si>
    <t>OSORIO PAIVA LUISA BERTHA</t>
  </si>
  <si>
    <t>24005000</t>
  </si>
  <si>
    <t>ACURIO CHOQUE JACQUELINE</t>
  </si>
  <si>
    <t>23991874</t>
  </si>
  <si>
    <t>AGUILAR FUENTES RUFINA</t>
  </si>
  <si>
    <t>43669851</t>
  </si>
  <si>
    <t>ARAGON LLACTA ERIKA</t>
  </si>
  <si>
    <t>23859342</t>
  </si>
  <si>
    <t>BACA ZUNIGA MARIA</t>
  </si>
  <si>
    <t>23857950</t>
  </si>
  <si>
    <t>CURI MONTAÑEZ DE RIVERO AGUSTINA</t>
  </si>
  <si>
    <t>24001207</t>
  </si>
  <si>
    <t>QQUECHO RAMOS DOLORES</t>
  </si>
  <si>
    <t>80588905</t>
  </si>
  <si>
    <t>QUISPE MENDOZA ALEX</t>
  </si>
  <si>
    <t>42200987</t>
  </si>
  <si>
    <t>VILLA RIOS ELIO</t>
  </si>
  <si>
    <t>09271597</t>
  </si>
  <si>
    <t>TITO VALENCIA AMERICO</t>
  </si>
  <si>
    <t>46073209</t>
  </si>
  <si>
    <t>CARREÑO PEREZ ROSALIA</t>
  </si>
  <si>
    <t>04438598</t>
  </si>
  <si>
    <t>TURPO PANCCA BLANCA RUBITA</t>
  </si>
  <si>
    <t>44164189</t>
  </si>
  <si>
    <t>ARENAS QUISPICHO LISSETH</t>
  </si>
  <si>
    <t>45214894</t>
  </si>
  <si>
    <t>ESPINOZA ZURITA KAREN</t>
  </si>
  <si>
    <t>43376398</t>
  </si>
  <si>
    <t>QUISPE CUTIPA BERTHA NOEMI</t>
  </si>
  <si>
    <t>44354692</t>
  </si>
  <si>
    <t>TORRES OCAMPO MARIBEL YESICA</t>
  </si>
  <si>
    <t>23998875</t>
  </si>
  <si>
    <t>VALER CANDIA LILA</t>
  </si>
  <si>
    <t>41540790</t>
  </si>
  <si>
    <t>CCAÑIHUA QUISPE CONCEPCION</t>
  </si>
  <si>
    <t>23962554</t>
  </si>
  <si>
    <t>CHAPARRO VELASQUEZ NANCY</t>
  </si>
  <si>
    <t>41293894</t>
  </si>
  <si>
    <t>GOMEZ BEJAR GRACIELA</t>
  </si>
  <si>
    <t>42094586</t>
  </si>
  <si>
    <t>HILBERTO CHAMPI NORMA</t>
  </si>
  <si>
    <t>42329936</t>
  </si>
  <si>
    <t>LOAYZA COAYLA XIOMARA</t>
  </si>
  <si>
    <t>23958334</t>
  </si>
  <si>
    <t>PUCLLA CHOQUE SONIA</t>
  </si>
  <si>
    <t>45401478</t>
  </si>
  <si>
    <t>SANCHEZ CARDENAS LADY VANESSA</t>
  </si>
  <si>
    <t>23994712</t>
  </si>
  <si>
    <t>ORTEGA GUTIERREZ MIRIAN</t>
  </si>
  <si>
    <t>24470576</t>
  </si>
  <si>
    <t>BAÑOS TORRES IRENE</t>
  </si>
  <si>
    <t>70169965</t>
  </si>
  <si>
    <t>CHOQUE CHAPARRO ERIKA CARLA</t>
  </si>
  <si>
    <t>23962317</t>
  </si>
  <si>
    <t>QUISPE QUISPE ROSA MARIA</t>
  </si>
  <si>
    <t>44864589</t>
  </si>
  <si>
    <t>SILVA RAMIREZ VANESSA</t>
  </si>
  <si>
    <t>44735272</t>
  </si>
  <si>
    <t>ARDILES PAULLO MILAGROS NOHELY</t>
  </si>
  <si>
    <t>40081556</t>
  </si>
  <si>
    <t>RODRÍGUEZ MENDOZA GROBERT HEINZ</t>
  </si>
  <si>
    <t>43341497</t>
  </si>
  <si>
    <t>CARPIO CASCAMAYTA KAREN</t>
  </si>
  <si>
    <t>41640073</t>
  </si>
  <si>
    <t>NIN OLIVERA MAGRETT LENKA</t>
  </si>
  <si>
    <t>40347934</t>
  </si>
  <si>
    <t>LOAIZA YANQUE MARIA ELIZABETH</t>
  </si>
  <si>
    <t>41398927</t>
  </si>
  <si>
    <t>LAURA TTITO LILI</t>
  </si>
  <si>
    <t>42337301</t>
  </si>
  <si>
    <t>PAREJA AIVAR VIOLETA VIRGINIA</t>
  </si>
  <si>
    <t>42999910</t>
  </si>
  <si>
    <t>CALSINA ACUÑA CARLA</t>
  </si>
  <si>
    <t>41015014</t>
  </si>
  <si>
    <t>CONCHA VELASCO FATIMA ROSARIO</t>
  </si>
  <si>
    <t>42562564</t>
  </si>
  <si>
    <t>MIRANDA ROJAS FERNANDO LUIS</t>
  </si>
  <si>
    <t>42885947</t>
  </si>
  <si>
    <t>QUISPE HOLGUIN WILBERT</t>
  </si>
  <si>
    <t>23992342</t>
  </si>
  <si>
    <t>RIVAS HURTADO MARIELA</t>
  </si>
  <si>
    <t>42755409</t>
  </si>
  <si>
    <t>ROJAS MARROQUIN JUAN CARLOS</t>
  </si>
  <si>
    <t>42620417</t>
  </si>
  <si>
    <t>TISOC HINOJOSA CARLOS ARTURO</t>
  </si>
  <si>
    <t>45403328</t>
  </si>
  <si>
    <t>CHIRCCA QUISPE FRIDA ANGELICA</t>
  </si>
  <si>
    <t>45041999</t>
  </si>
  <si>
    <t>QUISPE RAYO MARLENY</t>
  </si>
  <si>
    <t>23998791</t>
  </si>
  <si>
    <t>AMPUERO ROMERO JIMMY</t>
  </si>
  <si>
    <t>TECNICO EN LABORATORIO I</t>
  </si>
  <si>
    <t>41086136</t>
  </si>
  <si>
    <t>VILLALVA NAYHUA ELEAZAR</t>
  </si>
  <si>
    <t>TECNICO EN NUTRICION I</t>
  </si>
  <si>
    <t>23988598</t>
  </si>
  <si>
    <t>LOAYZA PEREZ LAURA</t>
  </si>
  <si>
    <t>41538103</t>
  </si>
  <si>
    <t>MEZA LOVATON HEBERT</t>
  </si>
  <si>
    <t>25012506</t>
  </si>
  <si>
    <t>ANGULO AEDO CATHI GELDAH</t>
  </si>
  <si>
    <t>02447314</t>
  </si>
  <si>
    <t>GAMARRA ALVAREZ ODALUNA SABA</t>
  </si>
  <si>
    <t>46121983</t>
  </si>
  <si>
    <t>SOTELO SILVA ANA ELISA</t>
  </si>
  <si>
    <t>41351574</t>
  </si>
  <si>
    <t>MONTALVO SISAYA ROSA VIRGINIA</t>
  </si>
  <si>
    <t>25005423</t>
  </si>
  <si>
    <t>ASPAJO CALVO DEYSI MILENA</t>
  </si>
  <si>
    <t>44904734</t>
  </si>
  <si>
    <t>MELLADO GAMARRA CARMEN ROSA</t>
  </si>
  <si>
    <t>01337447</t>
  </si>
  <si>
    <t>CALSIN OTAZU MARIA ELENA</t>
  </si>
  <si>
    <t>41434475</t>
  </si>
  <si>
    <t>COLQUE MOLLO DARWIN BERNARDO</t>
  </si>
  <si>
    <t>41936267</t>
  </si>
  <si>
    <t>RAMOS CARRION EDITH NANCY</t>
  </si>
  <si>
    <t>46627419</t>
  </si>
  <si>
    <t>HUAMAN HUANCA NELIDA</t>
  </si>
  <si>
    <t>47478628</t>
  </si>
  <si>
    <t>VALENZUELA PERALTA ENCARNACION</t>
  </si>
  <si>
    <t>44760513</t>
  </si>
  <si>
    <t>BEIZAGA AQUINO JESSICA</t>
  </si>
  <si>
    <t>45260971</t>
  </si>
  <si>
    <t>CURAMPA USCA YUSSI</t>
  </si>
  <si>
    <t>41410539</t>
  </si>
  <si>
    <t>ARBULU ROMERO YAHAIRA BEATRIZ</t>
  </si>
  <si>
    <t>47689022</t>
  </si>
  <si>
    <t>CAÑAZACA QUISPE KELY</t>
  </si>
  <si>
    <t>45341196</t>
  </si>
  <si>
    <t>CCASA CHAVEZ MARILIA ANDREA</t>
  </si>
  <si>
    <t>25012417</t>
  </si>
  <si>
    <t>ROJAS RAMIREZ SHIRLEY</t>
  </si>
  <si>
    <t>45281457</t>
  </si>
  <si>
    <t>PALOMINO RIVAS GODY</t>
  </si>
  <si>
    <t>46724603</t>
  </si>
  <si>
    <t>ALMENDRE ALBERTO CATY YESENIA</t>
  </si>
  <si>
    <t>40634311</t>
  </si>
  <si>
    <t>SALAS ALVINO YOLDEN ORLANDO</t>
  </si>
  <si>
    <t>CIRUJANO DENTISTA</t>
  </si>
  <si>
    <t>45003980</t>
  </si>
  <si>
    <t>CACERES MARISCAL MILTON</t>
  </si>
  <si>
    <t>23992111</t>
  </si>
  <si>
    <t>LEIVA VILLAVICENCIO PERCY</t>
  </si>
  <si>
    <t>42034972</t>
  </si>
  <si>
    <t>CENTENO CARDENAS ORNELLA JOSSIE</t>
  </si>
  <si>
    <t>44751052</t>
  </si>
  <si>
    <t>VASQUEZ FLORES FELIPE LUIS</t>
  </si>
  <si>
    <t>23985049</t>
  </si>
  <si>
    <t>ALVAREZ LETONA MARIBEL</t>
  </si>
  <si>
    <t>40210661</t>
  </si>
  <si>
    <t>ALEGRIA GONZALES JIMMY ALBERTO</t>
  </si>
  <si>
    <t>29607341</t>
  </si>
  <si>
    <t>CHURA CARPIO ELIZABETH CARMEN</t>
  </si>
  <si>
    <t>08884960</t>
  </si>
  <si>
    <t>PEÑALOZA JARAMILLO ADOLFO HUMBERTO</t>
  </si>
  <si>
    <t>42454170</t>
  </si>
  <si>
    <t>VERDE RODRIGUEZ TONY BRIAN</t>
  </si>
  <si>
    <t>23995054</t>
  </si>
  <si>
    <t>SEGOVIA MOSQUETA ALEJANDRO</t>
  </si>
  <si>
    <t>25804845</t>
  </si>
  <si>
    <t>BARRIENTOS LIMA ISAIAS</t>
  </si>
  <si>
    <t>23868210</t>
  </si>
  <si>
    <t>MORALES CARRASCO JAIME</t>
  </si>
  <si>
    <t>42237018</t>
  </si>
  <si>
    <t>ANDRADE AGUILAR JORGE MARIO</t>
  </si>
  <si>
    <t>40722673</t>
  </si>
  <si>
    <t>TAPIA VICTORIO RICHARD NICOLAY</t>
  </si>
  <si>
    <t>43089604</t>
  </si>
  <si>
    <t>CARBAJAL BLAS JUAN JOSUE</t>
  </si>
  <si>
    <t>TECNICO EN COMPUTACION</t>
  </si>
  <si>
    <t>44195306</t>
  </si>
  <si>
    <t>UMERES HUALLPA ROGER</t>
  </si>
  <si>
    <t>46837245</t>
  </si>
  <si>
    <t>MEDINA POCCO NAIDA IRENE</t>
  </si>
  <si>
    <t>40773643</t>
  </si>
  <si>
    <t>MAMANI JAEN DARWIN ARILDO</t>
  </si>
  <si>
    <t>41293870</t>
  </si>
  <si>
    <t>CALLIÑAUPA LAYME MARIA ISABEL</t>
  </si>
  <si>
    <t>23965094</t>
  </si>
  <si>
    <t>CUEVA QUILLAHUAMAN GLICERIO</t>
  </si>
  <si>
    <t>44155013</t>
  </si>
  <si>
    <t>ZARATE QUISPE ALDO</t>
  </si>
  <si>
    <t>42235730</t>
  </si>
  <si>
    <t>LAURA HUALLPA ALEXANDER JOSMELL</t>
  </si>
  <si>
    <t>42226359</t>
  </si>
  <si>
    <t>QUISPE HUALLPA PERCY</t>
  </si>
  <si>
    <t>72865466</t>
  </si>
  <si>
    <t>ROMERO PILLACA JEISON</t>
  </si>
  <si>
    <t>25012160</t>
  </si>
  <si>
    <t>MAYDANA GUZMAN ALEX MILTON</t>
  </si>
  <si>
    <t>23981674</t>
  </si>
  <si>
    <t>QUINTANILLA RAMOS GOEDE BRANDAOCINO</t>
  </si>
  <si>
    <t>40280021</t>
  </si>
  <si>
    <t>QUILLAHUAMAN ZEGARRA ALDO LINDER</t>
  </si>
  <si>
    <t>25004111</t>
  </si>
  <si>
    <t>VASQUEZ CARLOS MARINA MARILU</t>
  </si>
  <si>
    <t>45865358</t>
  </si>
  <si>
    <t>UMERES HUALLPA DANNY</t>
  </si>
  <si>
    <t>44786119</t>
  </si>
  <si>
    <t>TOLEDO SUAREZ FLOR MARIA</t>
  </si>
  <si>
    <t>41478176</t>
  </si>
  <si>
    <t>QUIZA CONDORI CARMEN</t>
  </si>
  <si>
    <t>40629983</t>
  </si>
  <si>
    <t>ZARATE QUISPE RAUL</t>
  </si>
  <si>
    <t>41479545</t>
  </si>
  <si>
    <t>MENDOZA UMERES ZORAIDA</t>
  </si>
  <si>
    <t>30834660</t>
  </si>
  <si>
    <t>HUARI ÑAUPAC YANET</t>
  </si>
  <si>
    <t>41810678</t>
  </si>
  <si>
    <t>OCHOA HUALLPA ROXANA</t>
  </si>
  <si>
    <t>46620491</t>
  </si>
  <si>
    <t>MARINI GUSHI MABEL ROSANA</t>
  </si>
  <si>
    <t>42225636</t>
  </si>
  <si>
    <t>MUÑIZ PEREZ CARLOS</t>
  </si>
  <si>
    <t>42666961</t>
  </si>
  <si>
    <t>ROJAS ALMIRON JUDITH</t>
  </si>
  <si>
    <t>41769602</t>
  </si>
  <si>
    <t>CONDORI HUISARAIME JUANA SHIRLEY</t>
  </si>
  <si>
    <t>44507937</t>
  </si>
  <si>
    <t>PERALTA HUARANCCA NANCY</t>
  </si>
  <si>
    <t>43578816</t>
  </si>
  <si>
    <t>LAURA LUQUE ELIUD</t>
  </si>
  <si>
    <t>24994077</t>
  </si>
  <si>
    <t>PAUCAR MASIAS DAVID</t>
  </si>
  <si>
    <t>47479972</t>
  </si>
  <si>
    <t>VARGAS MERINO ELINA</t>
  </si>
  <si>
    <t>40657278</t>
  </si>
  <si>
    <t>NINAHUILLCA PUMA ADAIA</t>
  </si>
  <si>
    <t>41142410</t>
  </si>
  <si>
    <t>MANCHIÑARI RIOS ELSA</t>
  </si>
  <si>
    <t>42072020</t>
  </si>
  <si>
    <t>CHAMPI APAZA EDITA</t>
  </si>
  <si>
    <t>44969995</t>
  </si>
  <si>
    <t>QUISPE TILLCA VIOLETA</t>
  </si>
  <si>
    <t>23990240</t>
  </si>
  <si>
    <t>ESCALANTE LUNA YOLANDA</t>
  </si>
  <si>
    <t>42991301</t>
  </si>
  <si>
    <t>ALVAREZ CAVIEDES YESSENIA</t>
  </si>
  <si>
    <t>42129784</t>
  </si>
  <si>
    <t>SEQUEIROS MOSQUEIRA ANGELICA</t>
  </si>
  <si>
    <t>45803157</t>
  </si>
  <si>
    <t>CHOQUE SEGOVIA NATALI</t>
  </si>
  <si>
    <t>45863745</t>
  </si>
  <si>
    <t>CCAPATINTA ARDILES LIRIS INDIRA</t>
  </si>
  <si>
    <t>45352172</t>
  </si>
  <si>
    <t>CHAVEZ FARFAN DANNA FIORELLA</t>
  </si>
  <si>
    <t>24990149</t>
  </si>
  <si>
    <t>HANCCO CHACON ALFREDO</t>
  </si>
  <si>
    <t>42812600</t>
  </si>
  <si>
    <t>SALON HUAMAN JULIAN</t>
  </si>
  <si>
    <t>40975391</t>
  </si>
  <si>
    <t>CAMPANA HUALLPA HEBERT</t>
  </si>
  <si>
    <t>24375682</t>
  </si>
  <si>
    <t>PINARES MALDONADO JULIO</t>
  </si>
  <si>
    <t>24943789</t>
  </si>
  <si>
    <t>COVARRUBIAS TTITO CARLOS GUSTAVO</t>
  </si>
  <si>
    <t>46691169</t>
  </si>
  <si>
    <t>SOLOAGA HUAMANI WALTER</t>
  </si>
  <si>
    <t>24967251</t>
  </si>
  <si>
    <t>BERNAL ZUÑIGA VICENTE</t>
  </si>
  <si>
    <t>42112280</t>
  </si>
  <si>
    <t>CORVACHO PALOMINO JAIME</t>
  </si>
  <si>
    <t>25009424</t>
  </si>
  <si>
    <t>CORINTI SAICO RICARDO</t>
  </si>
  <si>
    <t>25004052</t>
  </si>
  <si>
    <t>DELGADO CAMPOS MENDEL JESUS</t>
  </si>
  <si>
    <t>24940735</t>
  </si>
  <si>
    <t>PAUCAR CCAPCHI EFRAIN</t>
  </si>
  <si>
    <t>24986246</t>
  </si>
  <si>
    <t>HUAMAN AUCCAYLLE LUCIO</t>
  </si>
  <si>
    <t>24998535</t>
  </si>
  <si>
    <t>SULLCA FIGUEROA ELBERT</t>
  </si>
  <si>
    <t>41226086</t>
  </si>
  <si>
    <t>PRO MAMANI VICTOR DAMIANO</t>
  </si>
  <si>
    <t>43893459</t>
  </si>
  <si>
    <t>CHICLLASTO DELGADO UBALDINA</t>
  </si>
  <si>
    <t>24967767</t>
  </si>
  <si>
    <t>CCOLLANA SICOS ANACLETA</t>
  </si>
  <si>
    <t>47680916</t>
  </si>
  <si>
    <t>CAMASA INCHISANA GEGUEL AMAR</t>
  </si>
  <si>
    <t>23996070</t>
  </si>
  <si>
    <t>ARAGON ALFARO ERID RICHAR</t>
  </si>
  <si>
    <t>24992323</t>
  </si>
  <si>
    <t>CHAHUA ARAGON AQUILINO</t>
  </si>
  <si>
    <t>24996550</t>
  </si>
  <si>
    <t>COLLAZOS MENDOZA SEGUNDO</t>
  </si>
  <si>
    <t>PINTOR</t>
  </si>
  <si>
    <t>43810883</t>
  </si>
  <si>
    <t>LLANOS QUISPE WILY</t>
  </si>
  <si>
    <t>24990827</t>
  </si>
  <si>
    <t>ANGULO YÉPEZ HENRY CLEMENTE</t>
  </si>
  <si>
    <t>23821882</t>
  </si>
  <si>
    <t>HUAMAN ROJAS RUDY TOMAS</t>
  </si>
  <si>
    <t>45700092</t>
  </si>
  <si>
    <t>ALAGON DEXTRE IRMA LISBETH</t>
  </si>
  <si>
    <t>41152129</t>
  </si>
  <si>
    <t>CHOQUENAIRA AIQUIPA PEDRO JHON</t>
  </si>
  <si>
    <t>40717370</t>
  </si>
  <si>
    <t>GALLEGOS CASHIRI PATRICIA</t>
  </si>
  <si>
    <t>70511508</t>
  </si>
  <si>
    <t>ROJAS TORRES JUAN MOISES</t>
  </si>
  <si>
    <t>42361956</t>
  </si>
  <si>
    <t>CAVERO MOSCOSO RENE</t>
  </si>
  <si>
    <t>44313269</t>
  </si>
  <si>
    <t>FERRO LIMA WILBERT</t>
  </si>
  <si>
    <t>45327385</t>
  </si>
  <si>
    <t>DELGADO TORRES JORGE MIGUEL</t>
  </si>
  <si>
    <t>44481132</t>
  </si>
  <si>
    <t>HUAMAN CHALLCO BETZABE</t>
  </si>
  <si>
    <t>47966357</t>
  </si>
  <si>
    <t>GARCIA ABARCA PAOLA JULEXA</t>
  </si>
  <si>
    <t>45037987</t>
  </si>
  <si>
    <t>LOPEZ GALDOS RUTH ZORAIDA</t>
  </si>
  <si>
    <t>43066226</t>
  </si>
  <si>
    <t>AMACHE HUAMAN LUCILA</t>
  </si>
  <si>
    <t>40953729</t>
  </si>
  <si>
    <t>MAMANI QUISPE TULA YANETT</t>
  </si>
  <si>
    <t>24996735</t>
  </si>
  <si>
    <t>MENDIA HERMOZA GLADIS</t>
  </si>
  <si>
    <t>41811852</t>
  </si>
  <si>
    <t>ZAVALA GARCIA DORIS</t>
  </si>
  <si>
    <t>45913757</t>
  </si>
  <si>
    <t>CONDORI PUMA DEYSI JUDITH</t>
  </si>
  <si>
    <t>25005072</t>
  </si>
  <si>
    <t>HUAYLLAHUAMAN PAÑIHUARA FORTUNATA</t>
  </si>
  <si>
    <t>44158268</t>
  </si>
  <si>
    <t>ROCCA ARCOS TEDDY YENY</t>
  </si>
  <si>
    <t>44395966</t>
  </si>
  <si>
    <t>GALIZA PAIVA CHARLIE</t>
  </si>
  <si>
    <t>MECANICO AUTOMOTRIZ</t>
  </si>
  <si>
    <t>42438691</t>
  </si>
  <si>
    <t>GAMARRA CCAPCHI DARIO</t>
  </si>
  <si>
    <t>70070320</t>
  </si>
  <si>
    <t>ORTEGA CARDENAS KRINNIR STEFFI</t>
  </si>
  <si>
    <t>46874251</t>
  </si>
  <si>
    <t>SALINAS BAEZ FLOR ANSHELA</t>
  </si>
  <si>
    <t>73601288</t>
  </si>
  <si>
    <t>PALOMINO MANRIQUE MARY CARMEN</t>
  </si>
  <si>
    <t>47332395</t>
  </si>
  <si>
    <t>MINAURO CHALLCO ANGELICA</t>
  </si>
  <si>
    <t>41772342</t>
  </si>
  <si>
    <t>NINA FUENTES ROY DARWIN</t>
  </si>
  <si>
    <t>46980953</t>
  </si>
  <si>
    <t>CHACHAQUE ALIAGA KAREN ELIZABETH</t>
  </si>
  <si>
    <t>CONDUCTOR DE AMBULANCIA</t>
  </si>
  <si>
    <t>43390722</t>
  </si>
  <si>
    <t>BAEZ FERREL NILTON</t>
  </si>
  <si>
    <t>80007264</t>
  </si>
  <si>
    <t>GALLEGOS SUMA JOSE ALBERTO</t>
  </si>
  <si>
    <t>42339533</t>
  </si>
  <si>
    <t>TAPIA GAMARRA JUSTO JULIO</t>
  </si>
  <si>
    <t>43602191</t>
  </si>
  <si>
    <t>GAMARRA PAREDES HENRY</t>
  </si>
  <si>
    <t>23970770</t>
  </si>
  <si>
    <t>ANKURI OYASHIMPO CARLOS</t>
  </si>
  <si>
    <t>24993606</t>
  </si>
  <si>
    <t>ROJAS RAMIREZ REINEIRO</t>
  </si>
  <si>
    <t>41610669</t>
  </si>
  <si>
    <t>SHIVITUERORI GUILLERMO YONI</t>
  </si>
  <si>
    <t>24002018</t>
  </si>
  <si>
    <t>CANO NUÑEZ KELLY CARLA</t>
  </si>
  <si>
    <t>40669037</t>
  </si>
  <si>
    <t>CHACON RAMOS EMPERATRIZ</t>
  </si>
  <si>
    <t>44998349</t>
  </si>
  <si>
    <t>HUALLPACUNA CUSIHUALLPA CINDY</t>
  </si>
  <si>
    <t>40359783</t>
  </si>
  <si>
    <t>PAULLO UMERES NORY</t>
  </si>
  <si>
    <t>25004568</t>
  </si>
  <si>
    <t>RODAS HUAMAN NATALI</t>
  </si>
  <si>
    <t>25009485</t>
  </si>
  <si>
    <t>CURI INQUILTUPA DOLORES</t>
  </si>
  <si>
    <t>40088592</t>
  </si>
  <si>
    <t>ALMANZA BOBADILLA EUSTAQUIO</t>
  </si>
  <si>
    <t>43193003</t>
  </si>
  <si>
    <t>CORONADO AVENDAÑO RONALD</t>
  </si>
  <si>
    <t>47553794</t>
  </si>
  <si>
    <t>ROJAS LOAIZA HAYDEE</t>
  </si>
  <si>
    <t>48837289</t>
  </si>
  <si>
    <t>SILVA GUERRA DIRSEN</t>
  </si>
  <si>
    <t>45844019</t>
  </si>
  <si>
    <t>LUQUE RIVERA NELIDA</t>
  </si>
  <si>
    <t>41886395</t>
  </si>
  <si>
    <t>HERMOZA ARCE YDETH</t>
  </si>
  <si>
    <t>43349438</t>
  </si>
  <si>
    <t>ENRIQUEZ MARCOS NANCY</t>
  </si>
  <si>
    <t>47096511</t>
  </si>
  <si>
    <t>ABARCA TARAPAQUI DINA</t>
  </si>
  <si>
    <t>TECNICO EN SALUD PUBLICA I</t>
  </si>
  <si>
    <t>44501006</t>
  </si>
  <si>
    <t>MEDINA QUISPE ALEXANDER</t>
  </si>
  <si>
    <t>29619055</t>
  </si>
  <si>
    <t>VILLANUEVA QUISPE OSCAR TORIBIO</t>
  </si>
  <si>
    <t>41091304</t>
  </si>
  <si>
    <t>ZUÑIGA TAPIA ROGER</t>
  </si>
  <si>
    <t>24961233</t>
  </si>
  <si>
    <t>MERANO LEON ZACARIAS</t>
  </si>
  <si>
    <t>46772991</t>
  </si>
  <si>
    <t>PANIHUARA YAMPI KATYA MILUSKA</t>
  </si>
  <si>
    <t>46865843</t>
  </si>
  <si>
    <t>VICENTE TASAYCO ERIKA DENIS</t>
  </si>
  <si>
    <t>42201030</t>
  </si>
  <si>
    <t>FLOREZ ROJAS MASSHIARA</t>
  </si>
  <si>
    <t>46639512</t>
  </si>
  <si>
    <t>LAURA SAAVEDRA KEVIN JURI</t>
  </si>
  <si>
    <t>44168642</t>
  </si>
  <si>
    <t>ROJAS CESPEDES DAVID ROLANDO</t>
  </si>
  <si>
    <t>42345899</t>
  </si>
  <si>
    <t>NUÑEZ FIGUEROA EDGAR</t>
  </si>
  <si>
    <t>45316897</t>
  </si>
  <si>
    <t>LUNA MAYORGA LIRIO LUCERO</t>
  </si>
  <si>
    <t>47795331</t>
  </si>
  <si>
    <t>UMERI SOLANO MARIA JESUSA</t>
  </si>
  <si>
    <t>46146804</t>
  </si>
  <si>
    <t>SAIRE ANCARI GRISA HIDALA</t>
  </si>
  <si>
    <t>46261053</t>
  </si>
  <si>
    <t>SOTELO TORRES KATHERYN</t>
  </si>
  <si>
    <t>41955567</t>
  </si>
  <si>
    <t>GUTIERREZ BEDIA YONI</t>
  </si>
  <si>
    <t>47994298</t>
  </si>
  <si>
    <t>QUISPE GUZMAN AYDINE</t>
  </si>
  <si>
    <t>43438082</t>
  </si>
  <si>
    <t>CANO CACERES SERGIO</t>
  </si>
  <si>
    <t>47942945</t>
  </si>
  <si>
    <t>GUTIERREZ MERMA DEYCI MAYUMI</t>
  </si>
  <si>
    <t>41619337</t>
  </si>
  <si>
    <t>CUSIHUALLPA CCOACCALLE YEXICA</t>
  </si>
  <si>
    <t>41159650</t>
  </si>
  <si>
    <t>GAMARRA AGUILAR NINA CHILA</t>
  </si>
  <si>
    <t>47456396</t>
  </si>
  <si>
    <t>PACCO GUERRA AYDEE SHARON</t>
  </si>
  <si>
    <t>43513197</t>
  </si>
  <si>
    <t>VILLASANTE OROS JERALDINE</t>
  </si>
  <si>
    <t>45299953</t>
  </si>
  <si>
    <t>CONZA BENITO JENY VIANEY</t>
  </si>
  <si>
    <t>23971559</t>
  </si>
  <si>
    <t>MERCADO FIGUEROA BLANCA</t>
  </si>
  <si>
    <t>44346340</t>
  </si>
  <si>
    <t>CRUZ QUISPE LIDIA</t>
  </si>
  <si>
    <t>43737958</t>
  </si>
  <si>
    <t>MENDOZA CASTILLO EDITH</t>
  </si>
  <si>
    <t>40567500</t>
  </si>
  <si>
    <t>FIGUEROA MADRID GARDENIA</t>
  </si>
  <si>
    <t>22500590</t>
  </si>
  <si>
    <t>ANDRES AGUIRRE MARIA DINA</t>
  </si>
  <si>
    <t>43116804</t>
  </si>
  <si>
    <t>GUTIERREZ CHAMORRO JACKELY KATY</t>
  </si>
  <si>
    <t>42306098</t>
  </si>
  <si>
    <t>BARREDA ARPI SONIA</t>
  </si>
  <si>
    <t>25012255</t>
  </si>
  <si>
    <t>ATAULLUCO TTITO RENE</t>
  </si>
  <si>
    <t>06270772</t>
  </si>
  <si>
    <t>CABRERA RICSE MANUEL ROSENDO</t>
  </si>
  <si>
    <t>24002508</t>
  </si>
  <si>
    <t>ALTAMIRANO GAMARRA MIGUEL ANGEL</t>
  </si>
  <si>
    <t>46657648</t>
  </si>
  <si>
    <t>HIDALGO SALAS RUTH MELCHORITA</t>
  </si>
  <si>
    <t>TECNOLOGO MEDICO EN TERAPIA OCUPACIONAL</t>
  </si>
  <si>
    <t>08453005</t>
  </si>
  <si>
    <t>PEÑA AREVALO JOSE ALBERTO</t>
  </si>
  <si>
    <t>40389657</t>
  </si>
  <si>
    <t>SARAVIA BAEZ NOEMI</t>
  </si>
  <si>
    <t>TECNOLOGO MEDICO EN TERAPIA DE LENGUAJE</t>
  </si>
  <si>
    <t>46049851</t>
  </si>
  <si>
    <t>PACHECO CARRASCO MILAGROS ROSARIO</t>
  </si>
  <si>
    <t>44463550</t>
  </si>
  <si>
    <t>CCAMA CCONISLLA PETRONILA NANCY</t>
  </si>
  <si>
    <t>45135346</t>
  </si>
  <si>
    <t>UGARTE QUISPE NIDIA</t>
  </si>
  <si>
    <t>43556496</t>
  </si>
  <si>
    <t>GOMEZ CESPEDES YOVANA VERONICA</t>
  </si>
  <si>
    <t>46548010</t>
  </si>
  <si>
    <t>ALCCAHUAMAN PORTILLA GLADIS</t>
  </si>
  <si>
    <t>42203606</t>
  </si>
  <si>
    <t>CALLATA OLIVERA JESUS LEONIDAS</t>
  </si>
  <si>
    <t>30407497</t>
  </si>
  <si>
    <t>CHEQQUERA HUAMANI MAURO</t>
  </si>
  <si>
    <t>24715864</t>
  </si>
  <si>
    <t>RIMACHI MAMANI IVAR</t>
  </si>
  <si>
    <t>40236680</t>
  </si>
  <si>
    <t>PIZARRO SUTTA LUCINDA</t>
  </si>
  <si>
    <t>72609398</t>
  </si>
  <si>
    <t>BUSTINZA ALVAREZ ELSIE MARIBEL</t>
  </si>
  <si>
    <t>24791458</t>
  </si>
  <si>
    <t>HUAYTANI VALENCIA VALENTIN</t>
  </si>
  <si>
    <t>42913248</t>
  </si>
  <si>
    <t>APFATA SILLCAHUI PERCY</t>
  </si>
  <si>
    <t>43135838</t>
  </si>
  <si>
    <t>HUAMANI APFATA SOFIA</t>
  </si>
  <si>
    <t>40676713</t>
  </si>
  <si>
    <t>GAIMEZ CRUZ MARINA</t>
  </si>
  <si>
    <t>24810806</t>
  </si>
  <si>
    <t>TORRES CJURO ZORAIDA</t>
  </si>
  <si>
    <t>24803257</t>
  </si>
  <si>
    <t>HUAMANI BATALLANOS BEATRIZ</t>
  </si>
  <si>
    <t>24804089</t>
  </si>
  <si>
    <t>HUAMANI QUISPESIVANA ENRIQUE</t>
  </si>
  <si>
    <t>48166730</t>
  </si>
  <si>
    <t>VALENCIA VALENCIA VICENTE</t>
  </si>
  <si>
    <t>24811148</t>
  </si>
  <si>
    <t>MARQUEZ CHAUCCA URBANO</t>
  </si>
  <si>
    <t>74752597</t>
  </si>
  <si>
    <t>ALVIS CHALLCO ROGER</t>
  </si>
  <si>
    <t>40416695</t>
  </si>
  <si>
    <t>MOLINA PIMENTEL ADELAIDA</t>
  </si>
  <si>
    <t>24807965</t>
  </si>
  <si>
    <t>BERRIO MALLCO NEPTALI</t>
  </si>
  <si>
    <t>24810180</t>
  </si>
  <si>
    <t>GIRALDO QUISPE ISAIAS</t>
  </si>
  <si>
    <t>47550301</t>
  </si>
  <si>
    <t>RENDON PATIÑO MARTHA</t>
  </si>
  <si>
    <t>24804044</t>
  </si>
  <si>
    <t>ANCCASI YUCRA DONATO</t>
  </si>
  <si>
    <t>24805567</t>
  </si>
  <si>
    <t>ANCCASI YUCRA JUAN</t>
  </si>
  <si>
    <t>24785409</t>
  </si>
  <si>
    <t>CHAVEZ CASQUINA CALIXTO</t>
  </si>
  <si>
    <t>46771141</t>
  </si>
  <si>
    <t>MENDOZA SIVINCHA WALTER</t>
  </si>
  <si>
    <t>41078288</t>
  </si>
  <si>
    <t>AGUIRRE ENRIQUEZ HUGO</t>
  </si>
  <si>
    <t>44918502</t>
  </si>
  <si>
    <t>ANCO CONTRERAS JHON YHONEL</t>
  </si>
  <si>
    <t>48353455</t>
  </si>
  <si>
    <t>TAIPE HUAMANI ROY</t>
  </si>
  <si>
    <t>73969499</t>
  </si>
  <si>
    <t>ACERO GUERREROS LEONOR YUDITH</t>
  </si>
  <si>
    <t>74502324</t>
  </si>
  <si>
    <t>HUAMANI HUAMANI ANDRES</t>
  </si>
  <si>
    <t>80267000</t>
  </si>
  <si>
    <t>ARAGON HUAMANI JAVIER</t>
  </si>
  <si>
    <t>47264763</t>
  </si>
  <si>
    <t>APAZA URACCAHUA FELIPE PEDRO</t>
  </si>
  <si>
    <t>47043361</t>
  </si>
  <si>
    <t>SIVANA PATIÑO OLGA</t>
  </si>
  <si>
    <t>45954158</t>
  </si>
  <si>
    <t>HUAYLLANI CHAVEZ ROLANDO</t>
  </si>
  <si>
    <t>74502292</t>
  </si>
  <si>
    <t>QUISPE YALLERCCO NANCY</t>
  </si>
  <si>
    <t>41451396</t>
  </si>
  <si>
    <t>CAYLLAHUA PACCO JOSE MELITON</t>
  </si>
  <si>
    <t>73126879</t>
  </si>
  <si>
    <t>ANCALLA HUAMANI RUFO</t>
  </si>
  <si>
    <t>40195214</t>
  </si>
  <si>
    <t>MEDINA JARA JOSE LUIS</t>
  </si>
  <si>
    <t>48512850</t>
  </si>
  <si>
    <t>QUISPE ASTO CANDY KATHERINE</t>
  </si>
  <si>
    <t>72300738</t>
  </si>
  <si>
    <t>MORALES QUISPE ARNOLD PAUL</t>
  </si>
  <si>
    <t>45975896</t>
  </si>
  <si>
    <t>QUISPE APFATA YESENIA</t>
  </si>
  <si>
    <t>48151087</t>
  </si>
  <si>
    <t>BARREDA TICONA MARILYN SUSAN</t>
  </si>
  <si>
    <t>29416604</t>
  </si>
  <si>
    <t>HUAMAN QUISPE FRANCISCA LUCIA</t>
  </si>
  <si>
    <t>75975644</t>
  </si>
  <si>
    <t>VELAZQUE FARFAN JUDITH ZURITA</t>
  </si>
  <si>
    <t>70095247</t>
  </si>
  <si>
    <t>QUISPE MAQUERA BRIZAIDA</t>
  </si>
  <si>
    <t>43201575</t>
  </si>
  <si>
    <t>UMASI HUARAKA ERIKA BERSABETH</t>
  </si>
  <si>
    <t>47658486</t>
  </si>
  <si>
    <t>ARIAS MUÑOZ DAVID ALBERTO</t>
  </si>
  <si>
    <t>74064584</t>
  </si>
  <si>
    <t>HERRERA BEJARANO ANDREINA FATIMA</t>
  </si>
  <si>
    <t>43411730</t>
  </si>
  <si>
    <t>PAYEHUANCA RAMOS DAVID HERNAN</t>
  </si>
  <si>
    <t>42050505</t>
  </si>
  <si>
    <t>CULE PAUCCA VANESA ENID</t>
  </si>
  <si>
    <t>43427242</t>
  </si>
  <si>
    <t>ADRIAN YANCAPALLO CYNTHIA AMPARO</t>
  </si>
  <si>
    <t>24784181</t>
  </si>
  <si>
    <t>BENITO CALDERON DOLORES</t>
  </si>
  <si>
    <t>06010201</t>
  </si>
  <si>
    <t>CASTRO CUBA TRIVEÑO MARTIN ESTEBAN</t>
  </si>
  <si>
    <t>43925779</t>
  </si>
  <si>
    <t>LLAMOCCA TRIVEÑO JAIME</t>
  </si>
  <si>
    <t>46667674</t>
  </si>
  <si>
    <t>GUTIERREZ MAMANI LUZ MAGALY</t>
  </si>
  <si>
    <t>47548260</t>
  </si>
  <si>
    <t>AGUILAR TORRES GARDENIA GABRIELA</t>
  </si>
  <si>
    <t>47354394</t>
  </si>
  <si>
    <t>HUAMANI SUAREZ EMMY MAGALY</t>
  </si>
  <si>
    <t>73277515</t>
  </si>
  <si>
    <t>VARGAS ZURITA MARILY MILENCA</t>
  </si>
  <si>
    <t>60313380</t>
  </si>
  <si>
    <t>YUPANQUI CONDORI DANY</t>
  </si>
  <si>
    <t>48001401</t>
  </si>
  <si>
    <t>UGARTE DELGADO MARISOL</t>
  </si>
  <si>
    <t>45275674</t>
  </si>
  <si>
    <t>ALARCON CARREÑO VERONICA</t>
  </si>
  <si>
    <t>44421825</t>
  </si>
  <si>
    <t>APFATA ILLA RICHARD ALBERT</t>
  </si>
  <si>
    <t>23975357</t>
  </si>
  <si>
    <t>VILLENA MONTES JANET</t>
  </si>
  <si>
    <t>44918509</t>
  </si>
  <si>
    <t>BERNAL ARAUJO ERIKA ZIA</t>
  </si>
  <si>
    <t>75060255</t>
  </si>
  <si>
    <t>PACHECO SUEROZ MARCO ANTONIO</t>
  </si>
  <si>
    <t>46339442</t>
  </si>
  <si>
    <t>VILCA MESTAS YESICA ROXANA</t>
  </si>
  <si>
    <t>44868574</t>
  </si>
  <si>
    <t>CUTIPA CUTIPA NOEMI</t>
  </si>
  <si>
    <t>24780679</t>
  </si>
  <si>
    <t>CHOQUE HUILLCAYQUIPA MARIA</t>
  </si>
  <si>
    <t>40388162</t>
  </si>
  <si>
    <t>VERA BEJAR PERCY</t>
  </si>
  <si>
    <t>72366263</t>
  </si>
  <si>
    <t>ROJAS QQUEHUE MARIBEL</t>
  </si>
  <si>
    <t>47522641</t>
  </si>
  <si>
    <t>PEÑA MERMA DARY</t>
  </si>
  <si>
    <t>76688113</t>
  </si>
  <si>
    <t>YANCAPALLO YANA LUZ MARIBEL</t>
  </si>
  <si>
    <t>42706349</t>
  </si>
  <si>
    <t>SALAS RAMIREZ DE PEÑA GUISELLA ANGELA</t>
  </si>
  <si>
    <t>47264767</t>
  </si>
  <si>
    <t>ZUVIZARRETA MARQUEZ MARIA REINA</t>
  </si>
  <si>
    <t>02157407</t>
  </si>
  <si>
    <t>ZEA YNCA AVELINA</t>
  </si>
  <si>
    <t>47022245</t>
  </si>
  <si>
    <t>TTITO CUSI ERIKA</t>
  </si>
  <si>
    <t>72315098</t>
  </si>
  <si>
    <t>CJURO MOLINA EVELYM</t>
  </si>
  <si>
    <t>45248896</t>
  </si>
  <si>
    <t>TORRES COLQUE VERONICA</t>
  </si>
  <si>
    <t>74320713</t>
  </si>
  <si>
    <t>HUANCA ROJAS NOEMI SOLEDAD</t>
  </si>
  <si>
    <t>41004423</t>
  </si>
  <si>
    <t>RAYAN HUAMANI MARIA TEOFILA</t>
  </si>
  <si>
    <t>24786172</t>
  </si>
  <si>
    <t>SIVANA FERNANDEZ DIONICIO</t>
  </si>
  <si>
    <t>42050719</t>
  </si>
  <si>
    <t>HUAMANI BALTAZAR SOFIA</t>
  </si>
  <si>
    <t>43273533</t>
  </si>
  <si>
    <t>HUAYHUA MOTTE VILMA</t>
  </si>
  <si>
    <t>24680601</t>
  </si>
  <si>
    <t>TORRES MOLERO CRISOLOGO</t>
  </si>
  <si>
    <t>41146073</t>
  </si>
  <si>
    <t>CASQUINA PILCO ROBERTO CARLOS</t>
  </si>
  <si>
    <t>24812063</t>
  </si>
  <si>
    <t>AGUERO OBLITAS ANTERO</t>
  </si>
  <si>
    <t>24810274</t>
  </si>
  <si>
    <t>HUAMANI SONCCO FRANCISCO</t>
  </si>
  <si>
    <t>42985670</t>
  </si>
  <si>
    <t>HUAMANI SONCCO SILVESTRE</t>
  </si>
  <si>
    <t>44221528</t>
  </si>
  <si>
    <t>MENDOZA CUSI PERCY</t>
  </si>
  <si>
    <t>43774300</t>
  </si>
  <si>
    <t>PRIETO VALENCIA WINKIER FRANKLIEN</t>
  </si>
  <si>
    <t>24813575</t>
  </si>
  <si>
    <t>VALENCIA MONTEROLA SANTIAGO</t>
  </si>
  <si>
    <t>40972000</t>
  </si>
  <si>
    <t>ANAYA QUISPE ROLANDO</t>
  </si>
  <si>
    <t>24805368</t>
  </si>
  <si>
    <t>CHICATA POCCORI ELOY</t>
  </si>
  <si>
    <t>24811391</t>
  </si>
  <si>
    <t>SIVANA FERNANDEZ BRAULIO</t>
  </si>
  <si>
    <t>23964198</t>
  </si>
  <si>
    <t>COROPUNA NAVEROS WILBERT</t>
  </si>
  <si>
    <t>43431275</t>
  </si>
  <si>
    <t>MEJIA GARCIA WILBER</t>
  </si>
  <si>
    <t>24789197</t>
  </si>
  <si>
    <t>CHAVEZ MONGE LEONIDAS</t>
  </si>
  <si>
    <t>24805601</t>
  </si>
  <si>
    <t>ARIZAPANA VERA HERMOGENES</t>
  </si>
  <si>
    <t>40028493</t>
  </si>
  <si>
    <t>HUAMANI HUILLCA SERAPIO</t>
  </si>
  <si>
    <t>46113747</t>
  </si>
  <si>
    <t>HUAYLLANI PERALTA RUDY</t>
  </si>
  <si>
    <t>43223826</t>
  </si>
  <si>
    <t>ATAUCURI CHAVEZ ROSA MARIA</t>
  </si>
  <si>
    <t>40258261</t>
  </si>
  <si>
    <t>ALVIS OCHOA BERNARDINO</t>
  </si>
  <si>
    <t>24805277</t>
  </si>
  <si>
    <t>TORRES SIVINCHA JESUS</t>
  </si>
  <si>
    <t>24809860</t>
  </si>
  <si>
    <t>VILLENA MONTES MARIO YSAAC</t>
  </si>
  <si>
    <t>24805749</t>
  </si>
  <si>
    <t>VIZARRETA LAGOS PAUL</t>
  </si>
  <si>
    <t>46126509</t>
  </si>
  <si>
    <t>CASTRO APAZA OLGER</t>
  </si>
  <si>
    <t>74549658</t>
  </si>
  <si>
    <t>SOLIS SIVANA JAVIER</t>
  </si>
  <si>
    <t>74502323</t>
  </si>
  <si>
    <t>SOLIS SIVANA OSWALDO</t>
  </si>
  <si>
    <t>42128399</t>
  </si>
  <si>
    <t>ARONI SALHUA HUMBERTO</t>
  </si>
  <si>
    <t>42938560</t>
  </si>
  <si>
    <t>QUISPE HUAMANI ALAN</t>
  </si>
  <si>
    <t>80087880</t>
  </si>
  <si>
    <t>ZUVIZARRETA MARQUEZ WILSON SAMUEL</t>
  </si>
  <si>
    <t>24799430</t>
  </si>
  <si>
    <t>BACA DENOS NICOMEDES</t>
  </si>
  <si>
    <t>24808754</t>
  </si>
  <si>
    <t>SUPANTA URACCAHUA GENARO</t>
  </si>
  <si>
    <t>24804246</t>
  </si>
  <si>
    <t>YALLERCCO TEVES ISAIAS</t>
  </si>
  <si>
    <t>80629551</t>
  </si>
  <si>
    <t>HUAMANI SUAREZ FELIPE</t>
  </si>
  <si>
    <t>24799782</t>
  </si>
  <si>
    <t>ROJAS PRIETO FAUSTINO JUVINAL</t>
  </si>
  <si>
    <t>80559761</t>
  </si>
  <si>
    <t>SAYA MENDOZA ELADIO</t>
  </si>
  <si>
    <t>47026538</t>
  </si>
  <si>
    <t>HUANCA GUTIERREZ ADELMA</t>
  </si>
  <si>
    <t>24792796</t>
  </si>
  <si>
    <t>SALAS CENTENO CELESTINO</t>
  </si>
  <si>
    <t>40440578</t>
  </si>
  <si>
    <t>ASENCIO MAYHUA MARINA</t>
  </si>
  <si>
    <t>41033784</t>
  </si>
  <si>
    <t>MANTILLA MENDOZA EDISA</t>
  </si>
  <si>
    <t>42382728</t>
  </si>
  <si>
    <t>CRUZ SOTO RONALD</t>
  </si>
  <si>
    <t>46999418</t>
  </si>
  <si>
    <t>PEÑA CALDERON MARCOS</t>
  </si>
  <si>
    <t>44434942</t>
  </si>
  <si>
    <t>HUAMANI CONDORI CARLOS ENRIQUE</t>
  </si>
  <si>
    <t>45718207</t>
  </si>
  <si>
    <t>BUSTOS PEÑA ABRAHAN</t>
  </si>
  <si>
    <t>74895034</t>
  </si>
  <si>
    <t>CCAHUANA CHIPA MARTHA</t>
  </si>
  <si>
    <t>46680175</t>
  </si>
  <si>
    <t>PARI QUISPE YAMIL DINA</t>
  </si>
  <si>
    <t>45446269</t>
  </si>
  <si>
    <t>SUPANTA CONDORI GLORIA ESMERALDA</t>
  </si>
  <si>
    <t>73347634</t>
  </si>
  <si>
    <t>MACHACA MACHACA NORA CAROLINA</t>
  </si>
  <si>
    <t>46407300</t>
  </si>
  <si>
    <t>ALMIRON TOMAYA TITO</t>
  </si>
  <si>
    <t>45489774</t>
  </si>
  <si>
    <t>SALCEDO MENDOZA WILLIAN GILBERT</t>
  </si>
  <si>
    <t>45266819</t>
  </si>
  <si>
    <t>PUMA PACCO DAYCY</t>
  </si>
  <si>
    <t>41207231</t>
  </si>
  <si>
    <t>QUISPE ALVAREZ JUAN ALBERTO</t>
  </si>
  <si>
    <t>42941805</t>
  </si>
  <si>
    <t>ROQUE QUISPE RUTH MABEL</t>
  </si>
  <si>
    <t>40839803</t>
  </si>
  <si>
    <t>PAREDES TACCA ZENAYDA</t>
  </si>
  <si>
    <t>29626676</t>
  </si>
  <si>
    <t>CHAVEZ CHOQUEHUANCA ERKA MATILDE</t>
  </si>
  <si>
    <t>PROFESIONAL</t>
  </si>
  <si>
    <t>23991468</t>
  </si>
  <si>
    <t>ESTRADA TABOADA VERONICA</t>
  </si>
  <si>
    <t>02300517</t>
  </si>
  <si>
    <t>MAYHUA ARIZACA BRIGITTE MARITZA</t>
  </si>
  <si>
    <t>45051158</t>
  </si>
  <si>
    <t>CHSALLA CARRILLO DEISY SOFIA</t>
  </si>
  <si>
    <t>41157315</t>
  </si>
  <si>
    <t>APFATA HUANCA GLADIS MARLENI</t>
  </si>
  <si>
    <t>41936569</t>
  </si>
  <si>
    <t>LAYME QUISPE CARMEN ROSA</t>
  </si>
  <si>
    <t>40808051</t>
  </si>
  <si>
    <t>ORUE QUISPE FLOR MARIVEL</t>
  </si>
  <si>
    <t>44016699</t>
  </si>
  <si>
    <t>PORTILLO MASCO DORIS MIRIAM</t>
  </si>
  <si>
    <t>24712123</t>
  </si>
  <si>
    <t>CAHUASCANCO QUISPE FIDEL</t>
  </si>
  <si>
    <t>41458964</t>
  </si>
  <si>
    <t>CHAÑI APARICIO LUZMARINA</t>
  </si>
  <si>
    <t>24861791</t>
  </si>
  <si>
    <t>SARAYASI AQUIMA NARCISO ESTEBAN</t>
  </si>
  <si>
    <t>42726394</t>
  </si>
  <si>
    <t>BAUTISTA ASLLA JUAN CARLOS</t>
  </si>
  <si>
    <t>09974467</t>
  </si>
  <si>
    <t>LABRA HUAMANRAIME NILO JUSTINO</t>
  </si>
  <si>
    <t>24570967</t>
  </si>
  <si>
    <t>CHARA LABRA CONSTANTINO LEOCADIO</t>
  </si>
  <si>
    <t>10287626</t>
  </si>
  <si>
    <t>ROSAS VALDIVIA LUIS DARIO</t>
  </si>
  <si>
    <t>23947815</t>
  </si>
  <si>
    <t>VERA CHAÑI KATIA</t>
  </si>
  <si>
    <t>ASESOR LEGAL</t>
  </si>
  <si>
    <t>23848043</t>
  </si>
  <si>
    <t>QUISPE ARTEAGA JULIO TEOFILO</t>
  </si>
  <si>
    <t>46073603</t>
  </si>
  <si>
    <t>GOMEZ MENDOZA HECTOR</t>
  </si>
  <si>
    <t>71921893</t>
  </si>
  <si>
    <t>LUNA DELGADO VERA ROSALINDA EVANGELINA</t>
  </si>
  <si>
    <t>44606170</t>
  </si>
  <si>
    <t>LOPEZ FARFAN HECTOR JOSE</t>
  </si>
  <si>
    <t>47228905</t>
  </si>
  <si>
    <t>VASQUEZ POMPILLA ALEXANDER ANIBAL</t>
  </si>
  <si>
    <t>ANALISTA</t>
  </si>
  <si>
    <t>45546740</t>
  </si>
  <si>
    <t>VENTURA CARLO FREDY ANGEL</t>
  </si>
  <si>
    <t>23950528</t>
  </si>
  <si>
    <t>GIBAJA AROHUANCA ROSA LUZ</t>
  </si>
  <si>
    <t>41726172</t>
  </si>
  <si>
    <t>SINCHE SALOME JESSICA PAOLA</t>
  </si>
  <si>
    <t>40866014</t>
  </si>
  <si>
    <t>CALDERON CABALLERO ANGELICA</t>
  </si>
  <si>
    <t>23982116</t>
  </si>
  <si>
    <t>AGUILAR GARCIA JORGE</t>
  </si>
  <si>
    <t>24683130</t>
  </si>
  <si>
    <t>OLMEDO SANCHEZ JUAN ALEX</t>
  </si>
  <si>
    <t>23980106</t>
  </si>
  <si>
    <t>MERCADO QUISPE MANUEL SILVESTRE</t>
  </si>
  <si>
    <t>47172763</t>
  </si>
  <si>
    <t>QUISPE HIRPAHUANCA JOHEL</t>
  </si>
  <si>
    <t>42596807</t>
  </si>
  <si>
    <t>CARRASCO VALER JUAN CARLOS</t>
  </si>
  <si>
    <t>44727545</t>
  </si>
  <si>
    <t>MAMANI QUISPE JESUS</t>
  </si>
  <si>
    <t>73126850</t>
  </si>
  <si>
    <t>VALLEJOS HUAMANI ZOILA VICTORIA</t>
  </si>
  <si>
    <t>42982672</t>
  </si>
  <si>
    <t>MAMANI GOMEZ JUAN CARLOS</t>
  </si>
  <si>
    <t>44603797</t>
  </si>
  <si>
    <t>SUMA ERAZO ELMER</t>
  </si>
  <si>
    <t>40349745</t>
  </si>
  <si>
    <t>ROMERO TTITO LUZ MARINA</t>
  </si>
  <si>
    <t>48507663</t>
  </si>
  <si>
    <t>HUILLCA TORRES MYRIAM</t>
  </si>
  <si>
    <t>23871346</t>
  </si>
  <si>
    <t>QUISPE QUISPE ROSA</t>
  </si>
  <si>
    <t>24003041</t>
  </si>
  <si>
    <t>CUSIHUAMAN SURCO RUCKMINY</t>
  </si>
  <si>
    <t>40854518</t>
  </si>
  <si>
    <t>QUISPE VALLE ABDON</t>
  </si>
  <si>
    <t>25063851</t>
  </si>
  <si>
    <t>HUILLCA ALCCAYHUAMAN SUSANO</t>
  </si>
  <si>
    <t>24293592</t>
  </si>
  <si>
    <t>CALLASI OCHOA EFRAIN</t>
  </si>
  <si>
    <t>44704705</t>
  </si>
  <si>
    <t>UMAN CHAUCHAS YENNY</t>
  </si>
  <si>
    <t>43676913</t>
  </si>
  <si>
    <t>SALDIVAR CRUZ EDGAR</t>
  </si>
  <si>
    <t>25061573</t>
  </si>
  <si>
    <t>CRUZ ZAMORA LEONARDA</t>
  </si>
  <si>
    <t>25062226</t>
  </si>
  <si>
    <t>QUISPE AYME TORIBIO</t>
  </si>
  <si>
    <t>25061898</t>
  </si>
  <si>
    <t>CHUYACAMA VILLACORTA CARLOS</t>
  </si>
  <si>
    <t>10365936</t>
  </si>
  <si>
    <t>VALENZUELA QUIÑONEZ VILMA</t>
  </si>
  <si>
    <t>75331231</t>
  </si>
  <si>
    <t>VILLALVA VASQUEZ MANYUBER</t>
  </si>
  <si>
    <t>25067044</t>
  </si>
  <si>
    <t>GAMEZ HUAMANI SEBASTIAN</t>
  </si>
  <si>
    <t>44536582</t>
  </si>
  <si>
    <t>HANCCO MOROCCO REYNALDO</t>
  </si>
  <si>
    <t>45961978</t>
  </si>
  <si>
    <t>QUILLAHUAMAN SUVIZARRETA IVAN HUGO</t>
  </si>
  <si>
    <t>23933082</t>
  </si>
  <si>
    <t>OXSA PALOMINO MARCO ANTONIO</t>
  </si>
  <si>
    <t>47714082</t>
  </si>
  <si>
    <t>JUCULACA CHURA JAIME</t>
  </si>
  <si>
    <t>47863048</t>
  </si>
  <si>
    <t>QUISPE VILCA ALBERTO</t>
  </si>
  <si>
    <t>42965445</t>
  </si>
  <si>
    <t>PAUCAR QUISPE JORGE ARMANDO</t>
  </si>
  <si>
    <t>47357686</t>
  </si>
  <si>
    <t>HURTADO MONGE ABNER ANTERO</t>
  </si>
  <si>
    <t>80264727</t>
  </si>
  <si>
    <t>BATALLANOS QUISPE VALERIO</t>
  </si>
  <si>
    <t>23978800</t>
  </si>
  <si>
    <t>GALDOS GONZALES PETER</t>
  </si>
  <si>
    <t>42266762</t>
  </si>
  <si>
    <t>LIPA MAMANI NICO OSCAR</t>
  </si>
  <si>
    <t>70243933</t>
  </si>
  <si>
    <t>AYACHO PALMA JENNY LUZ</t>
  </si>
  <si>
    <t>41659371</t>
  </si>
  <si>
    <t>AVENDAÑO VARGAS VDA DE OLAZO GUADALUPE</t>
  </si>
  <si>
    <t>72196390</t>
  </si>
  <si>
    <t>GUEVARA ASCUE YAHAIDA MISHELL</t>
  </si>
  <si>
    <t>44607382</t>
  </si>
  <si>
    <t>CALLER QUISPE FREDY</t>
  </si>
  <si>
    <t>09554726</t>
  </si>
  <si>
    <t>VARGAS AYALA VICTORIA ROSSANA</t>
  </si>
  <si>
    <t>45713556</t>
  </si>
  <si>
    <t>FERNANDEZ BERMEO DIEGO ANTONIO</t>
  </si>
  <si>
    <t>70278925</t>
  </si>
  <si>
    <t>COVARRUBIAS DEL CARPIO NOHELIA</t>
  </si>
  <si>
    <t>40073721</t>
  </si>
  <si>
    <t>CHAVEZ VALENCIA ERIKA CARLA</t>
  </si>
  <si>
    <t>43158482</t>
  </si>
  <si>
    <t>AGUILAR QUINTANA IVONNE MURIEL</t>
  </si>
  <si>
    <t>70060168</t>
  </si>
  <si>
    <t>ALBURQUEQUE CASTILLO DIANA CAROLINA</t>
  </si>
  <si>
    <t>25061997</t>
  </si>
  <si>
    <t>BARDALES CARDENAS MARIA ELENA</t>
  </si>
  <si>
    <t>25062811</t>
  </si>
  <si>
    <t>CCOPA PAUCAR LUCIA</t>
  </si>
  <si>
    <t>25061990</t>
  </si>
  <si>
    <t>LIMA FARFAN DERMY YULIZA</t>
  </si>
  <si>
    <t>23841724</t>
  </si>
  <si>
    <t>BARREDA ZEGARRA ANTONIA</t>
  </si>
  <si>
    <t>47100212</t>
  </si>
  <si>
    <t>MASIAS QUISPE NELY</t>
  </si>
  <si>
    <t>72579591</t>
  </si>
  <si>
    <t>BARRIENTOS TORRES MAGNOLIA</t>
  </si>
  <si>
    <t>44721077</t>
  </si>
  <si>
    <t>QUISPE ALTAMIRANO ELVIS DAVID</t>
  </si>
  <si>
    <t>41997123</t>
  </si>
  <si>
    <t>ANGULO YTURRIAGA SARA YUDITH</t>
  </si>
  <si>
    <t>25063831</t>
  </si>
  <si>
    <t>MORALES VALVERDE GREGORIO</t>
  </si>
  <si>
    <t>48967501</t>
  </si>
  <si>
    <t>BATALLANOS MOLERO MESIAS ARMANDO</t>
  </si>
  <si>
    <t>44152455</t>
  </si>
  <si>
    <t>LOAYZA SENCIA INES</t>
  </si>
  <si>
    <t>44616146</t>
  </si>
  <si>
    <t>CHILLITUPA LIMA ERIKA FELICIA</t>
  </si>
  <si>
    <t>46660418</t>
  </si>
  <si>
    <t>VALENCIA ITURRIAGA MARITZA</t>
  </si>
  <si>
    <t>71082662</t>
  </si>
  <si>
    <t>ANCHAYA ROQUE ROSA</t>
  </si>
  <si>
    <t>71221215</t>
  </si>
  <si>
    <t>PACCO PAPEL HUDILUNIA</t>
  </si>
  <si>
    <t>45757244</t>
  </si>
  <si>
    <t>CCOA MAMANI MARIA MAGDALENA</t>
  </si>
  <si>
    <t>41358537</t>
  </si>
  <si>
    <t>LAIME ANTITUPA YUDIT</t>
  </si>
  <si>
    <t>45763549</t>
  </si>
  <si>
    <t>ALVAREZ ALVAREZ ELIZABETH MAGALY</t>
  </si>
  <si>
    <t>47828905</t>
  </si>
  <si>
    <t>HANCCO AMPA LIZBETH</t>
  </si>
  <si>
    <t>72328348</t>
  </si>
  <si>
    <t>GONZALES CRUZ KAREN MILAGROS</t>
  </si>
  <si>
    <t>23800173</t>
  </si>
  <si>
    <t>GUTIERREZ GUZMAN CORSINO</t>
  </si>
  <si>
    <t>80321743</t>
  </si>
  <si>
    <t>CHILLITUPA LIMA RINA SONIA</t>
  </si>
  <si>
    <t>29711152</t>
  </si>
  <si>
    <t>CALLA HUAYLLAPUMA FLORENCIO</t>
  </si>
  <si>
    <t>76461960</t>
  </si>
  <si>
    <t>CCALLUCO OVIEDO AMILCAR</t>
  </si>
  <si>
    <t>25070115</t>
  </si>
  <si>
    <t>VERA CHAMORRO ENRIQUE</t>
  </si>
  <si>
    <t>45065552</t>
  </si>
  <si>
    <t>ZERCEDA DUEÑAS OLISES</t>
  </si>
  <si>
    <t>25067037</t>
  </si>
  <si>
    <t>MOLINA MIRANDA HERNAN</t>
  </si>
  <si>
    <t>23941276</t>
  </si>
  <si>
    <t>HUAMANI HUANCA ISAC</t>
  </si>
  <si>
    <t>80245865</t>
  </si>
  <si>
    <t>HUILLCA LOAYZA ERIBERTO</t>
  </si>
  <si>
    <t>47825173</t>
  </si>
  <si>
    <t>TINTA HERRERA ABEL</t>
  </si>
  <si>
    <t>44874647</t>
  </si>
  <si>
    <t>YUCRA QUISPE RENE</t>
  </si>
  <si>
    <t>44320631</t>
  </si>
  <si>
    <t>CORISSE ZAMBRANO VLADIMIR</t>
  </si>
  <si>
    <t>24292841</t>
  </si>
  <si>
    <t>CARDENAS FUENTES ANDRES RAUL</t>
  </si>
  <si>
    <t>10336653</t>
  </si>
  <si>
    <t>UÑUNCO SAIRE MARTIN</t>
  </si>
  <si>
    <t>25075273</t>
  </si>
  <si>
    <t>BLANCO CABALLERO EULOGIO</t>
  </si>
  <si>
    <t>80019291</t>
  </si>
  <si>
    <t>UÑUNCO SEJAS RAUL</t>
  </si>
  <si>
    <t>40869771</t>
  </si>
  <si>
    <t>CHAPARRO MUÑOZ HENRY</t>
  </si>
  <si>
    <t>40994584</t>
  </si>
  <si>
    <t>ROJAS QUIÑONES YONI</t>
  </si>
  <si>
    <t>46321462</t>
  </si>
  <si>
    <t>CASTAÑEDA OLIVARES ROGER</t>
  </si>
  <si>
    <t>42236352</t>
  </si>
  <si>
    <t>QUISPE VALLE JAVIER</t>
  </si>
  <si>
    <t>40897895</t>
  </si>
  <si>
    <t>QUISPE SULLCA ROBERTO</t>
  </si>
  <si>
    <t>47447584</t>
  </si>
  <si>
    <t>HUARCO HUAMAN MARIA MILAGROS</t>
  </si>
  <si>
    <t>45823321</t>
  </si>
  <si>
    <t>AMPA ZERECEDA EDGAR</t>
  </si>
  <si>
    <t>45830754</t>
  </si>
  <si>
    <t>HANCCO SAICO ALFREDO</t>
  </si>
  <si>
    <t>25077623</t>
  </si>
  <si>
    <t>ORURO VILCABAMBA HERNAN WILBERT</t>
  </si>
  <si>
    <t>24001297</t>
  </si>
  <si>
    <t>LIMA QUISPE JULIAN</t>
  </si>
  <si>
    <t>46889996</t>
  </si>
  <si>
    <t>QUISPE SUNIGA IMER</t>
  </si>
  <si>
    <t>41030800</t>
  </si>
  <si>
    <t>HILARIO ARAHUALLPA ORLANDO</t>
  </si>
  <si>
    <t>23869637</t>
  </si>
  <si>
    <t>ORURO ARAHUALLPA WALTER</t>
  </si>
  <si>
    <t>41965356</t>
  </si>
  <si>
    <t>SALDIVAR CCASANI HENRY</t>
  </si>
  <si>
    <t>44657970</t>
  </si>
  <si>
    <t>ALVAREZ BARRIENTOS VALERIO</t>
  </si>
  <si>
    <t>42821783</t>
  </si>
  <si>
    <t>HUAMAN CARDENAS LISET YOLANDA</t>
  </si>
  <si>
    <t>46087362</t>
  </si>
  <si>
    <t>CASTILLO MACHACA JOSE ALFREDO</t>
  </si>
  <si>
    <t>74141790</t>
  </si>
  <si>
    <t>ARIAS AMPA CAROLINA</t>
  </si>
  <si>
    <t>48090663</t>
  </si>
  <si>
    <t>CORNEJO PUMACAJIA GRACIELA LOURDES</t>
  </si>
  <si>
    <t>72664948</t>
  </si>
  <si>
    <t>HUAMAN APAZA FLOR DE MARIA</t>
  </si>
  <si>
    <t>42523530</t>
  </si>
  <si>
    <t>ZEVALLOS MAMANI RICHAR VIDAL</t>
  </si>
  <si>
    <t>44888913</t>
  </si>
  <si>
    <t>ALDAZABAL JULLUNI DAVID ROLANDO</t>
  </si>
  <si>
    <t>45840680</t>
  </si>
  <si>
    <t>ROJAS VILLAVICENCIO DEIBYD NILTON</t>
  </si>
  <si>
    <t>43431484</t>
  </si>
  <si>
    <t>JIMENEZ YUPANQUI ERIKA IVONNE</t>
  </si>
  <si>
    <t>23885633</t>
  </si>
  <si>
    <t>PAZ ORTIZ JOSE ORLANDO</t>
  </si>
  <si>
    <t>46307345</t>
  </si>
  <si>
    <t>CONDORI CONDORI JUAN CARLOS</t>
  </si>
  <si>
    <t>42949737</t>
  </si>
  <si>
    <t>LLIUYACC LLIUYACC IRMA BERCILIA</t>
  </si>
  <si>
    <t>46485078</t>
  </si>
  <si>
    <t>CARDENAS HUAMAN REYNA TRINIDAD</t>
  </si>
  <si>
    <t>47609314</t>
  </si>
  <si>
    <t>QUISPE QUISPE CARMEN LUCIA</t>
  </si>
  <si>
    <t>46103915</t>
  </si>
  <si>
    <t>TAIÑA LOAIZA BERTHA</t>
  </si>
  <si>
    <t>41793449</t>
  </si>
  <si>
    <t>RIO MONTERROSO SILVESTRE</t>
  </si>
  <si>
    <t>42952925</t>
  </si>
  <si>
    <t>BUENDIA SALCEDO KAREN</t>
  </si>
  <si>
    <t>46337743</t>
  </si>
  <si>
    <t>PUMACHAPI CONZA VANESSA</t>
  </si>
  <si>
    <t>44605411</t>
  </si>
  <si>
    <t>QUISPE HUAMANI INES</t>
  </si>
  <si>
    <t>46951025</t>
  </si>
  <si>
    <t>CIPRIAN COLLANTES MAVERIK</t>
  </si>
  <si>
    <t>29326790</t>
  </si>
  <si>
    <t>SULLA SULLA VALENTINA</t>
  </si>
  <si>
    <t>25199737</t>
  </si>
  <si>
    <t>PEREZ QUISPE YSIDORA</t>
  </si>
  <si>
    <t>23884014</t>
  </si>
  <si>
    <t>QUINTO QUISPE JESUS</t>
  </si>
  <si>
    <t>42934271</t>
  </si>
  <si>
    <t>CORAHUA MERMA NELLY SOLEDAD</t>
  </si>
  <si>
    <t>23992160</t>
  </si>
  <si>
    <t>BEIZAGA GUARDAPUCLLA WENCESLAO</t>
  </si>
  <si>
    <t>08825865</t>
  </si>
  <si>
    <t>COSIO VERA AGRIPINA</t>
  </si>
  <si>
    <t>40312321</t>
  </si>
  <si>
    <t>GALIANO SANTISTEBAN GILMO</t>
  </si>
  <si>
    <t>71563246</t>
  </si>
  <si>
    <t>PALOMINO MORA BRENDA KATHERINE</t>
  </si>
  <si>
    <t>41150307</t>
  </si>
  <si>
    <t>HUILLCA AYMA ELISMAN</t>
  </si>
  <si>
    <t>71791778</t>
  </si>
  <si>
    <t>PEREZ CUSIHUALLPA PARKO</t>
  </si>
  <si>
    <t>42004242</t>
  </si>
  <si>
    <t>BRAVO MOTTA MERY ESMERALDA</t>
  </si>
  <si>
    <t>40042207</t>
  </si>
  <si>
    <t>CHACON CHAVEZ VICTORINO</t>
  </si>
  <si>
    <t>25321155</t>
  </si>
  <si>
    <t>CUMPA VERA ELENA</t>
  </si>
  <si>
    <t>40834295</t>
  </si>
  <si>
    <t>ALENCASTRE LLANOS VILMA</t>
  </si>
  <si>
    <t>24005164</t>
  </si>
  <si>
    <t>ESPINOZA ESPINO GUADALUPE</t>
  </si>
  <si>
    <t>23928985</t>
  </si>
  <si>
    <t>PAREDES RUIZ ARMANDO RAFAEL</t>
  </si>
  <si>
    <t>47872999</t>
  </si>
  <si>
    <t>QUISPE LAUCATA JULIO</t>
  </si>
  <si>
    <t>42601239</t>
  </si>
  <si>
    <t>HUAMAN QUISPE NATIVIDAD</t>
  </si>
  <si>
    <t>40963790</t>
  </si>
  <si>
    <t>MAMANI QUISPE TORIBIO</t>
  </si>
  <si>
    <t>76457030</t>
  </si>
  <si>
    <t>MAMANI QUISPE RAYMUNDO</t>
  </si>
  <si>
    <t>25319436</t>
  </si>
  <si>
    <t>ALVARO YBARRA ROSA</t>
  </si>
  <si>
    <t>23975396</t>
  </si>
  <si>
    <t>MORA SOTO IVONNE</t>
  </si>
  <si>
    <t>09292314</t>
  </si>
  <si>
    <t>VILLALOBOS PEÑA CARLOS ALBERTO</t>
  </si>
  <si>
    <t>23851620</t>
  </si>
  <si>
    <t>CACERES POBLETE MIRIAM ELIZABETH</t>
  </si>
  <si>
    <t>40846410</t>
  </si>
  <si>
    <t>ESPINOZA QUISPE AURORA</t>
  </si>
  <si>
    <t>42240762</t>
  </si>
  <si>
    <t>PAZ CASTILLO ERIC AMILCAR</t>
  </si>
  <si>
    <t>25321671</t>
  </si>
  <si>
    <t>PAZ CARDENAS JUAN JOSE</t>
  </si>
  <si>
    <t>25136557</t>
  </si>
  <si>
    <t>HOFFMEISTER FARFAN ALBERTO</t>
  </si>
  <si>
    <t>42234816</t>
  </si>
  <si>
    <t>HANCCO MONTESINOS ROLANDO</t>
  </si>
  <si>
    <t>80115839</t>
  </si>
  <si>
    <t>AÑANCA MASIAS YANET</t>
  </si>
  <si>
    <t>72017398</t>
  </si>
  <si>
    <t>ROJAS MOSCOSO ALFREDO CARLOS</t>
  </si>
  <si>
    <t>46588258</t>
  </si>
  <si>
    <t>ARMEJO CONZA EBERT</t>
  </si>
  <si>
    <t>46157554</t>
  </si>
  <si>
    <t>ROMERO QUISPE ALEX</t>
  </si>
  <si>
    <t>45915403</t>
  </si>
  <si>
    <t>DE LA VEGA CHIPANA SUSETTE</t>
  </si>
  <si>
    <t>43506442</t>
  </si>
  <si>
    <t>SULLCA MISME RINA</t>
  </si>
  <si>
    <t>48524107</t>
  </si>
  <si>
    <t>VERA QUISPE NANCY PATY</t>
  </si>
  <si>
    <t>41006237</t>
  </si>
  <si>
    <t>ORMACHEA VILLAFUERTE FLOR DE MARIA</t>
  </si>
  <si>
    <t>44535552</t>
  </si>
  <si>
    <t>NINANTAY PEDRAZA GILMER</t>
  </si>
  <si>
    <t>47982791</t>
  </si>
  <si>
    <t>MAR PACHECO ZENAIDA</t>
  </si>
  <si>
    <t>41405260</t>
  </si>
  <si>
    <t>ALVAREZ SARMIENTO JORGE EDIDSON</t>
  </si>
  <si>
    <t>45970269</t>
  </si>
  <si>
    <t>LUNA ASCUE MARCO ANTONIO</t>
  </si>
  <si>
    <t>44099184</t>
  </si>
  <si>
    <t>CARDENAS ACUÑA RHONY</t>
  </si>
  <si>
    <t>47738478</t>
  </si>
  <si>
    <t>RIOS DURAN JAVIER BRAYAN</t>
  </si>
  <si>
    <t>40560034</t>
  </si>
  <si>
    <t>AQUINO SERPA JERSON TITO</t>
  </si>
  <si>
    <t>72040468</t>
  </si>
  <si>
    <t>SANCHEZ ESTRADA SOFIA LUZ VILMA</t>
  </si>
  <si>
    <t>44572326</t>
  </si>
  <si>
    <t>NIETO MARTEL YULIANA YOSI</t>
  </si>
  <si>
    <t>71534899</t>
  </si>
  <si>
    <t>TRIVEÑOS PERALTA DISLIA DEYSI</t>
  </si>
  <si>
    <t>48029188</t>
  </si>
  <si>
    <t>CONDORI TORRES ISAURA</t>
  </si>
  <si>
    <t>40102057</t>
  </si>
  <si>
    <t>PARICAHUA PINEDA FREDY FRITZ</t>
  </si>
  <si>
    <t>47394985</t>
  </si>
  <si>
    <t>MORALES PALMA SHEYLA VERONICA</t>
  </si>
  <si>
    <t>70576540</t>
  </si>
  <si>
    <t>PILARES DELGADO AYRTON FRANK</t>
  </si>
  <si>
    <t>47546954</t>
  </si>
  <si>
    <t>ARAGON BOHORQUEZ DEYSI ESTHEFANY</t>
  </si>
  <si>
    <t>25320301</t>
  </si>
  <si>
    <t>RIVERA HUANCA YOLANDA</t>
  </si>
  <si>
    <t>23882235</t>
  </si>
  <si>
    <t>GAMBOA VELASCO NORMA DOMINGA</t>
  </si>
  <si>
    <t>25311983</t>
  </si>
  <si>
    <t>COLL CARDENAS GAMARRA NARDA ANA MARIA</t>
  </si>
  <si>
    <t>23892885</t>
  </si>
  <si>
    <t>YAPURA CONDORI FRANCISCO</t>
  </si>
  <si>
    <t>25310303</t>
  </si>
  <si>
    <t>FARFAN HUALLPAYUNCA ROLANDO</t>
  </si>
  <si>
    <t>25310615</t>
  </si>
  <si>
    <t>MINAYA OTAZU BEATRIZ</t>
  </si>
  <si>
    <t>43527693</t>
  </si>
  <si>
    <t>BEIZAGA AQUINO MARTHA</t>
  </si>
  <si>
    <t>44077307</t>
  </si>
  <si>
    <t>USCAMAYTA ESTRADA KATHY MARILYN</t>
  </si>
  <si>
    <t>72945898</t>
  </si>
  <si>
    <t>ROJAS TORRES EVELYN ZONALY</t>
  </si>
  <si>
    <t>47254509</t>
  </si>
  <si>
    <t>MAMANI SIHUAYRO PATRICIA SUSY</t>
  </si>
  <si>
    <t>25328623</t>
  </si>
  <si>
    <t>MADERA GUARDANAULA VICTORIANA</t>
  </si>
  <si>
    <t>41603333</t>
  </si>
  <si>
    <t>PEREZ CUSIHUALLPA ROLANDO</t>
  </si>
  <si>
    <t>72274344</t>
  </si>
  <si>
    <t>CACERES MASIAS PAOLA</t>
  </si>
  <si>
    <t>25326389</t>
  </si>
  <si>
    <t>MORA ATAUCHI MARIA ANTONIETA</t>
  </si>
  <si>
    <t>41293899</t>
  </si>
  <si>
    <t>ESTOMBELO TACO SONIA</t>
  </si>
  <si>
    <t>24677098</t>
  </si>
  <si>
    <t>SUTTI CACHA VICTOR</t>
  </si>
  <si>
    <t>42177667</t>
  </si>
  <si>
    <t>CORNEJO NUÑEZ ANALI</t>
  </si>
  <si>
    <t>70668506</t>
  </si>
  <si>
    <t>VASQUEZ OCHOA JUAN DE DIOS</t>
  </si>
  <si>
    <t>44655712</t>
  </si>
  <si>
    <t>ALCCACONTOR OLIVERA YENNY CARLA</t>
  </si>
  <si>
    <t>40075515</t>
  </si>
  <si>
    <t>CASTRO MISME ROSALIM</t>
  </si>
  <si>
    <t>23858421</t>
  </si>
  <si>
    <t>LIMAZA MAMANI DOMINGA</t>
  </si>
  <si>
    <t>45202574</t>
  </si>
  <si>
    <t>GASTAÑAGA SANCHEZ LUIS FERNANDO</t>
  </si>
  <si>
    <t>08164668</t>
  </si>
  <si>
    <t>ATAPAUCCAR QUISPE JUAN BAUTISTA</t>
  </si>
  <si>
    <t>48677071</t>
  </si>
  <si>
    <t>ESPINOZA CHALLCO GULLIT VICTOR</t>
  </si>
  <si>
    <t>80065230</t>
  </si>
  <si>
    <t>HUAMPFOTUPA USCAMAYTA SAMUEL</t>
  </si>
  <si>
    <t>42014069</t>
  </si>
  <si>
    <t>QUISPE HUAMAN ROXANA</t>
  </si>
  <si>
    <t>23964516</t>
  </si>
  <si>
    <t>MALLMA BRICEÑO WALTHER ISIDORO</t>
  </si>
  <si>
    <t>41526093</t>
  </si>
  <si>
    <t>GALIANO SANTISTEBAN JOHAN</t>
  </si>
  <si>
    <t>25304439</t>
  </si>
  <si>
    <t>MORA YAÑAC MARTHA</t>
  </si>
  <si>
    <t>25320331</t>
  </si>
  <si>
    <t>MANCCO QUISPE VICTOR</t>
  </si>
  <si>
    <t>45424309</t>
  </si>
  <si>
    <t>PEREZ TTICA JONATHAN</t>
  </si>
  <si>
    <t>42080669</t>
  </si>
  <si>
    <t>CACERES CONDE MANUEL</t>
  </si>
  <si>
    <t>23994230</t>
  </si>
  <si>
    <t>SALAZAR RAMIREZ ROBERTO</t>
  </si>
  <si>
    <t>42168939</t>
  </si>
  <si>
    <t>CRUZ PELAYO JUAN FRANCISCO</t>
  </si>
  <si>
    <t>42208240</t>
  </si>
  <si>
    <t>CRUZ PELAYO OSCAR SANTIAGO</t>
  </si>
  <si>
    <t>25326425</t>
  </si>
  <si>
    <t>VILLANO CORNEJO JULIO</t>
  </si>
  <si>
    <t>24992119</t>
  </si>
  <si>
    <t>VILLAFUERTE VALENCIA FELIX PUBLIO</t>
  </si>
  <si>
    <t>41491539</t>
  </si>
  <si>
    <t>OCHOA MAMANI RUTMAN ALBERTO</t>
  </si>
  <si>
    <t>43164305</t>
  </si>
  <si>
    <t>UBALDE BORDA FELIO ABELARDO</t>
  </si>
  <si>
    <t>25304317</t>
  </si>
  <si>
    <t>UBALDE ARGANDOÑA HANS LADISLAO</t>
  </si>
  <si>
    <t>23930655</t>
  </si>
  <si>
    <t>SERNA SARMIENTO DARIO</t>
  </si>
  <si>
    <t>76415679</t>
  </si>
  <si>
    <t>LLANCAY CARDENAS RUTH FABIOLA</t>
  </si>
  <si>
    <t>40997492</t>
  </si>
  <si>
    <t>GUZMAN FERRO CARMEN ROSA</t>
  </si>
  <si>
    <t>31001204</t>
  </si>
  <si>
    <t>CHIRINOS BARRIOS ALEJANDRO</t>
  </si>
  <si>
    <t>43708322</t>
  </si>
  <si>
    <t>CRUZ HUAMAN RAQUEL</t>
  </si>
  <si>
    <t>73230468</t>
  </si>
  <si>
    <t>MOSCOSO AYTE SAMUEL</t>
  </si>
  <si>
    <t>25304192</t>
  </si>
  <si>
    <t>DURAND ESCOBAR CLARA</t>
  </si>
  <si>
    <t>41523540</t>
  </si>
  <si>
    <t>YLLA ROJAS SAYDA</t>
  </si>
  <si>
    <t>43200742</t>
  </si>
  <si>
    <t>QQUENTA PUMA FREDDY EFRAIN</t>
  </si>
  <si>
    <t>25326997</t>
  </si>
  <si>
    <t>QUISPE CONDORI WILFREDO</t>
  </si>
  <si>
    <t>25304767</t>
  </si>
  <si>
    <t>QUILLAHUAMAN PAUCCAR LUCAS</t>
  </si>
  <si>
    <t>41585589</t>
  </si>
  <si>
    <t>GAMARRA SARAYA ABEL</t>
  </si>
  <si>
    <t>25304821</t>
  </si>
  <si>
    <t>CUELLAR BETANCUR CIRILO</t>
  </si>
  <si>
    <t>40512518</t>
  </si>
  <si>
    <t>QUISPE JUSTO HECTOR RAUL</t>
  </si>
  <si>
    <t>72838216</t>
  </si>
  <si>
    <t>PAICO MISME DIANA VANESA</t>
  </si>
  <si>
    <t>45581980</t>
  </si>
  <si>
    <t>MAMANI TERRAZAS RAMON</t>
  </si>
  <si>
    <t>23930092</t>
  </si>
  <si>
    <t>QUISPICHU MONTESINOS OLIVIA</t>
  </si>
  <si>
    <t>46267878</t>
  </si>
  <si>
    <t>PAREDES QQUECCAÑO CARMEN ROSA</t>
  </si>
  <si>
    <t>48491921</t>
  </si>
  <si>
    <t>GUDIEL ALOSILLA RAUL CHRISTOPHER</t>
  </si>
  <si>
    <t>46640903</t>
  </si>
  <si>
    <t>YABAR HORTA MERCEDES</t>
  </si>
  <si>
    <t>70419609</t>
  </si>
  <si>
    <t>QUISPE GIBAJA LUCERO NATIVIDAD</t>
  </si>
  <si>
    <t>71932330</t>
  </si>
  <si>
    <t>BUTRON MONTOYA JHOSMEL BARU</t>
  </si>
  <si>
    <t>02298110</t>
  </si>
  <si>
    <t>BUENO MORALES MIDGET RIENZI</t>
  </si>
  <si>
    <t>47171263</t>
  </si>
  <si>
    <t>ATAYUPANQUI AYBAR SHIOMARA</t>
  </si>
  <si>
    <t>40529073</t>
  </si>
  <si>
    <t>GONGORA MEDINA EMERSON</t>
  </si>
  <si>
    <t>45903907</t>
  </si>
  <si>
    <t>DURAN SANTISTEBAN CARLA ALEXANDRA</t>
  </si>
  <si>
    <t>41990702</t>
  </si>
  <si>
    <t>VALVERDE CARDENAS JENNIE AMELVI</t>
  </si>
  <si>
    <t>25309822</t>
  </si>
  <si>
    <t>LLALLICUNA CARAZAS JULIO</t>
  </si>
  <si>
    <t>15592380</t>
  </si>
  <si>
    <t>ROMERO OCHOA MARIA GUADALUPE</t>
  </si>
  <si>
    <t>72553427</t>
  </si>
  <si>
    <t>DELGADO MASIAS JAQUELINE</t>
  </si>
  <si>
    <t>43487108</t>
  </si>
  <si>
    <t>LUDEÑA ZUNIGA YURMO GONZALO</t>
  </si>
  <si>
    <t>46729561</t>
  </si>
  <si>
    <t>CORNEJO PUMACCAHUA JOJHAN</t>
  </si>
  <si>
    <t>72322698</t>
  </si>
  <si>
    <t>VALENCIA HAÑARI KATHERINE VIANNEY</t>
  </si>
  <si>
    <t>23901752</t>
  </si>
  <si>
    <t>CARPIO ROMERO ALFREDO</t>
  </si>
  <si>
    <t>23940954</t>
  </si>
  <si>
    <t>ARQQUE ARANGURI MERCEDES MARIA</t>
  </si>
  <si>
    <t>23997089</t>
  </si>
  <si>
    <t>CCOISO SUCSO SERGIO</t>
  </si>
  <si>
    <t>42658039</t>
  </si>
  <si>
    <t>BARRA YUPANQUI JORGE ABRAHAN</t>
  </si>
  <si>
    <t>23979393</t>
  </si>
  <si>
    <t>HURTADO CAROL RAUL HUGO</t>
  </si>
  <si>
    <t>23967224</t>
  </si>
  <si>
    <t>MOZO SINCHI ROCA NANCY</t>
  </si>
  <si>
    <t>CHOFER I</t>
  </si>
  <si>
    <t>23979298</t>
  </si>
  <si>
    <t>PANCORBO PAREJA BREITNER</t>
  </si>
  <si>
    <t>TECNICO SANITARIO I</t>
  </si>
  <si>
    <t>25062935</t>
  </si>
  <si>
    <t>GUTIERREZ VALDERRAMA APOLINAR</t>
  </si>
  <si>
    <t>DIGITADOR PAD</t>
  </si>
  <si>
    <t>41161448</t>
  </si>
  <si>
    <t>HUARACHA CHURATA VIRGINIA</t>
  </si>
  <si>
    <t>40476051</t>
  </si>
  <si>
    <t>NAVARRO ESPINOZA FORTUNATO</t>
  </si>
  <si>
    <t>ANALISTA DE SISTEMAS PAD I</t>
  </si>
  <si>
    <t>44659362</t>
  </si>
  <si>
    <t>QUISPE HUAMAN LUIS ALBERTO</t>
  </si>
  <si>
    <t>44044863</t>
  </si>
  <si>
    <t>PAULLO HUILLCA GUIDO</t>
  </si>
  <si>
    <t>70367803</t>
  </si>
  <si>
    <t>QUISPE FERNANDEZ MARILUZ</t>
  </si>
  <si>
    <t>23958992</t>
  </si>
  <si>
    <t>CALLOHUANCA QUISPE CARLOS ANTONIO</t>
  </si>
  <si>
    <t>BACH. EN INGENIERIA</t>
  </si>
  <si>
    <t>23977412</t>
  </si>
  <si>
    <t>QUISPE ORCCOHUARANCCA HEBERTH</t>
  </si>
  <si>
    <t>TRABAJADOR DE SERVICIOS I</t>
  </si>
  <si>
    <t>80183127</t>
  </si>
  <si>
    <t>PUMAHUILLCA BAEZ CEFERINA</t>
  </si>
  <si>
    <t>23871643</t>
  </si>
  <si>
    <t>VICENTE PASTOR VICTOR HUGO</t>
  </si>
  <si>
    <t>41393699</t>
  </si>
  <si>
    <t>HUMPIRE ASTETE ANANI</t>
  </si>
  <si>
    <t>41608587</t>
  </si>
  <si>
    <t>CUSIHUALLPA MOLINA YELICETT</t>
  </si>
  <si>
    <t>23983981</t>
  </si>
  <si>
    <t>ZEGARRA RONDAN BIANCA MARIA</t>
  </si>
  <si>
    <t>45311338</t>
  </si>
  <si>
    <t>ESTRADA CCASA JUAN CARLOS</t>
  </si>
  <si>
    <t>41769571</t>
  </si>
  <si>
    <t>RIOS VERA PAULINO RONAL</t>
  </si>
  <si>
    <t>44621265</t>
  </si>
  <si>
    <t>VALENZUELA CHIRINOS YURI</t>
  </si>
  <si>
    <t>40726383</t>
  </si>
  <si>
    <t>FRANCO LEIVA YANINA</t>
  </si>
  <si>
    <t>44607017</t>
  </si>
  <si>
    <t>SUMIRE HUILLCAYQUIPA JOSE ANTONIO</t>
  </si>
  <si>
    <t>41433418</t>
  </si>
  <si>
    <t>PAREDES SALAS BORIS OMAR</t>
  </si>
  <si>
    <t>40369573</t>
  </si>
  <si>
    <t>TACOMA MAMANI BEATRIZ</t>
  </si>
  <si>
    <t>40952417</t>
  </si>
  <si>
    <t>ROJAS QUISPE MARIA INES</t>
  </si>
  <si>
    <t>25202522</t>
  </si>
  <si>
    <t>LOAIZA SARMIENTO MARIA</t>
  </si>
  <si>
    <t>44941872</t>
  </si>
  <si>
    <t>UTANI SALAS LUZ MARINA</t>
  </si>
  <si>
    <t>25135441</t>
  </si>
  <si>
    <t>VALLES GARRIDO YURI</t>
  </si>
  <si>
    <t>25139153</t>
  </si>
  <si>
    <t>CUTIPA LAURA JUAN DE DIOS</t>
  </si>
  <si>
    <t>23984075</t>
  </si>
  <si>
    <t>VASQUEZ BUENO MIRIAN</t>
  </si>
  <si>
    <t>41416252</t>
  </si>
  <si>
    <t>CUSIMAYTA TTITO JOSE</t>
  </si>
  <si>
    <t>43544311</t>
  </si>
  <si>
    <t>ILLA QUISPE ALICIA</t>
  </si>
  <si>
    <t>45597635</t>
  </si>
  <si>
    <t>HUAMANI QUISPE DINA</t>
  </si>
  <si>
    <t>41212443</t>
  </si>
  <si>
    <t>ARAHUALLPA AMPA WILFREDO</t>
  </si>
  <si>
    <t>25187458</t>
  </si>
  <si>
    <t>CORNEJO CASTRO LUIS MARTIN</t>
  </si>
  <si>
    <t>23850332</t>
  </si>
  <si>
    <t>HUAMAN CHAMPI IRMA</t>
  </si>
  <si>
    <t>42210592</t>
  </si>
  <si>
    <t>MARTINEZ SAHUARICO ZEINA JASMINA</t>
  </si>
  <si>
    <t>41758925</t>
  </si>
  <si>
    <t>GUTIERREZ TAIRO CELIA</t>
  </si>
  <si>
    <t>70032031</t>
  </si>
  <si>
    <t>CRUZ SAIRITUPA JUDITH</t>
  </si>
  <si>
    <t>42209469</t>
  </si>
  <si>
    <t>QUISPE QUISPITUPA ROXANA</t>
  </si>
  <si>
    <t>45792477</t>
  </si>
  <si>
    <t>FARFAN QUISPE MERYLUSKA</t>
  </si>
  <si>
    <t>41913678</t>
  </si>
  <si>
    <t>SOTO MAMANI ANGELICA MARLENE</t>
  </si>
  <si>
    <t>23979604</t>
  </si>
  <si>
    <t>VILLCAS YUCRA ZORAIDA</t>
  </si>
  <si>
    <t>23925039</t>
  </si>
  <si>
    <t>QUISPE LEGUIA RODOLFO</t>
  </si>
  <si>
    <t>42327868</t>
  </si>
  <si>
    <t>CHURATA ZARATE SOLEDAD</t>
  </si>
  <si>
    <t>46080971</t>
  </si>
  <si>
    <t>UCHUPE BOLAÑOS MATEO ROGELIO</t>
  </si>
  <si>
    <t>42453411</t>
  </si>
  <si>
    <t>PEZO CORRALES AMERICO</t>
  </si>
  <si>
    <t>44150828</t>
  </si>
  <si>
    <t>CURASI USCACHI MILAGROS</t>
  </si>
  <si>
    <t>45399750</t>
  </si>
  <si>
    <t>AYMA YANA MARLENY</t>
  </si>
  <si>
    <t>43556531</t>
  </si>
  <si>
    <t>LOAYZA SARMIENTO YOLANDA</t>
  </si>
  <si>
    <t>23816592</t>
  </si>
  <si>
    <t>GOLAC ZEVALLOS MELVI CONCEPCION</t>
  </si>
  <si>
    <t>23983800</t>
  </si>
  <si>
    <t>ARELLANO SALAZAR URSULA</t>
  </si>
  <si>
    <t>72613667</t>
  </si>
  <si>
    <t>AUCCAPURE CASTRO MARIA ELIZABETH</t>
  </si>
  <si>
    <t>25063960</t>
  </si>
  <si>
    <t>VARGAS GARCIA DANIEL ARQUIMEDES</t>
  </si>
  <si>
    <t>23868460</t>
  </si>
  <si>
    <t>VALDEZ BRIONES ALICIA ESTELA</t>
  </si>
  <si>
    <t>23947969</t>
  </si>
  <si>
    <t>PAREDES UGARTE JOSE DE JESUS</t>
  </si>
  <si>
    <t>42281131</t>
  </si>
  <si>
    <t>REYES GUEVARA ALEXANDER</t>
  </si>
  <si>
    <t>41063742</t>
  </si>
  <si>
    <t>ROSADA GONZALES EFRAIN</t>
  </si>
  <si>
    <t>41066103</t>
  </si>
  <si>
    <t>PEREZ ALVARADO MIGUEL ANGEL</t>
  </si>
  <si>
    <t>47066973</t>
  </si>
  <si>
    <t>GASTAÑAGA LAYME JUAN JUNIOR</t>
  </si>
  <si>
    <t>46638223</t>
  </si>
  <si>
    <t>MONZON CONTRERAS HECTOR</t>
  </si>
  <si>
    <t>40567087</t>
  </si>
  <si>
    <t>CHALLCO MOZO SADITH</t>
  </si>
  <si>
    <t>45586245</t>
  </si>
  <si>
    <t>GUTIERREZ MAQQUE MARIA</t>
  </si>
  <si>
    <t>47787167</t>
  </si>
  <si>
    <t>ALMANZA ACHAHUI JEANPIERRE JOAO</t>
  </si>
  <si>
    <t>44479060</t>
  </si>
  <si>
    <t>MIRANDA QUISPE AMILCAR LEONIDAS</t>
  </si>
  <si>
    <t>42995695</t>
  </si>
  <si>
    <t>QUISPE MAMANI WILBERT</t>
  </si>
  <si>
    <t>46629224</t>
  </si>
  <si>
    <t>VILLEGAS PIEROLA LISIA LUZ</t>
  </si>
  <si>
    <t>23936248</t>
  </si>
  <si>
    <t>AGUIRRE SAIRE CARLOS</t>
  </si>
  <si>
    <t>72885996</t>
  </si>
  <si>
    <t>VILLEGAS PIEROLA NOEL IVAN</t>
  </si>
  <si>
    <t>41605729</t>
  </si>
  <si>
    <t>APAZA ALVAREZ MARY</t>
  </si>
  <si>
    <t>46077159</t>
  </si>
  <si>
    <t>CCAPATINTA HUILLCA MARGOTH</t>
  </si>
  <si>
    <t>10676670</t>
  </si>
  <si>
    <t>AYLAS JESUS ALFREDO RAUL</t>
  </si>
  <si>
    <t>29328585</t>
  </si>
  <si>
    <t>ARENAS BUSTAMANTE EDWARD YURI</t>
  </si>
  <si>
    <t>40398124</t>
  </si>
  <si>
    <t>PORCEL CARPIO RAMY JOEL</t>
  </si>
  <si>
    <t>42957032</t>
  </si>
  <si>
    <t>ASCUE TORRES ALEXANDER</t>
  </si>
  <si>
    <t>42596824</t>
  </si>
  <si>
    <t>TORRES PFOCCOHUANCA HUMBERTO</t>
  </si>
  <si>
    <t>25204367</t>
  </si>
  <si>
    <t>DIAZ MENDOZA BALTAZAR</t>
  </si>
  <si>
    <t>24006728</t>
  </si>
  <si>
    <t>BACILIO RADO JUAN</t>
  </si>
  <si>
    <t>41795246</t>
  </si>
  <si>
    <t>LEVA GUTIERREZ RENE</t>
  </si>
  <si>
    <t>09558581</t>
  </si>
  <si>
    <t>GUTIERREZ QUISPE YOLANDA MARCIA</t>
  </si>
  <si>
    <t>23834646</t>
  </si>
  <si>
    <t>VARGAS BACA MARIA GUADALUPE</t>
  </si>
  <si>
    <t>23892811</t>
  </si>
  <si>
    <t>DAVILA VICERREL ELVA MARCELINA</t>
  </si>
  <si>
    <t>ARTESANO I</t>
  </si>
  <si>
    <t>23933457</t>
  </si>
  <si>
    <t>CHATA MEDINA AGUEDA</t>
  </si>
  <si>
    <t>23948926</t>
  </si>
  <si>
    <t>HUILLCAS AMACHE HILDA</t>
  </si>
  <si>
    <t>23956014</t>
  </si>
  <si>
    <t>SILVA LEIVA MORAYMA BETSABE</t>
  </si>
  <si>
    <t>23967209</t>
  </si>
  <si>
    <t>QUISPE ALTAMIRANO YONI</t>
  </si>
  <si>
    <t>23977180</t>
  </si>
  <si>
    <t>RICALDE ROLDAN YURI</t>
  </si>
  <si>
    <t>40474022</t>
  </si>
  <si>
    <t>RAYME NAVARRO KARINA</t>
  </si>
  <si>
    <t>23985410</t>
  </si>
  <si>
    <t>SOTO ANAYHUACHACA MILNER</t>
  </si>
  <si>
    <t>24288847</t>
  </si>
  <si>
    <t>MAMANI HUAMAN DOMINGO</t>
  </si>
  <si>
    <t>24968460</t>
  </si>
  <si>
    <t>ALCAZAR OCAMPO VICTORIA</t>
  </si>
  <si>
    <t>25061368</t>
  </si>
  <si>
    <t>MONRROY HUAMANI VALENTIN</t>
  </si>
  <si>
    <t>25138182</t>
  </si>
  <si>
    <t>TECSI GONZALO BERNABE</t>
  </si>
  <si>
    <t>25192198</t>
  </si>
  <si>
    <t>TTUPA LAIME PEDRO</t>
  </si>
  <si>
    <t>25190629</t>
  </si>
  <si>
    <t>CHOQQUE CCAPA TIMOTEO</t>
  </si>
  <si>
    <t>25217129</t>
  </si>
  <si>
    <t>AIMA PILARES EMPERATRIZ</t>
  </si>
  <si>
    <t>25220813</t>
  </si>
  <si>
    <t>TAPIA FARFAN SILVIA VIRGINIA</t>
  </si>
  <si>
    <t>25221403</t>
  </si>
  <si>
    <t>QQUENAYA APAZA CERAFINA</t>
  </si>
  <si>
    <t>40284861</t>
  </si>
  <si>
    <t>LUQUE FRANCO CLORINDA</t>
  </si>
  <si>
    <t>40729934</t>
  </si>
  <si>
    <t>UCHUPE SALCEDO ANA</t>
  </si>
  <si>
    <t>41919603</t>
  </si>
  <si>
    <t>MENDOZA MONGE MAGDA</t>
  </si>
  <si>
    <t>CIRUJANO DENTISTA I</t>
  </si>
  <si>
    <t>40981123</t>
  </si>
  <si>
    <t>SOTTEC HUALLPA KATTY</t>
  </si>
  <si>
    <t>41005505</t>
  </si>
  <si>
    <t>MIRANDA VARGAS WILFREDO</t>
  </si>
  <si>
    <t>41182410</t>
  </si>
  <si>
    <t>HUMPIRE HERRERA IBETH KARINA</t>
  </si>
  <si>
    <t>41596758</t>
  </si>
  <si>
    <t>QUISPE TUNQUE JUHANA MARICELA</t>
  </si>
  <si>
    <t>41956195</t>
  </si>
  <si>
    <t>MAMANI GALLEGOS NARCISO</t>
  </si>
  <si>
    <t>42306709</t>
  </si>
  <si>
    <t>CONDORI MELO SEBASTIAN EDGAR</t>
  </si>
  <si>
    <t>42338448</t>
  </si>
  <si>
    <t>SANCHEZ QUISPE CELESTINO</t>
  </si>
  <si>
    <t>42516774</t>
  </si>
  <si>
    <t>TERAN SANTA CRUZ JACQUELINE EMILIA</t>
  </si>
  <si>
    <t>42386648</t>
  </si>
  <si>
    <t>CAHUANA SURQUISLLA EVELYN</t>
  </si>
  <si>
    <t>43658744</t>
  </si>
  <si>
    <t>HUISA TINCO ROXANA HENY</t>
  </si>
  <si>
    <t>43772925</t>
  </si>
  <si>
    <t>MAMANI HUILLCA SANTOS</t>
  </si>
  <si>
    <t>44018606</t>
  </si>
  <si>
    <t>GONZALES CHAPARREA ELSA</t>
  </si>
  <si>
    <t>44142782</t>
  </si>
  <si>
    <t>MENDOZA CHIPANI LIDA</t>
  </si>
  <si>
    <t>44470351</t>
  </si>
  <si>
    <t>SOLIS ALMINTA NELIDA</t>
  </si>
  <si>
    <t>44735289</t>
  </si>
  <si>
    <t>LOPEZ ORTIZ MARKO ANTONIO</t>
  </si>
  <si>
    <t>45421881</t>
  </si>
  <si>
    <t>MAIHUA MOJO RUBEN</t>
  </si>
  <si>
    <t>44979179</t>
  </si>
  <si>
    <t>MAMANI APAZA ROGELIA</t>
  </si>
  <si>
    <t>45353917</t>
  </si>
  <si>
    <t>MONTESINOS KALA JYESSICA CARELY</t>
  </si>
  <si>
    <t>45362964</t>
  </si>
  <si>
    <t>CORTEZ LIZARASO SOLEDAD</t>
  </si>
  <si>
    <t>45205635</t>
  </si>
  <si>
    <t>MELO AGUILAR EDWIN FREDY</t>
  </si>
  <si>
    <t>45841368</t>
  </si>
  <si>
    <t>AROTAYPE OJEDA VILMA</t>
  </si>
  <si>
    <t>46295765</t>
  </si>
  <si>
    <t>SALOMA CARAZAS TANIA</t>
  </si>
  <si>
    <t>42664672</t>
  </si>
  <si>
    <t>QUISPE HUAYHUA JULIETA</t>
  </si>
  <si>
    <t>46435901</t>
  </si>
  <si>
    <t>TTITO CCOLQQUE SOLEDAD</t>
  </si>
  <si>
    <t>46460610</t>
  </si>
  <si>
    <t>CUELLAR QUINTANILLA PATRICIA</t>
  </si>
  <si>
    <t>42219574</t>
  </si>
  <si>
    <t>CUBA CALIZAYA GUISELA YECENIA</t>
  </si>
  <si>
    <t>47418161</t>
  </si>
  <si>
    <t>FOLLANA AUKGAPHURU SENOVIA</t>
  </si>
  <si>
    <t>80053954</t>
  </si>
  <si>
    <t>CAYULLA CRUZ MARTHA</t>
  </si>
  <si>
    <t>23953045</t>
  </si>
  <si>
    <t>LARICO HUANCA NESTOR BELTRAN</t>
  </si>
  <si>
    <t>47477921</t>
  </si>
  <si>
    <t>GONZALES CARHUARUPAY MILAGROS KIMBERLY</t>
  </si>
  <si>
    <t>42144055</t>
  </si>
  <si>
    <t>ONOFRE MAMANI GILBER</t>
  </si>
  <si>
    <t>45459053</t>
  </si>
  <si>
    <t>HANCCO CHURA RUTH YOMAR</t>
  </si>
  <si>
    <t>43799526</t>
  </si>
  <si>
    <t>MIRANDA ARREDONDO CESAR AUGUSTO</t>
  </si>
  <si>
    <t>45673757</t>
  </si>
  <si>
    <t>PORTUGAL MOINA RINA</t>
  </si>
  <si>
    <t>45684313</t>
  </si>
  <si>
    <t>ISIQUE PACHECO KATHERINE</t>
  </si>
  <si>
    <t>43109536</t>
  </si>
  <si>
    <t>CARLOS BUTRON SARITA MILAGROS</t>
  </si>
  <si>
    <t>45764926</t>
  </si>
  <si>
    <t>SALAS CHOQUEHUAYTA MIRIAN ILOIDA</t>
  </si>
  <si>
    <t>40486275</t>
  </si>
  <si>
    <t>SAPA FERRO SARA</t>
  </si>
  <si>
    <t>41921092</t>
  </si>
  <si>
    <t>ARIAS CABRERA JORGE RAUL</t>
  </si>
  <si>
    <t>47368794</t>
  </si>
  <si>
    <t>CCAHUANA CHOQQUE MARISOL</t>
  </si>
  <si>
    <t>43183982</t>
  </si>
  <si>
    <t>BUSTILLOS DE LA CUBA KAREN GRIS</t>
  </si>
  <si>
    <t>47151850</t>
  </si>
  <si>
    <t>HUILLCA QUISPE DINA</t>
  </si>
  <si>
    <t>40550552</t>
  </si>
  <si>
    <t>PEREZ HUAMAN REYNA</t>
  </si>
  <si>
    <t>42641098</t>
  </si>
  <si>
    <t>CRUZ QUISPE JENIFER</t>
  </si>
  <si>
    <t>46048264</t>
  </si>
  <si>
    <t>CURSE QUISPE ROXANA</t>
  </si>
  <si>
    <t>43612774</t>
  </si>
  <si>
    <t>SOTO HUANCA RUTH MERY</t>
  </si>
  <si>
    <t>47052368</t>
  </si>
  <si>
    <t>PANOCCA ORELLANA ELIZABETH JESSICA</t>
  </si>
  <si>
    <t>ECONOMISTA I</t>
  </si>
  <si>
    <t>44196667</t>
  </si>
  <si>
    <t>ZUÑIGA HINOJOSA ALEXANDER</t>
  </si>
  <si>
    <t>46403245</t>
  </si>
  <si>
    <t>LOMA ACUÑA FRANKLIN EDSON</t>
  </si>
  <si>
    <t>47561705</t>
  </si>
  <si>
    <t>GONZALES VISA KATIA</t>
  </si>
  <si>
    <t>41481768</t>
  </si>
  <si>
    <t>DE LOS RIOS SONCCO PATRICIA</t>
  </si>
  <si>
    <t>41610588</t>
  </si>
  <si>
    <t>BARDALES CARDENAS JUAN JOSE</t>
  </si>
  <si>
    <t>45044077</t>
  </si>
  <si>
    <t>ESTRADA MAMANI FRANK YOEL</t>
  </si>
  <si>
    <t>43057087</t>
  </si>
  <si>
    <t>USCAMAITA PACHECO YENI EVELYN</t>
  </si>
  <si>
    <t>48402933</t>
  </si>
  <si>
    <t>RUIS TAYPE HERMELINDA</t>
  </si>
  <si>
    <t>47768397</t>
  </si>
  <si>
    <t>MAYTA HUMPIRI JOSE LUIS</t>
  </si>
  <si>
    <t>40156489</t>
  </si>
  <si>
    <t>CERVANTES CASTILLA EDWARD JOSE</t>
  </si>
  <si>
    <t>40237438</t>
  </si>
  <si>
    <t>MEDINA CARPIO YORDAN</t>
  </si>
  <si>
    <t>43887077</t>
  </si>
  <si>
    <t>ALLER VILLA CARMEN</t>
  </si>
  <si>
    <t>42133358</t>
  </si>
  <si>
    <t>BRAVO MUJICA GLENDY ELIDA</t>
  </si>
  <si>
    <t>70282010</t>
  </si>
  <si>
    <t>MENDOZA HUAMAN LUZ BRISELDA</t>
  </si>
  <si>
    <t>43975787</t>
  </si>
  <si>
    <t>LEIVA CHACON YURI ANDERSON</t>
  </si>
  <si>
    <t>25220949</t>
  </si>
  <si>
    <t>CHAMPI QUISPE UBALDINA</t>
  </si>
  <si>
    <t>46057963</t>
  </si>
  <si>
    <t>HUANCACHOQUE COHAILA SANDRA BEATRIZ</t>
  </si>
  <si>
    <t>47438090</t>
  </si>
  <si>
    <t>HERRERA MAMANI KATHERINE NOEMI</t>
  </si>
  <si>
    <t>04964813</t>
  </si>
  <si>
    <t>SOLIS ENCISO SIBELIA</t>
  </si>
  <si>
    <t>46224473</t>
  </si>
  <si>
    <t>LOPEZ MUCHICA ANA BELEN</t>
  </si>
  <si>
    <t>40200667</t>
  </si>
  <si>
    <t>ESPINOZA ACHAHUI OLIMPIA CRISTABEL</t>
  </si>
  <si>
    <t>43132652</t>
  </si>
  <si>
    <t>APAZA TORRES YAQUELY CINTIA</t>
  </si>
  <si>
    <t>42940473</t>
  </si>
  <si>
    <t>NINA SUMIRE KARINA</t>
  </si>
  <si>
    <t>43999820</t>
  </si>
  <si>
    <t>ARIAS CABRERA RICHARD HENRY</t>
  </si>
  <si>
    <t>41291610</t>
  </si>
  <si>
    <t>GARCIA CUNZA GUSTAVO</t>
  </si>
  <si>
    <t>AUDITOR</t>
  </si>
  <si>
    <t>44275000</t>
  </si>
  <si>
    <t>BEJARANO PALOMINO KELINETH MITSY</t>
  </si>
  <si>
    <t>41573897</t>
  </si>
  <si>
    <t>RONDAN CCORIMANYA VANESSA</t>
  </si>
  <si>
    <t>71559878</t>
  </si>
  <si>
    <t>QUINTANILLA VELARDE EDITH</t>
  </si>
  <si>
    <t>ABOGADO I</t>
  </si>
  <si>
    <t>23856775</t>
  </si>
  <si>
    <t>ESCOBAR MUNARES YANETH FANNY</t>
  </si>
  <si>
    <t>44644925</t>
  </si>
  <si>
    <t>PADIN MENDOZA YANETH</t>
  </si>
  <si>
    <t>41538555</t>
  </si>
  <si>
    <t>CCORIMANYA SANCHEZ YANETH</t>
  </si>
  <si>
    <t>DIGITADOR PAD I</t>
  </si>
  <si>
    <t>23930693</t>
  </si>
  <si>
    <t>QUISPE CONDORCAHUA ADOLFO</t>
  </si>
  <si>
    <t>43906389</t>
  </si>
  <si>
    <t>GUZMAN HUAMANI MARIA ROSARIO</t>
  </si>
  <si>
    <t>ESPECIALISTA EN INVERSION PUBLICA I</t>
  </si>
  <si>
    <t>46436539</t>
  </si>
  <si>
    <t>QUISPE BARRIENTOS RUTH FANNY</t>
  </si>
  <si>
    <t>42154639</t>
  </si>
  <si>
    <t>HUARCAYA ZEGARRA DOMINGA</t>
  </si>
  <si>
    <t>46639477</t>
  </si>
  <si>
    <t>AEDO SOTOMAYOR AYDE</t>
  </si>
  <si>
    <t>41608492</t>
  </si>
  <si>
    <t>ARROYO SALAS CARLOS ALBERTO</t>
  </si>
  <si>
    <t>40083313</t>
  </si>
  <si>
    <t>ARONE VILCA YANET</t>
  </si>
  <si>
    <t>40550476</t>
  </si>
  <si>
    <t>MAMANI QUISPE FLORA</t>
  </si>
  <si>
    <t>05064453</t>
  </si>
  <si>
    <t>CONCHA KAIRA JACQUELINE MARGOT</t>
  </si>
  <si>
    <t>45937296</t>
  </si>
  <si>
    <t>MESCO MARCA LAURA YOLANDA</t>
  </si>
  <si>
    <t>42198203</t>
  </si>
  <si>
    <t>CHALLCO YUCA YESSICA</t>
  </si>
  <si>
    <t>77915680</t>
  </si>
  <si>
    <t>QUISPE CHAMPI CIRO</t>
  </si>
  <si>
    <t>44721021</t>
  </si>
  <si>
    <t>CCAHUANA GALLO MARIA DEL CARMEN</t>
  </si>
  <si>
    <t>62407338</t>
  </si>
  <si>
    <t>QUITO YAPU YONI JIMENA</t>
  </si>
  <si>
    <t>40821278</t>
  </si>
  <si>
    <t>QUISPE CRUZ ADELA</t>
  </si>
  <si>
    <t>73953655</t>
  </si>
  <si>
    <t>HUAMAN CURO SOLEDAD</t>
  </si>
  <si>
    <t>24976220</t>
  </si>
  <si>
    <t>DELGADO MORALES YOLANDA</t>
  </si>
  <si>
    <t>40922510</t>
  </si>
  <si>
    <t>CONDORI MIRANDA MARITZA</t>
  </si>
  <si>
    <t>24006670</t>
  </si>
  <si>
    <t>TTITO ÑAUPA HILDA</t>
  </si>
  <si>
    <t>42185694</t>
  </si>
  <si>
    <t>PARI CHAMBI JULIA</t>
  </si>
  <si>
    <t>70665539</t>
  </si>
  <si>
    <t>QUISPE CONDORI ROSALIA</t>
  </si>
  <si>
    <t>46199005</t>
  </si>
  <si>
    <t>PONCE HUARANCCA RONALD</t>
  </si>
  <si>
    <t>24003550</t>
  </si>
  <si>
    <t>BARREDA CHUQUITARQUI FRANCISCO</t>
  </si>
  <si>
    <t>44781975</t>
  </si>
  <si>
    <t>SALAS CALLAPIÑA KARINA</t>
  </si>
  <si>
    <t>41866708</t>
  </si>
  <si>
    <t>HUILLCA TORRES YANET</t>
  </si>
  <si>
    <t>41604340</t>
  </si>
  <si>
    <t>CHARALLA HUAMAN JACKELINE CYOMARA</t>
  </si>
  <si>
    <t>TECNICO EN RADIOLOGIA</t>
  </si>
  <si>
    <t>41790948</t>
  </si>
  <si>
    <t>AYMA RAYME KARINA</t>
  </si>
  <si>
    <t>23975016</t>
  </si>
  <si>
    <t>VENERO GARCIA ROCIO</t>
  </si>
  <si>
    <t>46974784</t>
  </si>
  <si>
    <t>QUISPE LOPEZ ELISBEZ GRISEL</t>
  </si>
  <si>
    <t>70449456</t>
  </si>
  <si>
    <t>VALDIVIA NUÑEZ MONICA</t>
  </si>
  <si>
    <t>45288036</t>
  </si>
  <si>
    <t>APAZA APAZA LUZ MARINA</t>
  </si>
  <si>
    <t>43870456</t>
  </si>
  <si>
    <t>CARPIO CHURA LUZBELL</t>
  </si>
  <si>
    <t>CAJERO</t>
  </si>
  <si>
    <t>45593751</t>
  </si>
  <si>
    <t>MAMANI FLORES YONATHAN RANU</t>
  </si>
  <si>
    <t>40739780</t>
  </si>
  <si>
    <t>VARGAS CERVANTES FREDY</t>
  </si>
  <si>
    <t>48306374</t>
  </si>
  <si>
    <t>HUALLPA MAMANI IRVIN MAHEL</t>
  </si>
  <si>
    <t>40774643</t>
  </si>
  <si>
    <t>QUISPE SULLCA MANUEL ALEJANDRO</t>
  </si>
  <si>
    <t>40001950</t>
  </si>
  <si>
    <t>LAZO OBREGON YULLDER</t>
  </si>
  <si>
    <t>47026077</t>
  </si>
  <si>
    <t>FLORES LLOCCLLA MARITZA MONICA</t>
  </si>
  <si>
    <t>42432562</t>
  </si>
  <si>
    <t>FLORES ORTIZ LIZ KATHERIN</t>
  </si>
  <si>
    <t>41220108</t>
  </si>
  <si>
    <t>CHUQUITARQUI ACHAHUANCO CLAUDIA</t>
  </si>
  <si>
    <t>44825788</t>
  </si>
  <si>
    <t>CASTRO JORDAN YENNI SHANDIRA</t>
  </si>
  <si>
    <t>41266099</t>
  </si>
  <si>
    <t>RAMOS ORMACHEA DIANE ROSMERI</t>
  </si>
  <si>
    <t>40187264</t>
  </si>
  <si>
    <t>CARPIO MALDONADO MARGOT</t>
  </si>
  <si>
    <t>41866637</t>
  </si>
  <si>
    <t>CALLAS LLAMOCCA KELLY</t>
  </si>
  <si>
    <t>43448136</t>
  </si>
  <si>
    <t>ESPETIA CHARAJA JAIME</t>
  </si>
  <si>
    <t>42373368</t>
  </si>
  <si>
    <t>RUIZ JALIXTO VILMA</t>
  </si>
  <si>
    <t>43195216</t>
  </si>
  <si>
    <t>LLIHUAC AYMA MARIA ANGELICA</t>
  </si>
  <si>
    <t>44342395</t>
  </si>
  <si>
    <t>LOZADA PRECIADO CECILIA DEL ROSARIO</t>
  </si>
  <si>
    <t>23858688</t>
  </si>
  <si>
    <t>HUACAC BARAZORDA EDITH</t>
  </si>
  <si>
    <t>23981933</t>
  </si>
  <si>
    <t>FLUKER GALLEGOS JUDITH</t>
  </si>
  <si>
    <t>42685244</t>
  </si>
  <si>
    <t>TARAZONA DAZA JHONNY MARTIN</t>
  </si>
  <si>
    <t>46755437</t>
  </si>
  <si>
    <t>PERALES TALAVERANO SEIDA</t>
  </si>
  <si>
    <t>43851820</t>
  </si>
  <si>
    <t>SERVAN MONTOYA LUZ ESTEPHANIE</t>
  </si>
  <si>
    <t>46592998</t>
  </si>
  <si>
    <t>APAZA ASTO KELVIN DANIEL</t>
  </si>
  <si>
    <t>20090095</t>
  </si>
  <si>
    <t>PALOMINO QUISPE MAGDA BERTHA</t>
  </si>
  <si>
    <t>29700576</t>
  </si>
  <si>
    <t>PUMA CHAMBI OLGA</t>
  </si>
  <si>
    <t>47382592</t>
  </si>
  <si>
    <t>CHIPANA MEZA YANETH</t>
  </si>
  <si>
    <t>45877684</t>
  </si>
  <si>
    <t>APAZA RAMIREZ NINOSCA</t>
  </si>
  <si>
    <t>42096658</t>
  </si>
  <si>
    <t>CCALA MOLINA MARY ISABEL</t>
  </si>
  <si>
    <t>44883771</t>
  </si>
  <si>
    <t>ALVAREZ QUENAYA YESICA</t>
  </si>
  <si>
    <t>46098430</t>
  </si>
  <si>
    <t>TOCCAS PALOMINO FLOR KENNY</t>
  </si>
  <si>
    <t>43107840</t>
  </si>
  <si>
    <t>SANCHEZ HUAMAN CATHERINE</t>
  </si>
  <si>
    <t>40363927</t>
  </si>
  <si>
    <t>CASAS UGARTE MIRIAM DEL CARMEN</t>
  </si>
  <si>
    <t>42354086</t>
  </si>
  <si>
    <t>RODRIGUEZ ILLAPUMA AVELINA</t>
  </si>
  <si>
    <t>43556534</t>
  </si>
  <si>
    <t>PEREZ CHUQUIMAGO DENIS AMILCAR</t>
  </si>
  <si>
    <t>42395263</t>
  </si>
  <si>
    <t>AUCCAPURE AUCCAPIÑA ALEX</t>
  </si>
  <si>
    <t>42620428</t>
  </si>
  <si>
    <t>ZARATE QUISPE LIZ VANESSA</t>
  </si>
  <si>
    <t>44301692</t>
  </si>
  <si>
    <t>CONDE CHURA JHON EWDUAR</t>
  </si>
  <si>
    <t>45959700</t>
  </si>
  <si>
    <t>AGUILAR BRAVO SAMUEL RODRIGO</t>
  </si>
  <si>
    <t>42880037</t>
  </si>
  <si>
    <t>CORONADO ESCALANTE CYNTHIA</t>
  </si>
  <si>
    <t>72656958</t>
  </si>
  <si>
    <t>SALLO SANTOS KEVIN JHARDY</t>
  </si>
  <si>
    <t>23950952</t>
  </si>
  <si>
    <t>HERENCIA ZAPANA LENY LEONOR</t>
  </si>
  <si>
    <t>44435960</t>
  </si>
  <si>
    <t>LAIME HUARCAYA FLOR DE MARIA</t>
  </si>
  <si>
    <t>24001652</t>
  </si>
  <si>
    <t>COAVOY ARAPA FANNY LIZBETH</t>
  </si>
  <si>
    <t>46531490</t>
  </si>
  <si>
    <t>PUMA CCORIMANYA ISABEL NOHELY</t>
  </si>
  <si>
    <t>42669912</t>
  </si>
  <si>
    <t>MAMANI MAMANI LUZMILA ANGELICA</t>
  </si>
  <si>
    <t>44421834</t>
  </si>
  <si>
    <t>ACHAHUI SULLO CONSTANTINA</t>
  </si>
  <si>
    <t>44104589</t>
  </si>
  <si>
    <t>PACHECO CUEVA LEONID ADOLFO</t>
  </si>
  <si>
    <t>46911413</t>
  </si>
  <si>
    <t>NINA NINA ROBERT</t>
  </si>
  <si>
    <t>44514859</t>
  </si>
  <si>
    <t>CUSIHUAMAN CJUNO LIZBETH YOLANDA</t>
  </si>
  <si>
    <t>44993300</t>
  </si>
  <si>
    <t>ALDAZABAL ESTRADA CARLOS ARISTIDES</t>
  </si>
  <si>
    <t>43377829</t>
  </si>
  <si>
    <t>VALENCIA PANCORBO GEORGE</t>
  </si>
  <si>
    <t>42555505</t>
  </si>
  <si>
    <t>FERNANDEZ BACA NAVARRO VERENICE</t>
  </si>
  <si>
    <t>41869522</t>
  </si>
  <si>
    <t>AROSTEGUI ALARCON LIZETH MARGARITA</t>
  </si>
  <si>
    <t>46211022</t>
  </si>
  <si>
    <t>QUISPE CHINO RUSBEL</t>
  </si>
  <si>
    <t>001369618</t>
  </si>
  <si>
    <t>SEGOVIA RODRIGUEZ JOEL ANDRES</t>
  </si>
  <si>
    <t>72946958</t>
  </si>
  <si>
    <t>VARA VALENZUELA HAYDER</t>
  </si>
  <si>
    <t>44545463</t>
  </si>
  <si>
    <t>FOLLANA VILCA EDITH</t>
  </si>
  <si>
    <t>70581968</t>
  </si>
  <si>
    <t>AUCCACUSI RODRIGUEZ CESAR AUGUSTO</t>
  </si>
  <si>
    <t>76390259</t>
  </si>
  <si>
    <t>MAIHUA MOJO LUZ MARINA</t>
  </si>
  <si>
    <t>24894573</t>
  </si>
  <si>
    <t>LUPO IMATA BENIGNA</t>
  </si>
  <si>
    <t>80179222</t>
  </si>
  <si>
    <t>CHUQUIPURA VILCA GERARDO JESUS</t>
  </si>
  <si>
    <t>42416036</t>
  </si>
  <si>
    <t>CACHI QUISPE WALDY EULOGIO</t>
  </si>
  <si>
    <t>71637574</t>
  </si>
  <si>
    <t>FERNANDEZ BACA MIRANDA ERICKSON</t>
  </si>
  <si>
    <t>47557933</t>
  </si>
  <si>
    <t>QUISPE CHUIZO MARIZET</t>
  </si>
  <si>
    <t>44857547</t>
  </si>
  <si>
    <t>LAUREL MONTESINOS HENRY</t>
  </si>
  <si>
    <t>24006256</t>
  </si>
  <si>
    <t>ATAUSINCHI VARGAS ROSMELY JESSICA</t>
  </si>
  <si>
    <t>45459346</t>
  </si>
  <si>
    <t>VALENCIA MOLINA VIOLETA PAMELA</t>
  </si>
  <si>
    <t>74199495</t>
  </si>
  <si>
    <t>MARQUEZ QUISPE LIZETH</t>
  </si>
  <si>
    <t>46761890</t>
  </si>
  <si>
    <t>QUIÑONEZ LOAYZA RICHARD</t>
  </si>
  <si>
    <t>42038498</t>
  </si>
  <si>
    <t>CONDORI CASA RENE</t>
  </si>
  <si>
    <t>46664622</t>
  </si>
  <si>
    <t>QUISPE QUISPE WILLIAMS</t>
  </si>
  <si>
    <t>46690601</t>
  </si>
  <si>
    <t>HUAMAN QUISPE NOELIA DANEHE</t>
  </si>
  <si>
    <t>44145098</t>
  </si>
  <si>
    <t>TERAN SULLCA LEISEL</t>
  </si>
  <si>
    <t>46233066</t>
  </si>
  <si>
    <t>CCOTO MACHACA JAVIER</t>
  </si>
  <si>
    <t>43029256</t>
  </si>
  <si>
    <t>RIVAS CARDENAS MAGALI</t>
  </si>
  <si>
    <t>45738435</t>
  </si>
  <si>
    <t>BUSTAMANTE CARRILLO ALEJANDRA</t>
  </si>
  <si>
    <t>70374822</t>
  </si>
  <si>
    <t>QUISPE RUIZ JUDITH</t>
  </si>
  <si>
    <t>42361045</t>
  </si>
  <si>
    <t>FERRO RAFAELE IVONNE ANNIE</t>
  </si>
  <si>
    <t>80201106</t>
  </si>
  <si>
    <t>CRUZ MAMANI LUCIO</t>
  </si>
  <si>
    <t>45549489</t>
  </si>
  <si>
    <t>CISNEROS ALCCA DIANA MILJAN</t>
  </si>
  <si>
    <t>40595874</t>
  </si>
  <si>
    <t>BARDALES CARDENAS MARIO ELEAZAR</t>
  </si>
  <si>
    <t>46036666</t>
  </si>
  <si>
    <t>CALCINA QUISPE YAQUELINE PATRICIA</t>
  </si>
  <si>
    <t>43297998</t>
  </si>
  <si>
    <t>LUNA LINARES YESSICA PATRICIA</t>
  </si>
  <si>
    <t>40429097</t>
  </si>
  <si>
    <t>AYALA PIZARRO PERCY IVAN</t>
  </si>
  <si>
    <t>47551992</t>
  </si>
  <si>
    <t>PANTY MONTESINOS ROCISELA</t>
  </si>
  <si>
    <t>43917476</t>
  </si>
  <si>
    <t>CRUZ QUISPE LORENZA</t>
  </si>
  <si>
    <t>25217789</t>
  </si>
  <si>
    <t>PUMA PAUCCAR FIDEL</t>
  </si>
  <si>
    <t>23999837</t>
  </si>
  <si>
    <t>CHIPA DAZA VANESSA</t>
  </si>
  <si>
    <t>45803180</t>
  </si>
  <si>
    <t>MIRANDA ARREDONDO EDER ABEL</t>
  </si>
  <si>
    <t>71710497</t>
  </si>
  <si>
    <t>SALAS NUÑEZ DEL PRADO WENDY</t>
  </si>
  <si>
    <t>001445894</t>
  </si>
  <si>
    <t>LIMACHI MURGA EDIBERTO</t>
  </si>
  <si>
    <t>45362600</t>
  </si>
  <si>
    <t>PALACIOS ROCCA LUCY MARYLIN</t>
  </si>
  <si>
    <t>43403584</t>
  </si>
  <si>
    <t>PILARES LOAIZA YURY ARMANDO</t>
  </si>
  <si>
    <t>73317738</t>
  </si>
  <si>
    <t>CCANAHUIRE CONDORI MARIBEL</t>
  </si>
  <si>
    <t>42291827</t>
  </si>
  <si>
    <t>ESPINO CHOQQUE NEFHTALI YESSICA</t>
  </si>
  <si>
    <t>70651129</t>
  </si>
  <si>
    <t>AIRAMPO GUTIERREZ LUCY</t>
  </si>
  <si>
    <t>47197164</t>
  </si>
  <si>
    <t>QUISPE CHUPTAYA WASHINGTON</t>
  </si>
  <si>
    <t>02168498</t>
  </si>
  <si>
    <t>QUISPE HUISA FRANCISCA</t>
  </si>
  <si>
    <t>46706306</t>
  </si>
  <si>
    <t>TAPIA ESPIRILLA JULIO CESAR</t>
  </si>
  <si>
    <t>41725649</t>
  </si>
  <si>
    <t>ORTIZ DE ORUE NINANTAY DARWIN</t>
  </si>
  <si>
    <t>44042014</t>
  </si>
  <si>
    <t>ESPINOZA VIVANCO GLADYS</t>
  </si>
  <si>
    <t>48520340</t>
  </si>
  <si>
    <t>GAMARRA CHAIÑA MARIA ANGELICA</t>
  </si>
  <si>
    <t>45001752</t>
  </si>
  <si>
    <t>VARGAS FIGUEROA JESSY LIZBETH</t>
  </si>
  <si>
    <t>46073231</t>
  </si>
  <si>
    <t>FERNANDEZ CHURA LUIS SALOMON</t>
  </si>
  <si>
    <t>46358841</t>
  </si>
  <si>
    <t>QUISPE QUISPE MARIA LISBETH</t>
  </si>
  <si>
    <t>40151226</t>
  </si>
  <si>
    <t>CARDENAS LOAYZA NILTON CESAR</t>
  </si>
  <si>
    <t>45885559</t>
  </si>
  <si>
    <t>CARDENAS HUILLCA EVELYN KATHERINE</t>
  </si>
  <si>
    <t>48210282</t>
  </si>
  <si>
    <t>YUPANQUI ANCCORI GERONIMA</t>
  </si>
  <si>
    <t>45103701</t>
  </si>
  <si>
    <t>MONTERREY QUIROZ ERIKA</t>
  </si>
  <si>
    <t>48694555</t>
  </si>
  <si>
    <t>SEQUEIROS ZEGARRA MARIA ISABEL</t>
  </si>
  <si>
    <t>44968620</t>
  </si>
  <si>
    <t>PACOCHA SOLLASE JESSICA</t>
  </si>
  <si>
    <t>43585800</t>
  </si>
  <si>
    <t>MESCCO JORGE JACKELINE</t>
  </si>
  <si>
    <t>25063890</t>
  </si>
  <si>
    <t>FLOREZ ACHAHUE DEMETRIO</t>
  </si>
  <si>
    <t>45205624</t>
  </si>
  <si>
    <t>MACHACA HUAMAN YONY MARIZA</t>
  </si>
  <si>
    <t>46671767</t>
  </si>
  <si>
    <t>MEJIA HUAMAN ROS MERY</t>
  </si>
  <si>
    <t>44071717</t>
  </si>
  <si>
    <t>ATAMARI QUISPE VIVIAN INGRID</t>
  </si>
  <si>
    <t>44986595</t>
  </si>
  <si>
    <t>QUISPE CHULLCA BERNARDINA</t>
  </si>
  <si>
    <t>40918727</t>
  </si>
  <si>
    <t>GAMARRA TARRAGA GUISSEL INES</t>
  </si>
  <si>
    <t>45902953</t>
  </si>
  <si>
    <t>AUCCACUSI RODRIGUEZ JUDITH</t>
  </si>
  <si>
    <t>41722916</t>
  </si>
  <si>
    <t>MAMANI HUAHUATICO BEATRIZ</t>
  </si>
  <si>
    <t>46087184</t>
  </si>
  <si>
    <t>RIO BOLIVAR CLARA ELENA</t>
  </si>
  <si>
    <t>72504409</t>
  </si>
  <si>
    <t>FIGUEROA HUAMANTALLA KATHIA</t>
  </si>
  <si>
    <t>25209394</t>
  </si>
  <si>
    <t>CASTRO MENDOZA JUAN</t>
  </si>
  <si>
    <t>46588621</t>
  </si>
  <si>
    <t>PARI CALLER ANGEL SALVADOR</t>
  </si>
  <si>
    <t>47917690</t>
  </si>
  <si>
    <t>CHAVEZ MAMANI KADMIEL CIRO</t>
  </si>
  <si>
    <t>44901777</t>
  </si>
  <si>
    <t>LAZO GAMARRA BRYAN JULIO</t>
  </si>
  <si>
    <t>43491958</t>
  </si>
  <si>
    <t>PALOMINO LIÑAN EDIR WALDIR</t>
  </si>
  <si>
    <t>43016366</t>
  </si>
  <si>
    <t>YUNGURI FERRO RUTHMERI</t>
  </si>
  <si>
    <t>43706088</t>
  </si>
  <si>
    <t>CONDORI QUISPE WILLIAN</t>
  </si>
  <si>
    <t>23806809</t>
  </si>
  <si>
    <t>CALLAPIÑA SALAS WALTER GUIDO</t>
  </si>
  <si>
    <t>23945665</t>
  </si>
  <si>
    <t>ANAYA BACA MIRIAN</t>
  </si>
  <si>
    <t>72476659</t>
  </si>
  <si>
    <t>GUZMAN MORA KATERINNE</t>
  </si>
  <si>
    <t>45736191</t>
  </si>
  <si>
    <t>REYES GUEVARA JHONATAN</t>
  </si>
  <si>
    <t>25000704</t>
  </si>
  <si>
    <t>FLORES ANDIA SONIA</t>
  </si>
  <si>
    <t>45949954</t>
  </si>
  <si>
    <t>SALCEDO ROJAS GRETHEL</t>
  </si>
  <si>
    <t>42576585</t>
  </si>
  <si>
    <t>CHOQUENAIRA CALLAÑAUPA SAIDA BEGONIA</t>
  </si>
  <si>
    <t>40904634</t>
  </si>
  <si>
    <t>MANRIQUE SAICO ZULMA</t>
  </si>
  <si>
    <t>40974816</t>
  </si>
  <si>
    <t>CHALLCO BENAVENTE FREDY</t>
  </si>
  <si>
    <t>41298598</t>
  </si>
  <si>
    <t>SALAZAR GALLEGOS AGREDA MARISOL</t>
  </si>
  <si>
    <t>41657277</t>
  </si>
  <si>
    <t>CCALA FERRO LIZBETH ROCIO</t>
  </si>
  <si>
    <t>41924085</t>
  </si>
  <si>
    <t>LEVITA CUSICUNA ROXANA</t>
  </si>
  <si>
    <t>46497496</t>
  </si>
  <si>
    <t>LUCERO CENTENO LIZBET MARITZA</t>
  </si>
  <si>
    <t>44467281</t>
  </si>
  <si>
    <t>CAHUANA CACERES ROSSELYN</t>
  </si>
  <si>
    <t>42576433</t>
  </si>
  <si>
    <t>SOTO PANIURA MARIBEL</t>
  </si>
  <si>
    <t>41586249</t>
  </si>
  <si>
    <t>RAMOS LLASAC YAQUELIN</t>
  </si>
  <si>
    <t>46464416</t>
  </si>
  <si>
    <t>HUACHACA GOMEZ MAX MICHAEL KLEINER</t>
  </si>
  <si>
    <t>42291318</t>
  </si>
  <si>
    <t>GIBAJA REYES WERNER</t>
  </si>
  <si>
    <t>42950669</t>
  </si>
  <si>
    <t>HUAMANI OCHOA EDWIN</t>
  </si>
  <si>
    <t>46611304</t>
  </si>
  <si>
    <t>MAMANI HUAHUATICO YOVANA</t>
  </si>
  <si>
    <t>43171644</t>
  </si>
  <si>
    <t>MUÑOZ CHEVARRIA ELIZABETH</t>
  </si>
  <si>
    <t>43518723</t>
  </si>
  <si>
    <t>SALCEDO PEREZ GUISSELLA YDANIA</t>
  </si>
  <si>
    <t>44643023</t>
  </si>
  <si>
    <t>SURCO MALAGA MIRIAN</t>
  </si>
  <si>
    <t>41209341</t>
  </si>
  <si>
    <t>SAIRE HUAYOTUMA NADIA CARINA</t>
  </si>
  <si>
    <t>44982857</t>
  </si>
  <si>
    <t>OLIVERA RAMOS RONY ELDER</t>
  </si>
  <si>
    <t>44986038</t>
  </si>
  <si>
    <t>ATAYUPANQUI QUISPE ANTONIO</t>
  </si>
  <si>
    <t>42354600</t>
  </si>
  <si>
    <t>DUEÑAS PACHECO CINTIA</t>
  </si>
  <si>
    <t>45036022</t>
  </si>
  <si>
    <t>FLORES LLOCCLLA BRAULIO WALTHER</t>
  </si>
  <si>
    <t>45143539</t>
  </si>
  <si>
    <t>HUAMANI PUERTAS ELIZABETH DAYSI</t>
  </si>
  <si>
    <t>45148399</t>
  </si>
  <si>
    <t>PINARES AUCCAPURE ZENAIDA</t>
  </si>
  <si>
    <t>45657604</t>
  </si>
  <si>
    <t>PARIGUANA COLLANTES DINA</t>
  </si>
  <si>
    <t>45729883</t>
  </si>
  <si>
    <t>MONTENEGRO ALARCON YAISA KAREN</t>
  </si>
  <si>
    <t>23982427</t>
  </si>
  <si>
    <t>VARGAS MAYORGA MARIELA</t>
  </si>
  <si>
    <t>24002643</t>
  </si>
  <si>
    <t>MORA ESPINOZA NINOSKA</t>
  </si>
  <si>
    <t>45831103</t>
  </si>
  <si>
    <t>KUNCHO APAZA MARIA ESTHER</t>
  </si>
  <si>
    <t>45957055</t>
  </si>
  <si>
    <t>ORDOÑEZ HUARHUA MAGALY</t>
  </si>
  <si>
    <t>40925012</t>
  </si>
  <si>
    <t>MAQQUERA CUEVA LUZ ELIANA</t>
  </si>
  <si>
    <t>46233057</t>
  </si>
  <si>
    <t>MENDOZA GUZMAN SANDRA</t>
  </si>
  <si>
    <t>46256033</t>
  </si>
  <si>
    <t>RAMOS SAIRE LUZ MARINA</t>
  </si>
  <si>
    <t>40804319</t>
  </si>
  <si>
    <t>TRUJILLO OQUENDO EDITH</t>
  </si>
  <si>
    <t>42843097</t>
  </si>
  <si>
    <t>HERRERA ROZAS LISBETH</t>
  </si>
  <si>
    <t>46628701</t>
  </si>
  <si>
    <t>HUAYLLAS QUISPE VIKY</t>
  </si>
  <si>
    <t>46800960</t>
  </si>
  <si>
    <t>ACASIETE GUTIERREZ PATRICIA DEL ROSARIO</t>
  </si>
  <si>
    <t>72716589</t>
  </si>
  <si>
    <t>CRUZ ATAUCURY SHOMIRA MARGARETH</t>
  </si>
  <si>
    <t>46962092</t>
  </si>
  <si>
    <t>SOTO TRELLES JHIMY ROOSBELD</t>
  </si>
  <si>
    <t>47768535</t>
  </si>
  <si>
    <t>SILVA AVENDAÑO JANETH BEATRIZ</t>
  </si>
  <si>
    <t>70764842</t>
  </si>
  <si>
    <t>ANCA CERECEDA ESBRAILY MILAGROS</t>
  </si>
  <si>
    <t>70435364</t>
  </si>
  <si>
    <t>MARTEL PAUCAR KARINA STAYCI</t>
  </si>
  <si>
    <t>72946939</t>
  </si>
  <si>
    <t>TICONA CAIRA LIZETH VERONICA</t>
  </si>
  <si>
    <t>74045403</t>
  </si>
  <si>
    <t>RAMOS CALDERON JESSY SILVANA</t>
  </si>
  <si>
    <t>23856031</t>
  </si>
  <si>
    <t>CANDIA CUTO LUZ MARINA</t>
  </si>
  <si>
    <t>47473622</t>
  </si>
  <si>
    <t>SOTO CCALLE DELIA</t>
  </si>
  <si>
    <t>42835480</t>
  </si>
  <si>
    <t>CHOQUE MAMANI RENATO GERARDO</t>
  </si>
  <si>
    <t>42376578</t>
  </si>
  <si>
    <t>VELASCO PAREDES GLENDA</t>
  </si>
  <si>
    <t>43047751</t>
  </si>
  <si>
    <t>CHILO CACERES CARLA JOHANA</t>
  </si>
  <si>
    <t>48699760</t>
  </si>
  <si>
    <t>VIZCARRA ORTIZ DE ORUÉ NILL YELDHYN</t>
  </si>
  <si>
    <t>45127003</t>
  </si>
  <si>
    <t>VILCA PALOMINO HERBERT RAMIRO</t>
  </si>
  <si>
    <t>ASESOR</t>
  </si>
  <si>
    <t>10017108</t>
  </si>
  <si>
    <t>ROMERO BANDA CARLOS VLADIMIR</t>
  </si>
  <si>
    <t>43182922</t>
  </si>
  <si>
    <t>YUCRA PEREZ VILMA</t>
  </si>
  <si>
    <t>45630919</t>
  </si>
  <si>
    <t>ARAUJO ROMERO DIONISIO</t>
  </si>
  <si>
    <t>45653555</t>
  </si>
  <si>
    <t>ABANDO NAVARRO JENNYFER CYNTHIA</t>
  </si>
  <si>
    <t>44684164</t>
  </si>
  <si>
    <t>YARANGA CARPIO JIMMY</t>
  </si>
  <si>
    <t>43993615</t>
  </si>
  <si>
    <t>VILA CALLE CECILIA</t>
  </si>
  <si>
    <t>AUXILIAR DE COCINA</t>
  </si>
  <si>
    <t>70217704</t>
  </si>
  <si>
    <t>ROMANI RAMOS ROBINE ROBINSON</t>
  </si>
  <si>
    <t>42472993</t>
  </si>
  <si>
    <t>LLANTOY SAYAS YANETT MARLENY</t>
  </si>
  <si>
    <t>28275023</t>
  </si>
  <si>
    <t>VILCA TORRES RUTH MARITZA</t>
  </si>
  <si>
    <t>41911135</t>
  </si>
  <si>
    <t>CHUCHON ORE JUVENAL FREDY</t>
  </si>
  <si>
    <t>42846819</t>
  </si>
  <si>
    <t>ELME PAREDES WILVER</t>
  </si>
  <si>
    <t>44290020</t>
  </si>
  <si>
    <t>PORTILLA CALVANAPON WILBER ESTEBAN</t>
  </si>
  <si>
    <t>45609229</t>
  </si>
  <si>
    <t>JAIME GAMBOA YURI IRWIN</t>
  </si>
  <si>
    <t>45794370</t>
  </si>
  <si>
    <t>ESCARCENA AYALA YANET</t>
  </si>
  <si>
    <t>43458615</t>
  </si>
  <si>
    <t>TORRES MURGA JERSHONE TATIANA VILMA</t>
  </si>
  <si>
    <t>06772055</t>
  </si>
  <si>
    <t>PANTOJA CUERVO JOSE LUIS</t>
  </si>
  <si>
    <t>42789419</t>
  </si>
  <si>
    <t>CONDORI PINCO OSCAR</t>
  </si>
  <si>
    <t>43698446</t>
  </si>
  <si>
    <t>ALARCON LUNA JUAN EDGAR</t>
  </si>
  <si>
    <t>70247768</t>
  </si>
  <si>
    <t>CAMPOS QUISPE CRISPIN SEVERINO</t>
  </si>
  <si>
    <t>41505588</t>
  </si>
  <si>
    <t>CCONISLLA BAUTISTA RUBEN WILLIAM</t>
  </si>
  <si>
    <t>45068881</t>
  </si>
  <si>
    <t>GUILLERMO HUAYLINOS IVAN</t>
  </si>
  <si>
    <t>08886297</t>
  </si>
  <si>
    <t>SOTOMAYOR VELASQUEZ RAUL</t>
  </si>
  <si>
    <t>46605043</t>
  </si>
  <si>
    <t>QUINTANA MONTOYA GUILLER FRED</t>
  </si>
  <si>
    <t>COCINERO</t>
  </si>
  <si>
    <t>44867561</t>
  </si>
  <si>
    <t>ROMANI RAMOS ROEL</t>
  </si>
  <si>
    <t>46992745</t>
  </si>
  <si>
    <t>YACTAYO AGUILAR SHEYLA DANAE</t>
  </si>
  <si>
    <t>47088214</t>
  </si>
  <si>
    <t>GARCIA CUETO ALEXANDRA ESTHEFANIA</t>
  </si>
  <si>
    <t>43446879</t>
  </si>
  <si>
    <t>ACHONG MONTALVAN NADIUSKA GIANNINA</t>
  </si>
  <si>
    <t>42910451</t>
  </si>
  <si>
    <t>CURI GARCIA MARIA VIRGINIA</t>
  </si>
  <si>
    <t>42842636</t>
  </si>
  <si>
    <t>URBANO PINEDA RONALD</t>
  </si>
  <si>
    <t>46104323</t>
  </si>
  <si>
    <t>ROJAS RUIZ PERCY JOEL</t>
  </si>
  <si>
    <t>43012744</t>
  </si>
  <si>
    <t>RAMOS SAUÑE ANA MELVA</t>
  </si>
  <si>
    <t>48326001</t>
  </si>
  <si>
    <t>AVILA MAYHUA AMADOR</t>
  </si>
  <si>
    <t>41727747</t>
  </si>
  <si>
    <t>SANTIAGO HUILLCAPURI EMERSON</t>
  </si>
  <si>
    <t>28310936</t>
  </si>
  <si>
    <t>TORRES CHAUPIN JONNY EMILIO</t>
  </si>
  <si>
    <t>70788955</t>
  </si>
  <si>
    <t>CCAPCHA YARANGA KATHERIN</t>
  </si>
  <si>
    <t>70152023</t>
  </si>
  <si>
    <t>YUCRA PEREZ JULIO CESAR</t>
  </si>
  <si>
    <t>70283582</t>
  </si>
  <si>
    <t>CORDERO NAVARRO RUSBER LUIS</t>
  </si>
  <si>
    <t>46217721</t>
  </si>
  <si>
    <t>RAMOS SAUÑE ROGER</t>
  </si>
  <si>
    <t>41588214</t>
  </si>
  <si>
    <t>CORDOVA CAMPOSANO EDITH ILLIANA</t>
  </si>
  <si>
    <t>44238927</t>
  </si>
  <si>
    <t>VILCHEZ DE LA PEÑA YOSSY MAYRA</t>
  </si>
  <si>
    <t>41390114</t>
  </si>
  <si>
    <t>CANGANA HUARACA HERMELINDA</t>
  </si>
  <si>
    <t>42147071</t>
  </si>
  <si>
    <t>GONZALES VILCAHUAMAN EDY VILMA</t>
  </si>
  <si>
    <t>74442201</t>
  </si>
  <si>
    <t>HUAMAN PALOMINO LIBER</t>
  </si>
  <si>
    <t>10634985</t>
  </si>
  <si>
    <t>MARQUEZ CCAPCHI JUAN</t>
  </si>
  <si>
    <t>48540951</t>
  </si>
  <si>
    <t>TORRES CONTO MARTHA</t>
  </si>
  <si>
    <t>45815160</t>
  </si>
  <si>
    <t>TAIPE ORE NOEMI RAQUEL</t>
  </si>
  <si>
    <t>80087039</t>
  </si>
  <si>
    <t>YUPARI GUERREROS BASILIO</t>
  </si>
  <si>
    <t>43817445</t>
  </si>
  <si>
    <t>CAMPO CARDOSO AMADEO</t>
  </si>
  <si>
    <t>46375464</t>
  </si>
  <si>
    <t>PUMALIQUE MONTUFAR DANERY MARICE</t>
  </si>
  <si>
    <t>44613512</t>
  </si>
  <si>
    <t>GODOY CHI YESSICA ISABEL</t>
  </si>
  <si>
    <t>21819498</t>
  </si>
  <si>
    <t>PALACIOS RAMOS MIRTHA ELBA</t>
  </si>
  <si>
    <t>43436597</t>
  </si>
  <si>
    <t>ROJAS BADAJOS FRINE</t>
  </si>
  <si>
    <t>42849120</t>
  </si>
  <si>
    <t>SURCO CAMINO INES MIRIAM</t>
  </si>
  <si>
    <t>31167149</t>
  </si>
  <si>
    <t>GUILLEN MIRANDA YANET MAXIMILIANA</t>
  </si>
  <si>
    <t>45763077</t>
  </si>
  <si>
    <t>CASTILLA VILLACORTA GRACIELA</t>
  </si>
  <si>
    <t>45477945</t>
  </si>
  <si>
    <t>CCAYAHUALLPA RAMOS VERMANIA</t>
  </si>
  <si>
    <t>42425407</t>
  </si>
  <si>
    <t>LICAPA QUICHCA YESICA</t>
  </si>
  <si>
    <t>42987510</t>
  </si>
  <si>
    <t>HUAMAN HUACHACA MAYNEL</t>
  </si>
  <si>
    <t>46422761</t>
  </si>
  <si>
    <t>ILLANES SOLIS YENY MARLENY</t>
  </si>
  <si>
    <t>46016756</t>
  </si>
  <si>
    <t>SANTIAGO BRAVO LUIS DAVID</t>
  </si>
  <si>
    <t>45024045</t>
  </si>
  <si>
    <t>ARAMBURU PADILLA SILVIA MADELEYNI</t>
  </si>
  <si>
    <t>ESPECIALISTA EN LOGISTICA</t>
  </si>
  <si>
    <t>28299599</t>
  </si>
  <si>
    <t>LLANTOY QUICHCA WILVER</t>
  </si>
  <si>
    <t>44071699</t>
  </si>
  <si>
    <t>ÑUFLO HUALLPAMAITA ANA MARIA</t>
  </si>
  <si>
    <t>45043335</t>
  </si>
  <si>
    <t>MAMANI CUEVAS MIGUEL ANGEL</t>
  </si>
  <si>
    <t>43235208</t>
  </si>
  <si>
    <t>BAUTISTA CONDORY IRENEO</t>
  </si>
  <si>
    <t>44851906</t>
  </si>
  <si>
    <t>LOPEZ TAYPE TEDDY ROXANA</t>
  </si>
  <si>
    <t>45418661</t>
  </si>
  <si>
    <t>ALTAMIRANO PAHUARA CELIA</t>
  </si>
  <si>
    <t>43578231</t>
  </si>
  <si>
    <t>MARQUEZ CCAPCHI ILLARI</t>
  </si>
  <si>
    <t>45318151</t>
  </si>
  <si>
    <t>RAMIREZ BAUTISTA GUICELA</t>
  </si>
  <si>
    <t>45778653</t>
  </si>
  <si>
    <t>FLORES CONTRERAS LIZBETH</t>
  </si>
  <si>
    <t>43353659</t>
  </si>
  <si>
    <t>CRUZ RAMOS YUDY</t>
  </si>
  <si>
    <t>42638977</t>
  </si>
  <si>
    <t>VILCA DIPAZ HILDA</t>
  </si>
  <si>
    <t>44667188</t>
  </si>
  <si>
    <t>COLLAHUA GUTIERREZ JACKELINE ROXANA</t>
  </si>
  <si>
    <t>45428542</t>
  </si>
  <si>
    <t>ALLCCA CCORAHUA SOFIA</t>
  </si>
  <si>
    <t>45682100</t>
  </si>
  <si>
    <t>TITO FLORES TANIA</t>
  </si>
  <si>
    <t>47256103</t>
  </si>
  <si>
    <t>AGUIRRE LOAYZA ANGELA MELISA</t>
  </si>
  <si>
    <t>40147104</t>
  </si>
  <si>
    <t>PEREZ CURO ANTONIA</t>
  </si>
  <si>
    <t>80602452</t>
  </si>
  <si>
    <t>YUCRA QUISPE PEDRO</t>
  </si>
  <si>
    <t>ESPECIALISTA EN PLANIFICACION</t>
  </si>
  <si>
    <t>43673038</t>
  </si>
  <si>
    <t>ZEVALLOS CONDE LITMAN</t>
  </si>
  <si>
    <t>43232899</t>
  </si>
  <si>
    <t>GOMEZ FIGUEROA PERCY EDEN</t>
  </si>
  <si>
    <t>42851308</t>
  </si>
  <si>
    <t>SACHA TORRE EMERSON</t>
  </si>
  <si>
    <t>42784114</t>
  </si>
  <si>
    <t>LOPEZ DEL CASTILLO LIA</t>
  </si>
  <si>
    <t>10211712</t>
  </si>
  <si>
    <t>ARCE GUTIERREZ JULIA</t>
  </si>
  <si>
    <t>SECRETARIA/O EJECUTIVO</t>
  </si>
  <si>
    <t>74050350</t>
  </si>
  <si>
    <t>GUTIERREZ DIAZ TANIA SILVIA</t>
  </si>
  <si>
    <t>42747266</t>
  </si>
  <si>
    <t>ROMANI TORRES TEODOMIRO</t>
  </si>
  <si>
    <t>47158723</t>
  </si>
  <si>
    <t>MENDOZA VICAÑA YOBER ROY</t>
  </si>
  <si>
    <t>28312603</t>
  </si>
  <si>
    <t>QUISPE ORE HAYDEE</t>
  </si>
  <si>
    <t>44719003</t>
  </si>
  <si>
    <t>AGUILAR ROMERO ELISA</t>
  </si>
  <si>
    <t>46983991</t>
  </si>
  <si>
    <t>RODRIGUEZ VEGA ROSSMERY</t>
  </si>
  <si>
    <t>46694936</t>
  </si>
  <si>
    <t>QUISPE LUNASCO RUTH MARLENE</t>
  </si>
  <si>
    <t>47186217</t>
  </si>
  <si>
    <t>MEZA RAMIREZ JEANNETT MIRYAN</t>
  </si>
  <si>
    <t>45171416</t>
  </si>
  <si>
    <t>LUJAN NAVARRO GLADYS</t>
  </si>
  <si>
    <t>43788499</t>
  </si>
  <si>
    <t>BAEZ HUAMAN GLORIA LUCILA</t>
  </si>
  <si>
    <t>45169964</t>
  </si>
  <si>
    <t>ALVARADO GUILLEN MARLENY</t>
  </si>
  <si>
    <t>40768228</t>
  </si>
  <si>
    <t>CHURAPA CANSAYA VICTORIA FLORA</t>
  </si>
  <si>
    <t>47879469</t>
  </si>
  <si>
    <t>PALOMINO VALDEZ NYLSA</t>
  </si>
  <si>
    <t>29679751</t>
  </si>
  <si>
    <t>HUANCA PATIÑO CARMEN JULIA</t>
  </si>
  <si>
    <t>47834155</t>
  </si>
  <si>
    <t>VARGAS HUAMANI JHON RAYMIL</t>
  </si>
  <si>
    <t>76971074</t>
  </si>
  <si>
    <t>QUISPE LAIME NELY EDITH</t>
  </si>
  <si>
    <t>TESORERO I</t>
  </si>
  <si>
    <t>21574668</t>
  </si>
  <si>
    <t>OLIVARES CHAVEZ GUILLERMINA CASIMIRA</t>
  </si>
  <si>
    <t>28716562</t>
  </si>
  <si>
    <t>BENDEZU CORDERO IRMA</t>
  </si>
  <si>
    <t>80055458</t>
  </si>
  <si>
    <t>VASQUEZ INFANTE VIRGILIO</t>
  </si>
  <si>
    <t>44600114</t>
  </si>
  <si>
    <t>DE LA CRUZ AGUILAR MARLENY</t>
  </si>
  <si>
    <t>41950375</t>
  </si>
  <si>
    <t>CASAS HUICHO SONIA</t>
  </si>
  <si>
    <t>28598737</t>
  </si>
  <si>
    <t>RAMOS YULGO ALICIA</t>
  </si>
  <si>
    <t>44300772</t>
  </si>
  <si>
    <t>YUCRA UYHUA MAURITA ROXANA</t>
  </si>
  <si>
    <t>42702868</t>
  </si>
  <si>
    <t>VILLA NOREÑA EDWIN RIVERSON</t>
  </si>
  <si>
    <t>28696506</t>
  </si>
  <si>
    <t>RAMIREZ CASAVERDE FRANCISCA</t>
  </si>
  <si>
    <t>45401971</t>
  </si>
  <si>
    <t>MAURICIO AZORSA RONAL</t>
  </si>
  <si>
    <t>47488262</t>
  </si>
  <si>
    <t>ROMERO HUICHO MARIBEL</t>
  </si>
  <si>
    <t>28291464</t>
  </si>
  <si>
    <t>QUISPE ESCOBAR TOMAS ROGELIO</t>
  </si>
  <si>
    <t>40580150</t>
  </si>
  <si>
    <t>RUIZ SOLO FELICITAS</t>
  </si>
  <si>
    <t>40110740</t>
  </si>
  <si>
    <t>CCAHUANA SERRANO NADEZHDA</t>
  </si>
  <si>
    <t>41264124</t>
  </si>
  <si>
    <t>NAVARRO MORALES ENMA YANET</t>
  </si>
  <si>
    <t>25016374</t>
  </si>
  <si>
    <t>MENDEZ MONTOYA JULIA YANETH</t>
  </si>
  <si>
    <t>44442506</t>
  </si>
  <si>
    <t>VILA BELLIDO MARIBEL</t>
  </si>
  <si>
    <t>45725805</t>
  </si>
  <si>
    <t>GARCIA TARAZONA YESSENIA GIOVANNA</t>
  </si>
  <si>
    <t>42658474</t>
  </si>
  <si>
    <t>DAMIANO FLORES VICTOR HEBER</t>
  </si>
  <si>
    <t>45087660</t>
  </si>
  <si>
    <t>CHALLCO MIRANDA FRANCLIN</t>
  </si>
  <si>
    <t>24391007</t>
  </si>
  <si>
    <t>PACHECO FLORES GERARDO</t>
  </si>
  <si>
    <t>42219275</t>
  </si>
  <si>
    <t>ZUNIGA QUISPE FORTUNATO ISAIAS</t>
  </si>
  <si>
    <t>40032375</t>
  </si>
  <si>
    <t>GUILLEN VILLAGARCIA RICARDO GUNTER</t>
  </si>
  <si>
    <t>40799176</t>
  </si>
  <si>
    <t>CARRASCO QUISPE MIRIAM</t>
  </si>
  <si>
    <t>24483171</t>
  </si>
  <si>
    <t>ABARCA QUISPE EUSTAQUIO</t>
  </si>
  <si>
    <t>24489232</t>
  </si>
  <si>
    <t>ABARCA QUISPE FIDEL</t>
  </si>
  <si>
    <t>43116232</t>
  </si>
  <si>
    <t>AEDO PEREZ MAGALLY ZENAIDA</t>
  </si>
  <si>
    <t>45644906</t>
  </si>
  <si>
    <t>AGUAYO ESPINOZA UBALDINA</t>
  </si>
  <si>
    <t>46610198</t>
  </si>
  <si>
    <t>ALAGON PALOMINO XIAMARA</t>
  </si>
  <si>
    <t>44915853</t>
  </si>
  <si>
    <t>AMACHI CUELLAR SANDRA ZORAIDA</t>
  </si>
  <si>
    <t>42791396</t>
  </si>
  <si>
    <t>ASTURIMA HUANACO AMELL EDISON</t>
  </si>
  <si>
    <t>41133002</t>
  </si>
  <si>
    <t>ATAPOMA QUISPE MARCO ANTONIO</t>
  </si>
  <si>
    <t>42593495</t>
  </si>
  <si>
    <t>AYZA HUANCA EDITH OLIVIA</t>
  </si>
  <si>
    <t>42894892</t>
  </si>
  <si>
    <t>BACA ROMERO ZULMA</t>
  </si>
  <si>
    <t>44745812</t>
  </si>
  <si>
    <t>BECERRA FARFAN KATERIN</t>
  </si>
  <si>
    <t>23950879</t>
  </si>
  <si>
    <t>CABRERA CARRASCO GERMAN AMARU</t>
  </si>
  <si>
    <t>23992741</t>
  </si>
  <si>
    <t>CACERES TTITO FELICIANA</t>
  </si>
  <si>
    <t>44672612</t>
  </si>
  <si>
    <t>CALDERON CUSIHUAMAN EDWIN</t>
  </si>
  <si>
    <t>43501766</t>
  </si>
  <si>
    <t>CARDENAS GONGORA GHILDA STEFANY</t>
  </si>
  <si>
    <t>41424476</t>
  </si>
  <si>
    <t>VERA RADO NIVIA</t>
  </si>
  <si>
    <t>45816336</t>
  </si>
  <si>
    <t>CARPIO DURAN NILDA</t>
  </si>
  <si>
    <t>23963875</t>
  </si>
  <si>
    <t>CARPIO ORTIZ DE ZEVALLOS ROCIO</t>
  </si>
  <si>
    <t>41376921</t>
  </si>
  <si>
    <t>ZAMORA RIOS LIZ MERY</t>
  </si>
  <si>
    <t>23932912</t>
  </si>
  <si>
    <t>CATUNTA HUALLPA MARIA ANTONIETA</t>
  </si>
  <si>
    <t>40104669</t>
  </si>
  <si>
    <t>CCOYA QUISPE LENITH DANITHZA</t>
  </si>
  <si>
    <t>23941148</t>
  </si>
  <si>
    <t>CHACON JORDAN HERBER</t>
  </si>
  <si>
    <t>42156434</t>
  </si>
  <si>
    <t>CHALLCO MIRANDA BRICEIDA</t>
  </si>
  <si>
    <t>46212590</t>
  </si>
  <si>
    <t>MANACCASA GUTIERREZ MARCO ANTONIO</t>
  </si>
  <si>
    <t>24490088</t>
  </si>
  <si>
    <t>CHIPA TACURI ADRIAN</t>
  </si>
  <si>
    <t>45311401</t>
  </si>
  <si>
    <t>CHECCA PASTOR YESSICA ROSA</t>
  </si>
  <si>
    <t>43165166</t>
  </si>
  <si>
    <t>CHICLLA CHAVEZ ALEXANDRA LIDIA</t>
  </si>
  <si>
    <t>24473418</t>
  </si>
  <si>
    <t>CONDORI HERRERA MAXIMILIANO</t>
  </si>
  <si>
    <t>40546416</t>
  </si>
  <si>
    <t>HUICHO TAIPE BELARDINA</t>
  </si>
  <si>
    <t>41929698</t>
  </si>
  <si>
    <t>CORNEJO ALVARADO DORIS</t>
  </si>
  <si>
    <t>10344842</t>
  </si>
  <si>
    <t>CUSI SOTOMAYOR VICTORIA</t>
  </si>
  <si>
    <t>43123781</t>
  </si>
  <si>
    <t>DEL CASTILLO ROMAJA FRESIA</t>
  </si>
  <si>
    <t>40504782</t>
  </si>
  <si>
    <t>DIAZ OCHOA JESSICA MARIBEL</t>
  </si>
  <si>
    <t>42080125</t>
  </si>
  <si>
    <t>FOLLANA ZUNIGA PAVEL</t>
  </si>
  <si>
    <t>41020284</t>
  </si>
  <si>
    <t>GUERRA BOCANGEL ZENAIDA</t>
  </si>
  <si>
    <t>43899116</t>
  </si>
  <si>
    <t>GUTIERREZ ALANOCA CINTHYA INGRID</t>
  </si>
  <si>
    <t>41511053</t>
  </si>
  <si>
    <t>HUACAC OSORIO ARTURO</t>
  </si>
  <si>
    <t>23826955</t>
  </si>
  <si>
    <t>HUAMANI SAN MIGUEL DIOMEDES SILVESTRE</t>
  </si>
  <si>
    <t>42132863</t>
  </si>
  <si>
    <t>HUANCA RAMOS LUZ MARINA</t>
  </si>
  <si>
    <t>23803119</t>
  </si>
  <si>
    <t>HUAYLLA AUCCAPURI ROSA MARIA</t>
  </si>
  <si>
    <t>43267234</t>
  </si>
  <si>
    <t>HUAYLLANI GARCIA MARLENI</t>
  </si>
  <si>
    <t>23967626</t>
  </si>
  <si>
    <t>HUILLCA VALDEZ JUANA</t>
  </si>
  <si>
    <t>24480672</t>
  </si>
  <si>
    <t>HUMPIRI CUSIQUISPE FRUCTUOSO</t>
  </si>
  <si>
    <t>45302744</t>
  </si>
  <si>
    <t>LEVA HUILLCA MARICELI</t>
  </si>
  <si>
    <t>23895295</t>
  </si>
  <si>
    <t>MAMANI RAYA VDA DE QUISPE AURELIA</t>
  </si>
  <si>
    <t>45294409</t>
  </si>
  <si>
    <t>MACHACA SERRANO MINUSCA</t>
  </si>
  <si>
    <t>42938276</t>
  </si>
  <si>
    <t>MAMANI CCUNO MYRIAM</t>
  </si>
  <si>
    <t>23905279</t>
  </si>
  <si>
    <t>MENDOZA DE ANCHAYA PAULINA</t>
  </si>
  <si>
    <t>23974721</t>
  </si>
  <si>
    <t>MESCO PUMA AUGUSTO</t>
  </si>
  <si>
    <t>42026469</t>
  </si>
  <si>
    <t>MEDINA DUEÑAS MIRIAM BRIYI</t>
  </si>
  <si>
    <t>42040136</t>
  </si>
  <si>
    <t>PALOMINO MONTALVO ROQUE</t>
  </si>
  <si>
    <t>40753174</t>
  </si>
  <si>
    <t>MENDOZA SOLAR FREDY</t>
  </si>
  <si>
    <t>23802457</t>
  </si>
  <si>
    <t>MORA VASQUEZ BRAULIO</t>
  </si>
  <si>
    <t>41361121</t>
  </si>
  <si>
    <t>MIRANDA SOSA ROSA MARIA</t>
  </si>
  <si>
    <t>23857584</t>
  </si>
  <si>
    <t>MIRANDA VALENCIA ZOILA FRANCISCA</t>
  </si>
  <si>
    <t>10412631</t>
  </si>
  <si>
    <t>ROMERO MOSCOSO GUIDO AMERICO</t>
  </si>
  <si>
    <t>42731557</t>
  </si>
  <si>
    <t>NAVIDES VERA CINDY RUTH</t>
  </si>
  <si>
    <t>42562164</t>
  </si>
  <si>
    <t>OVIEDO FLOREZ WASHINGTON</t>
  </si>
  <si>
    <t>43698572</t>
  </si>
  <si>
    <t>PACHACCA LLAULLI AMPARO</t>
  </si>
  <si>
    <t>41250621</t>
  </si>
  <si>
    <t>PALOMINO BACA EDGAR</t>
  </si>
  <si>
    <t>24489635</t>
  </si>
  <si>
    <t>PEREZ HUAMAN ENRIQUE</t>
  </si>
  <si>
    <t>42682140</t>
  </si>
  <si>
    <t>PEREZ CHUQUIMAGO MIGUEL HAROLD</t>
  </si>
  <si>
    <t>42032084</t>
  </si>
  <si>
    <t>QUISPE CARPIO LUCIANA</t>
  </si>
  <si>
    <t>24006304</t>
  </si>
  <si>
    <t>PILLCO ALEGRIA YONI</t>
  </si>
  <si>
    <t>45774175</t>
  </si>
  <si>
    <t>PRIETO GUTIERREZ NESTOR</t>
  </si>
  <si>
    <t>41792671</t>
  </si>
  <si>
    <t>QUINO QUISPE JOVITA</t>
  </si>
  <si>
    <t>41997674</t>
  </si>
  <si>
    <t>SONCCO QUISPE ALEJANDRINA</t>
  </si>
  <si>
    <t>41608597</t>
  </si>
  <si>
    <t>QUISPE RAMOS JUAN JOSE</t>
  </si>
  <si>
    <t>43356325</t>
  </si>
  <si>
    <t>QUISPE PORTILLA YASMINA</t>
  </si>
  <si>
    <t>23980309</t>
  </si>
  <si>
    <t>REYES FLORES GERMAN GILBERTO</t>
  </si>
  <si>
    <t>42522217</t>
  </si>
  <si>
    <t>RAMIREZ GARRIDO CIRIA</t>
  </si>
  <si>
    <t>24003583</t>
  </si>
  <si>
    <t>RAMOS ROMERO CARLOS</t>
  </si>
  <si>
    <t>43764845</t>
  </si>
  <si>
    <t>SANCHEZ GRANADA JOSE LUIS</t>
  </si>
  <si>
    <t>46553821</t>
  </si>
  <si>
    <t>ROA ESPIRILLA OLGA</t>
  </si>
  <si>
    <t>24001663</t>
  </si>
  <si>
    <t>QUISPE AVENDAÑO FABIANA</t>
  </si>
  <si>
    <t>45056536</t>
  </si>
  <si>
    <t>ROJAS MACHACA LENIN</t>
  </si>
  <si>
    <t>46744950</t>
  </si>
  <si>
    <t>YBARRA RAMOS YAQUELIN BETSAYDA</t>
  </si>
  <si>
    <t>24460222</t>
  </si>
  <si>
    <t>SANCHEZ FERRO RICARDO</t>
  </si>
  <si>
    <t>44213878</t>
  </si>
  <si>
    <t>RUPA SORIA KATTY</t>
  </si>
  <si>
    <t>41715422</t>
  </si>
  <si>
    <t>SAIRE QUISPE EDWIN</t>
  </si>
  <si>
    <t>41117949</t>
  </si>
  <si>
    <t>SAIRE YARAHUAMAN YANET</t>
  </si>
  <si>
    <t>41007273</t>
  </si>
  <si>
    <t>SALAZAR TICA SANDRA MARGOT</t>
  </si>
  <si>
    <t>43496186</t>
  </si>
  <si>
    <t>SICLLA BACA JENNY ARLET</t>
  </si>
  <si>
    <t>24367212</t>
  </si>
  <si>
    <t>USCAPI YARI EDMUNDO</t>
  </si>
  <si>
    <t>45654198</t>
  </si>
  <si>
    <t>SULLCA SUTTA FRINE</t>
  </si>
  <si>
    <t>43448148</t>
  </si>
  <si>
    <t>SULLCA TTITO EULALIA</t>
  </si>
  <si>
    <t>41157354</t>
  </si>
  <si>
    <t>TECSI ECHEGARAY ELIZABETH</t>
  </si>
  <si>
    <t>41476041</t>
  </si>
  <si>
    <t>TECSI VALDEZ TANIA</t>
  </si>
  <si>
    <t>24719013</t>
  </si>
  <si>
    <t>TTITO LOZANO MARIA JESUS</t>
  </si>
  <si>
    <t>23865461</t>
  </si>
  <si>
    <t>URQUIZO VILLENA YEMIRA</t>
  </si>
  <si>
    <t>43812751</t>
  </si>
  <si>
    <t>ZAPATA QUISPE DINA</t>
  </si>
  <si>
    <t>46734673</t>
  </si>
  <si>
    <t>VALDEZ LLOQQUE JULIO CESAR</t>
  </si>
  <si>
    <t>41207298</t>
  </si>
  <si>
    <t>MORMONTOY SANTOS LIZ YESENIA</t>
  </si>
  <si>
    <t>31044737</t>
  </si>
  <si>
    <t>MOREANO MERINO YESENIA</t>
  </si>
  <si>
    <t>42955168</t>
  </si>
  <si>
    <t>ROSADA CANSAYA EDITH</t>
  </si>
  <si>
    <t>24711810</t>
  </si>
  <si>
    <t>PAUCAR MAMANI DELIA</t>
  </si>
  <si>
    <t>23962354</t>
  </si>
  <si>
    <t>HANCCO CCOPA JORGE LUIS</t>
  </si>
  <si>
    <t>41152087</t>
  </si>
  <si>
    <t>VALVERDE CASTRO EMERSON GIUSEPPE</t>
  </si>
  <si>
    <t>47141902</t>
  </si>
  <si>
    <t>HERRERA ANAYA YERCO</t>
  </si>
  <si>
    <t>01345343</t>
  </si>
  <si>
    <t>MENDIZABAL CHOQUEPATA GEORGETHE</t>
  </si>
  <si>
    <t>46172371</t>
  </si>
  <si>
    <t>QUINTANILLA HANCCO FLOR KARINA</t>
  </si>
  <si>
    <t>23920648</t>
  </si>
  <si>
    <t>YABAR SALAZAR ANA CECILIA</t>
  </si>
  <si>
    <t>24287136</t>
  </si>
  <si>
    <t>HUAMANI CANDIA WILFREDO</t>
  </si>
  <si>
    <t>41818165</t>
  </si>
  <si>
    <t>GUTIERREZ QUISPE JUVENAL</t>
  </si>
  <si>
    <t>MEDICO GENERAL INTEGRAL/FAMILIAR</t>
  </si>
  <si>
    <t>25012624</t>
  </si>
  <si>
    <t>ARZUBIALDE CAVIEDES ELENA</t>
  </si>
  <si>
    <t>24997918</t>
  </si>
  <si>
    <t>LIVANO HUAMAN BRIGIDA</t>
  </si>
  <si>
    <t>48136455</t>
  </si>
  <si>
    <t>HERRERA ANAYA JESENIA</t>
  </si>
  <si>
    <t>41456200</t>
  </si>
  <si>
    <t>VILLEGAS FIGUEROA CLAUDIA VERIOSKA</t>
  </si>
  <si>
    <t>40615848</t>
  </si>
  <si>
    <t>CRUZ ZEVALLOS ROSA LIDIA</t>
  </si>
  <si>
    <t>06435316</t>
  </si>
  <si>
    <t>VALENCIA VILA WILLIAMS FERDINAND</t>
  </si>
  <si>
    <t>06688964</t>
  </si>
  <si>
    <t>QUISPE LUQUE NAPOLEON SOCRATES</t>
  </si>
  <si>
    <t>70433718</t>
  </si>
  <si>
    <t>HINOJOSA CASTRO OSCAR ANDRE</t>
  </si>
  <si>
    <t>23859668</t>
  </si>
  <si>
    <t>ANCO QUISPE DORIS</t>
  </si>
  <si>
    <t>43260682</t>
  </si>
  <si>
    <t>BARRIENTOS VERA YENY</t>
  </si>
  <si>
    <t>41422574</t>
  </si>
  <si>
    <t>ESTRADA CACERES JESSICA</t>
  </si>
  <si>
    <t>42332597</t>
  </si>
  <si>
    <t>ESPINOZA HUAMAN HILDA LUCIA</t>
  </si>
  <si>
    <t>46893893</t>
  </si>
  <si>
    <t>GARCIA ZAMALLOA SIANNAH MARYLIA</t>
  </si>
  <si>
    <t>45858528</t>
  </si>
  <si>
    <t>CANO GUEVARA HANICKA</t>
  </si>
  <si>
    <t>45511780</t>
  </si>
  <si>
    <t>AEDO SALAS VERENISSE</t>
  </si>
  <si>
    <t>23949770</t>
  </si>
  <si>
    <t>HUILLCA HUAMAN CARMEN ROSA</t>
  </si>
  <si>
    <t>24468346</t>
  </si>
  <si>
    <t>ESTRADA ECHARRI ROHODY AUGUSTO</t>
  </si>
  <si>
    <t>23940410</t>
  </si>
  <si>
    <t>AMAR TINTA ELISA</t>
  </si>
  <si>
    <t>31037981</t>
  </si>
  <si>
    <t>MARURI HILARES CIRO</t>
  </si>
  <si>
    <t>31038227</t>
  </si>
  <si>
    <t>ZULOAGA CONTRERAS JANET</t>
  </si>
  <si>
    <t>41861325</t>
  </si>
  <si>
    <t>LAURA QUENTA ROCIO</t>
  </si>
  <si>
    <t>46028271</t>
  </si>
  <si>
    <t>ROJAS MORALES TANIA</t>
  </si>
  <si>
    <t>46153424</t>
  </si>
  <si>
    <t>CARDENAS GONGORA KAREN ANAIS</t>
  </si>
  <si>
    <t>001257703</t>
  </si>
  <si>
    <t>CAPURATA CALIZAYA SILVIA</t>
  </si>
  <si>
    <t>43644897</t>
  </si>
  <si>
    <t>AQUEPUCHO BELLOTA RUDYARD WILHELM</t>
  </si>
  <si>
    <t>40656135</t>
  </si>
  <si>
    <t>CHACON CORIMANYA KATHERINE</t>
  </si>
  <si>
    <t>41956207</t>
  </si>
  <si>
    <t>SUMIRE POCCOHUANCA GEOVANA DIANA</t>
  </si>
  <si>
    <t>41140116</t>
  </si>
  <si>
    <t>CASTRO SALOMA ANGELA MARIA</t>
  </si>
  <si>
    <t>45395839</t>
  </si>
  <si>
    <t>FERRO BUSTAMANTE MARINA</t>
  </si>
  <si>
    <t>41102119</t>
  </si>
  <si>
    <t>VENERO SALAS KUKULI ENEIDA</t>
  </si>
  <si>
    <t>10433904</t>
  </si>
  <si>
    <t>MONTOYA GAMARRA JUNELLY</t>
  </si>
  <si>
    <t>42201011</t>
  </si>
  <si>
    <t>HANAMPA SARMIENTO VIRGINIA</t>
  </si>
  <si>
    <t>41241340</t>
  </si>
  <si>
    <t>OLARTE LEIVA JIMMY</t>
  </si>
  <si>
    <t>44655760</t>
  </si>
  <si>
    <t>PUMA LASTEROS GLORIA NATALY</t>
  </si>
  <si>
    <t>41792769</t>
  </si>
  <si>
    <t>MARTINEZ AMACHI MAGDA LUCILA</t>
  </si>
  <si>
    <t>42369616</t>
  </si>
  <si>
    <t>VILLAFUERTE ARMINTA ELIZABET</t>
  </si>
  <si>
    <t>42680083</t>
  </si>
  <si>
    <t>GONZALES ZAMATA ELIZABETH</t>
  </si>
  <si>
    <t>41916712</t>
  </si>
  <si>
    <t>PEÑA CONDORI PATRICIA</t>
  </si>
  <si>
    <t>41086137</t>
  </si>
  <si>
    <t>CAÑARI HUAMAN NOHEMI</t>
  </si>
  <si>
    <t>23923408</t>
  </si>
  <si>
    <t>CALSINO CURIE BELEA</t>
  </si>
  <si>
    <t>40158669</t>
  </si>
  <si>
    <t>ABARCA QUISPE FRIZELMA</t>
  </si>
  <si>
    <t>44829756</t>
  </si>
  <si>
    <t>YARIN FLOREZ MARIA EUGENIA</t>
  </si>
  <si>
    <t>42731034</t>
  </si>
  <si>
    <t>GONGORA CALVO OMAR</t>
  </si>
  <si>
    <t>44379535</t>
  </si>
  <si>
    <t>MIRANO CHIPANA OSCAR</t>
  </si>
  <si>
    <t>45559841</t>
  </si>
  <si>
    <t>ZUNIGA ARQQUE SOFIA</t>
  </si>
  <si>
    <t>43178085</t>
  </si>
  <si>
    <t>OROS VICENTE MICHAEL</t>
  </si>
  <si>
    <t>42783336</t>
  </si>
  <si>
    <t>MULTHUAPTFF PALOMINO LINDSEY NADIA</t>
  </si>
  <si>
    <t>42237787</t>
  </si>
  <si>
    <t>HUAMAN FARFAN HARLITT</t>
  </si>
  <si>
    <t>45231909</t>
  </si>
  <si>
    <t>GONGORA AÑO ERIKA</t>
  </si>
  <si>
    <t>40842435</t>
  </si>
  <si>
    <t>TTITO ORMACHEA ELSA</t>
  </si>
  <si>
    <t>43817453</t>
  </si>
  <si>
    <t>TORRES GUZMAN CARLA ARELI</t>
  </si>
  <si>
    <t>43993738</t>
  </si>
  <si>
    <t>VILLENA CCAHUA SANDY LEYQUIN</t>
  </si>
  <si>
    <t>23993806</t>
  </si>
  <si>
    <t>ECHEVARRIA DIAZ ROSA YANETH</t>
  </si>
  <si>
    <t>44746758</t>
  </si>
  <si>
    <t>CORBACHO PAGAN ALIDA</t>
  </si>
  <si>
    <t>40198266</t>
  </si>
  <si>
    <t>CACERES SALAS SHEYLA BEATRICE</t>
  </si>
  <si>
    <t>23941023</t>
  </si>
  <si>
    <t>SOTTEC HUALLPA SONIA</t>
  </si>
  <si>
    <t>43466247</t>
  </si>
  <si>
    <t>ROZAS CHOQUE NATALY</t>
  </si>
  <si>
    <t>45088942</t>
  </si>
  <si>
    <t>VELASQUE VALENCIA GABRIEL SALOMON</t>
  </si>
  <si>
    <t>23979699</t>
  </si>
  <si>
    <t>GUZMAN ROA IVETTE</t>
  </si>
  <si>
    <t>42981516</t>
  </si>
  <si>
    <t>LARICO LAZO MITSY</t>
  </si>
  <si>
    <t>42664391</t>
  </si>
  <si>
    <t>OLIVERA SANTOS ARLETT KRUZTKAYA</t>
  </si>
  <si>
    <t>40490162</t>
  </si>
  <si>
    <t>SOTA ORELLANA PATRICIA YENI</t>
  </si>
  <si>
    <t>46237568</t>
  </si>
  <si>
    <t>QUINTE VILLEGAS EVA RAYSHA</t>
  </si>
  <si>
    <t>44203925</t>
  </si>
  <si>
    <t>RODRIGUEZ CJULA JAZMIN ESTRELLA</t>
  </si>
  <si>
    <t>46918632</t>
  </si>
  <si>
    <t>CHIPAYO VILLEGAS LIVIA SARA</t>
  </si>
  <si>
    <t>47051020</t>
  </si>
  <si>
    <t>APAZA SALCEDO SONIA</t>
  </si>
  <si>
    <t>44230798</t>
  </si>
  <si>
    <t>HUAMAN HUMPIRE KATIUSKA</t>
  </si>
  <si>
    <t>45465461</t>
  </si>
  <si>
    <t>PACHECO CASOS NADIA ISABEL</t>
  </si>
  <si>
    <t>23991907</t>
  </si>
  <si>
    <t>MAYHUA INOFUENTE SUSANA</t>
  </si>
  <si>
    <t>41373414</t>
  </si>
  <si>
    <t>VILLACORTA OVIEDO MARITZA</t>
  </si>
  <si>
    <t>42499912</t>
  </si>
  <si>
    <t>CURI URBINA MARILUZ</t>
  </si>
  <si>
    <t>42981507</t>
  </si>
  <si>
    <t>CONDE CJUIRO ROXANA</t>
  </si>
  <si>
    <t>44683613</t>
  </si>
  <si>
    <t>MACHACA CALSIN SHANE MARCELINO</t>
  </si>
  <si>
    <t>43531327</t>
  </si>
  <si>
    <t>NUÑEZ RAMOS MELVIN LUCIA</t>
  </si>
  <si>
    <t>45658518</t>
  </si>
  <si>
    <t>OROS CARRASCO DENNISSE FIORELA</t>
  </si>
  <si>
    <t>43710413</t>
  </si>
  <si>
    <t>MONROY FARFAN MARILYN</t>
  </si>
  <si>
    <t>SECRETARIA DE DIRECCION</t>
  </si>
  <si>
    <t>71885974</t>
  </si>
  <si>
    <t>CASAPINO GUTIERREZ HINDY MELANY</t>
  </si>
  <si>
    <t>PERSONAL DE SERVICOS</t>
  </si>
  <si>
    <t>23827873</t>
  </si>
  <si>
    <t>CUTIPA VILLASANTE VICTORIA</t>
  </si>
  <si>
    <t>23881700</t>
  </si>
  <si>
    <t>VARGAS CAHUANA SIMON</t>
  </si>
  <si>
    <t>44352892</t>
  </si>
  <si>
    <t>FLOREZ ANDIA ELVA LUZ</t>
  </si>
  <si>
    <t>44607381</t>
  </si>
  <si>
    <t>CHAMORRO PARO LUBEL JANET</t>
  </si>
  <si>
    <t>25135421</t>
  </si>
  <si>
    <t>ESTRADA SALAS JOSEFINA</t>
  </si>
  <si>
    <t>23898658</t>
  </si>
  <si>
    <t>HUAMAN SINGONIA MARTHA</t>
  </si>
  <si>
    <t>31364814</t>
  </si>
  <si>
    <t>ROMAN SALINAS FERMIN ANTONIO</t>
  </si>
  <si>
    <t>47601495</t>
  </si>
  <si>
    <t>BAUTISTA CHOCCE TABITA</t>
  </si>
  <si>
    <t>71816637</t>
  </si>
  <si>
    <t>HUALLPA YAPO MELIZA</t>
  </si>
  <si>
    <t>47910660</t>
  </si>
  <si>
    <t>GERILLO QUISPE MARCO ANTONIO</t>
  </si>
  <si>
    <t>44806471</t>
  </si>
  <si>
    <t>HUALLPA BAEZ ALEX</t>
  </si>
  <si>
    <t>25136314</t>
  </si>
  <si>
    <t>FLORES YABAR EDUARDO</t>
  </si>
  <si>
    <t>45949918</t>
  </si>
  <si>
    <t>QUISPE CONDORI RENATO</t>
  </si>
  <si>
    <t>43643694</t>
  </si>
  <si>
    <t>CAMA TACURI MILTON ROBERT</t>
  </si>
  <si>
    <t>42649038</t>
  </si>
  <si>
    <t>TACCA ARISACA ROBERTO</t>
  </si>
  <si>
    <t>44607428</t>
  </si>
  <si>
    <t>MONTESINOS FLORES DINAR JHAMBER</t>
  </si>
  <si>
    <t>43427724</t>
  </si>
  <si>
    <t>RODRIGUEZ FLORES RONALD</t>
  </si>
  <si>
    <t>25000508</t>
  </si>
  <si>
    <t>CARDENAS CORDOVA JESUS MANUEL</t>
  </si>
  <si>
    <t>43037925</t>
  </si>
  <si>
    <t>AMPUERO FLORES HIDE ELMIR</t>
  </si>
  <si>
    <t>42373000</t>
  </si>
  <si>
    <t>SEDANO CURIPACO ALBERTO</t>
  </si>
  <si>
    <t>02447967</t>
  </si>
  <si>
    <t>MULLISACA HUMPIRI EDGAR FRANCISCO</t>
  </si>
  <si>
    <t>48262606</t>
  </si>
  <si>
    <t>QUISPE CCAHUANA JAZMIN ZALINA</t>
  </si>
  <si>
    <t>71809051</t>
  </si>
  <si>
    <t>SANCHEZ TAPARA LIZBETH MONICA</t>
  </si>
  <si>
    <t>47469112</t>
  </si>
  <si>
    <t>DUEÑAS HUACASI JAIME GERMANI</t>
  </si>
  <si>
    <t>23951188</t>
  </si>
  <si>
    <t>ARAGON RODRIGUEZ GUADALUPE</t>
  </si>
  <si>
    <t>48106395</t>
  </si>
  <si>
    <t>QUISPE PÉREZ CASIA CLAUDIA</t>
  </si>
  <si>
    <t>47426453</t>
  </si>
  <si>
    <t>VARA VALDEZ RUTHY DAYANE</t>
  </si>
  <si>
    <t>72032797</t>
  </si>
  <si>
    <t>HUAMANI BRAVO BRAYAN</t>
  </si>
  <si>
    <t>45916157</t>
  </si>
  <si>
    <t>GOMEZ MAYTA LIZBETH JACQUELINE</t>
  </si>
  <si>
    <t>23856910</t>
  </si>
  <si>
    <t>CHACON SANCHEZ ASTRID ADELAIDA</t>
  </si>
  <si>
    <t>23849181</t>
  </si>
  <si>
    <t>TERRAZAS BUSTAMANTE AQUILINA</t>
  </si>
  <si>
    <t>40148380</t>
  </si>
  <si>
    <t>CHANCAYAURI PACO JUAN CARLOS</t>
  </si>
  <si>
    <t>47071901</t>
  </si>
  <si>
    <t>HUISA DAVILA YESENIA</t>
  </si>
  <si>
    <t>23865400</t>
  </si>
  <si>
    <t>MORA PRADO SENOBIA</t>
  </si>
  <si>
    <t>23800169</t>
  </si>
  <si>
    <t>MONTES ROJAS VICTOR</t>
  </si>
  <si>
    <t>23989359</t>
  </si>
  <si>
    <t>CHALLCO KJURO WILBERT</t>
  </si>
  <si>
    <t>41821801</t>
  </si>
  <si>
    <t>CHINO PAUCCAR VICTORIA</t>
  </si>
  <si>
    <t>48211434</t>
  </si>
  <si>
    <t>CUSI ARANA WENDY LEYLA</t>
  </si>
  <si>
    <t>71805393</t>
  </si>
  <si>
    <t>PACHACUTEC TAPARA MARY CRUZ YESHENIA</t>
  </si>
  <si>
    <t>47438927</t>
  </si>
  <si>
    <t>FLORES CUABOY CARMEN ALICIA</t>
  </si>
  <si>
    <t>72285644</t>
  </si>
  <si>
    <t>RAYAN CHIPA YANET BERTHA</t>
  </si>
  <si>
    <t>44786114</t>
  </si>
  <si>
    <t>VALDIVIA REYES DERIOSKA</t>
  </si>
  <si>
    <t>73767666</t>
  </si>
  <si>
    <t>CRUZ CACERES PAOLA MILAGR0S</t>
  </si>
  <si>
    <t>44816901</t>
  </si>
  <si>
    <t>MOREANO HILARES JUANA ELIDA</t>
  </si>
  <si>
    <t>43488327</t>
  </si>
  <si>
    <t>CRUZ CAHUANA ROXANA</t>
  </si>
  <si>
    <t>41053556</t>
  </si>
  <si>
    <t>QUISPE QUISPE MARIA</t>
  </si>
  <si>
    <t>73667654</t>
  </si>
  <si>
    <t>CORDOVA PUMA INES</t>
  </si>
  <si>
    <t>73446139</t>
  </si>
  <si>
    <t>QUISPE QUISPE WILSON ROMULO</t>
  </si>
  <si>
    <t>74238251</t>
  </si>
  <si>
    <t>CONDORI QUISPE JHONATAN</t>
  </si>
  <si>
    <t>41740837</t>
  </si>
  <si>
    <t>QUISPE HACHO JUAN</t>
  </si>
  <si>
    <t>43629341</t>
  </si>
  <si>
    <t>CURASI AMAO NICOLAS</t>
  </si>
  <si>
    <t>43601360</t>
  </si>
  <si>
    <t>CHALLCO CONDORI FRANCISCO</t>
  </si>
  <si>
    <t>71659630</t>
  </si>
  <si>
    <t>CORDOVA HUAMAN JUAN CARLOS</t>
  </si>
  <si>
    <t>47217723</t>
  </si>
  <si>
    <t>TECSI HUAMAN GILBERTO</t>
  </si>
  <si>
    <t>23802087</t>
  </si>
  <si>
    <t>BENITO ARAGON SERAPIO ALBERTO</t>
  </si>
  <si>
    <t>43231795</t>
  </si>
  <si>
    <t>QUISPE CCOYO ERNESTO</t>
  </si>
  <si>
    <t>41204889</t>
  </si>
  <si>
    <t>YANA MAMANI OSCAR</t>
  </si>
  <si>
    <t>44306799</t>
  </si>
  <si>
    <t>MAURI QUISPE WILSON</t>
  </si>
  <si>
    <t>25139772</t>
  </si>
  <si>
    <t>PUMA PUMACHARA MODESTO</t>
  </si>
  <si>
    <t>46407073</t>
  </si>
  <si>
    <t>GONZALES MENDOZA SAMUEL</t>
  </si>
  <si>
    <t>71589039</t>
  </si>
  <si>
    <t>HUAMAN CAYULLA MIRIAM</t>
  </si>
  <si>
    <t>76913592</t>
  </si>
  <si>
    <t>CHINO QUISPE HECTOR HENRY</t>
  </si>
  <si>
    <t>45403490</t>
  </si>
  <si>
    <t>CHAMPI QUISPE ADICSON</t>
  </si>
  <si>
    <t>71706566</t>
  </si>
  <si>
    <t>GUTIERREZ MELO RAUL ALEX</t>
  </si>
  <si>
    <t>41820054</t>
  </si>
  <si>
    <t>CONDORI QUILLCA JUVENAL</t>
  </si>
  <si>
    <t>25134837</t>
  </si>
  <si>
    <t>ANDRADE GARCIA GUMERCINDO</t>
  </si>
  <si>
    <t>44511212</t>
  </si>
  <si>
    <t>CHUA CONDORI PEDRO DAMIANO</t>
  </si>
  <si>
    <t>42272725</t>
  </si>
  <si>
    <t>CHAMPI HUAMAN YESSICA</t>
  </si>
  <si>
    <t>46931587</t>
  </si>
  <si>
    <t>NUÑEZ FLORES LISET KATERYN</t>
  </si>
  <si>
    <t>72744365</t>
  </si>
  <si>
    <t>TERZI ARIAS LUIS MIGUEL</t>
  </si>
  <si>
    <t>45634592</t>
  </si>
  <si>
    <t>LIGAS MENACHO KARINA</t>
  </si>
  <si>
    <t>44227976</t>
  </si>
  <si>
    <t>BARRIONUEVO GUZMAN HELVIN</t>
  </si>
  <si>
    <t>46527962</t>
  </si>
  <si>
    <t>HUACAN FARFAN JENNY</t>
  </si>
  <si>
    <t>71792751</t>
  </si>
  <si>
    <t>PEREZ MANDURA HENYLUZ</t>
  </si>
  <si>
    <t>23933667</t>
  </si>
  <si>
    <t>PARICOTO ZARATE JORGE</t>
  </si>
  <si>
    <t>43984002</t>
  </si>
  <si>
    <t>CASTILLO VARGAS MARIA ISABEL</t>
  </si>
  <si>
    <t>25061879</t>
  </si>
  <si>
    <t>MACHACA CRUZ JHON</t>
  </si>
  <si>
    <t>73057934</t>
  </si>
  <si>
    <t>GUTIERREZ ARAGON LUZ MILAGROS</t>
  </si>
  <si>
    <t>42640905</t>
  </si>
  <si>
    <t>ALLPACCA ONOFRE SONYA</t>
  </si>
  <si>
    <t>71418825</t>
  </si>
  <si>
    <t>CHAVEZ SOTO CHARLES STEVE</t>
  </si>
  <si>
    <t>41506608</t>
  </si>
  <si>
    <t>QUISPE FLORES KARINA</t>
  </si>
  <si>
    <t>41782855</t>
  </si>
  <si>
    <t>TITO MACEDO YENNY BERTHA</t>
  </si>
  <si>
    <t>24495603</t>
  </si>
  <si>
    <t>ROSELL HUACCAUQUI VALERIO</t>
  </si>
  <si>
    <t>24719338</t>
  </si>
  <si>
    <t>MACHACA CRUZ ALICIA VIRGINIA</t>
  </si>
  <si>
    <t>41206943</t>
  </si>
  <si>
    <t>VILLANUEVA RAMOS OLINDA</t>
  </si>
  <si>
    <t>23865005</t>
  </si>
  <si>
    <t>BARRIO DE MENDOZA CHURA BEATRIZ</t>
  </si>
  <si>
    <t>Locacion de Servicios</t>
  </si>
  <si>
    <t>PROMOTOR EDUCACION INICIAL</t>
  </si>
  <si>
    <t>80251201</t>
  </si>
  <si>
    <t>CORICAZA CHAVEZ JOSE AUGUSTO</t>
  </si>
  <si>
    <t>40545462</t>
  </si>
  <si>
    <t>SURCO ARENAS VALERIO</t>
  </si>
  <si>
    <t>43162945</t>
  </si>
  <si>
    <t>SOTO MEDRANO LIBERATO</t>
  </si>
  <si>
    <t>24890565</t>
  </si>
  <si>
    <t>PARI COAQUIRA BLANCA MARILYN</t>
  </si>
  <si>
    <t>41097035</t>
  </si>
  <si>
    <t>JORDAN PHOCCO EUDIS</t>
  </si>
  <si>
    <t>24661078</t>
  </si>
  <si>
    <t>QUISPE HANCO AVELINO</t>
  </si>
  <si>
    <t>24889580</t>
  </si>
  <si>
    <t>BENAVENTE QUISPE LUZ MARINA</t>
  </si>
  <si>
    <t>43227628</t>
  </si>
  <si>
    <t>YAULI NUÑONCCA YANET YESICA</t>
  </si>
  <si>
    <t>74083579</t>
  </si>
  <si>
    <t>MEZA CARLOS TEDY</t>
  </si>
  <si>
    <t>41517845</t>
  </si>
  <si>
    <t>VELASQUEZ PILA JAVIER</t>
  </si>
  <si>
    <t>40738887</t>
  </si>
  <si>
    <t>CRUZ PHOCCO SABINO</t>
  </si>
  <si>
    <t>40674549</t>
  </si>
  <si>
    <t>PUMA SUCA REYNA</t>
  </si>
  <si>
    <t>46290706</t>
  </si>
  <si>
    <t>ANCCA QUIROZ EULALIA</t>
  </si>
  <si>
    <t>42254359</t>
  </si>
  <si>
    <t>MACHACCA CHAÑI MARY LUZ</t>
  </si>
  <si>
    <t>70103422</t>
  </si>
  <si>
    <t>PARI CALLI GUIDO VALDIMIR</t>
  </si>
  <si>
    <t>45590099</t>
  </si>
  <si>
    <t>HUILLCA QUISPE HELDER</t>
  </si>
  <si>
    <t>70099379</t>
  </si>
  <si>
    <t>APAZA CONDORI ABIMAEL SIMON</t>
  </si>
  <si>
    <t>45620472</t>
  </si>
  <si>
    <t>ALCCA LLERENA JUAN CARLOS</t>
  </si>
  <si>
    <t>43820283</t>
  </si>
  <si>
    <t>CHUCTAYA PACSI ALAIN</t>
  </si>
  <si>
    <t>41568639</t>
  </si>
  <si>
    <t>FLOREZ YAURI WILLIAN</t>
  </si>
  <si>
    <t>46002648</t>
  </si>
  <si>
    <t>APAZA VILCA RAUL</t>
  </si>
  <si>
    <t>72202217</t>
  </si>
  <si>
    <t>CARLOS LLAVE WILLIAM</t>
  </si>
  <si>
    <t>40112052</t>
  </si>
  <si>
    <t>HIDALGO BRUNA JORGE FERNANDO</t>
  </si>
  <si>
    <t>44638220</t>
  </si>
  <si>
    <t>PPACCO HUAMANI HEDY LUZMILA</t>
  </si>
  <si>
    <t>41170040</t>
  </si>
  <si>
    <t>PILA PALOMINO JACOBI TIMEO</t>
  </si>
  <si>
    <t>40733909</t>
  </si>
  <si>
    <t>CCOLLQQUE VARGAS SOCRATES RUBEN</t>
  </si>
  <si>
    <t>43121801</t>
  </si>
  <si>
    <t>ACHAHUANCO AGUILAR RENILDY MILAGROS</t>
  </si>
  <si>
    <t>72139025</t>
  </si>
  <si>
    <t>CONDORI CCAPA YOVANA BLANCA</t>
  </si>
  <si>
    <t>48321002</t>
  </si>
  <si>
    <t>CHALLCO KANA VERONICA VICTORIA</t>
  </si>
  <si>
    <t>29560272</t>
  </si>
  <si>
    <t>CABANA MENDOZA JESSICA JENNY</t>
  </si>
  <si>
    <t>48064923</t>
  </si>
  <si>
    <t>SOTO OLLACHICA ALEJANDRA</t>
  </si>
  <si>
    <t>47696343</t>
  </si>
  <si>
    <t>CHOQUE HUAYHUA CARMEN ROCIO</t>
  </si>
  <si>
    <t>71491238</t>
  </si>
  <si>
    <t>CACERES UMASI RAQUEL KARINA</t>
  </si>
  <si>
    <t>46210492</t>
  </si>
  <si>
    <t>HUAMANI HUAYHUA INOCENCIO</t>
  </si>
  <si>
    <t>72763407</t>
  </si>
  <si>
    <t>IDME UYUQUIPA MARIAINES RAQUEL</t>
  </si>
  <si>
    <t>40088227</t>
  </si>
  <si>
    <t>CONDORI TINTAYA ANA ELIZABETH</t>
  </si>
  <si>
    <t>24894597</t>
  </si>
  <si>
    <t>YAULI NUÑONCCA BALBINA</t>
  </si>
  <si>
    <t>24864198</t>
  </si>
  <si>
    <t>UMIYAURI SAICO MARIO</t>
  </si>
  <si>
    <t>24874749</t>
  </si>
  <si>
    <t>CCOLQQUE CHOQUE BLAS NICOLAS</t>
  </si>
  <si>
    <t>01982894</t>
  </si>
  <si>
    <t>TICONA QUILLA NATALIO</t>
  </si>
  <si>
    <t>29667723</t>
  </si>
  <si>
    <t>CALLA SUPO HILDA</t>
  </si>
  <si>
    <t>76065127</t>
  </si>
  <si>
    <t>PACHECO QUISPE NIVIO</t>
  </si>
  <si>
    <t>15760015</t>
  </si>
  <si>
    <t>QQUEHUE SISA BACILIO</t>
  </si>
  <si>
    <t>24570625</t>
  </si>
  <si>
    <t>CRUZ LABRA CLAUDIO HUGO</t>
  </si>
  <si>
    <t>24884852</t>
  </si>
  <si>
    <t>HANCCO VILLANUEVA CASIMIRO HIPOLITO</t>
  </si>
  <si>
    <t>42172540</t>
  </si>
  <si>
    <t>FLOREZ FLOREZ TONY ROCKY</t>
  </si>
  <si>
    <t>24865514</t>
  </si>
  <si>
    <t>CRUZ KANA BENEDICTA</t>
  </si>
  <si>
    <t>24888333</t>
  </si>
  <si>
    <t>PANOCCA MERMA DELFIA BLANCA</t>
  </si>
  <si>
    <t>01308283</t>
  </si>
  <si>
    <t>PAURO AJAHUANA LIDEA</t>
  </si>
  <si>
    <t>41170039</t>
  </si>
  <si>
    <t>ARANYA HUARCA RICHARD</t>
  </si>
  <si>
    <t>44572872</t>
  </si>
  <si>
    <t>CARRASCO CHOQUE ROSA LUZ</t>
  </si>
  <si>
    <t>46435728</t>
  </si>
  <si>
    <t>CCASA SONCCO ROXANA</t>
  </si>
  <si>
    <t>42784948</t>
  </si>
  <si>
    <t>MERMA VELAZCO JANETT ISABEL</t>
  </si>
  <si>
    <t>24890293</t>
  </si>
  <si>
    <t>PACHECO ZAMATA ASUNCION</t>
  </si>
  <si>
    <t>47735381</t>
  </si>
  <si>
    <t>MONTES MEJIA GABY JAELA</t>
  </si>
  <si>
    <t>45865941</t>
  </si>
  <si>
    <t>CHUCTAYA CHARCA ROSMERY</t>
  </si>
  <si>
    <t>41718634</t>
  </si>
  <si>
    <t>QUINTANILLA NOA MAXIMILIANA</t>
  </si>
  <si>
    <t>45791836</t>
  </si>
  <si>
    <t>SULLA KANA ROSMERY MARIZOL</t>
  </si>
  <si>
    <t>24685577</t>
  </si>
  <si>
    <t>CHURATA SARAYA LEONIDAS</t>
  </si>
  <si>
    <t>44495903</t>
  </si>
  <si>
    <t>LABRA PACUALA JULISA</t>
  </si>
  <si>
    <t>24889660</t>
  </si>
  <si>
    <t>TACO QUISPE LUCIA FELICITAS</t>
  </si>
  <si>
    <t>47460001</t>
  </si>
  <si>
    <t>CHACCA CRUZ YANETH</t>
  </si>
  <si>
    <t>44835604</t>
  </si>
  <si>
    <t>CCOTO ARMENDARIZ AYDE ROXANA</t>
  </si>
  <si>
    <t>24703216</t>
  </si>
  <si>
    <t>SUMIRE MEZA ROSA MARIA</t>
  </si>
  <si>
    <t>24890717</t>
  </si>
  <si>
    <t>CHUCTAYA TUNQUIPA PEDRO</t>
  </si>
  <si>
    <t>46902251</t>
  </si>
  <si>
    <t>CALAPUJA CONDORI ELVIS</t>
  </si>
  <si>
    <t>24876356</t>
  </si>
  <si>
    <t>TAYPE HUARCA CESARIO CLAUDIO</t>
  </si>
  <si>
    <t>29723332</t>
  </si>
  <si>
    <t>TAIPE CCOATA ROSSMERY</t>
  </si>
  <si>
    <t>41286491</t>
  </si>
  <si>
    <t>HACHA PUCHO NEMESIO</t>
  </si>
  <si>
    <t>24878051</t>
  </si>
  <si>
    <t>SUCA YAULI EUGENIO</t>
  </si>
  <si>
    <t>42453916</t>
  </si>
  <si>
    <t>TAIPE JORDAN ROSI</t>
  </si>
  <si>
    <t>45764108</t>
  </si>
  <si>
    <t>JORDAN TAIPE CLORINDA MERIA</t>
  </si>
  <si>
    <t>43316144</t>
  </si>
  <si>
    <t>USCCA CHACCA ESTHER FILOMENA</t>
  </si>
  <si>
    <t>24871811</t>
  </si>
  <si>
    <t>CHOQUECCOTA TACO VENERANDO</t>
  </si>
  <si>
    <t>23984334</t>
  </si>
  <si>
    <t>PUMA USCAMAYTA ELEUTERIA</t>
  </si>
  <si>
    <t>43161603</t>
  </si>
  <si>
    <t>QUISPE TACO VILMA ADALUZ</t>
  </si>
  <si>
    <t>24880505</t>
  </si>
  <si>
    <t>PAREDES ROQUE GREGORIO</t>
  </si>
  <si>
    <t>24883919</t>
  </si>
  <si>
    <t>PACCAYA CHAÑI GREGORIO</t>
  </si>
  <si>
    <t>24863126</t>
  </si>
  <si>
    <t>CUEVA LLAVE PABLO</t>
  </si>
  <si>
    <t>24890500</t>
  </si>
  <si>
    <t>CLEMENTE QUIRITA RUSMERI</t>
  </si>
  <si>
    <t>43447650</t>
  </si>
  <si>
    <t>CABANILLAS HUARZA MICHEL ANTONIO</t>
  </si>
  <si>
    <t>24865055</t>
  </si>
  <si>
    <t>PAUCCARA HUAMANI ADRIANO LEON</t>
  </si>
  <si>
    <t>24569185</t>
  </si>
  <si>
    <t>QUISPE QUISPE JESUS</t>
  </si>
  <si>
    <t>01300188</t>
  </si>
  <si>
    <t>SALAMANCA RAMOS LUCIANO FELIX</t>
  </si>
  <si>
    <t>41594604</t>
  </si>
  <si>
    <t>HUAMANI PACCAYA GARY</t>
  </si>
  <si>
    <t>24868323</t>
  </si>
  <si>
    <t>HUAMANI VALDEZ DIONICIO MARIANO</t>
  </si>
  <si>
    <t>41403181</t>
  </si>
  <si>
    <t>CHANCAYAURI SURCO ANTONIA</t>
  </si>
  <si>
    <t>24886061</t>
  </si>
  <si>
    <t>UMASI CONSA MANUEL</t>
  </si>
  <si>
    <t>24890792</t>
  </si>
  <si>
    <t>IMATA CCAMA AVELINA</t>
  </si>
  <si>
    <t>24884806</t>
  </si>
  <si>
    <t>QUISPE CHAMPI DOMINGA</t>
  </si>
  <si>
    <t>46828096</t>
  </si>
  <si>
    <t>SAICO SAICO ABRAHAN DAVID</t>
  </si>
  <si>
    <t>24875515</t>
  </si>
  <si>
    <t>YAULI HINCHO EUSEBIO</t>
  </si>
  <si>
    <t>24888588</t>
  </si>
  <si>
    <t>PPACCO HACHIRCANA SANTIAGO</t>
  </si>
  <si>
    <t>46257558</t>
  </si>
  <si>
    <t>ALVAREZ ILLPA ROLANDO</t>
  </si>
  <si>
    <t>45573014</t>
  </si>
  <si>
    <t>SUMA USCCA CIRO</t>
  </si>
  <si>
    <t>40241768</t>
  </si>
  <si>
    <t>DURAN HUAMANI WASHINGTON ALEX</t>
  </si>
  <si>
    <t>40118655</t>
  </si>
  <si>
    <t>PACSI CHAHUARA RAUL</t>
  </si>
  <si>
    <t>24570102</t>
  </si>
  <si>
    <t>CHINO MAMANI JESUS</t>
  </si>
  <si>
    <t>46202097</t>
  </si>
  <si>
    <t>MAMANI BARRIENTOS FRANCOIS GUNNER</t>
  </si>
  <si>
    <t>46803689</t>
  </si>
  <si>
    <t>CONDE FLOREZ MILAGROS NELY</t>
  </si>
  <si>
    <t>44008790</t>
  </si>
  <si>
    <t>FLOREZ ONOFRE SOLEDAD</t>
  </si>
  <si>
    <t>74466992</t>
  </si>
  <si>
    <t>CHAUPI SURCO ALFREDO</t>
  </si>
  <si>
    <t>10429025</t>
  </si>
  <si>
    <t>LINARES ENRIQUEZ EDWIN VICTOR</t>
  </si>
  <si>
    <t>48871506</t>
  </si>
  <si>
    <t>HUAMANI SACSI LUIS MIGUEL</t>
  </si>
  <si>
    <t>44366093</t>
  </si>
  <si>
    <t>PONTECIL CHINO ANA KALTRERINE</t>
  </si>
  <si>
    <t>43983957</t>
  </si>
  <si>
    <t>YUCA NUÑONCCA GISSELIA</t>
  </si>
  <si>
    <t>45898822</t>
  </si>
  <si>
    <t>QUISPE HUILLCA SHILTON</t>
  </si>
  <si>
    <t>40246926</t>
  </si>
  <si>
    <t>ESPETIA NUÑEZ VERONICA</t>
  </si>
  <si>
    <t>42580444</t>
  </si>
  <si>
    <t>YAURI SENCIA ROXANA</t>
  </si>
  <si>
    <t>46653066</t>
  </si>
  <si>
    <t>HUAYAPA CHOQUEHUANCA MARY LUZ</t>
  </si>
  <si>
    <t>INTERPRETE DE LENGUA DE SEÑAS PERUANA PARA EBR/EBA</t>
  </si>
  <si>
    <t>42519550</t>
  </si>
  <si>
    <t>CCAHUATA UMASI NOHEMI</t>
  </si>
  <si>
    <t>45648296</t>
  </si>
  <si>
    <t>FLORES LOAYZA FLOR DE ELY</t>
  </si>
  <si>
    <t>72435222</t>
  </si>
  <si>
    <t>TORRE PARI KARLA ELIANA</t>
  </si>
  <si>
    <t>45764478</t>
  </si>
  <si>
    <t>CHOQUENAIRA TINTA LISBHET</t>
  </si>
  <si>
    <t>45527984</t>
  </si>
  <si>
    <t>FUENTES CHURA FRANCLIN</t>
  </si>
  <si>
    <t>44057515</t>
  </si>
  <si>
    <t>PRADO ARREGUI ANA LILIANA</t>
  </si>
  <si>
    <t>30762454</t>
  </si>
  <si>
    <t>BUSTINCIO CHICANI TERESA GUADALUPE</t>
  </si>
  <si>
    <t>40463219</t>
  </si>
  <si>
    <t>CORAHUA PHOCO ELIZABETH GRACIELA</t>
  </si>
  <si>
    <t>24893583</t>
  </si>
  <si>
    <t>VILCA MAYTA JESUS</t>
  </si>
  <si>
    <t>23915507</t>
  </si>
  <si>
    <t>INCA AMANCA BERNARDINO</t>
  </si>
  <si>
    <t>72413076</t>
  </si>
  <si>
    <t>MEDINA TEJADA PRUSIA ATHENAS</t>
  </si>
  <si>
    <t>40257436</t>
  </si>
  <si>
    <t>PALOMINO HUAYHUA VICTOR HUGO</t>
  </si>
  <si>
    <t>70517461</t>
  </si>
  <si>
    <t>PUMA CALLO EDITH GRACIELA</t>
  </si>
  <si>
    <t>42521591</t>
  </si>
  <si>
    <t>SURCO HUAMANTALLA JIMMY</t>
  </si>
  <si>
    <t>42448436</t>
  </si>
  <si>
    <t>CRUZ OBANDO JONAS</t>
  </si>
  <si>
    <t>45579443</t>
  </si>
  <si>
    <t>OXA DIAZ EDWIN</t>
  </si>
  <si>
    <t>TECNICO EN SERVICIOS GENERALES I</t>
  </si>
  <si>
    <t>42873926</t>
  </si>
  <si>
    <t>MERMA PAUCCARA LUZ MARINA</t>
  </si>
  <si>
    <t>02300158</t>
  </si>
  <si>
    <t>ARQQUE HUAMAN ROSA</t>
  </si>
  <si>
    <t>45450428</t>
  </si>
  <si>
    <t>ORE RONDON MARIA ALEJANDRA</t>
  </si>
  <si>
    <t>47497973</t>
  </si>
  <si>
    <t>CCAHUAYA MAMANI MARCIA</t>
  </si>
  <si>
    <t>TECNICO EN ALMACEN</t>
  </si>
  <si>
    <t>45621833</t>
  </si>
  <si>
    <t>CORDOVA MUJICA EDWARD LEONIDAS</t>
  </si>
  <si>
    <t>46606699</t>
  </si>
  <si>
    <t>QUISPE MEJIA YORKA ASUNTA</t>
  </si>
  <si>
    <t>24495007</t>
  </si>
  <si>
    <t>MAMANI YAÑAC NIEVES</t>
  </si>
  <si>
    <t>24495110</t>
  </si>
  <si>
    <t>PALOMINO OVIEDO ELISA</t>
  </si>
  <si>
    <t>24464795</t>
  </si>
  <si>
    <t>HUILLCA LOAYZA MARIA LUISA</t>
  </si>
  <si>
    <t>24473879</t>
  </si>
  <si>
    <t>MUÑIZ SERRANO JULIO CESAR</t>
  </si>
  <si>
    <t>24486098</t>
  </si>
  <si>
    <t>NEGRON JARA JUANA</t>
  </si>
  <si>
    <t>24484969</t>
  </si>
  <si>
    <t>ALAGON HUALLPA JESUS</t>
  </si>
  <si>
    <t>73269039</t>
  </si>
  <si>
    <t>SERRANO ASCUE YOJAN JOEL</t>
  </si>
  <si>
    <t>24467344</t>
  </si>
  <si>
    <t>MATTO TTITO JUAN CRISOSTOMO</t>
  </si>
  <si>
    <t>44413087</t>
  </si>
  <si>
    <t>QUISPE PACHECO JULIO CESAR</t>
  </si>
  <si>
    <t>70032074</t>
  </si>
  <si>
    <t>QUISPE QUISPE RICHARD DAVIS</t>
  </si>
  <si>
    <t>40239515</t>
  </si>
  <si>
    <t>VENERO JIMENEZ ISAAC ABELARDO</t>
  </si>
  <si>
    <t>45641267</t>
  </si>
  <si>
    <t>AUCCA NAVARRO JUSTO</t>
  </si>
  <si>
    <t>24495079</t>
  </si>
  <si>
    <t>MORA BARRIENTOS ERNESTO</t>
  </si>
  <si>
    <t>46068649</t>
  </si>
  <si>
    <t>VILLACORTA HANCCO JANET</t>
  </si>
  <si>
    <t>41792667</t>
  </si>
  <si>
    <t>GRAJEDA PATIÑO TERESA</t>
  </si>
  <si>
    <t>40620415</t>
  </si>
  <si>
    <t>MAMANI SUTTA FREDY</t>
  </si>
  <si>
    <t>70103837</t>
  </si>
  <si>
    <t>QUISPE SAYA JOSE LUIS</t>
  </si>
  <si>
    <t>42768042</t>
  </si>
  <si>
    <t>SIMARAURA CHILE ALFREDO</t>
  </si>
  <si>
    <t>70031933</t>
  </si>
  <si>
    <t>CHAVEZ MAMANI NADIA CELESTE</t>
  </si>
  <si>
    <t>44585265</t>
  </si>
  <si>
    <t>CALDERON FUENTES LADY VICTORIA</t>
  </si>
  <si>
    <t>23984917</t>
  </si>
  <si>
    <t>SOTA FARFAN GORKI ANTONIO</t>
  </si>
  <si>
    <t>04825234</t>
  </si>
  <si>
    <t>CALATAYUD BORNAZ FLAVIO ROBERTO</t>
  </si>
  <si>
    <t>41943377</t>
  </si>
  <si>
    <t>MOSQUEIRA BAZAN MARILUZ</t>
  </si>
  <si>
    <t>41602801</t>
  </si>
  <si>
    <t>VARGAS PEREZ NADEZHDA NADIEZHKA</t>
  </si>
  <si>
    <t>23950697</t>
  </si>
  <si>
    <t>VILLAFUERTE CONDORI MARLENY MELIZA</t>
  </si>
  <si>
    <t>44667779</t>
  </si>
  <si>
    <t>LAURA COLQUE GERALDINE JANET</t>
  </si>
  <si>
    <t>43259274</t>
  </si>
  <si>
    <t>AYQUIPA URBINA YOHANNA</t>
  </si>
  <si>
    <t>25218262</t>
  </si>
  <si>
    <t>HUISA YUPA AMILCAR ADOLFO</t>
  </si>
  <si>
    <t>80167728</t>
  </si>
  <si>
    <t>CARRILLO RADO NADIA</t>
  </si>
  <si>
    <t>24462488</t>
  </si>
  <si>
    <t>CAMPOS TORRES ROBERTO DANIEL</t>
  </si>
  <si>
    <t>24464537</t>
  </si>
  <si>
    <t>SANCHEZ FERRO COSME</t>
  </si>
  <si>
    <t>24713241</t>
  </si>
  <si>
    <t>MOGROVEJO MAMANI MARIO</t>
  </si>
  <si>
    <t>44536591</t>
  </si>
  <si>
    <t>QUISPE ANCCALLY MARTHA</t>
  </si>
  <si>
    <t>24486079</t>
  </si>
  <si>
    <t>LOAIZA HUALLPA SONIA</t>
  </si>
  <si>
    <t>25001850</t>
  </si>
  <si>
    <t>GUISADO DAVALOS MERY</t>
  </si>
  <si>
    <t>43965710</t>
  </si>
  <si>
    <t>QUISPE YUPANQUI PEDRO</t>
  </si>
  <si>
    <t>24999939</t>
  </si>
  <si>
    <t>VILLAFUERTE QUISPE LUIS WILFREDO</t>
  </si>
  <si>
    <t>24467576</t>
  </si>
  <si>
    <t>QUINO CURASCO ENRIQUE</t>
  </si>
  <si>
    <t>24485396</t>
  </si>
  <si>
    <t>RAMOS PAUCAR NELLY</t>
  </si>
  <si>
    <t>70031932</t>
  </si>
  <si>
    <t>ABARCA SUMA SADITH</t>
  </si>
  <si>
    <t>46514371</t>
  </si>
  <si>
    <t>YANQUI FLORES ELIZABETH YULY</t>
  </si>
  <si>
    <t>40813252</t>
  </si>
  <si>
    <t>CACERES MASIAS RUMY CUCULY</t>
  </si>
  <si>
    <t>24495115</t>
  </si>
  <si>
    <t>TORRES VERA NANCY</t>
  </si>
  <si>
    <t>60467811</t>
  </si>
  <si>
    <t>MISME BACA CARLA IDANIA</t>
  </si>
  <si>
    <t>42929666</t>
  </si>
  <si>
    <t>TACURI CABRERA MATILDE</t>
  </si>
  <si>
    <t>05410881</t>
  </si>
  <si>
    <t>VIDAL RENGIFO MILAGROS YDALINA</t>
  </si>
  <si>
    <t>48080453</t>
  </si>
  <si>
    <t>CCANA JANCCO MARIA PRESENTACION</t>
  </si>
  <si>
    <t>24495848</t>
  </si>
  <si>
    <t>HUALLPA ALAGON WILBERT</t>
  </si>
  <si>
    <t>24461134</t>
  </si>
  <si>
    <t>CESPEDES HURTADO MARGARITA</t>
  </si>
  <si>
    <t>24486931</t>
  </si>
  <si>
    <t>MASIAS ROJAS JESUS BERNARDINO</t>
  </si>
  <si>
    <t>44044867</t>
  </si>
  <si>
    <t>QUISPE PINCHI NICANOR</t>
  </si>
  <si>
    <t>40150773</t>
  </si>
  <si>
    <t>QUISPE CHIPA DAVITA</t>
  </si>
  <si>
    <t>24484159</t>
  </si>
  <si>
    <t>GUEVARA MEDINA ARTURO</t>
  </si>
  <si>
    <t>41541536</t>
  </si>
  <si>
    <t>CUSIQUISPE QUISPE JEMIMA</t>
  </si>
  <si>
    <t>24461596</t>
  </si>
  <si>
    <t>QUISPE SUMA VICENTE</t>
  </si>
  <si>
    <t>45117106</t>
  </si>
  <si>
    <t>GUEVARA SUMA MARIBEL</t>
  </si>
  <si>
    <t>76923066</t>
  </si>
  <si>
    <t>JUAREZ SICOS BELIXA</t>
  </si>
  <si>
    <t>24495192</t>
  </si>
  <si>
    <t>ZUÑIGA QUISPE MARCO ANTONIO</t>
  </si>
  <si>
    <t>24470426</t>
  </si>
  <si>
    <t>AGUILAR ZUÑIGA MARIZA</t>
  </si>
  <si>
    <t>42723273</t>
  </si>
  <si>
    <t>ASTETE ALIAGA ROSMERY</t>
  </si>
  <si>
    <t>42522218</t>
  </si>
  <si>
    <t>VEGA ALVAREZ ORFA</t>
  </si>
  <si>
    <t>24462403</t>
  </si>
  <si>
    <t>PILARES GUERRA ASENCIO</t>
  </si>
  <si>
    <t>44353469</t>
  </si>
  <si>
    <t>TTITO MENDOZA OLINDA</t>
  </si>
  <si>
    <t>42822251</t>
  </si>
  <si>
    <t>MAMANI YAÑAC MATILDE</t>
  </si>
  <si>
    <t>43508648</t>
  </si>
  <si>
    <t>SUMA ROJAS MARIANA</t>
  </si>
  <si>
    <t>23998278</t>
  </si>
  <si>
    <t>PAUCAR MESCCO MARIBELL</t>
  </si>
  <si>
    <t>40834152</t>
  </si>
  <si>
    <t>YLBERTO CUSIYUPANQUI GUIDO</t>
  </si>
  <si>
    <t>24460253</t>
  </si>
  <si>
    <t>PALOMINO VARGAS MARIO</t>
  </si>
  <si>
    <t>42056784</t>
  </si>
  <si>
    <t>SANCHEZ PAUCAR JUAN CARLOS</t>
  </si>
  <si>
    <t>43611109</t>
  </si>
  <si>
    <t>TORRES REYES REYNALDO</t>
  </si>
  <si>
    <t>08925967</t>
  </si>
  <si>
    <t>ZUÑIGA PORROA WASHINGTON</t>
  </si>
  <si>
    <t>24495045</t>
  </si>
  <si>
    <t>TINTAYA PUMAYALLI ROBERTO</t>
  </si>
  <si>
    <t>44751070</t>
  </si>
  <si>
    <t>LOAYZA HUALLPARAYME JENIFER YULY</t>
  </si>
  <si>
    <t>24473090</t>
  </si>
  <si>
    <t>PACHECO PUMA BERNARDINA</t>
  </si>
  <si>
    <t>47658762</t>
  </si>
  <si>
    <t>ZUNIGA SANCHEZ ROGER</t>
  </si>
  <si>
    <t>47777141</t>
  </si>
  <si>
    <t>TACURI MORA RAUL</t>
  </si>
  <si>
    <t>76049619</t>
  </si>
  <si>
    <t>MAITA TITO MESEC</t>
  </si>
  <si>
    <t>74861754</t>
  </si>
  <si>
    <t>BANDA SICCOS KEVIN</t>
  </si>
  <si>
    <t>24486058</t>
  </si>
  <si>
    <t>ROLANDO CCAHUA TOMAS</t>
  </si>
  <si>
    <t>23908714</t>
  </si>
  <si>
    <t>ROZAS DIAZ VALERIO</t>
  </si>
  <si>
    <t>24494497</t>
  </si>
  <si>
    <t>ALCCACUNTOR BOMBILLA SONIA</t>
  </si>
  <si>
    <t>42909082</t>
  </si>
  <si>
    <t>MAMANI PEÑA OCTAVIO</t>
  </si>
  <si>
    <t>24473112</t>
  </si>
  <si>
    <t>CORONADO ALMANZA JOSE ANGEL</t>
  </si>
  <si>
    <t>41858450</t>
  </si>
  <si>
    <t>NEGRON JARA YULIZA</t>
  </si>
  <si>
    <t>44114071</t>
  </si>
  <si>
    <t>CUSI BARRETO VICENTINA</t>
  </si>
  <si>
    <t>45019484</t>
  </si>
  <si>
    <t>HERRERA QUISPE SONIA ALICIA</t>
  </si>
  <si>
    <t>24465771</t>
  </si>
  <si>
    <t>ACUÑA OLARTE VICTOR</t>
  </si>
  <si>
    <t>47658782</t>
  </si>
  <si>
    <t>ARIAS MAMANI GUISANIA</t>
  </si>
  <si>
    <t>42142630</t>
  </si>
  <si>
    <t>AVILES SANCHEZ LIDIA LUCILA</t>
  </si>
  <si>
    <t>74065311</t>
  </si>
  <si>
    <t>FUENTES GODOY JULISSIA</t>
  </si>
  <si>
    <t>45504722</t>
  </si>
  <si>
    <t>PUMACCAHUA GUEVARA CLINE FRANCISCO</t>
  </si>
  <si>
    <t>70031920</t>
  </si>
  <si>
    <t>VARGAS COELLO YANIRA NADIA</t>
  </si>
  <si>
    <t>46927879</t>
  </si>
  <si>
    <t>BARRIO RIVERA CORINA</t>
  </si>
  <si>
    <t>24493962</t>
  </si>
  <si>
    <t>ROJAS MONGE PERCY ANTONIO</t>
  </si>
  <si>
    <t>70169272</t>
  </si>
  <si>
    <t>SANCHEZ HUALLPA CELESTE</t>
  </si>
  <si>
    <t>24484893</t>
  </si>
  <si>
    <t>HUALLPA LOAIZA RAUL</t>
  </si>
  <si>
    <t>44766229</t>
  </si>
  <si>
    <t>LOAYZA MERCADO DANAYI CASSANDRA</t>
  </si>
  <si>
    <t>40448251</t>
  </si>
  <si>
    <t>RIOS ORCON LEONARDO</t>
  </si>
  <si>
    <t>41341066</t>
  </si>
  <si>
    <t>QUILLO MOLINA FRIDA</t>
  </si>
  <si>
    <t>41159646</t>
  </si>
  <si>
    <t>CABRERA RODRIGUEZ JUAN JOSE</t>
  </si>
  <si>
    <t>42805106</t>
  </si>
  <si>
    <t>PALOMINO VARELA IRMA</t>
  </si>
  <si>
    <t>44517852</t>
  </si>
  <si>
    <t>APAZA QUIÑONES ELVIS</t>
  </si>
  <si>
    <t>44813159</t>
  </si>
  <si>
    <t>PARI SALLO DIANA KATERIN</t>
  </si>
  <si>
    <t>46505691</t>
  </si>
  <si>
    <t>DEL CARPIO CAMA WENDY MINOTSCKA</t>
  </si>
  <si>
    <t>41250616</t>
  </si>
  <si>
    <t>GAMARRA HUALLPA RAJNA</t>
  </si>
  <si>
    <t>43526361</t>
  </si>
  <si>
    <t>ESQUIVEL MOSCOSO WILBER</t>
  </si>
  <si>
    <t>41065138</t>
  </si>
  <si>
    <t>OLAVE QUIÑONES RAMIRO</t>
  </si>
  <si>
    <t>MEDICO AUDITOR</t>
  </si>
  <si>
    <t>42234890</t>
  </si>
  <si>
    <t>YAÑEZ VALER JHON ELVIS</t>
  </si>
  <si>
    <t>43919040</t>
  </si>
  <si>
    <t>BUSTAMANTE MEDINA GENARO</t>
  </si>
  <si>
    <t>42928065</t>
  </si>
  <si>
    <t>BLANCO PILLCO NUBIA SOCKI</t>
  </si>
  <si>
    <t>45531435</t>
  </si>
  <si>
    <t>VALENCIA FARFAN EILLEN MARIELLA</t>
  </si>
  <si>
    <t>45795757</t>
  </si>
  <si>
    <t>HUANCACHOQUE QUISPE JUELMER FIDEL</t>
  </si>
  <si>
    <t>41054007</t>
  </si>
  <si>
    <t>CHOQUENAIRA CONDORI LUZ JHOLY</t>
  </si>
  <si>
    <t>47752258</t>
  </si>
  <si>
    <t>OCHOA GALLEGOS EDITH TERESA</t>
  </si>
  <si>
    <t>47191007</t>
  </si>
  <si>
    <t>PAUCAR CERNA NORA HAYDEE</t>
  </si>
  <si>
    <t>TECNOLOGO MEDICO EN TERAPIA FISICA Y REHABILITACION</t>
  </si>
  <si>
    <t>16786375</t>
  </si>
  <si>
    <t>BERNUY GOICOCHEA GUILLERMO JOEL</t>
  </si>
  <si>
    <t>40217996</t>
  </si>
  <si>
    <t>QUISPE NUÑEZ VICTORIA</t>
  </si>
  <si>
    <t>46697770</t>
  </si>
  <si>
    <t>APAZA CRUZ ROSA LUZ</t>
  </si>
  <si>
    <t>43742081</t>
  </si>
  <si>
    <t>HUACARPUMA CHISI ROSA LUZ</t>
  </si>
  <si>
    <t>41018350</t>
  </si>
  <si>
    <t>FLORES ZUÑIGA YAJAYDA</t>
  </si>
  <si>
    <t>72842466</t>
  </si>
  <si>
    <t>AIMITUMA SUYO NIEVES</t>
  </si>
  <si>
    <t>09670994</t>
  </si>
  <si>
    <t>CALLO AYMI SOLEDAD</t>
  </si>
  <si>
    <t>41517670</t>
  </si>
  <si>
    <t>SOLIS CHURA DELIA</t>
  </si>
  <si>
    <t>44277032</t>
  </si>
  <si>
    <t>FLOREZ HUANCA ROXANA</t>
  </si>
  <si>
    <t>46198458</t>
  </si>
  <si>
    <t>CRUZ CASTRO YURI DOMENICA</t>
  </si>
  <si>
    <t>24804405</t>
  </si>
  <si>
    <t>CUBA BOZA NANCY</t>
  </si>
  <si>
    <t>41793048</t>
  </si>
  <si>
    <t>JIMENEZ CHOQUEHUAYTA ALBERTO</t>
  </si>
  <si>
    <t>42904749</t>
  </si>
  <si>
    <t>MONTAÑO PARQUE CARMEN FAUSTA</t>
  </si>
  <si>
    <t>44318207</t>
  </si>
  <si>
    <t>QUISPE LEON ROSA</t>
  </si>
  <si>
    <t>42880980</t>
  </si>
  <si>
    <t>QUISPE QQUELCCA CARMEN LUZ</t>
  </si>
  <si>
    <t>42402099</t>
  </si>
  <si>
    <t>QUIÑONES MASSA VILMA</t>
  </si>
  <si>
    <t>46951506</t>
  </si>
  <si>
    <t>MEZA CUSIHUATA LETICIA</t>
  </si>
  <si>
    <t>44147336</t>
  </si>
  <si>
    <t>QUISPE QUINCHO SANDRA</t>
  </si>
  <si>
    <t>43779530</t>
  </si>
  <si>
    <t>TARIFA AIMITUMA MIRIAM</t>
  </si>
  <si>
    <t>48151345</t>
  </si>
  <si>
    <t>CRUZ MAMANI CELIA MARTHA</t>
  </si>
  <si>
    <t>40082473</t>
  </si>
  <si>
    <t>VALER CCORAHUA MARIO JUNIOR</t>
  </si>
  <si>
    <t>23963188</t>
  </si>
  <si>
    <t>CUEVA BOLAÑOS PERCY</t>
  </si>
  <si>
    <t>72210956</t>
  </si>
  <si>
    <t>ZARATE DUEÑAS JANNET MELISSA</t>
  </si>
  <si>
    <t>42332591</t>
  </si>
  <si>
    <t>MEZA PILA RICHARD YASVANI</t>
  </si>
  <si>
    <t>42134775</t>
  </si>
  <si>
    <t>CHAMBILLA AGUILAR IVONNE TERESA</t>
  </si>
  <si>
    <t>44212029</t>
  </si>
  <si>
    <t>HUAHUASONCO HUILLCA NANCY</t>
  </si>
  <si>
    <t>41858484</t>
  </si>
  <si>
    <t>QUISPE AGUILAR MARILU MONICA</t>
  </si>
  <si>
    <t>43124554</t>
  </si>
  <si>
    <t>CHEVARRIA QUISPE LIDIA ELIZABETH</t>
  </si>
  <si>
    <t>41107105</t>
  </si>
  <si>
    <t>SOTO HUILLCA ROXANA</t>
  </si>
  <si>
    <t>43405681</t>
  </si>
  <si>
    <t>RAMOS ZEVALLOS YANET</t>
  </si>
  <si>
    <t>45463407</t>
  </si>
  <si>
    <t>ARAUJO MAMANI AMALIA AYDE</t>
  </si>
  <si>
    <t>42187098</t>
  </si>
  <si>
    <t>ESQUIVEL CCAMA YADIRA</t>
  </si>
  <si>
    <t>40723275</t>
  </si>
  <si>
    <t>HUAMANI BELLIDO YOBANA</t>
  </si>
  <si>
    <t>24718211</t>
  </si>
  <si>
    <t>PUENTE DE LA VEGA FARFAN CELSO</t>
  </si>
  <si>
    <t>24804647</t>
  </si>
  <si>
    <t>RIMACHE SUAREZ DANIEL</t>
  </si>
  <si>
    <t>42750688</t>
  </si>
  <si>
    <t>ESCALANTE CAHUATA NOAR</t>
  </si>
  <si>
    <t>40094208</t>
  </si>
  <si>
    <t>DIAZ PILLCO WALTER</t>
  </si>
  <si>
    <t>02294423</t>
  </si>
  <si>
    <t>MACEDO MONTESINOS ONASIS</t>
  </si>
  <si>
    <t>24675818</t>
  </si>
  <si>
    <t>QUISPE MACHACA JUAN</t>
  </si>
  <si>
    <t>44404412</t>
  </si>
  <si>
    <t>TTITO BONIFACIO PERCY</t>
  </si>
  <si>
    <t>41496068</t>
  </si>
  <si>
    <t>HUILLCAHUAMAN TURPO MILAGROS</t>
  </si>
  <si>
    <t>24714836</t>
  </si>
  <si>
    <t>CONTO MAMANI HILDA</t>
  </si>
  <si>
    <t>24707189</t>
  </si>
  <si>
    <t>COSME HANCCO MARIA</t>
  </si>
  <si>
    <t>24669821</t>
  </si>
  <si>
    <t>ESPIRILLA CHAVEZ HILARIO</t>
  </si>
  <si>
    <t>24660784</t>
  </si>
  <si>
    <t>HUANCA CONDORI JUAN DAVID</t>
  </si>
  <si>
    <t>24703431</t>
  </si>
  <si>
    <t>FARFAN VARGAS SONIA ESPERANZA</t>
  </si>
  <si>
    <t>24711495</t>
  </si>
  <si>
    <t>LAZARTE HUAMANI MARIA PAULINA</t>
  </si>
  <si>
    <t>40924078</t>
  </si>
  <si>
    <t>SANCHEZ GARZON JUDITH</t>
  </si>
  <si>
    <t>45935432</t>
  </si>
  <si>
    <t>TTITO TTITO ROSA</t>
  </si>
  <si>
    <t>24716745</t>
  </si>
  <si>
    <t>VALERIANO PUMACAJIA ASUNTA FELICITAS</t>
  </si>
  <si>
    <t>43560373</t>
  </si>
  <si>
    <t>MEDINA DELGADILLO HAYDEE OMAYRA</t>
  </si>
  <si>
    <t>41968690</t>
  </si>
  <si>
    <t>FERNANDEZ TAIRO VERONICA</t>
  </si>
  <si>
    <t>42200071</t>
  </si>
  <si>
    <t>ZAMBRANO CHOQQUE HEYDI YESICA</t>
  </si>
  <si>
    <t>40737072</t>
  </si>
  <si>
    <t>BECERRA BORDA BETSI LUZ</t>
  </si>
  <si>
    <t>29643945</t>
  </si>
  <si>
    <t>VILCA VILCA FULGENCIA HONORATA</t>
  </si>
  <si>
    <t>43438718</t>
  </si>
  <si>
    <t>LEON ROZAS YOLANDA</t>
  </si>
  <si>
    <t>40809691</t>
  </si>
  <si>
    <t>MORAN BRAVO TELEMACO MENELAO</t>
  </si>
  <si>
    <t>41481088</t>
  </si>
  <si>
    <t>CAHUANA CONDO JEANETTE</t>
  </si>
  <si>
    <t>46791966</t>
  </si>
  <si>
    <t>CHECCA CARITA GABY ROCIO</t>
  </si>
  <si>
    <t>44475743</t>
  </si>
  <si>
    <t>LACUTA HUANQUI CARLOS GIRALDO</t>
  </si>
  <si>
    <t>80214155</t>
  </si>
  <si>
    <t>OCHOCHOQUE HUAQUISTO CRISTIAN SANTIAGO</t>
  </si>
  <si>
    <t>43155515</t>
  </si>
  <si>
    <t>TITO PANTIGOSO SOLEDAD JHORLENI</t>
  </si>
  <si>
    <t>43779963</t>
  </si>
  <si>
    <t>HUAMAN CASTILLO ANGHELINE PILAR</t>
  </si>
  <si>
    <t>25004441</t>
  </si>
  <si>
    <t>RAMOS RIMACHI SANTUSA</t>
  </si>
  <si>
    <t>01326953</t>
  </si>
  <si>
    <t>PINEDA CASTRO HERNAN GENARO</t>
  </si>
  <si>
    <t>42879503</t>
  </si>
  <si>
    <t>CONCHA ROMERO ANA LUZ RAQUEL</t>
  </si>
  <si>
    <t>40774142</t>
  </si>
  <si>
    <t>CUENTAS MONROY DIANE</t>
  </si>
  <si>
    <t>44003335</t>
  </si>
  <si>
    <t>MAR LOAYZA CLAUDIA</t>
  </si>
  <si>
    <t>24998565</t>
  </si>
  <si>
    <t>FARFAN MARIN ROSA OLINDA</t>
  </si>
  <si>
    <t>70503704</t>
  </si>
  <si>
    <t>AYALA AQUINO YAQUELIN</t>
  </si>
  <si>
    <t>23949301</t>
  </si>
  <si>
    <t>APAZA AMACHI GIOVANA</t>
  </si>
  <si>
    <t>70580962</t>
  </si>
  <si>
    <t>USCA MELGAREJO YANINA</t>
  </si>
  <si>
    <t>43290601</t>
  </si>
  <si>
    <t>CHAVEZ TAPIA NINA LIBERTAD</t>
  </si>
  <si>
    <t>40549464</t>
  </si>
  <si>
    <t>LLOCLLA MAYHUA JORGE</t>
  </si>
  <si>
    <t>25012703</t>
  </si>
  <si>
    <t>BEDOYA VARGAS JORGE LUIS</t>
  </si>
  <si>
    <t>48691157</t>
  </si>
  <si>
    <t>COLQUE SANTA CRUZ NELBINZON JUSTO</t>
  </si>
  <si>
    <t>40955688</t>
  </si>
  <si>
    <t>CHICLLA ACURIO MARITZA</t>
  </si>
  <si>
    <t>42409727</t>
  </si>
  <si>
    <t>PARIONA HUAMAN RENAN</t>
  </si>
  <si>
    <t>45931984</t>
  </si>
  <si>
    <t>ACOSTUPA CALDERON ADOLFO</t>
  </si>
  <si>
    <t>47091567</t>
  </si>
  <si>
    <t>GONZALES ALVAREZ NOHELIA</t>
  </si>
  <si>
    <t>25012178</t>
  </si>
  <si>
    <t>QUISPE CAZORLA HEBERT</t>
  </si>
  <si>
    <t>23971564</t>
  </si>
  <si>
    <t>HANCCO BERNAL LUZBENIA</t>
  </si>
  <si>
    <t>41613448</t>
  </si>
  <si>
    <t>RAMOS QUISPE ALICIA</t>
  </si>
  <si>
    <t>41249681</t>
  </si>
  <si>
    <t>CCARI VARGAS FREDY</t>
  </si>
  <si>
    <t>40728343</t>
  </si>
  <si>
    <t>VALENCIA ZEGARRA MONICA</t>
  </si>
  <si>
    <t>40144622</t>
  </si>
  <si>
    <t>QUISPE HUAMAN CARLOS</t>
  </si>
  <si>
    <t>42612142</t>
  </si>
  <si>
    <t>FABIAN SENCIA JORGE</t>
  </si>
  <si>
    <t>43956839</t>
  </si>
  <si>
    <t>SOTO YCHILLUMPA FELIX OSBEL</t>
  </si>
  <si>
    <t>43873675</t>
  </si>
  <si>
    <t>RENDON SONCCO RUTH ZENAIDA</t>
  </si>
  <si>
    <t>24992358</t>
  </si>
  <si>
    <t>MEZA RIVEROS MARIO</t>
  </si>
  <si>
    <t>25009507</t>
  </si>
  <si>
    <t>AUCAYLLE CARDENAS JUDITH</t>
  </si>
  <si>
    <t>40463562</t>
  </si>
  <si>
    <t>CHACON HANCCO MAXIMILIANA</t>
  </si>
  <si>
    <t>43927213</t>
  </si>
  <si>
    <t>VERGARA VILLEGAS BERNARDO ERNESTO</t>
  </si>
  <si>
    <t>42255515</t>
  </si>
  <si>
    <t>ANDIA GONZALES MARUJA</t>
  </si>
  <si>
    <t>43369092</t>
  </si>
  <si>
    <t>BADAJOZ TAPIA MIRIAM ROSMERY</t>
  </si>
  <si>
    <t>42857649</t>
  </si>
  <si>
    <t>CARDENAS ESCOBAR LUZ MERY</t>
  </si>
  <si>
    <t>42827333</t>
  </si>
  <si>
    <t>QUISPE MAMANI CHARMELY</t>
  </si>
  <si>
    <t>40572761</t>
  </si>
  <si>
    <t>CUARESMA VILLANUEVA MIRMA</t>
  </si>
  <si>
    <t>71194930</t>
  </si>
  <si>
    <t>CARRION SANCHEZ CARLOS EDUARDO</t>
  </si>
  <si>
    <t>25012149</t>
  </si>
  <si>
    <t>FUENTES HUARILLOCLLA EVA TATIANA</t>
  </si>
  <si>
    <t>42365795</t>
  </si>
  <si>
    <t>PEREZ CURI LUIS PAUL</t>
  </si>
  <si>
    <t>45999058</t>
  </si>
  <si>
    <t>CUADROS HUAMAN YANIRA KATHERINE</t>
  </si>
  <si>
    <t>46180980</t>
  </si>
  <si>
    <t>ZAPATA ROMAN ANA PAOLA</t>
  </si>
  <si>
    <t>23925483</t>
  </si>
  <si>
    <t>KALA CONZA EDWIN FREDY</t>
  </si>
  <si>
    <t>43117648</t>
  </si>
  <si>
    <t>FLORES HUAMAN JAKELYN</t>
  </si>
  <si>
    <t>40701820</t>
  </si>
  <si>
    <t>BASCOPE ALVAREZ ESMILA</t>
  </si>
  <si>
    <t>25012295</t>
  </si>
  <si>
    <t>JARA CCACYAMARCA AUGUSTA</t>
  </si>
  <si>
    <t>42356467</t>
  </si>
  <si>
    <t>ZAMORA PUMA LOURDES INES</t>
  </si>
  <si>
    <t>45354572</t>
  </si>
  <si>
    <t>CHIPANA HUAMAN ALICET</t>
  </si>
  <si>
    <t>72797697</t>
  </si>
  <si>
    <t>ROJAS CHAVEZ LENNY DANAE</t>
  </si>
  <si>
    <t>46342887</t>
  </si>
  <si>
    <t>HUAMAN VARGAS LISBETH</t>
  </si>
  <si>
    <t>44059513</t>
  </si>
  <si>
    <t>ZEVALLOS ZAVALETA FLOR MAGNOLIA</t>
  </si>
  <si>
    <t>70282407</t>
  </si>
  <si>
    <t>ALVAREZ ALAGON MARY CARMEN</t>
  </si>
  <si>
    <t>23991182</t>
  </si>
  <si>
    <t>VALENCIA QUISPE YURI</t>
  </si>
  <si>
    <t>23993600</t>
  </si>
  <si>
    <t>CHECCORI IBEROS JAVIER FELIX</t>
  </si>
  <si>
    <t>45605306</t>
  </si>
  <si>
    <t>MONZON DELGADO PATRICIA ALEJANDRA</t>
  </si>
  <si>
    <t>40986798</t>
  </si>
  <si>
    <t>LAZARTE CRUZ FRANCY</t>
  </si>
  <si>
    <t>45013302</t>
  </si>
  <si>
    <t>VARGAS GUZMAN JHONATAN</t>
  </si>
  <si>
    <t>43505554</t>
  </si>
  <si>
    <t>RODRIGUEZ RAMIREZ KATHERINE PAMELA</t>
  </si>
  <si>
    <t>44054226</t>
  </si>
  <si>
    <t>FLOREZ GIRALDO BRISDDA</t>
  </si>
  <si>
    <t>80575072</t>
  </si>
  <si>
    <t>VALDIVIA BERNAL ELEYNA</t>
  </si>
  <si>
    <t>40673190</t>
  </si>
  <si>
    <t>HERRERA APARICIO KETSIA</t>
  </si>
  <si>
    <t>44906542</t>
  </si>
  <si>
    <t>ALMIRON MAMANI MARITZA</t>
  </si>
  <si>
    <t>09604800</t>
  </si>
  <si>
    <t>NUÑEZ FLORES MAGALY JESUS</t>
  </si>
  <si>
    <t>23956406</t>
  </si>
  <si>
    <t>CHACCA HUISA VICTOR CEFERINO</t>
  </si>
  <si>
    <t>47789289</t>
  </si>
  <si>
    <t>TORRES HUAMAN PAMELA CARMEN</t>
  </si>
  <si>
    <t>40394445</t>
  </si>
  <si>
    <t>FLORES VELASQUEZ JOSE LUIS</t>
  </si>
  <si>
    <t>40107106</t>
  </si>
  <si>
    <t>CCORIHUAMAN MAYTA JAVIER</t>
  </si>
  <si>
    <t>41158872</t>
  </si>
  <si>
    <t>GUTIERREZ CRUZ RICHARD</t>
  </si>
  <si>
    <t>46481960</t>
  </si>
  <si>
    <t>ASLLA HERMOZA JORGE EDSON</t>
  </si>
  <si>
    <t>46159924</t>
  </si>
  <si>
    <t>GUTIERREZ CARRILLO PAMELA BERTHA</t>
  </si>
  <si>
    <t>23920497</t>
  </si>
  <si>
    <t>DELGADO MONGE TANIA ROCIO</t>
  </si>
  <si>
    <t>42998183</t>
  </si>
  <si>
    <t>VILCA BEGAZO CARLOS</t>
  </si>
  <si>
    <t>45259860</t>
  </si>
  <si>
    <t>ROMERO CERVANTES ARELI LECSI</t>
  </si>
  <si>
    <t>23980569</t>
  </si>
  <si>
    <t>PANTANI ATAUSUPA PABLO</t>
  </si>
  <si>
    <t>47034527</t>
  </si>
  <si>
    <t>HUAMAN TTICA ELIZABETH MARIA</t>
  </si>
  <si>
    <t>45355866</t>
  </si>
  <si>
    <t>HUILLCA RAMOS LEONARDO</t>
  </si>
  <si>
    <t>48162050</t>
  </si>
  <si>
    <t>SECCA SECCA NANCY</t>
  </si>
  <si>
    <t>40273606</t>
  </si>
  <si>
    <t>CHECCA NOA EUGENIA</t>
  </si>
  <si>
    <t>23996449</t>
  </si>
  <si>
    <t>HERMOZA CRUZ REGINA</t>
  </si>
  <si>
    <t>40739779</t>
  </si>
  <si>
    <t>HUAMAN KORINTI ELVER</t>
  </si>
  <si>
    <t>42678774</t>
  </si>
  <si>
    <t>ELGUERA MEDINA JOSE MIGUEL</t>
  </si>
  <si>
    <t>41507539</t>
  </si>
  <si>
    <t>MOGOLLON HUAMAN FRANKOIS</t>
  </si>
  <si>
    <t>72948334</t>
  </si>
  <si>
    <t>RODRIGUEZ HUACCANQUI MILAGROS NOHEMI</t>
  </si>
  <si>
    <t>46461607</t>
  </si>
  <si>
    <t>SARCCA CHAMPI SONIA</t>
  </si>
  <si>
    <t>46276840</t>
  </si>
  <si>
    <t>ROJAS BAZAN DAYVIS JHONATTAN</t>
  </si>
  <si>
    <t>71110561</t>
  </si>
  <si>
    <t>QUISPE CCALLO VIDAL</t>
  </si>
  <si>
    <t>42031837</t>
  </si>
  <si>
    <t>ESCALANTE NAVARRETE KATERINE</t>
  </si>
  <si>
    <t>24001130</t>
  </si>
  <si>
    <t>UÑAPILCO VILLAFUERTE YHOEL LINO</t>
  </si>
  <si>
    <t>40416693</t>
  </si>
  <si>
    <t>ARNALDO ARAUJO ALDO ARISTIDES</t>
  </si>
  <si>
    <t>74031411</t>
  </si>
  <si>
    <t>CORDOVA QUINTANA JHOSNY NOELIA</t>
  </si>
  <si>
    <t>44980279</t>
  </si>
  <si>
    <t>PACCO CCOYO RONALD</t>
  </si>
  <si>
    <t>23952746</t>
  </si>
  <si>
    <t>CARDENAS OVIEDO MARGOT</t>
  </si>
  <si>
    <t>41785008</t>
  </si>
  <si>
    <t>BALLON ESTRADA MARCIAL</t>
  </si>
  <si>
    <t>43606792</t>
  </si>
  <si>
    <t>BAYRO ALVAREZ ALBERT</t>
  </si>
  <si>
    <t>47114081</t>
  </si>
  <si>
    <t>QUISPE LEDEZMA YAXMIN FLOR</t>
  </si>
  <si>
    <t>41152093</t>
  </si>
  <si>
    <t>MORA JULLUNI DAVID PERCY</t>
  </si>
  <si>
    <t>45814178</t>
  </si>
  <si>
    <t>CHINO VILLALBA DANITZA</t>
  </si>
  <si>
    <t>72031618</t>
  </si>
  <si>
    <t>PIMENTEL PALOMINO MICHAEL ALEXANDER</t>
  </si>
  <si>
    <t>45217198</t>
  </si>
  <si>
    <t>GAMARRA OJEDA VLADIMIR</t>
  </si>
  <si>
    <t>42418241</t>
  </si>
  <si>
    <t>VIVANCO PUMA ERLY ALAIN</t>
  </si>
  <si>
    <t>23996894</t>
  </si>
  <si>
    <t>ZUÑIGA PACHECO VICTOR</t>
  </si>
  <si>
    <t>70144165</t>
  </si>
  <si>
    <t>SARMIENTO PONCE HAMELY</t>
  </si>
  <si>
    <t>43698553</t>
  </si>
  <si>
    <t>NAYHUA ORMACHEA MARCO ANTONIO</t>
  </si>
  <si>
    <t>46093738</t>
  </si>
  <si>
    <t>QUISPE LIMPE MIRIAN TERESA</t>
  </si>
  <si>
    <t>72536465</t>
  </si>
  <si>
    <t>GARRIDO QUISPE MANUEL EUSEBIO</t>
  </si>
  <si>
    <t>44596204</t>
  </si>
  <si>
    <t>APAZA BAUTISTA MIJAEL</t>
  </si>
  <si>
    <t>40030254</t>
  </si>
  <si>
    <t>HANCCO LUNA JESUS GERARDO</t>
  </si>
  <si>
    <t>46629232</t>
  </si>
  <si>
    <t>DEL CASTILLO CARRASCO ZOILA PILAR</t>
  </si>
  <si>
    <t>23980622</t>
  </si>
  <si>
    <t>INFANTAS FARFAN SHIRLEY VICTORIA</t>
  </si>
  <si>
    <t>23963958</t>
  </si>
  <si>
    <t>ALVAREZ ESCOBAR JENNY</t>
  </si>
  <si>
    <t>45404734</t>
  </si>
  <si>
    <t>HUAMAN TAIRO RUTH EVELIN</t>
  </si>
  <si>
    <t>42957561</t>
  </si>
  <si>
    <t>SARMIENTO ARIAS JUANA CAROLINA</t>
  </si>
  <si>
    <t>42306681</t>
  </si>
  <si>
    <t>CANAL VEGA PAUL</t>
  </si>
  <si>
    <t>23992656</t>
  </si>
  <si>
    <t>TUPAYACHI CHAVEZ LENIN</t>
  </si>
  <si>
    <t>47322839</t>
  </si>
  <si>
    <t>NAVARRETE QUISPE MIGUEL ANGEL</t>
  </si>
  <si>
    <t>43837351</t>
  </si>
  <si>
    <t>MENDOZA MIRANDA ROSA LUCILA</t>
  </si>
  <si>
    <t>25185908</t>
  </si>
  <si>
    <t>LUNA MENDIVIL MARISOL</t>
  </si>
  <si>
    <t>47112914</t>
  </si>
  <si>
    <t>HUAMAN SERRANO ESKRA</t>
  </si>
  <si>
    <t>46234424</t>
  </si>
  <si>
    <t>ALVARADO COLMENARES CINDY ELIZABETH</t>
  </si>
  <si>
    <t>72766725</t>
  </si>
  <si>
    <t>AGUIRRE ZUÑIGA ESTEFANI INMACULADA</t>
  </si>
  <si>
    <t>23803070</t>
  </si>
  <si>
    <t>CORREA CASTRO FERNANDO BENJAMIN</t>
  </si>
  <si>
    <t>29609144</t>
  </si>
  <si>
    <t>ALVAREZ VERA ROSSY VERONICA</t>
  </si>
  <si>
    <t>23951900</t>
  </si>
  <si>
    <t>CALLAÑAUPA ARREDONDO JOSE LUIS</t>
  </si>
  <si>
    <t>04823117</t>
  </si>
  <si>
    <t>RIOS FLORES BLANCA FLOR</t>
  </si>
  <si>
    <t>25001766</t>
  </si>
  <si>
    <t>ARANCIBIA ARAOZ JESSICA SOLEDAD</t>
  </si>
  <si>
    <t>23945229</t>
  </si>
  <si>
    <t>PANTANI ATAUSUPA ISABEL DORIS</t>
  </si>
  <si>
    <t>40084146</t>
  </si>
  <si>
    <t>CHAVEZ PANTOJA MIRIAN JULIZA</t>
  </si>
  <si>
    <t>80379770</t>
  </si>
  <si>
    <t>PAUCARA MERMA NELLY MONICA</t>
  </si>
  <si>
    <t>02302931</t>
  </si>
  <si>
    <t>TAPARA PUMA IRMA</t>
  </si>
  <si>
    <t>23803752</t>
  </si>
  <si>
    <t>SALLO YNQUILTUPA ANACLETO</t>
  </si>
  <si>
    <t>25009383</t>
  </si>
  <si>
    <t>VALENZUELA ALVAREZ ROSIO</t>
  </si>
  <si>
    <t>42621981</t>
  </si>
  <si>
    <t>MOGOLLON CUEVA LUZ MARIVEL</t>
  </si>
  <si>
    <t>43153055</t>
  </si>
  <si>
    <t>SOLIS DIAZ NORALI</t>
  </si>
  <si>
    <t>23974624</t>
  </si>
  <si>
    <t>PANTANI ATAUSUPA REYNA LUISA</t>
  </si>
  <si>
    <t>23936262</t>
  </si>
  <si>
    <t>ARREDONDO DIAZ YOLANDA</t>
  </si>
  <si>
    <t>73237905</t>
  </si>
  <si>
    <t>RADO HUAYOTUMA ANY SANDRA</t>
  </si>
  <si>
    <t>42036970</t>
  </si>
  <si>
    <t>VARGAS MAR CATHERINE</t>
  </si>
  <si>
    <t>70420430</t>
  </si>
  <si>
    <t>ALVAREZ GARCIA LADY TATIANA</t>
  </si>
  <si>
    <t>23886175</t>
  </si>
  <si>
    <t>OLIVERA SARMIENTO FLORA CARMEN</t>
  </si>
  <si>
    <t>23943856</t>
  </si>
  <si>
    <t>BUSTINZA LOPEZ JUANA CRISTINA</t>
  </si>
  <si>
    <t>41389619</t>
  </si>
  <si>
    <t>POCCO QUISPE SORY</t>
  </si>
  <si>
    <t>40107109</t>
  </si>
  <si>
    <t>CERECEDA VARGAS ROSA MELVA</t>
  </si>
  <si>
    <t>42359247</t>
  </si>
  <si>
    <t>CUTIPA ACHAHUI YAJAIRA</t>
  </si>
  <si>
    <t>45793250</t>
  </si>
  <si>
    <t>CRUZ APAZA ROXANA</t>
  </si>
  <si>
    <t>40673279</t>
  </si>
  <si>
    <t>PUMA LEON MARTHA</t>
  </si>
  <si>
    <t>45807747</t>
  </si>
  <si>
    <t>HUAMANI HUAMAN LAURA FLORITA</t>
  </si>
  <si>
    <t>41456442</t>
  </si>
  <si>
    <t>CHOQUEVILCA ROQUE LEONARDO FABIO</t>
  </si>
  <si>
    <t>47596765</t>
  </si>
  <si>
    <t>QUISPE CHOQUENAIRA HENRY DENNIS</t>
  </si>
  <si>
    <t>24360448</t>
  </si>
  <si>
    <t>HUAMAN CARDENAS DAVID</t>
  </si>
  <si>
    <t>23933511</t>
  </si>
  <si>
    <t>MEDINA LEON JOSEFA</t>
  </si>
  <si>
    <t>23999740</t>
  </si>
  <si>
    <t>QUISPE SALVADOR GLADYS</t>
  </si>
  <si>
    <t>40359727</t>
  </si>
  <si>
    <t>POLAR FLOREZ MIGUEL ANGEL</t>
  </si>
  <si>
    <t>23912023</t>
  </si>
  <si>
    <t>HERRERA GUTIERREZ JULIO</t>
  </si>
  <si>
    <t>42483313</t>
  </si>
  <si>
    <t>MONTESINOS PALOMINO LIDIA</t>
  </si>
  <si>
    <t>23893681</t>
  </si>
  <si>
    <t>QQUECHO HURTADO NILDA</t>
  </si>
  <si>
    <t>08256384</t>
  </si>
  <si>
    <t>VARGAS PANTOJA MARIA ELENA</t>
  </si>
  <si>
    <t>23980158</t>
  </si>
  <si>
    <t>CARREON RECHARTE YERKI FRANCISCO</t>
  </si>
  <si>
    <t>23830111</t>
  </si>
  <si>
    <t>HUILLCA GOMEZ JUAN BAUTISTA</t>
  </si>
  <si>
    <t>25138555</t>
  </si>
  <si>
    <t>QUISPE PACCO CARLOS</t>
  </si>
  <si>
    <t>29668583</t>
  </si>
  <si>
    <t>KCENTE CASTRO RICHAR</t>
  </si>
  <si>
    <t>43199597</t>
  </si>
  <si>
    <t>CALLATA HEREDIA GUIDO</t>
  </si>
  <si>
    <t>24993797</t>
  </si>
  <si>
    <t>CONDORI MENDOZA RUTH MERY</t>
  </si>
  <si>
    <t>46524598</t>
  </si>
  <si>
    <t>LIPA ZARATE EVER</t>
  </si>
  <si>
    <t>23974757</t>
  </si>
  <si>
    <t>FLORES AYMACHOQUE FREDDY</t>
  </si>
  <si>
    <t>23936816</t>
  </si>
  <si>
    <t>CRUZ ESCALANTE ERNESTO</t>
  </si>
  <si>
    <t>23991341</t>
  </si>
  <si>
    <t>TORRES CANDIA HONORIO</t>
  </si>
  <si>
    <t>40716205</t>
  </si>
  <si>
    <t>VILLACORTA VALENCIA JOSE LUIS</t>
  </si>
  <si>
    <t>24000636</t>
  </si>
  <si>
    <t>ASTETE DEL SOLAR JORGE</t>
  </si>
  <si>
    <t>23859939</t>
  </si>
  <si>
    <t>ESPINOZA BOCANGEL ANA MARIA</t>
  </si>
  <si>
    <t>25318854</t>
  </si>
  <si>
    <t>PALOMINO QUISPE RICARDO</t>
  </si>
  <si>
    <t>23940530</t>
  </si>
  <si>
    <t>QUISPE QUIJHUA SABINA</t>
  </si>
  <si>
    <t>23961425</t>
  </si>
  <si>
    <t>CHOQQUE GOMEZ RUDECINDA</t>
  </si>
  <si>
    <t>42464979</t>
  </si>
  <si>
    <t>HUAYCOCHEA AMAU NATIVIDAD</t>
  </si>
  <si>
    <t>44999676</t>
  </si>
  <si>
    <t>QUILLE QUIJHUA ISAAC BENJAMIN</t>
  </si>
  <si>
    <t>24001377</t>
  </si>
  <si>
    <t>SURCO QUISPE ARMANDO GABRIEL</t>
  </si>
  <si>
    <t>42104210</t>
  </si>
  <si>
    <t>CRUZ RAMOS FLOR ANDREA</t>
  </si>
  <si>
    <t>23964956</t>
  </si>
  <si>
    <t>TRUJILLO VILLAFUERTE VICTOR MANUEL</t>
  </si>
  <si>
    <t>44455087</t>
  </si>
  <si>
    <t>NUÑEZ FRANCO DAVID CELSO</t>
  </si>
  <si>
    <t>47272986</t>
  </si>
  <si>
    <t>HUAYCOCHEA AMAU ERNESTINA</t>
  </si>
  <si>
    <t>25120018</t>
  </si>
  <si>
    <t>RAMOS CARPIO CONSUELO ANGELICA</t>
  </si>
  <si>
    <t>23893245</t>
  </si>
  <si>
    <t>VILLALBA QUISPE PILAR</t>
  </si>
  <si>
    <t>23951587</t>
  </si>
  <si>
    <t>ALVAREZ CONDORI ELAR GENARO</t>
  </si>
  <si>
    <t>02294564</t>
  </si>
  <si>
    <t>PALOMINO PUMA ABAD</t>
  </si>
  <si>
    <t>29630574</t>
  </si>
  <si>
    <t>VELASQUEZ APAZA MARCO ANTONIO</t>
  </si>
  <si>
    <t>44847618</t>
  </si>
  <si>
    <t>DEL SOLAR MARTINEZ FRANKLIN ALBERTO</t>
  </si>
  <si>
    <t>24565994</t>
  </si>
  <si>
    <t>CHOQUENAIRA LABRA CRISTINA</t>
  </si>
  <si>
    <t>42075666</t>
  </si>
  <si>
    <t>HUILLCA VALDEZ DAVID</t>
  </si>
  <si>
    <t>46005052</t>
  </si>
  <si>
    <t>HUALLPAYUNCA ANCALLE BERNARDINO</t>
  </si>
  <si>
    <t>41423310</t>
  </si>
  <si>
    <t>GAMARRA HUALLPA JULIA</t>
  </si>
  <si>
    <t>23915586</t>
  </si>
  <si>
    <t>CONDORI PEZO DINA</t>
  </si>
  <si>
    <t>47295754</t>
  </si>
  <si>
    <t>HUILLCA CHAMPI VIRGINIA</t>
  </si>
  <si>
    <t>31340710</t>
  </si>
  <si>
    <t>PELAEZ SANTI NELLY ISABEL</t>
  </si>
  <si>
    <t>41457159</t>
  </si>
  <si>
    <t>HUMPIRE CONDORI MARITZA ELIZABETH</t>
  </si>
  <si>
    <t>42507705</t>
  </si>
  <si>
    <t>CAMALA NINA ALEJANDRO</t>
  </si>
  <si>
    <t>23992743</t>
  </si>
  <si>
    <t>ARELLANO CHOQUE YSABELINA</t>
  </si>
  <si>
    <t>06290056</t>
  </si>
  <si>
    <t>CASTRO NUÑEZ JEANETTE</t>
  </si>
  <si>
    <t>42466081</t>
  </si>
  <si>
    <t>OLIVA SALAS ANA ISABEL</t>
  </si>
  <si>
    <t>46185702</t>
  </si>
  <si>
    <t>CONTRERAS APARICIO MAURICIO ISAAC</t>
  </si>
  <si>
    <t>48068004</t>
  </si>
  <si>
    <t>GAMBOA CAÑARI SUSAN</t>
  </si>
  <si>
    <t>45504652</t>
  </si>
  <si>
    <t>DEL CASTILLO CALVO JUDITH MONICA</t>
  </si>
  <si>
    <t>70135672</t>
  </si>
  <si>
    <t>HUAMAN ALVAREZ MIGUEL</t>
  </si>
  <si>
    <t>23963822</t>
  </si>
  <si>
    <t>CUSIHUALLPA LOAYZA AVELINO WERNER</t>
  </si>
  <si>
    <t>23962352</t>
  </si>
  <si>
    <t>NUÑEZ RAMOS MIDWAR</t>
  </si>
  <si>
    <t>23957724</t>
  </si>
  <si>
    <t>HEREDIA NAULA ELIZABETH</t>
  </si>
  <si>
    <t>23821950</t>
  </si>
  <si>
    <t>OLMEDO VIVANCO ROGER</t>
  </si>
  <si>
    <t>PROFESIONAL EN EDUC. ESPECIAL PARA CENTRO DE RECURSOS</t>
  </si>
  <si>
    <t>23893519</t>
  </si>
  <si>
    <t>PUMA ATAYUPANQUI REGINA</t>
  </si>
  <si>
    <t>48381751</t>
  </si>
  <si>
    <t>DURAN QUISPE LUZ BRENDA</t>
  </si>
  <si>
    <t>47772003</t>
  </si>
  <si>
    <t>CADENA SILVA FLORENCIA DIANE</t>
  </si>
  <si>
    <t>41662137</t>
  </si>
  <si>
    <t>GARCIA PEÑALVA VILMA</t>
  </si>
  <si>
    <t>23945460</t>
  </si>
  <si>
    <t>LOAIZA CUSI ANA MARIA</t>
  </si>
  <si>
    <t>47151261</t>
  </si>
  <si>
    <t>CRUZ FACUNDO KATHERINE LIZETH</t>
  </si>
  <si>
    <t>46086127</t>
  </si>
  <si>
    <t>CARDENAS ALAGON CHRISTIAN</t>
  </si>
  <si>
    <t>70417999</t>
  </si>
  <si>
    <t>PEÑA BLANCO STEFHANE DAYSY</t>
  </si>
  <si>
    <t>47602672</t>
  </si>
  <si>
    <t>SALAZAR NAVARRETE KATHERINE ANNE</t>
  </si>
  <si>
    <t>44233920</t>
  </si>
  <si>
    <t>ASENCIO ARQQUE JENNIFER</t>
  </si>
  <si>
    <t>40549459</t>
  </si>
  <si>
    <t>HUARCA MEDINA KARIN</t>
  </si>
  <si>
    <t>24702988</t>
  </si>
  <si>
    <t>ALVAREZ AGÜERO GIL</t>
  </si>
  <si>
    <t>23875511</t>
  </si>
  <si>
    <t>AGUILAR PILLCO WENCESLAO</t>
  </si>
  <si>
    <t>46935421</t>
  </si>
  <si>
    <t>BARBARAN JIMENEZ BRESCIA JIMENA DIANA</t>
  </si>
  <si>
    <t>23992432</t>
  </si>
  <si>
    <t>PERALTA LOAIZA IVONNE ANAHI</t>
  </si>
  <si>
    <t>DOCENTE RESPONSABLE DE NUCLEO DISTRITAL</t>
  </si>
  <si>
    <t>23989228</t>
  </si>
  <si>
    <t>CARREON SUTEC ALAIN GUNNAR</t>
  </si>
  <si>
    <t>23883225</t>
  </si>
  <si>
    <t>HUARCAYA GUEVARA JORGE ROLAND</t>
  </si>
  <si>
    <t>ACOMPAÑANTE PEDAGÓGICO POLIDOCENTE INCIAL</t>
  </si>
  <si>
    <t>23979575</t>
  </si>
  <si>
    <t>UNDA SIMBORTH KARINA</t>
  </si>
  <si>
    <t>23944921</t>
  </si>
  <si>
    <t>CAHUANA SALAZAR JULYSSA</t>
  </si>
  <si>
    <t>25326600</t>
  </si>
  <si>
    <t>SANTISTEBAN MATTO GILMAR</t>
  </si>
  <si>
    <t>24698482</t>
  </si>
  <si>
    <t>TACUSI CHUQUITAPA CORINA</t>
  </si>
  <si>
    <t>23982176</t>
  </si>
  <si>
    <t>ECHARRY SEQUEIROS DE HOLGADO CARMEN SOLEDAD</t>
  </si>
  <si>
    <t>24888781</t>
  </si>
  <si>
    <t>CORONADO WAGNER NINA TANIA</t>
  </si>
  <si>
    <t>29705753</t>
  </si>
  <si>
    <t>CHOQUE ATENCIO FRECIA EDITH</t>
  </si>
  <si>
    <t>42782165</t>
  </si>
  <si>
    <t>GASTAÑAGA GAMBARINI EVELING</t>
  </si>
  <si>
    <t>24002298</t>
  </si>
  <si>
    <t>ZAVALETA FLORES ROCIO JANETTE</t>
  </si>
  <si>
    <t>07506979</t>
  </si>
  <si>
    <t>IDME CONDORI WALTER</t>
  </si>
  <si>
    <t>23965718</t>
  </si>
  <si>
    <t>SUCLLI FLOREZ SIMEONA</t>
  </si>
  <si>
    <t>44792336</t>
  </si>
  <si>
    <t>BLANCO CALDERON LETHIT</t>
  </si>
  <si>
    <t>25321282</t>
  </si>
  <si>
    <t>FLOREZ HUAMANTTICA LIZBETH</t>
  </si>
  <si>
    <t>40139243</t>
  </si>
  <si>
    <t>ARENAS FIGUEROA MARCIA</t>
  </si>
  <si>
    <t>24701377</t>
  </si>
  <si>
    <t>MONZON AGUILAR SONIA</t>
  </si>
  <si>
    <t>23838890</t>
  </si>
  <si>
    <t>CORRALES GRISPO LOURDES TERESA</t>
  </si>
  <si>
    <t>25315162</t>
  </si>
  <si>
    <t>VARGAS MONTAÑEZ MARCO ANTONIO</t>
  </si>
  <si>
    <t>23864751</t>
  </si>
  <si>
    <t>MORALES GUEVARA AMANDA</t>
  </si>
  <si>
    <t>21867884</t>
  </si>
  <si>
    <t>TORRES AVALOS LUIS ALBERTO</t>
  </si>
  <si>
    <t>24698751</t>
  </si>
  <si>
    <t>BAUTISTA HUAHUATICO FELICIANO</t>
  </si>
  <si>
    <t>24990702</t>
  </si>
  <si>
    <t>FERNANDEZ TTITO CARMEN ROSA</t>
  </si>
  <si>
    <t>23976909</t>
  </si>
  <si>
    <t>BOCANGEL LETONA RUTY LUCERA</t>
  </si>
  <si>
    <t>23863970</t>
  </si>
  <si>
    <t>OBLITAS COELLO MERCY YANETTE</t>
  </si>
  <si>
    <t>25061915</t>
  </si>
  <si>
    <t>BOMBILLA PUMAYALLI WALTER</t>
  </si>
  <si>
    <t>23992247</t>
  </si>
  <si>
    <t>CUEVA QUISPE GERMAN</t>
  </si>
  <si>
    <t>23934188</t>
  </si>
  <si>
    <t>ROSA CANDIA NELY</t>
  </si>
  <si>
    <t>23975865</t>
  </si>
  <si>
    <t>CRUZ MEZA MARIA ANTONIETA</t>
  </si>
  <si>
    <t>23958799</t>
  </si>
  <si>
    <t>CONDORI CHUNCHO SILVIA</t>
  </si>
  <si>
    <t>31043737</t>
  </si>
  <si>
    <t>VILLARROEL PAREJA FREDY</t>
  </si>
  <si>
    <t>72657551</t>
  </si>
  <si>
    <t>HUILLCA VERA MIRIAM BANESA</t>
  </si>
  <si>
    <t>24715347</t>
  </si>
  <si>
    <t>JARA VILLANUEVA ZULEMA MARIBEL</t>
  </si>
  <si>
    <t>42703230</t>
  </si>
  <si>
    <t>CALDERON DELGADO INGRID SHARAZADA</t>
  </si>
  <si>
    <t>43669269</t>
  </si>
  <si>
    <t>CCALLO HUANCA EMERSON</t>
  </si>
  <si>
    <t>46970509</t>
  </si>
  <si>
    <t>ANDRADE CASTILLO CARMEN FATIMA</t>
  </si>
  <si>
    <t>41549657</t>
  </si>
  <si>
    <t>CALLO TICA MIRIAM</t>
  </si>
  <si>
    <t>40704300</t>
  </si>
  <si>
    <t>SUNI HUILLCA SONIA</t>
  </si>
  <si>
    <t>24718553</t>
  </si>
  <si>
    <t>MAQQUE QUISPE MICAELA</t>
  </si>
  <si>
    <t>40754113</t>
  </si>
  <si>
    <t>APAZA LUQUE HERBERT JHON</t>
  </si>
  <si>
    <t>46033902</t>
  </si>
  <si>
    <t>TTITO CONDORI MIRIAM</t>
  </si>
  <si>
    <t>41828365</t>
  </si>
  <si>
    <t>HUALLA CABRERA EDGAR</t>
  </si>
  <si>
    <t>47450756</t>
  </si>
  <si>
    <t>CAHUANA MERCADO ROSA JULYSSA</t>
  </si>
  <si>
    <t>24560791</t>
  </si>
  <si>
    <t>CALLO ZAPATA LEONIDAS</t>
  </si>
  <si>
    <t>40290853</t>
  </si>
  <si>
    <t>LAROTA MERMA ROBERTO WINCESLAO</t>
  </si>
  <si>
    <t>24565004</t>
  </si>
  <si>
    <t>CONDO ESCOBAR ONOFRE</t>
  </si>
  <si>
    <t>41407437</t>
  </si>
  <si>
    <t>CONDORI YANA LUCIO CESAR</t>
  </si>
  <si>
    <t>24564414</t>
  </si>
  <si>
    <t>TACUSI HERRERA JOSE FELIPE</t>
  </si>
  <si>
    <t>42314967</t>
  </si>
  <si>
    <t>HANCCO QUISPE WILLIAMS</t>
  </si>
  <si>
    <t>48574493</t>
  </si>
  <si>
    <t>QUISPE CRUZ MARLENY</t>
  </si>
  <si>
    <t>47878979</t>
  </si>
  <si>
    <t>CRUZ PUMA EDWIN</t>
  </si>
  <si>
    <t>24712693</t>
  </si>
  <si>
    <t>CHAÑI SENCIA DARIO</t>
  </si>
  <si>
    <t>41968671</t>
  </si>
  <si>
    <t>BANDA CHOQUENAIRA GODOFREDO</t>
  </si>
  <si>
    <t>70448946</t>
  </si>
  <si>
    <t>CARDENAS PAZ AXEL</t>
  </si>
  <si>
    <t>42256242</t>
  </si>
  <si>
    <t>QUISPE CCACYAVILCA RENE</t>
  </si>
  <si>
    <t>74132432</t>
  </si>
  <si>
    <t>CORIMANYA AROSQUIPA YHOSSELYN VANESSA</t>
  </si>
  <si>
    <t>46063377</t>
  </si>
  <si>
    <t>CCOLQQUE QUISPE GRISELDA</t>
  </si>
  <si>
    <t>72185059</t>
  </si>
  <si>
    <t>HOLGUIN CURI MILUVSKA JHAKELINNE</t>
  </si>
  <si>
    <t>72034229</t>
  </si>
  <si>
    <t>MAMANI QUISPE EVELYN DORIS</t>
  </si>
  <si>
    <t>47261202</t>
  </si>
  <si>
    <t>MAQQUE MAMANI LUZ ELENA</t>
  </si>
  <si>
    <t>73038805</t>
  </si>
  <si>
    <t>CORAZAO HOLGADO FIORELLA STEFANY</t>
  </si>
  <si>
    <t>42895748</t>
  </si>
  <si>
    <t>MARTINEZ PUMA RICHAR</t>
  </si>
  <si>
    <t>42605711</t>
  </si>
  <si>
    <t>MALDONADO LAYME VICTORIANO</t>
  </si>
  <si>
    <t>02448590</t>
  </si>
  <si>
    <t>CHURATA OBANDO HILARIO</t>
  </si>
  <si>
    <t>41154708</t>
  </si>
  <si>
    <t>MEJIA GONZALES CLOTILDE</t>
  </si>
  <si>
    <t>23992443</t>
  </si>
  <si>
    <t>CAÑAHUIRI CORRIDO JOSE MARIA</t>
  </si>
  <si>
    <t>24583952</t>
  </si>
  <si>
    <t>MAQQUERE CHINO PERCY</t>
  </si>
  <si>
    <t>46589256</t>
  </si>
  <si>
    <t>AGUILAR ARIZAPANA ROXANA</t>
  </si>
  <si>
    <t>47385043</t>
  </si>
  <si>
    <t>LUQUE TINTAYA MERY JUDITH</t>
  </si>
  <si>
    <t>75458829</t>
  </si>
  <si>
    <t>HUALLPA CONDORI DINA</t>
  </si>
  <si>
    <t>24719143</t>
  </si>
  <si>
    <t>HUILLCA TAPARA MARLENI</t>
  </si>
  <si>
    <t>73803477</t>
  </si>
  <si>
    <t>ACHAHUANCO CORIMANYA ALEXANDRA</t>
  </si>
  <si>
    <t>41067569</t>
  </si>
  <si>
    <t>FARFAN MONTALVO ISMAEL</t>
  </si>
  <si>
    <t>24565330</t>
  </si>
  <si>
    <t>MAMANI QUISPE PABLO</t>
  </si>
  <si>
    <t>24564474</t>
  </si>
  <si>
    <t>HUANCA USCAMAYTA VENANCIO</t>
  </si>
  <si>
    <t>40890463</t>
  </si>
  <si>
    <t>MAMANI MAMANI AQUILES</t>
  </si>
  <si>
    <t>24576486</t>
  </si>
  <si>
    <t>CCAPATINTA TORRES MERCEDES</t>
  </si>
  <si>
    <t>24564765</t>
  </si>
  <si>
    <t>MAMANI PAUCCARA PRUDENCIO</t>
  </si>
  <si>
    <t>43203011</t>
  </si>
  <si>
    <t>LUQUE TACUSI ROGER AUGUSTO</t>
  </si>
  <si>
    <t>24582085</t>
  </si>
  <si>
    <t>LUQUE TACUSI WALTER PRIMO</t>
  </si>
  <si>
    <t>24581197</t>
  </si>
  <si>
    <t>SARAVIA MAMANI MOISES</t>
  </si>
  <si>
    <t>41732503</t>
  </si>
  <si>
    <t>CJUNO QUISPE FLAVIO</t>
  </si>
  <si>
    <t>24570499</t>
  </si>
  <si>
    <t>HUILLCA HUILLCA JUAN</t>
  </si>
  <si>
    <t>24577621</t>
  </si>
  <si>
    <t>PUMA MUELLE LEOPOLDO WILFREDO</t>
  </si>
  <si>
    <t>40363728</t>
  </si>
  <si>
    <t>HUAYHUA CALLASI GREGORIO</t>
  </si>
  <si>
    <t>44137298</t>
  </si>
  <si>
    <t>PUMA CCALLO JESUS RODRIGO</t>
  </si>
  <si>
    <t>40875537</t>
  </si>
  <si>
    <t>CLEMENTE GUZMAN SAMUEL</t>
  </si>
  <si>
    <t>43440665</t>
  </si>
  <si>
    <t>CHIPANA CORDOVA ALEX ROMEO</t>
  </si>
  <si>
    <t>44450713</t>
  </si>
  <si>
    <t>CLEMENTE CONDO ABIMAEL</t>
  </si>
  <si>
    <t>74224400</t>
  </si>
  <si>
    <t>QUISPE MAMANI SAMUEL</t>
  </si>
  <si>
    <t>42915791</t>
  </si>
  <si>
    <t>MOLINA MADUEÑO HOUBERT</t>
  </si>
  <si>
    <t>24564682</t>
  </si>
  <si>
    <t>MAMANI LOPEZ LUCIANO</t>
  </si>
  <si>
    <t>45903858</t>
  </si>
  <si>
    <t>PARHUAYO QUISPE ALDO WILSON</t>
  </si>
  <si>
    <t>45344202</t>
  </si>
  <si>
    <t>CUTI SUNI AMERICO</t>
  </si>
  <si>
    <t>43582146</t>
  </si>
  <si>
    <t>MAMANI TTURUCO PEDRO</t>
  </si>
  <si>
    <t>41734239</t>
  </si>
  <si>
    <t>CUITO ESPIRILLA INGRID</t>
  </si>
  <si>
    <t>43823811</t>
  </si>
  <si>
    <t>ARQQUE CCAHUANA ORISON</t>
  </si>
  <si>
    <t>41529023</t>
  </si>
  <si>
    <t>BOLAÑOS MUELLE MARLENI</t>
  </si>
  <si>
    <t>47050387</t>
  </si>
  <si>
    <t>CALDERON RIVERA PAUL JAVIER</t>
  </si>
  <si>
    <t>45923718</t>
  </si>
  <si>
    <t>QUISPE CCUITO ADDERLY</t>
  </si>
  <si>
    <t>41882547</t>
  </si>
  <si>
    <t>SUNI AYMA BETHY</t>
  </si>
  <si>
    <t>46489705</t>
  </si>
  <si>
    <t>BARRIONUEVO NINA GRISELDA SANDY</t>
  </si>
  <si>
    <t>71080724</t>
  </si>
  <si>
    <t>CHOQUEHUANCA CALSINA MILAGROS</t>
  </si>
  <si>
    <t>43906421</t>
  </si>
  <si>
    <t>CRUZ MENDOZA CHAMBER</t>
  </si>
  <si>
    <t>47194818</t>
  </si>
  <si>
    <t>ROJAS CCAPATINTA GISELA LULIANA</t>
  </si>
  <si>
    <t>48149358</t>
  </si>
  <si>
    <t>MAZA QUIÑONES BETO DEYVIS</t>
  </si>
  <si>
    <t>24803743</t>
  </si>
  <si>
    <t>OLIVARES CASTRO WILBER</t>
  </si>
  <si>
    <t>45196048</t>
  </si>
  <si>
    <t>DOMINGUEZ ARCE ROBERTO</t>
  </si>
  <si>
    <t>24803523</t>
  </si>
  <si>
    <t>ALVIS DE MOLLO MARIA</t>
  </si>
  <si>
    <t>23975733</t>
  </si>
  <si>
    <t>ESTRADA TABOADA EDWIN</t>
  </si>
  <si>
    <t>24813294</t>
  </si>
  <si>
    <t>ANCALLA HUAMANI MARIA ISABEL</t>
  </si>
  <si>
    <t>45056573</t>
  </si>
  <si>
    <t>VALLEJOS HUAMANI AMALIA</t>
  </si>
  <si>
    <t>24813281</t>
  </si>
  <si>
    <t>RAYAN CABRERA MAXIMO</t>
  </si>
  <si>
    <t>42998196</t>
  </si>
  <si>
    <t>APFATA CHALLA WILBERT</t>
  </si>
  <si>
    <t>24808609</t>
  </si>
  <si>
    <t>OBLITAS CUBA DIOMEDES</t>
  </si>
  <si>
    <t>40817110</t>
  </si>
  <si>
    <t>TTURO SAYA DE HUILLCA MARISA</t>
  </si>
  <si>
    <t>44990063</t>
  </si>
  <si>
    <t>MEDINA MALDONADO YANETH</t>
  </si>
  <si>
    <t>24670418</t>
  </si>
  <si>
    <t>ALATA VIZARRETA MELQUIADES</t>
  </si>
  <si>
    <t>46068542</t>
  </si>
  <si>
    <t>GONZALES SACSI APOLINAR LIBERATO</t>
  </si>
  <si>
    <t>40804316</t>
  </si>
  <si>
    <t>PALOMINO CASTILLO NILTON</t>
  </si>
  <si>
    <t>41938948</t>
  </si>
  <si>
    <t>SUTTA CCAMA FELICITAS</t>
  </si>
  <si>
    <t>24811826</t>
  </si>
  <si>
    <t>BENITO BACA JUSTINA</t>
  </si>
  <si>
    <t>42618155</t>
  </si>
  <si>
    <t>SUMA QUISPE SUSANA</t>
  </si>
  <si>
    <t>43888030</t>
  </si>
  <si>
    <t>GUDIEL HUILLCA VERONICA</t>
  </si>
  <si>
    <t>47818051</t>
  </si>
  <si>
    <t>DOMINGUEZ ARCE REYNALDO</t>
  </si>
  <si>
    <t>44272159</t>
  </si>
  <si>
    <t>UMIYAURI GONZALES RICHARD</t>
  </si>
  <si>
    <t>80053817</t>
  </si>
  <si>
    <t>SURCO CHALCO ZENON</t>
  </si>
  <si>
    <t>43165401</t>
  </si>
  <si>
    <t>SUAREZ DEL CASTILLO ELIZABETH JACKELINE</t>
  </si>
  <si>
    <t>01872816</t>
  </si>
  <si>
    <t>MAMANI COPAJA WASHINGTON</t>
  </si>
  <si>
    <t>24661608</t>
  </si>
  <si>
    <t>MALDONADO QUISPE ABDON ZENOVIO</t>
  </si>
  <si>
    <t>24663908</t>
  </si>
  <si>
    <t>TORRE MUÑOZ APARICIO</t>
  </si>
  <si>
    <t>24695820</t>
  </si>
  <si>
    <t>HUANACO CACERES CARLA</t>
  </si>
  <si>
    <t>24789775</t>
  </si>
  <si>
    <t>CHAUCCA MOTTE JUAN CRISOSTOMO</t>
  </si>
  <si>
    <t>24806544</t>
  </si>
  <si>
    <t>PUMA QUISPE MAXIMILIANO</t>
  </si>
  <si>
    <t>43558787</t>
  </si>
  <si>
    <t>DOMINGUEZ ARCE CESAR</t>
  </si>
  <si>
    <t>41831166</t>
  </si>
  <si>
    <t>MAMANI MAMANI MERCEDES LILIANA</t>
  </si>
  <si>
    <t>42197786</t>
  </si>
  <si>
    <t>MENDOZA HUAMANI MAXIMO</t>
  </si>
  <si>
    <t>44634464</t>
  </si>
  <si>
    <t>ALVAREZ QUISPE YENISEL</t>
  </si>
  <si>
    <t>45115534</t>
  </si>
  <si>
    <t>ESPINOZA GANOZA REYNA ELIZABETH</t>
  </si>
  <si>
    <t>45570656</t>
  </si>
  <si>
    <t>ITUSACA MAMANI JUAN CARLOS</t>
  </si>
  <si>
    <t>45937074</t>
  </si>
  <si>
    <t>COLQUE VIZCARRA HERLINDA</t>
  </si>
  <si>
    <t>47979646</t>
  </si>
  <si>
    <t>ECHAME CCALLISAYA FELICITAS</t>
  </si>
  <si>
    <t>45552144</t>
  </si>
  <si>
    <t>SUCASACA SURCO JECIRA</t>
  </si>
  <si>
    <t>44366026</t>
  </si>
  <si>
    <t>ANCCASI PANIHUARA TITO</t>
  </si>
  <si>
    <t>42624101</t>
  </si>
  <si>
    <t>DIAZ CAHUANA RONALD</t>
  </si>
  <si>
    <t>43668811</t>
  </si>
  <si>
    <t>VILLEGAS SIVINCHA RUDY</t>
  </si>
  <si>
    <t>44214970</t>
  </si>
  <si>
    <t>RECHARTE CALLO EVA</t>
  </si>
  <si>
    <t>45514975</t>
  </si>
  <si>
    <t>CABALLERO COAQUIRA FRINE</t>
  </si>
  <si>
    <t>42961098</t>
  </si>
  <si>
    <t>NINA VILCA LUZ MARINA</t>
  </si>
  <si>
    <t>44688997</t>
  </si>
  <si>
    <t>HUAMANI HUISA EULARIA</t>
  </si>
  <si>
    <t>46608110</t>
  </si>
  <si>
    <t>SURI QUISPE YANETH LARISSA</t>
  </si>
  <si>
    <t>41438790</t>
  </si>
  <si>
    <t>MOLINA FLORES HILDA</t>
  </si>
  <si>
    <t>45593384</t>
  </si>
  <si>
    <t>PAREDES ARAGON LADY LAURA</t>
  </si>
  <si>
    <t>41498258</t>
  </si>
  <si>
    <t>HUANCAHUIRI FLORES TOMASA</t>
  </si>
  <si>
    <t>44142334</t>
  </si>
  <si>
    <t>PEZO CARRILLO TONY LEONARDO</t>
  </si>
  <si>
    <t>45469940</t>
  </si>
  <si>
    <t>PUERTAS QUISPE MIRIAM CAROLA</t>
  </si>
  <si>
    <t>73143616</t>
  </si>
  <si>
    <t>CHOQUE PEREYRA DANIELA</t>
  </si>
  <si>
    <t>41596783</t>
  </si>
  <si>
    <t>BEGAZO SOLIS YULIANA</t>
  </si>
  <si>
    <t>47689658</t>
  </si>
  <si>
    <t>LENES HUAMAN KATYA</t>
  </si>
  <si>
    <t>48257718</t>
  </si>
  <si>
    <t>PACHECO ATAYUPANQUI ANA CELIA-</t>
  </si>
  <si>
    <t>44439416</t>
  </si>
  <si>
    <t>MARQUEZ PANCHE ERIKA</t>
  </si>
  <si>
    <t>48164771</t>
  </si>
  <si>
    <t>BARRA CCOYURI MARGARITA MARYLUZ</t>
  </si>
  <si>
    <t>47087904</t>
  </si>
  <si>
    <t>VARA CUSIHUAMAN EVELYN SHIRLEY</t>
  </si>
  <si>
    <t>44357313</t>
  </si>
  <si>
    <t>GOITIA SARZOSO JANET EMILIA</t>
  </si>
  <si>
    <t>42304505</t>
  </si>
  <si>
    <t>SOTO CCAYAHUALLPA YANET</t>
  </si>
  <si>
    <t>48132323</t>
  </si>
  <si>
    <t>FARFAN DAZA PAMELA</t>
  </si>
  <si>
    <t>44735323</t>
  </si>
  <si>
    <t>VARGAS JURADO EDY</t>
  </si>
  <si>
    <t>46193522</t>
  </si>
  <si>
    <t>CCORISAPRA ALFARO YENY INES</t>
  </si>
  <si>
    <t>42199606</t>
  </si>
  <si>
    <t>CHOQUE LIMAHUAYA JOSE FIDEL</t>
  </si>
  <si>
    <t>42361372</t>
  </si>
  <si>
    <t>HUAMAN HUANCA DELIA BENITA</t>
  </si>
  <si>
    <t>43824140</t>
  </si>
  <si>
    <t>GALINDO RINCON FREDY</t>
  </si>
  <si>
    <t>46191535</t>
  </si>
  <si>
    <t>SONCCO HUAMANI LUZ MERY</t>
  </si>
  <si>
    <t>74217763</t>
  </si>
  <si>
    <t>QUISPE CALSIN EVELYN ENYI</t>
  </si>
  <si>
    <t>47791590</t>
  </si>
  <si>
    <t>GUIA VARGAS NINFA</t>
  </si>
  <si>
    <t>70223463</t>
  </si>
  <si>
    <t>MAMANI BARCENA CARMEN</t>
  </si>
  <si>
    <t>46350257</t>
  </si>
  <si>
    <t>SENCIA CONDORI JOSE REVELINO</t>
  </si>
  <si>
    <t>43069657</t>
  </si>
  <si>
    <t>INGA LLANLLAYA ELOY</t>
  </si>
  <si>
    <t>41853692</t>
  </si>
  <si>
    <t>LAIME MUÑOZ FLOR ANDINA AGLADIA</t>
  </si>
  <si>
    <t>45013331</t>
  </si>
  <si>
    <t>QUISPE HUAHUACCAPA ROXANA</t>
  </si>
  <si>
    <t>46516240</t>
  </si>
  <si>
    <t>HUAYLLA CHINCHERCOMA YESICA</t>
  </si>
  <si>
    <t>45747356</t>
  </si>
  <si>
    <t>MAMANI BUSTAMANTE KATHERINE NOEMY</t>
  </si>
  <si>
    <t>ASESOR JURIDICO</t>
  </si>
  <si>
    <t>44862402</t>
  </si>
  <si>
    <t>ORTIZ GONZALES JUAN DIEGO</t>
  </si>
  <si>
    <t>44117683</t>
  </si>
  <si>
    <t>RICASCA MARTIARENA WALDIR</t>
  </si>
  <si>
    <t>46091843</t>
  </si>
  <si>
    <t>CARDENAS TITO SAUL</t>
  </si>
  <si>
    <t>24287117</t>
  </si>
  <si>
    <t>ALCCA CCANAHUIRE RENE MAXIMO</t>
  </si>
  <si>
    <t>46345746</t>
  </si>
  <si>
    <t>CARPIO ATAUSINCHI LIZ ANNY</t>
  </si>
  <si>
    <t>41848256</t>
  </si>
  <si>
    <t>ORELLANA PALOMINO YULIANA</t>
  </si>
  <si>
    <t>41984016</t>
  </si>
  <si>
    <t>ESPINOZA RODRIGUEZ TANY</t>
  </si>
  <si>
    <t>43448132</t>
  </si>
  <si>
    <t>RAMOS HUILLCA CESAR AUGUSTO</t>
  </si>
  <si>
    <t>45094030</t>
  </si>
  <si>
    <t>PACSI CHAHUARA PASTORA</t>
  </si>
  <si>
    <t>24288640</t>
  </si>
  <si>
    <t>CCASA CONDORI SANTOS MARCELINO</t>
  </si>
  <si>
    <t>24301220</t>
  </si>
  <si>
    <t>FLOREZ CARDENAS UDELA</t>
  </si>
  <si>
    <t>70486462</t>
  </si>
  <si>
    <t>VILLENA ESCALANTE RODRIGO</t>
  </si>
  <si>
    <t>46669545</t>
  </si>
  <si>
    <t>MACEDO VERA EVANDER</t>
  </si>
  <si>
    <t>46126843</t>
  </si>
  <si>
    <t>QUISPE CHAIÑA JAVIER</t>
  </si>
  <si>
    <t>70385037</t>
  </si>
  <si>
    <t>ANCCASI PUMA FERNANDO</t>
  </si>
  <si>
    <t>45395805</t>
  </si>
  <si>
    <t>HUANCA PALOMINO DARWIN</t>
  </si>
  <si>
    <t>47365950</t>
  </si>
  <si>
    <t>CUTIPA ZAPANA SAMUEL</t>
  </si>
  <si>
    <t>45862115</t>
  </si>
  <si>
    <t>HUAMAN QUIÑO ADELA</t>
  </si>
  <si>
    <t>40291897</t>
  </si>
  <si>
    <t>AVILA CUBA RENE</t>
  </si>
  <si>
    <t>47276242</t>
  </si>
  <si>
    <t>VALENCIA HUALLPARIMACHI MIRIAM</t>
  </si>
  <si>
    <t>24282328</t>
  </si>
  <si>
    <t>HERRERA CACERES YONY TERESA</t>
  </si>
  <si>
    <t>73351026</t>
  </si>
  <si>
    <t>SUNI HUILLCA ESTHER ROXANA</t>
  </si>
  <si>
    <t>24283482</t>
  </si>
  <si>
    <t>MAMANI HUAMANI BERNARDINA</t>
  </si>
  <si>
    <t>44017424</t>
  </si>
  <si>
    <t>CASTRO SOLIS FREDERIC</t>
  </si>
  <si>
    <t>40869974</t>
  </si>
  <si>
    <t>HUAMAN MIRANO VICTOR</t>
  </si>
  <si>
    <t>44867305</t>
  </si>
  <si>
    <t>BARRIOS MIRANDA MORAYMA</t>
  </si>
  <si>
    <t>44672699</t>
  </si>
  <si>
    <t>TTITO CONDORI ROSA ROSITA</t>
  </si>
  <si>
    <t>40622840</t>
  </si>
  <si>
    <t>TTITO QUISPE JENY</t>
  </si>
  <si>
    <t>44874619</t>
  </si>
  <si>
    <t>MUÑOZ FIGUEROA ROXANA</t>
  </si>
  <si>
    <t>10561769</t>
  </si>
  <si>
    <t>BRAVO PURE YONI</t>
  </si>
  <si>
    <t>23847025</t>
  </si>
  <si>
    <t>PARIGUANA QUISPE VICTOR</t>
  </si>
  <si>
    <t>24281107</t>
  </si>
  <si>
    <t>HOLGADO PUMAHUILLCA DANIEL</t>
  </si>
  <si>
    <t>23981763</t>
  </si>
  <si>
    <t>QUISPICHO HUILLCA SALUSTIO</t>
  </si>
  <si>
    <t>23997784</t>
  </si>
  <si>
    <t>QUIROZ TITO EDGAR</t>
  </si>
  <si>
    <t>24290561</t>
  </si>
  <si>
    <t>SUNE CABALLERO VICTORIANO</t>
  </si>
  <si>
    <t>24291576</t>
  </si>
  <si>
    <t>CCAHUANA YLLA ROSALIO</t>
  </si>
  <si>
    <t>45720172</t>
  </si>
  <si>
    <t>CONDORI MEDINA JANET MILAGRITOS</t>
  </si>
  <si>
    <t>80121046</t>
  </si>
  <si>
    <t>GUTIERREZ LABRA WILBER</t>
  </si>
  <si>
    <t>23951930</t>
  </si>
  <si>
    <t>MAYTA SUTTA JUAN</t>
  </si>
  <si>
    <t>24283195</t>
  </si>
  <si>
    <t>FLOREZ CARDENAS LEONCIO</t>
  </si>
  <si>
    <t>41302328</t>
  </si>
  <si>
    <t>NINA MAYORGA SANTOS</t>
  </si>
  <si>
    <t>46248644</t>
  </si>
  <si>
    <t>CHOQUE CRUZ NELY VIRGINIA</t>
  </si>
  <si>
    <t>74226770</t>
  </si>
  <si>
    <t>CCOISO CONDO YULY</t>
  </si>
  <si>
    <t>70983229</t>
  </si>
  <si>
    <t>SEGOVIA FLOREZ ALEXANDRA FLOR</t>
  </si>
  <si>
    <t>73021319</t>
  </si>
  <si>
    <t>CHOQUE RIOS SHANNY KIMBERLY</t>
  </si>
  <si>
    <t>48703885</t>
  </si>
  <si>
    <t>CHOQUEHUANCA SONCCO ERIKA MILAGROS</t>
  </si>
  <si>
    <t>47568549</t>
  </si>
  <si>
    <t>QUISPE QUISPE NELSON</t>
  </si>
  <si>
    <t>24300410</t>
  </si>
  <si>
    <t>CAÑARI MAMANI GLORIA</t>
  </si>
  <si>
    <t>24281395</t>
  </si>
  <si>
    <t>GAMARRA GUERRA MARGARITA</t>
  </si>
  <si>
    <t>41718617</t>
  </si>
  <si>
    <t>HUAMAN CONDORI MARUJA</t>
  </si>
  <si>
    <t>41597054</t>
  </si>
  <si>
    <t>VASQUEZ CONDORI ROSMIL</t>
  </si>
  <si>
    <t>71067230</t>
  </si>
  <si>
    <t>CHAVEZ GONZALES RENE</t>
  </si>
  <si>
    <t>44441297</t>
  </si>
  <si>
    <t>AYQUIPA HUIÑOCANA LILY LIS</t>
  </si>
  <si>
    <t>40131333</t>
  </si>
  <si>
    <t>CHOQUENAIRA HUAHUACCAPA VILMA</t>
  </si>
  <si>
    <t>24683172</t>
  </si>
  <si>
    <t>MAMANI MAMANI ISIDRO</t>
  </si>
  <si>
    <t>40252402</t>
  </si>
  <si>
    <t>MAMANI ROCCA MARTHA BEATRIZ</t>
  </si>
  <si>
    <t>41956232</t>
  </si>
  <si>
    <t>ROCA QUISPE WILSON</t>
  </si>
  <si>
    <t>44249029</t>
  </si>
  <si>
    <t>CONDORI MAMANI ZENAIDA LUISA</t>
  </si>
  <si>
    <t>24714191</t>
  </si>
  <si>
    <t>JORDAN TTITO INES LUCIA</t>
  </si>
  <si>
    <t>41939896</t>
  </si>
  <si>
    <t>HUAMAN VILLA ELVIS MARIO</t>
  </si>
  <si>
    <t>44529756</t>
  </si>
  <si>
    <t>COLOMA HINOJOSA NILTON</t>
  </si>
  <si>
    <t>70089313</t>
  </si>
  <si>
    <t>RAMIREZ GUILLEN JACLYN ANAIS</t>
  </si>
  <si>
    <t>23952489</t>
  </si>
  <si>
    <t>QUINTANA ESTRADA RUTH NOHEMI</t>
  </si>
  <si>
    <t>41596703</t>
  </si>
  <si>
    <t>PATILLA HUAÑEC EDGAR</t>
  </si>
  <si>
    <t>44267722</t>
  </si>
  <si>
    <t>CONTRERAS LIMPI WILBERT</t>
  </si>
  <si>
    <t>43358727</t>
  </si>
  <si>
    <t>GARCIA UMERES EDITH</t>
  </si>
  <si>
    <t>24388828</t>
  </si>
  <si>
    <t>ROZAS MISME PABLO</t>
  </si>
  <si>
    <t>44990742</t>
  </si>
  <si>
    <t>GALLEGOS VALER GROVER</t>
  </si>
  <si>
    <t>41348415</t>
  </si>
  <si>
    <t>GALLEGOS VALER VILMA</t>
  </si>
  <si>
    <t>24382983</t>
  </si>
  <si>
    <t>SANTOYO SUCNO MARIA GRIMANEZA</t>
  </si>
  <si>
    <t>24384151</t>
  </si>
  <si>
    <t>GUERRA AYTE SONIA</t>
  </si>
  <si>
    <t>47730074</t>
  </si>
  <si>
    <t>LEVA PFUYO ROSIO</t>
  </si>
  <si>
    <t>24389886</t>
  </si>
  <si>
    <t>TORRES HUAMAN DINA SOLEDAD</t>
  </si>
  <si>
    <t>44644872</t>
  </si>
  <si>
    <t>CARRION VARGAS DE MONTES NANCY</t>
  </si>
  <si>
    <t>41939438</t>
  </si>
  <si>
    <t>TACURI MAMANI AYDE</t>
  </si>
  <si>
    <t>24390784</t>
  </si>
  <si>
    <t>VALENZA OLIVERA ABRAHAM</t>
  </si>
  <si>
    <t>47791368</t>
  </si>
  <si>
    <t>CALANCHI CJUMO YURI MAYUMI</t>
  </si>
  <si>
    <t>24388515</t>
  </si>
  <si>
    <t>ANDRADE QUISPE DE HUARHUA MARIA BELEN</t>
  </si>
  <si>
    <t>45257830</t>
  </si>
  <si>
    <t>HUAMAN AQUINO YUVISA</t>
  </si>
  <si>
    <t>24383394</t>
  </si>
  <si>
    <t>CASTILLO CHAVEZ TEOFILA</t>
  </si>
  <si>
    <t>25005507</t>
  </si>
  <si>
    <t>HUACAC ANDRADE ALICIA</t>
  </si>
  <si>
    <t>44874610</t>
  </si>
  <si>
    <t>HUILLCA CHINO HECTOR ELOY</t>
  </si>
  <si>
    <t>46721529</t>
  </si>
  <si>
    <t>CARECCA DIAZ EDWIN</t>
  </si>
  <si>
    <t>46153330</t>
  </si>
  <si>
    <t>HOLGUIN CURI KATIUVSKA KATHERINNE</t>
  </si>
  <si>
    <t>42462329</t>
  </si>
  <si>
    <t>CUCCHI TRONCOSO EDWARD</t>
  </si>
  <si>
    <t>46381941</t>
  </si>
  <si>
    <t>ALVAREZ RIQUELME FAVIER ULISES</t>
  </si>
  <si>
    <t>45010116</t>
  </si>
  <si>
    <t>BELLIDO VALENZA FRANZ HOUSTON</t>
  </si>
  <si>
    <t>73378440</t>
  </si>
  <si>
    <t>AUCCACUSI SANCHEZ ANNY MILUZKA</t>
  </si>
  <si>
    <t>41884381</t>
  </si>
  <si>
    <t>TTITO PUMACHAPI VALENTIN MOISES</t>
  </si>
  <si>
    <t>70126746</t>
  </si>
  <si>
    <t>RAYO ORTIZ DE ORUE CARLOS ALBERTO</t>
  </si>
  <si>
    <t>44002104</t>
  </si>
  <si>
    <t>SANTA CRUZ POCCORI MARTHA</t>
  </si>
  <si>
    <t>43756250</t>
  </si>
  <si>
    <t>REGAÑO GRANDA EDWIN</t>
  </si>
  <si>
    <t>72484982</t>
  </si>
  <si>
    <t>CASTRO ALVAREZ WILHELM JUVENAL</t>
  </si>
  <si>
    <t>41585587</t>
  </si>
  <si>
    <t>MAYHUA MAYTA YENI</t>
  </si>
  <si>
    <t>72413289</t>
  </si>
  <si>
    <t>OCHOA BACA GIULIANA</t>
  </si>
  <si>
    <t>23879645</t>
  </si>
  <si>
    <t>GIL ORIHUELA MARIA JESUS</t>
  </si>
  <si>
    <t>23979339</t>
  </si>
  <si>
    <t>AYMACHOQUE CUMPA PILAR</t>
  </si>
  <si>
    <t>44690995</t>
  </si>
  <si>
    <t>CASTILLO FLOREZ EDWARD</t>
  </si>
  <si>
    <t>41499909</t>
  </si>
  <si>
    <t>BAUTISTA PAUCAR ROSA INES</t>
  </si>
  <si>
    <t>23999817</t>
  </si>
  <si>
    <t>OQUENDO GAMARRA JUAN CARLOS</t>
  </si>
  <si>
    <t>23987974</t>
  </si>
  <si>
    <t>BUTRON HEREDIA YOVANA</t>
  </si>
  <si>
    <t>25308230</t>
  </si>
  <si>
    <t>QUISPE QUILLAHUAMAN ELSA</t>
  </si>
  <si>
    <t>24715479</t>
  </si>
  <si>
    <t>HUILLCA APARICIO EUSEBIA</t>
  </si>
  <si>
    <t>24372590</t>
  </si>
  <si>
    <t>AUCCAYSE NAYHUA ISAAC</t>
  </si>
  <si>
    <t>23933804</t>
  </si>
  <si>
    <t>TTURO AYALA PRUDENCIA</t>
  </si>
  <si>
    <t>24366432</t>
  </si>
  <si>
    <t>BORDA MELLADO P ALCIBIADES</t>
  </si>
  <si>
    <t>23966529</t>
  </si>
  <si>
    <t>ORMACHEA ZANABRIA PATRICIA</t>
  </si>
  <si>
    <t>23838622</t>
  </si>
  <si>
    <t>CHACON HUAMAN PLACIDO</t>
  </si>
  <si>
    <t>23945454</t>
  </si>
  <si>
    <t>CHAHUA PINEDO LOURDES</t>
  </si>
  <si>
    <t>31165235</t>
  </si>
  <si>
    <t>TRUYENQUE ARESTEGUI PIO MAXIMO</t>
  </si>
  <si>
    <t>45530145</t>
  </si>
  <si>
    <t>QUISPE COELLO PAOLA YUSVELY</t>
  </si>
  <si>
    <t>45797002</t>
  </si>
  <si>
    <t>SINCHI QUISPE RUTH</t>
  </si>
  <si>
    <t>43515670</t>
  </si>
  <si>
    <t>VALDEZ SEGURA JOHANNA</t>
  </si>
  <si>
    <t>45469864</t>
  </si>
  <si>
    <t>SOTOMAYOR BAÑOS JUAN JUNIOR</t>
  </si>
  <si>
    <t>47873336</t>
  </si>
  <si>
    <t>TRUJILLO COLQUE ROSMERI</t>
  </si>
  <si>
    <t>23829145</t>
  </si>
  <si>
    <t>PERALTA RODRIGUEZ DIANA MERCEDES</t>
  </si>
  <si>
    <t>46223335</t>
  </si>
  <si>
    <t>CCOSCCO SURCO CARMEN SORAIDA</t>
  </si>
  <si>
    <t>24388387</t>
  </si>
  <si>
    <t>HUAMAN GUZMAN CARMEN ROSA</t>
  </si>
  <si>
    <t>40448652</t>
  </si>
  <si>
    <t>CARRION LEGUIA MARUJA</t>
  </si>
  <si>
    <t>40118403</t>
  </si>
  <si>
    <t>PFUYO HUAMAN MERCEDES</t>
  </si>
  <si>
    <t>24361400</t>
  </si>
  <si>
    <t>MALDONADO QUISPE WALTER ENRIQUE</t>
  </si>
  <si>
    <t>44137233</t>
  </si>
  <si>
    <t>CHACON HUAMAN INDIRA</t>
  </si>
  <si>
    <t>24364396</t>
  </si>
  <si>
    <t>RODRIGUEZ ASCUE BRAULIO</t>
  </si>
  <si>
    <t>40887579</t>
  </si>
  <si>
    <t>ANDRADE CACERES HECTOR</t>
  </si>
  <si>
    <t>47086093</t>
  </si>
  <si>
    <t>MIRANDA PORROA WILLY LIONEL</t>
  </si>
  <si>
    <t>42417318</t>
  </si>
  <si>
    <t>LIMA SIHUI JAVIER</t>
  </si>
  <si>
    <t>70081325</t>
  </si>
  <si>
    <t>ORCCOSUPA HUAMAN LEONOR</t>
  </si>
  <si>
    <t>23952468</t>
  </si>
  <si>
    <t>LOPEZ HUAMAN PEDRO</t>
  </si>
  <si>
    <t>44101846</t>
  </si>
  <si>
    <t>GOMEZ ANO FERMIN</t>
  </si>
  <si>
    <t>24382621</t>
  </si>
  <si>
    <t>CCAHUA HUARI ELISEO</t>
  </si>
  <si>
    <t>24004910</t>
  </si>
  <si>
    <t>ONUCUYCA ENRIQUEZ SANTUSA</t>
  </si>
  <si>
    <t>41271241</t>
  </si>
  <si>
    <t>MENDOZA BELLIDO THETIS BRISEYDA</t>
  </si>
  <si>
    <t>44636009</t>
  </si>
  <si>
    <t>CHUSPE PUMACCAHUA JOHAN</t>
  </si>
  <si>
    <t>44529772</t>
  </si>
  <si>
    <t>QUISPE HUAMAN DE KADAGAND KARINA RICARDINA</t>
  </si>
  <si>
    <t>70081315</t>
  </si>
  <si>
    <t>MISME JIMENEZ ALEX RICARDO</t>
  </si>
  <si>
    <t>24377172</t>
  </si>
  <si>
    <t>TABOADA CHACON MARISOL ANTONIETA</t>
  </si>
  <si>
    <t>43817444</t>
  </si>
  <si>
    <t>KADAGAND ACOSTUPA ROSELIN ANYELIK</t>
  </si>
  <si>
    <t>46927377</t>
  </si>
  <si>
    <t>CUTUCALLA HINOJOSA PAUL NEO</t>
  </si>
  <si>
    <t>24389428</t>
  </si>
  <si>
    <t>HUAMAN AQUINO PERCY</t>
  </si>
  <si>
    <t>24389185</t>
  </si>
  <si>
    <t>ORCCOSUPA SALAS AYDE</t>
  </si>
  <si>
    <t>23960858</t>
  </si>
  <si>
    <t>HUAMAN SALCEDO JUAN JULIO</t>
  </si>
  <si>
    <t>23955098</t>
  </si>
  <si>
    <t>MANOTUPA PUMA LUCIA</t>
  </si>
  <si>
    <t>24982140</t>
  </si>
  <si>
    <t>AZURIN CAVIEDES UBALDINA</t>
  </si>
  <si>
    <t>46223336</t>
  </si>
  <si>
    <t>GOMEZ RAMOS OVER</t>
  </si>
  <si>
    <t>24388441</t>
  </si>
  <si>
    <t>HUAMANI TORREZ SIMION</t>
  </si>
  <si>
    <t>23965968</t>
  </si>
  <si>
    <t>HUAYLLAPUMA ZEVALLOS RAFAEL</t>
  </si>
  <si>
    <t>40195324</t>
  </si>
  <si>
    <t>MENDOZA BELLIDO ROSA YESHICA</t>
  </si>
  <si>
    <t>23855705</t>
  </si>
  <si>
    <t>RAMIREZ SALAS DANIEL COSME</t>
  </si>
  <si>
    <t>45017242</t>
  </si>
  <si>
    <t>ORCCOSUPA SALAS FREDY</t>
  </si>
  <si>
    <t>72457177</t>
  </si>
  <si>
    <t>PARO MARISCAL CESAR ENRIQUE</t>
  </si>
  <si>
    <t>76121097</t>
  </si>
  <si>
    <t>MARISCAL SANTA CRUZ POOL CESAR</t>
  </si>
  <si>
    <t>40924058</t>
  </si>
  <si>
    <t>CCOLQUE ACCOSTUPA WILBER</t>
  </si>
  <si>
    <t>44406669</t>
  </si>
  <si>
    <t>BEDIA BAZAN NADIA</t>
  </si>
  <si>
    <t>46049853</t>
  </si>
  <si>
    <t>HUAMAN MAURI DIANESA</t>
  </si>
  <si>
    <t>76509419</t>
  </si>
  <si>
    <t>RAMIREZ COLLANTE MILAGROS GABRIELA</t>
  </si>
  <si>
    <t>44460546</t>
  </si>
  <si>
    <t>FERNANDEZ PILCO CARLA IVANIA</t>
  </si>
  <si>
    <t>23980902</t>
  </si>
  <si>
    <t>CHIPANA UMPIRE ROSAURA</t>
  </si>
  <si>
    <t>43236105</t>
  </si>
  <si>
    <t>CHOQUE CCALLA VICTORIA</t>
  </si>
  <si>
    <t>23841814</t>
  </si>
  <si>
    <t>ANDRADE ALVAREZ ABNER DARIO</t>
  </si>
  <si>
    <t>43415352</t>
  </si>
  <si>
    <t>AUCCAPURE CUTIRE MARIANELA</t>
  </si>
  <si>
    <t>23979256</t>
  </si>
  <si>
    <t>MERMA BARAZORDA ERIKA AVELINA</t>
  </si>
  <si>
    <t>40974453</t>
  </si>
  <si>
    <t>LEIVA LOAIZA CARLOS ALBERTO</t>
  </si>
  <si>
    <t>71483520</t>
  </si>
  <si>
    <t>CHAPARRO MORALES SANDRA</t>
  </si>
  <si>
    <t>24004580</t>
  </si>
  <si>
    <t>FERNANDEZ BACA PAUCAR ELARD</t>
  </si>
  <si>
    <t>23867225</t>
  </si>
  <si>
    <t>BARRIOS DAZA JORGE FILIBERTO</t>
  </si>
  <si>
    <t>40395370</t>
  </si>
  <si>
    <t>QUISPE QUISPE DINA</t>
  </si>
  <si>
    <t>40304105</t>
  </si>
  <si>
    <t>ACOSTA VARGAS KATTYA ANABEL</t>
  </si>
  <si>
    <t>24361258</t>
  </si>
  <si>
    <t>OCROS LEYVA HILDA</t>
  </si>
  <si>
    <t>24954446</t>
  </si>
  <si>
    <t>QUINTANILLA ROZAS EDWIN</t>
  </si>
  <si>
    <t>25217377</t>
  </si>
  <si>
    <t>DURAN FERNANDEZ SAMUEL ROBERTO</t>
  </si>
  <si>
    <t>44181545</t>
  </si>
  <si>
    <t>ATAMARI ENRIQUEZ YESICA</t>
  </si>
  <si>
    <t>43008451</t>
  </si>
  <si>
    <t>ORE PALOMINO WILBER</t>
  </si>
  <si>
    <t>TESORERO</t>
  </si>
  <si>
    <t>46637986</t>
  </si>
  <si>
    <t>SUCÑER GUISADO DIANA</t>
  </si>
  <si>
    <t>PLANIFICADOR</t>
  </si>
  <si>
    <t>JEFE DE ABASTECIMIENTO</t>
  </si>
  <si>
    <t>41678568</t>
  </si>
  <si>
    <t>JANAMPA GALVEZ FREDY</t>
  </si>
  <si>
    <t>JEFE DE OFICINA CENTRAL DE CONTROL INTERNO</t>
  </si>
  <si>
    <t>FINANCISTA</t>
  </si>
  <si>
    <t>71959304</t>
  </si>
  <si>
    <t>PEREZ ÑAHUI CRISTHIAN JESUS</t>
  </si>
  <si>
    <t>47277632</t>
  </si>
  <si>
    <t>TTITO ORIUNDO KATTY FRANCESCA</t>
  </si>
  <si>
    <t>42506996</t>
  </si>
  <si>
    <t>CARRASCO RAMIREZ CECILIA CAROLINA</t>
  </si>
  <si>
    <t>20123430</t>
  </si>
  <si>
    <t>OROSCO TORRES YENY</t>
  </si>
  <si>
    <t>00497105</t>
  </si>
  <si>
    <t>CONDORI JARICA MARTHA MARLENE</t>
  </si>
  <si>
    <t>71014999</t>
  </si>
  <si>
    <t>QUISPE CJUIRO JUDITH</t>
  </si>
  <si>
    <t>42601844</t>
  </si>
  <si>
    <t>CALDERON CHAVEZ MENDER VALERIANO</t>
  </si>
  <si>
    <t>40804888</t>
  </si>
  <si>
    <t>ARONI SALAZAR CARMEN</t>
  </si>
  <si>
    <t>76549636</t>
  </si>
  <si>
    <t>MAURI YARANGA REYNI ISABEL</t>
  </si>
  <si>
    <t>44878867</t>
  </si>
  <si>
    <t>CALLE RUIZ MARITZA</t>
  </si>
  <si>
    <t>72293522</t>
  </si>
  <si>
    <t>ESPEJO LOBATON LUIS ALBERTO</t>
  </si>
  <si>
    <t>73886767</t>
  </si>
  <si>
    <t>TRISTAN QUISPE YOVANA</t>
  </si>
  <si>
    <t>74159924</t>
  </si>
  <si>
    <t>CARDENAS ACUÑA ALFREDO</t>
  </si>
  <si>
    <t>41894475</t>
  </si>
  <si>
    <t>HUANACO CASTILLO EDGAR</t>
  </si>
  <si>
    <t>47456145</t>
  </si>
  <si>
    <t>LOPEZ HUACHACA JULIO CESAR</t>
  </si>
  <si>
    <t>43578873</t>
  </si>
  <si>
    <t>QUISPE TORALVA JUAN CARLOS</t>
  </si>
  <si>
    <t>20052743</t>
  </si>
  <si>
    <t>VILCAS CENTENO JORGE LUIS</t>
  </si>
  <si>
    <t>47265627</t>
  </si>
  <si>
    <t>PORTAL DE LA CRUZ KEVIN CRISTIAN</t>
  </si>
  <si>
    <t>42273297</t>
  </si>
  <si>
    <t>MAMANI QUISPE MILTON ALEX</t>
  </si>
  <si>
    <t>28276498</t>
  </si>
  <si>
    <t>ESCARCENA QUISPE NAZARIO</t>
  </si>
  <si>
    <t>47957535</t>
  </si>
  <si>
    <t>SUNI PHUTURI YADILUZ</t>
  </si>
  <si>
    <t>42261448</t>
  </si>
  <si>
    <t>PAREDES BARRIENTOS JAVIER</t>
  </si>
  <si>
    <t>43580848</t>
  </si>
  <si>
    <t>COLLAS VIDAL DANIEL HASHEMI</t>
  </si>
  <si>
    <t>42941028</t>
  </si>
  <si>
    <t>GARAY WARTHON BROOKE STEPHANIE</t>
  </si>
  <si>
    <t>77097878</t>
  </si>
  <si>
    <t>MATTOS SILVA YANINA LUCINDA</t>
  </si>
  <si>
    <t>72134516</t>
  </si>
  <si>
    <t>PEREZ FERNANDEZ LADY MARIA</t>
  </si>
  <si>
    <t>72276724</t>
  </si>
  <si>
    <t>RAMIREZ CUEVA CAROL YAMILY</t>
  </si>
  <si>
    <t>06687271</t>
  </si>
  <si>
    <t>ALATRISTA COCA MARIA ISABEL</t>
  </si>
  <si>
    <t>46073201</t>
  </si>
  <si>
    <t>CARDENAS TELLO LUCERO KATHERINE</t>
  </si>
  <si>
    <t>70225771</t>
  </si>
  <si>
    <t>MORALES MONTES MARIELENA MERCEDES</t>
  </si>
  <si>
    <t>48128191</t>
  </si>
  <si>
    <t>DE LA CRUZ GUTIERREZ KETTY ROCIO</t>
  </si>
  <si>
    <t>28713342</t>
  </si>
  <si>
    <t>GARCIA GUTIERREZ RAUL</t>
  </si>
  <si>
    <t>42231306</t>
  </si>
  <si>
    <t>SOLIER ESCOBAR GODOFREDO</t>
  </si>
  <si>
    <t>42365248</t>
  </si>
  <si>
    <t>RAMIREZ PACHECO NORMA</t>
  </si>
  <si>
    <t>42943692</t>
  </si>
  <si>
    <t>MEZA VELASQUEZ KARINA RUTH</t>
  </si>
  <si>
    <t>45788938</t>
  </si>
  <si>
    <t>QUISPE LABRA WILBERT</t>
  </si>
  <si>
    <t>40893768</t>
  </si>
  <si>
    <t>SARAVIA CANELO MARGARITA VICTORIA</t>
  </si>
  <si>
    <t>24487128</t>
  </si>
  <si>
    <t>ALOSILLA HUALLPA ERNESTINA</t>
  </si>
  <si>
    <t>44733504</t>
  </si>
  <si>
    <t>QUISPE COANQUI NOEMI BETZAIDA</t>
  </si>
  <si>
    <t>41827489</t>
  </si>
  <si>
    <t>MOSCOSO QUILLILLI MARIA ANTONIETA</t>
  </si>
  <si>
    <t>70220915</t>
  </si>
  <si>
    <t>QUISPE LOAYZA ROCIO INES</t>
  </si>
  <si>
    <t>48077715</t>
  </si>
  <si>
    <t>ROJAS GOMEZ SUSAN</t>
  </si>
  <si>
    <t>47981255</t>
  </si>
  <si>
    <t>QUISPE HUARCAYA MIQUEAS</t>
  </si>
  <si>
    <t>45290025</t>
  </si>
  <si>
    <t>VASQUEZ TAIPE RENE</t>
  </si>
  <si>
    <t>02299146</t>
  </si>
  <si>
    <t>FIGUEROA PINO MARTHA</t>
  </si>
  <si>
    <t>70685628</t>
  </si>
  <si>
    <t>MORA RAMIREZ JAZMIN AROMA</t>
  </si>
  <si>
    <t>48268922</t>
  </si>
  <si>
    <t>ALVARRACIN GUZMAN EDY SHILET</t>
  </si>
  <si>
    <t>48031190</t>
  </si>
  <si>
    <t>CASTRO ZEA YANET ESTEFANI</t>
  </si>
  <si>
    <t>42914701</t>
  </si>
  <si>
    <t>ROMERO MUÑOZ ANITA</t>
  </si>
  <si>
    <t>77154904</t>
  </si>
  <si>
    <t>GARCIA ESPINO FLOR CINTHIA</t>
  </si>
  <si>
    <t>74351889</t>
  </si>
  <si>
    <t>FIGUEROA SANTIAGO EDITH ALEXANDRA</t>
  </si>
  <si>
    <t>76541467</t>
  </si>
  <si>
    <t>PEREZ CONDORI YOLANDA MAXIMILIANA</t>
  </si>
  <si>
    <t>46379890</t>
  </si>
  <si>
    <t>YUCRA LEANDRO NORMA</t>
  </si>
  <si>
    <t>25019545</t>
  </si>
  <si>
    <t>CORNEJO MARQUINA LUIS JULIAN</t>
  </si>
  <si>
    <t>45738999</t>
  </si>
  <si>
    <t>MENDOZA ESPINO SULMA</t>
  </si>
  <si>
    <t>41974760</t>
  </si>
  <si>
    <t>QUISPE RIVEROS SABINA</t>
  </si>
  <si>
    <t>45735363</t>
  </si>
  <si>
    <t>HUAMAN BERROCAL LOURDES FANI</t>
  </si>
  <si>
    <t>48221641</t>
  </si>
  <si>
    <t>DE LA CRUZ HUICHO MONICA</t>
  </si>
  <si>
    <t>73937049</t>
  </si>
  <si>
    <t>ARCCE SOLIS SOFIA AYDEE</t>
  </si>
  <si>
    <t>45890427</t>
  </si>
  <si>
    <t>DE LA CRUZ QUISPE ANTONIO</t>
  </si>
  <si>
    <t>76661716</t>
  </si>
  <si>
    <t>QUINTO TALAVERA JORGE</t>
  </si>
  <si>
    <t>25019503</t>
  </si>
  <si>
    <t>MANCILLA RIMACHI MATEO</t>
  </si>
  <si>
    <t>46379887</t>
  </si>
  <si>
    <t>ARROYO ROMERO EMERSON</t>
  </si>
  <si>
    <t>47820275</t>
  </si>
  <si>
    <t>QUISPE ROMERO NOEMI EUSTERIA</t>
  </si>
  <si>
    <t>40716485</t>
  </si>
  <si>
    <t>YUCRA MUÑOZ NANCY</t>
  </si>
  <si>
    <t>23973109</t>
  </si>
  <si>
    <t>CCACCRO GALVAN JULIAN</t>
  </si>
  <si>
    <t>48155355</t>
  </si>
  <si>
    <t>BELTRAN AGUILAR TITO ABEL</t>
  </si>
  <si>
    <t>72784312</t>
  </si>
  <si>
    <t>BARRIOS TRINIDAD JHOJAN DEMETRIO</t>
  </si>
  <si>
    <t>09531928</t>
  </si>
  <si>
    <t>BELTRAN AGUILAR WALTER</t>
  </si>
  <si>
    <t>43655731</t>
  </si>
  <si>
    <t>ROJAS PERALTA JAIME</t>
  </si>
  <si>
    <t>40233715</t>
  </si>
  <si>
    <t>GARIBAY ESPINOZA GABRIELA</t>
  </si>
  <si>
    <t>41417321</t>
  </si>
  <si>
    <t>MAMANI QUISPE ELISA</t>
  </si>
  <si>
    <t>71999082</t>
  </si>
  <si>
    <t>ANCCANA HUAMAN ERIKA BERTHA</t>
  </si>
  <si>
    <t>28276402</t>
  </si>
  <si>
    <t>PORTAL YUPANQUI PAULINA</t>
  </si>
  <si>
    <t>42634846</t>
  </si>
  <si>
    <t>HUAYANA OLORTEGUI EBER MISAEL</t>
  </si>
  <si>
    <t>40480654</t>
  </si>
  <si>
    <t>BANDA SULCA AMERICO</t>
  </si>
  <si>
    <t>61691773</t>
  </si>
  <si>
    <t>CRUZ AZORSA RICARDO JAVIER</t>
  </si>
  <si>
    <t>44703698</t>
  </si>
  <si>
    <t>ESPINOZA PALOMINO JUDY GEOVANNA</t>
  </si>
  <si>
    <t>47672338</t>
  </si>
  <si>
    <t>CORNEJO NAVARRO GUADALUPE</t>
  </si>
  <si>
    <t>71022220</t>
  </si>
  <si>
    <t>LAPA PEREZ MARIA ANGELICA</t>
  </si>
  <si>
    <t>44754117</t>
  </si>
  <si>
    <t>MORILLO INCAHUANACO ISABEL JULIA</t>
  </si>
  <si>
    <t>43155629</t>
  </si>
  <si>
    <t>QUISPE PALOMINO DANIEL</t>
  </si>
  <si>
    <t>70822398</t>
  </si>
  <si>
    <t>ARANGO BERROCAL JHON ALEX</t>
  </si>
  <si>
    <t>73468791</t>
  </si>
  <si>
    <t>SALVATIERRA LIZANA ANTONY</t>
  </si>
  <si>
    <t>45529140</t>
  </si>
  <si>
    <t>QUIÑONES CORAL YANETT ROXANA</t>
  </si>
  <si>
    <t>42117325</t>
  </si>
  <si>
    <t>PILCO CUTIPA ELISEO</t>
  </si>
  <si>
    <t>41562320</t>
  </si>
  <si>
    <t>FLORES ANGULO JUAN EDUARDO</t>
  </si>
  <si>
    <t>42020112</t>
  </si>
  <si>
    <t>GALINDO FLORES EDGARD</t>
  </si>
  <si>
    <t>45534283</t>
  </si>
  <si>
    <t>PORTAL PALOMINO EDDY</t>
  </si>
  <si>
    <t>43419052</t>
  </si>
  <si>
    <t>VARGAS BARBOZA BEATY CUYANY</t>
  </si>
  <si>
    <t>44479032</t>
  </si>
  <si>
    <t>MALLQUI GARCIA YUDIT ROXANA</t>
  </si>
  <si>
    <t>24587296</t>
  </si>
  <si>
    <t>MAMANI AYALA ABDON</t>
  </si>
  <si>
    <t>40731735</t>
  </si>
  <si>
    <t>SUNI AYMACHOQUE WILBER</t>
  </si>
  <si>
    <t>24495981</t>
  </si>
  <si>
    <t>SINGUNA CORNEJO ELISA</t>
  </si>
  <si>
    <t>41682741</t>
  </si>
  <si>
    <t>GOMEZ DIQUEZ PEDRO</t>
  </si>
  <si>
    <t>PLIEGO 446:  GOBIERNO REGIONAL DEL DEPARTAMENTO DEL CSUCO</t>
  </si>
  <si>
    <t>001 SEDE CUSCO</t>
  </si>
  <si>
    <t>402  HOSPITAL DE APOYO DPTAL.CUSCO</t>
  </si>
  <si>
    <t>408  HOSPITAL DE ESPINAR</t>
  </si>
  <si>
    <t>412  SALUD CHUMBIVILCAS</t>
  </si>
  <si>
    <t>316  EDUCACION PICHARI KIMBIRI VILLA VIRGEN</t>
  </si>
  <si>
    <t>FUENTE DE FINANCIAMIENTO  RECURSOS ORDINARIOS</t>
  </si>
  <si>
    <t>FUENTE DE FINANCIAMIENTO  RECURSOS DIRECTAMENTE RECAUDADOS</t>
  </si>
  <si>
    <t>FUENTE DE FINANCIAMIENTO  RECURSOS POR OPERACIONES OFICIALES DE CREDITO</t>
  </si>
  <si>
    <t>FUENTE DE FINANCIAMIENTO  DONACIONES Y TRANSFERENCIAS</t>
  </si>
  <si>
    <t>FUENTE DE FINANCIAMIENTO  RECURSOS DETERMINADOS</t>
  </si>
  <si>
    <t>(*) DEBE COINCIDIR CON LOS MONTOS ASIGNADOS EN LA GENERICA 3. BIENES Y SERVICIOS CONSIDERADAS EN EL PRESUPUESTO 2019 - 2020 - 2021</t>
  </si>
  <si>
    <t>UNIDAD EJECUTORA 200:  TRANSPORTES CUSCO</t>
  </si>
  <si>
    <t>CONTRATACIÓN DEL SERVICIO DE CONSULTORÍA PARA LA ELABORACIÓN DEL PERFIL Y EXPEDIENTE TÉCNICO DEL PIP MEJORAMENTO DEL SERVICIO DE TRANSITABILIDAD VEHICULAR DE LA CARRETERA DEPARTAMENTAL CU-119 TRAMO I: EMP CU-117 (ABRA RANRACCASA) - PACCARECTAMBO EMP PE 3SY (DESVIO CCAPACMARCA) EN LOS DISTRITOS DE PARURO, PACCARECTAMBO, CCAPI Y CCAPACMARCA DE LA PROVINCIA DE CHUMBIVILCAS Y PARURO, DEPARTAMENTO DEL CUSCO</t>
  </si>
  <si>
    <t>…</t>
  </si>
  <si>
    <t>SERVICIO DE CONSULTORIA PARA LA ELABORACION DE PERFIL Y EXPEDIENTE TECNICO DEL PIP MEJORAMIENTO DEL SERVICIO DE TRANSITABILIDAD VEHICULAR DE LA CARRETERA DEPARTAMENTAL CU-119 TRAMO II: EMP. PE 3SY (MUYUORCCO) - COLQUEMARCA EN LOS DISTRITOS DE CCAPACMARCA Y COLQUEMARCA DE LA PROVINCIA DE CHUMBIVILCAS, DEPARTAMENTO DEL CUSCO</t>
  </si>
  <si>
    <t>Informatica</t>
  </si>
  <si>
    <t>AUDITORIA</t>
  </si>
  <si>
    <t>AUDITORIA FINANCIERA</t>
  </si>
  <si>
    <t>UNIDAD EJECUTORA 300:  EDUCACION CUSCO</t>
  </si>
  <si>
    <t>CONSULTORIA EN LA ELABORACION DE EXPEDIENTES DE CABLEADO ELECTRICO Y DE REDES</t>
  </si>
  <si>
    <t>HUACAC DELGADO YASSER LARRI</t>
  </si>
  <si>
    <t>ELABORACIÓN DE FICHA TECNICA "REHABILITACIÓN Y REPOSICIÓN DEL SISTEMA DE CA</t>
  </si>
  <si>
    <t>INGENIERO ELECTRICISTA</t>
  </si>
  <si>
    <t>ELABORACION DE EXPEDIENTES TECNICOS</t>
  </si>
  <si>
    <t>CCENTE OLARTE JOSE ANTONIO</t>
  </si>
  <si>
    <t>446 GOBIERNO REGIONAL DEL DEPARTAMENTO DEL CUSCO</t>
  </si>
  <si>
    <t>401: SALUD CANAS CANCHIS ESPINAR</t>
  </si>
  <si>
    <t>HUARANCA ROMERO GLADYS FANY</t>
  </si>
  <si>
    <t>TERCEROS</t>
  </si>
  <si>
    <t>ESCRITURA DE COMPRA VENTA</t>
  </si>
  <si>
    <t>01/12/2019 AL 31/12/2019</t>
  </si>
  <si>
    <t>MENSUAL</t>
  </si>
  <si>
    <t>TORRES PORTUGAL MARIO WILY</t>
  </si>
  <si>
    <t>P59019767</t>
  </si>
  <si>
    <t>25 M2</t>
  </si>
  <si>
    <t>01/03/2019 AL 31/12/2019</t>
  </si>
  <si>
    <t>15/04/2020 AL 30/11/2020</t>
  </si>
  <si>
    <t>01/01/2020 AL 30/06/2020</t>
  </si>
  <si>
    <t>446: GOBIERNO REGIONAL DEL CUSCO</t>
  </si>
  <si>
    <t>407: RED DE SERVICIOS DE SALUD CUSCO NORTE</t>
  </si>
  <si>
    <t>JULIO PERCY POCHUANCA CCAMA</t>
  </si>
  <si>
    <t>PROPIO</t>
  </si>
  <si>
    <t>02048239</t>
  </si>
  <si>
    <t>100M2</t>
  </si>
  <si>
    <t>NO</t>
  </si>
  <si>
    <t>01/01/2019 al 31/12/2019</t>
  </si>
  <si>
    <t>MENSUAL, CADA 30</t>
  </si>
  <si>
    <t>01/01/2020 al 30/06/20</t>
  </si>
  <si>
    <t>300 EDUCACION CUSCO</t>
  </si>
  <si>
    <t>WALTER ENCISO</t>
  </si>
  <si>
    <t>TERCERO</t>
  </si>
  <si>
    <t>NO APLICA</t>
  </si>
  <si>
    <t>ORDEN DE SERVICIO</t>
  </si>
  <si>
    <t>AUCCACUSI VDA DE HUAMAN MARIA</t>
  </si>
  <si>
    <t>200 M2</t>
  </si>
  <si>
    <t>X</t>
  </si>
  <si>
    <t>12 MESES</t>
  </si>
  <si>
    <t xml:space="preserve">MENSUAL </t>
  </si>
  <si>
    <t>17 MT</t>
  </si>
  <si>
    <t>6 MESES</t>
  </si>
  <si>
    <t>QUISPE QUISPE CAYETANO</t>
  </si>
  <si>
    <t>TESTIMONIO DE PROPIEDAD</t>
  </si>
  <si>
    <t>CONTRATO POR UN AÑO</t>
  </si>
  <si>
    <t>CONDORI ESPINOZA NICOLAS</t>
  </si>
  <si>
    <t>JIMENEZ QUISPE JUSTINIANO</t>
  </si>
  <si>
    <t>ANCCALLE YAURI LUIS</t>
  </si>
  <si>
    <t>EJECUCIÓN 2019</t>
  </si>
  <si>
    <t>EJECUCIÓN 2020 (*)</t>
  </si>
  <si>
    <t>UGEL CUSCO  312</t>
  </si>
  <si>
    <t>INVERSIONES ROYAL INKA  SA</t>
  </si>
  <si>
    <t>120 M2</t>
  </si>
  <si>
    <t>1 SEMANA</t>
  </si>
  <si>
    <t>CCI   22/11/2019</t>
  </si>
  <si>
    <t>FARFAN ZEVALLOS JOSE ARIMATEA</t>
  </si>
  <si>
    <t>20 M2</t>
  </si>
  <si>
    <t>1 MES</t>
  </si>
  <si>
    <t>CCI  9/03/2020</t>
  </si>
  <si>
    <t>306 EDUCACION PARURO</t>
  </si>
  <si>
    <t>SUB CAFAE MIN EDUCACION DIR.REG.CUSCO</t>
  </si>
  <si>
    <t>80 m2</t>
  </si>
  <si>
    <t>TALLER</t>
  </si>
  <si>
    <t xml:space="preserve">1 DIA </t>
  </si>
  <si>
    <t>TRANSFERENCIA BANCARIA</t>
  </si>
  <si>
    <t>ASOC CIVIL CEARAS KALLPANCHIS</t>
  </si>
  <si>
    <t>60 m2</t>
  </si>
  <si>
    <t xml:space="preserve">2 DIA </t>
  </si>
  <si>
    <t>INSTITUCION EDUCATIVA INCA GARCILASO DE LA VEGA</t>
  </si>
  <si>
    <t>120 m2</t>
  </si>
  <si>
    <t xml:space="preserve">5 DIA </t>
  </si>
  <si>
    <t>COLEGIO ESTATAL DE VARONES CIENCIAS</t>
  </si>
  <si>
    <t>180 m2</t>
  </si>
  <si>
    <t>COMUNIDAD CAMPESINA SUTEC</t>
  </si>
  <si>
    <t>100 m2</t>
  </si>
  <si>
    <t>ALMACEN</t>
  </si>
  <si>
    <t>1 AÑO</t>
  </si>
  <si>
    <t>MELLADO PARIGUANA CAMILA</t>
  </si>
  <si>
    <t>BIEN PROPIO DE TERCEROS</t>
  </si>
  <si>
    <t>NO TIENE (CENTRO POBLADO)</t>
  </si>
  <si>
    <t>31 DE DICIEMBRE DEL 2020</t>
  </si>
  <si>
    <t>ANUAL 31/12/2020</t>
  </si>
  <si>
    <t>INVERSIONES LINSTRAC S.A.C</t>
  </si>
  <si>
    <t>MULTISERVICIOS ANDERS RJP EIRL</t>
  </si>
  <si>
    <t>CONSULTORIA PARA LA ELABORACIÓN DE UNA LINEA DE BASE AMBIENTAL PARA EL ÁREA DE CONSERVACIÓN REGIONAL TRES CAÑONES UBICADO EN LOS DISTRITOS DE SUYKUTAMBO Y COPORAQUE EN LA PROVINCIA DE ESPINAR</t>
  </si>
  <si>
    <t>PLIEGO  446: GOBIERNO REGIONAL DEL DEPARTAMENTO DEL CUSCO</t>
  </si>
  <si>
    <t>COMPRA DE PAPELOGRAFO CUADRICLUADO DE 56GR. DE 61CMX86CM PARA EL KIT DE MATERIAL FUNGIBLE DOT. 2019</t>
  </si>
  <si>
    <t>COMPRA POR CATALOGO ELECTRONICO</t>
  </si>
  <si>
    <t>CCE-2019-001</t>
  </si>
  <si>
    <t>20454906374 MASS COMPUTER S.R.L.</t>
  </si>
  <si>
    <t>FINALIZADO</t>
  </si>
  <si>
    <t>ADQUISICION DE MATERIALES FUNGIBLES PARA EL KIT DE MNATERIAL FUNGIBLE DOTACION 2019</t>
  </si>
  <si>
    <t>CCE-2019-002</t>
  </si>
  <si>
    <t>CCE-2019-003</t>
  </si>
  <si>
    <t>20498079297 DISTRIBUIDORA INDUSTRIAL CONSA E.I.R.L</t>
  </si>
  <si>
    <t>ADQUISICION DE RECOGEDORES DE PLASTICO PARA INSTITUCIONES EDUCATIVAS DE LA UGEL ACOMAYO, MEDIANTE CATALOGO LECTRONICO DE ACUERDO MARCO</t>
  </si>
  <si>
    <t>ASP-2019-001</t>
  </si>
  <si>
    <t>20564529665 STOR CUSCO S.A.C</t>
  </si>
  <si>
    <t>ADQUISICION DE LEJIA HIPCLORITO DE SODIO AL 7.6, PARA ISNTITUCIONES EDUCATIVAS DE LA UGEL ACOMAYO, MEDIANTE CATALOGO ELECTRONICO DE ACUERDO MARCO</t>
  </si>
  <si>
    <t>ASP-2019-002</t>
  </si>
  <si>
    <t>10095080869 SALAZAR HERRERA VDA DE QUISPE JULIA</t>
  </si>
  <si>
    <t>ADQUISICION DE MATERIALES DE 108 UNIDADES DE REMOVEDOR DE SARRO GALON X 3.8 LT. MEDIATE CATALOGO ELECTRONICO DE ACUERDO MARCO</t>
  </si>
  <si>
    <t>ASP-2019-003</t>
  </si>
  <si>
    <t>ADQUISICION DE MOCHILAS PARA DOCENTES DE LAS INSTITUCIONES EDUCATIVAS DE LA UGEL ACOMAYO</t>
  </si>
  <si>
    <t>ASP-2019-004</t>
  </si>
  <si>
    <t>20527976163 DISTRIBUCIONES GENERALES RUYERIS SOCIEDAD COMERCIAL DE RESPONSABILIDAD LIMITADA</t>
  </si>
  <si>
    <t>ADQUISICION DE MATERIALES DE LIMPIEZA PAR LAS IIEE DE LA UGEL ACOMAYO</t>
  </si>
  <si>
    <t>ASP-2019-005</t>
  </si>
  <si>
    <t>ACCESORIOS INFORMATICOS Y DE TELECOMUNICACIONES PARA LA OFICINA DE TECNOLOGIAS DE LA INFORMNACION</t>
  </si>
  <si>
    <t>ASP-2019-006</t>
  </si>
  <si>
    <t>20490934031 SISTEMAS X HARDWARE Y SOFTWARE EMPRESA INDIVIDUAL DE RESPONSABILIDAD LIMITADA-SISTEMAS X HARDWARE Y</t>
  </si>
  <si>
    <t>ADQUISICION DE LEJIA PARA INSTITUCIONES EDUCATIVAS DE LA UGEL ACOMAYO</t>
  </si>
  <si>
    <t>ASP-2019-007</t>
  </si>
  <si>
    <t>ADQUISICION DE REMOVEDORES DE SARRO PARA LAS INSTITUCIONES EDUCATIVAS DE LA UGEL ACOMAYO Y SEDE ADMINISTRATIVA DE LA UGEL ACOMAYO</t>
  </si>
  <si>
    <t>ASP-2019-008</t>
  </si>
  <si>
    <t>ADQUISICION DE INSUMOS DE LIMPIEZA PARA LA SEDE ADMINISTRATIVA DE LA UGEL ACOMAYO</t>
  </si>
  <si>
    <t>ASP-2019-009</t>
  </si>
  <si>
    <t>ADQUISICION DE MEDALLLAS PARA LA EJECUCION DE LOS JUEGOS DEPORTIVOS ESCOLARES 2019, ETAPA UGEL, CATEGORIAS A, B Y C.</t>
  </si>
  <si>
    <t>ASP-2019-010</t>
  </si>
  <si>
    <t>10425576432 GUERRA BETANCUR ELIO JUAN CARLOS</t>
  </si>
  <si>
    <t>ADQUISICION DE MATERIALES DE LIMPIEZA PARA LA SEDE ADMINISTRATIVA DE LA UGEL ACOMAYO</t>
  </si>
  <si>
    <t>ASP-2019-011</t>
  </si>
  <si>
    <t>10242813265 MUNIZ MORVELI GIL AUGUSTO</t>
  </si>
  <si>
    <t>ASP-2019-012</t>
  </si>
  <si>
    <t>10400688961 CALSINA TUNI PERCY JHONY</t>
  </si>
  <si>
    <t>ADQUISICION DE INSUMOS DE LIMPIEZA DE CESPED, INSECTOS Y ARACNIDOS DE LA SEDE ADMINISTRATIVA DE LA UGEL ACOMAYO</t>
  </si>
  <si>
    <t>ASP-2019-013</t>
  </si>
  <si>
    <t>ADQUISCIION DE MATERIOALES PARA EL PP 106 - EBE</t>
  </si>
  <si>
    <t>ASP-2019-014</t>
  </si>
  <si>
    <t>ADQUISICION DE MATERIALES PARA EL PP 106 -EBE</t>
  </si>
  <si>
    <t>ASP-2019-015</t>
  </si>
  <si>
    <t>10310381921 RAMIREZ MIRANDA LEONARDO</t>
  </si>
  <si>
    <t>ASP-2019-016</t>
  </si>
  <si>
    <t>ADQUISICION DE MATERIALES PARA EL PP 106 - EBE</t>
  </si>
  <si>
    <t>ASP-2019-017</t>
  </si>
  <si>
    <t>ADQUISICION DE MATERAILES PARA EL A.P.I. INICIAL Y PRIMARIA.</t>
  </si>
  <si>
    <t>ASP-2019-018</t>
  </si>
  <si>
    <t>ADQUISICION DE MATERIALES PARA EL A.P.I. NIVEL INICIAL Y PRIMARIO</t>
  </si>
  <si>
    <t>ASP-2019-019</t>
  </si>
  <si>
    <t>ADQUISCION DE MATERIALES PARA EL A.P.I NIVEL INICIAL Y PRIMARIA</t>
  </si>
  <si>
    <t>ASP-2019-020</t>
  </si>
  <si>
    <t>ADQUISICION DE TINTA DE IMPRESION PARA LAS MULTIFUNCIONALES EPSON DE LOS CEBE DE LA UGEL ACOMAYO - PP 106 EBE</t>
  </si>
  <si>
    <t>CCE-2019-004</t>
  </si>
  <si>
    <t>ADQUISICION DE MATERIALES DE LIMPIEZA PARA LOS CEBE EN EL MARCO DEL PP 106 EBE</t>
  </si>
  <si>
    <t>ASP-2019-021</t>
  </si>
  <si>
    <t>20602177166 JJ AMERICAN BUSINESS S.A.C. - JAMBUS S.A.C.</t>
  </si>
  <si>
    <t>ADQUISICION DE LAPIZ GRADO 2B PARA EL PP 106 EBE Y LA ESTRATEGIA A.P.I.</t>
  </si>
  <si>
    <t>ASP-2019-022</t>
  </si>
  <si>
    <t>ADQUISICIONDE CUADERNOS A4 ANILLADOS DE 100 HOJAS PARA LA ESTRATEGIA A.P.I.</t>
  </si>
  <si>
    <t>ASP-2019-023</t>
  </si>
  <si>
    <t>ADQUISCION DE MATERIALES PARA LOS CEBE EN EL MARCO DEL PP 106 EBE</t>
  </si>
  <si>
    <t>ASP-2019-024</t>
  </si>
  <si>
    <t>RECORDATORIOS POR FESTEJO DEL DIA DEL MAESTRO A DOCENTES DE LA UGEL ACOMAYO</t>
  </si>
  <si>
    <t>ASP-2019-025</t>
  </si>
  <si>
    <t>ADQUSICION DE USB DE 16 GB PARA PREMIACION DE LOS DIFERENTES CONCURSOS ESCOLARES NACIONALES 2019</t>
  </si>
  <si>
    <t>ASP-2019-026</t>
  </si>
  <si>
    <t>10481609866 QUISPE HUILLCA OLIVER ROSMAN</t>
  </si>
  <si>
    <t>ADQUISCION DE TABLET PAD PARA EL AREA DE GESTION  PEDAGOGICA DE LA UGEL ACOMAYO</t>
  </si>
  <si>
    <t>ASP-2019-027</t>
  </si>
  <si>
    <t>20527588741 NEBRIS@ SYSTEM EMPRESA INDIVIDUAL DE RESPONSABILIDAD LIMITADA</t>
  </si>
  <si>
    <t>ADQUISICION DE MATERIALES PARA LA EJECUCION DE LOS JUEGOS FLORALES ESCOLARES NACIONALES 2019 ETAPA UGEL</t>
  </si>
  <si>
    <t>ASP-2019-028</t>
  </si>
  <si>
    <t>ADQUISICION DE MATERIALES PARA LA EJECUCION DEL II TALLER DE FORTALECIMIENTO DE CAPACIDADES DE DOCENTES Y DIRECTORES DE LA UGEL ACOMAYO</t>
  </si>
  <si>
    <t>ASP-2019-029</t>
  </si>
  <si>
    <t>10242915491 QUISPE QUISPE AURELIA</t>
  </si>
  <si>
    <t>ADQUICION DE MATERIALES PARA EL GESTOR CURRICULAR</t>
  </si>
  <si>
    <t>ASP-2019-030</t>
  </si>
  <si>
    <t>ADQUISICION DE SACOS DE ARPILLERA PARA LA DISTRIBUCION DE MATERIALES DE ESTUDIANTES, DOCENTES Y DIRECTORES DE LAS IIEE</t>
  </si>
  <si>
    <t>ASP-2019-031</t>
  </si>
  <si>
    <t>ADQUISCION DE EQUIPOS MULTIFUNCIONAL IMPRESORA SCANER MONOCROMATICA</t>
  </si>
  <si>
    <t>CCE-2019-005</t>
  </si>
  <si>
    <t>20565936591 RED AMPIMO S.A.C.</t>
  </si>
  <si>
    <t>ADQUISCION DE COMPUTADORAS PERSONALES PORTATILES PARA LA UGEL ACOMAYO</t>
  </si>
  <si>
    <t>CCE-2019-006</t>
  </si>
  <si>
    <t>20519865476 OK COMPUTER E.I.R.L.</t>
  </si>
  <si>
    <t>ADQUISICION DE PROYECTORES MULTIMEDIA PARA LA UGEL ACOMAYO</t>
  </si>
  <si>
    <t>ASP-2019-032</t>
  </si>
  <si>
    <t>20564249891 COMPAÑIA DE SUMINISTROS Y SERVICIOS GENERALES SOCIEDAD COMERCIAL DE RESPONSABILIDAD LIMITADA-COSSEG</t>
  </si>
  <si>
    <t>ADQUISICION DE MONITORES PARA LA OFICINA DE REMUNERACIONES</t>
  </si>
  <si>
    <t>ASP-2019-033</t>
  </si>
  <si>
    <t>10417322006 MIRANDA ZANABRIA JIMMY</t>
  </si>
  <si>
    <t>ADQUISICION DE ALIMENTOS DE PRIMERA NECESIDAD PARA EL PERSONAL DEL DL 276 DE LA SEDE ADMINISTRATIVA DE LA UGEL ACOMAYO</t>
  </si>
  <si>
    <t>ASP-2019-034</t>
  </si>
  <si>
    <t>20603092989 JORCOWA TRADE S.A.C</t>
  </si>
  <si>
    <t>ADQUISICION DE EQUIPO MULTIFUNCIONAL PARA EL EQUIPO DE ESPECIALISTAS DE LA UGEL ACOMAYO</t>
  </si>
  <si>
    <t>CCE-2019-007</t>
  </si>
  <si>
    <t>10297045160 PALOMINO APAZA PEDRO HECTOR</t>
  </si>
  <si>
    <t>ADQUISICION DE EQUIPO MULTIFUNCIONAL PARA LA OFICINA DE CONTABILIDAD-TESORERI Y FINANZAS</t>
  </si>
  <si>
    <t>CCE-2019-008</t>
  </si>
  <si>
    <t>20523907451 CORPORATION TECH IMPORT INC. S.A.</t>
  </si>
  <si>
    <t>ADQUISCION DE ACUMULADORES DE ENERGIA EQUIPO DE UPS PARA LA UGEL ACOMAYO</t>
  </si>
  <si>
    <t>ASP-2019-035</t>
  </si>
  <si>
    <t>20600628772 GRUPO TECNOLOGIA SAM SOCIEDAD ANONIMA CERRADA - GRUPO TECNOLOGIA SAM S.A.C.</t>
  </si>
  <si>
    <t>ADQUISICION DE EQUIPOS PARA ETIQUETADO DE BIENES MUEBLES SEGUN INVENTARIO DE LA UGEL ACOMAYO.</t>
  </si>
  <si>
    <t>ASP-2019-036</t>
  </si>
  <si>
    <t>10410354905 SALAS MEZA YHONI</t>
  </si>
  <si>
    <t>KIT DE BIOSEGURIDAD PPR 106</t>
  </si>
  <si>
    <t>ASP-2019-037</t>
  </si>
  <si>
    <t>ADQUISICION DE MATERIAL FUNGIBLE PARA IIEE DOTACION 2020</t>
  </si>
  <si>
    <t>CCE-2019-009</t>
  </si>
  <si>
    <t>CCE-2019-010</t>
  </si>
  <si>
    <t>20601800773 SAMP CUSCO S.A.C.</t>
  </si>
  <si>
    <t>CCE-2019-011</t>
  </si>
  <si>
    <t>CCE-2019-012</t>
  </si>
  <si>
    <t>ADQUISICION DE ARCHIVADORES PARA LAS DIFERENTES DEPENDENCIAS DE LA UGEL ACOMAYO</t>
  </si>
  <si>
    <t>ASP-2019-038</t>
  </si>
  <si>
    <t>CCE-2019-013</t>
  </si>
  <si>
    <t>CCE-2019-014</t>
  </si>
  <si>
    <t>ADQUISICION DE UTILES ESCOLARES PARA ESTUDIANTES DE NIVEL PRIMARIO Y SECUNDARIO, MATERIALES DE ESCRITORIO PARA DOCENTE4S Y DIRECTORES DE LA UGEL ACOMAYO</t>
  </si>
  <si>
    <t>CCE-2019-015</t>
  </si>
  <si>
    <t>20454197110 CORPORACION INDUSTRIAL CONSA E.I.R.L.</t>
  </si>
  <si>
    <t>ADQUISICION DE UTILES DE ESCRITORIO PARA DOCENTES Y DIRECTORES</t>
  </si>
  <si>
    <t>CCE-2019-016</t>
  </si>
  <si>
    <t>ADQUISICION DE MATERIALES DE ESCRITORIO PARA DOCENTES, ESTUDIANTES Y MATERIAL FUNGIBLE PARA IIEE DE</t>
  </si>
  <si>
    <t>CCE-2019-017</t>
  </si>
  <si>
    <t>ADQUISICION DE UTILES DE ESCRITORIO PARA DOCENTES, DIRECTORES Y SEDE ADMINISTRATIVA DE LA UGEL</t>
  </si>
  <si>
    <t>CCE-2019-018</t>
  </si>
  <si>
    <t>ADQUISCION DE MATERIAL FUNGIBLE, Y UTILES DE ESCRITORIO PARA DOCENTES Y ESTUDIANTES PARA LAS IIEE</t>
  </si>
  <si>
    <t>CCE-2019-019</t>
  </si>
  <si>
    <t>ADQUISICION DE MATERTIALES FUNGIBLES, UTILES DE ESCRITORIO PARA DOCENTES Y DIRECTORES DE LAS IIEE</t>
  </si>
  <si>
    <t>CCE-2019-020</t>
  </si>
  <si>
    <t>ADQUISICION DE MATERIAL FUNGIBLE, UTILES ESCOLARES PARA ESTUDIANTES, DOCENTES Y DIRECTORES DE LAS IE</t>
  </si>
  <si>
    <t>CCE-2019-021</t>
  </si>
  <si>
    <t>ADQUISICION DE MATERIAL FUNGIBLE Y UTILES ESCOLARES PARA ESTUDIANTES DE LAS IIEE DE LA UGEL ACOMAYO</t>
  </si>
  <si>
    <t>CCE-2019-022</t>
  </si>
  <si>
    <t>10419561521 ALARCON CANCINOS VIVIAN</t>
  </si>
  <si>
    <t>ADQUISICION DE PAPEL BOND PARA EL KIT DE MATERIAL FUNGIBLE, DOCETNES Y DIRECTORES DE LAS UGEL ACOMAYO</t>
  </si>
  <si>
    <t>CCE-2019-023</t>
  </si>
  <si>
    <t>ADQUISICION DEMATETRIALES DE ESCRITORIO PARA DIRECTORES DE LAS IIEE DE LA UGEL ACOMAYO</t>
  </si>
  <si>
    <t>CCE-2019-024</t>
  </si>
  <si>
    <t>ADQUISICION DE MATERAILES DE LIMPIEZA PARA LAS IIIEE DE LA UGEL ACOMAYO</t>
  </si>
  <si>
    <t>ASP-2019-039</t>
  </si>
  <si>
    <t>ADQUISICION DE MATERIALES DE LIMPIEZA PARA IIIE DE LA UGEL ACOMAYO</t>
  </si>
  <si>
    <t>ASP-2019-040</t>
  </si>
  <si>
    <t>ADQUISCION DE EQUIPO DE PROTECCION PERSONAL, PARA EL ALMACEN CENTRAL DE LA UGEL ACOMAYO</t>
  </si>
  <si>
    <t>ASP-2019-041</t>
  </si>
  <si>
    <t>10239511487 SORIA DELGADO BERTHA</t>
  </si>
  <si>
    <t>ADQUISICION DE MATERAILES DE LIMPIEZA PARA LAS IIEE DE LA UGEL ACOMAYO</t>
  </si>
  <si>
    <t>CCE-2019-025</t>
  </si>
  <si>
    <t>ADQUISICION DE ESTANTE ARCHIVADOR DE MELAMINA PARA LAS DIFFERENTES OFICINAS DE LA UGEL ACOMAYO</t>
  </si>
  <si>
    <t>ASP-2019-042</t>
  </si>
  <si>
    <t>10240057366 GONZALES APARICIO URIEL</t>
  </si>
  <si>
    <t>ADQUISICION DE ANTIVIRUS PARA SERVIDORES Y COMPUTADORAS  DE ESCRITORIO DE LA SEDE ADMINISTRATIVA DE LA UGEL ACOMAYO</t>
  </si>
  <si>
    <t>ASP-2019-043</t>
  </si>
  <si>
    <t>20546371108 JL SOFT SOLUCIONES INTEGRALES S.A.C</t>
  </si>
  <si>
    <t>ADQUISCION DE UPS PARA RESPALDO DE ENERGIA ELECTRICA PARA  EQUIPOS DE COMPUTO Y MULTIFUNCIONALES DE LAS DIFERENTES DEPENDENCIAS DE LA UGEL ACOMAYO</t>
  </si>
  <si>
    <t>ASP-2019-044</t>
  </si>
  <si>
    <t>ADQUISICION DE MATERIALES DE LIMPIEZA PARA LAS IIEE DE LA UGEL ACOMAYO</t>
  </si>
  <si>
    <t>ASP-2019-045</t>
  </si>
  <si>
    <t>ADQUISICION DE PINCEL DE CERDA BLANCA Nº 16</t>
  </si>
  <si>
    <t>ASP-2019-046</t>
  </si>
  <si>
    <t>10420333400 CAÑIHUA HUANCA HERNAN PORFIRIO</t>
  </si>
  <si>
    <t>CCE-2019-026</t>
  </si>
  <si>
    <t>CCE-2019-027</t>
  </si>
  <si>
    <t>CCE-2019-028</t>
  </si>
  <si>
    <t>CCE-2019-029</t>
  </si>
  <si>
    <t>CCE-2019-030</t>
  </si>
  <si>
    <t>ADQUISCION DE MATERIAL FUNGIBLE PARA IIEE DOTACION 2020</t>
  </si>
  <si>
    <t>CCE-2019-031</t>
  </si>
  <si>
    <t>CCE-2019-032</t>
  </si>
  <si>
    <t>ADQUISICION DE MATERIALES DIDACTICOS PARA IIEE DOTACION 2020</t>
  </si>
  <si>
    <t>ASP-2019-047</t>
  </si>
  <si>
    <t>ADQUISICION DE KIT DE ROBOTICA EDUCATIVA PARA INSTITUCIONES EDUCATIVAS DE NIVEL SECUNDARIO DE LA UGE</t>
  </si>
  <si>
    <t>COMPRE-SM-1-2019-OEC-UGEL-A-1</t>
  </si>
  <si>
    <t>20391622371 WERNHER VON BRAUN INSTITUCION EDUCATIVA PARTICULAR SA</t>
  </si>
  <si>
    <t>PEDIDO DE MATERIALES DE PSICOMOTRICIDAD PARA PROGRAMAS NO ESCOLARIZADOS</t>
  </si>
  <si>
    <t>COMPRE-SM-2-2019-U-ABAST-1</t>
  </si>
  <si>
    <t>ADQUISICION DE JUEGOS RECREATIVOS PARA PROGRAMAS NO ESCOLARIZADOS DE EDUCACION INICIAL DE LA UGEL ACOMAYO</t>
  </si>
  <si>
    <t>ASP-2019-048</t>
  </si>
  <si>
    <t>PEDIDO DE MATERIALES DIDACTICOS PARA LOS PROGRAMAS NO ESCOLARIZADOS DEL I Y II CICLO DE LA UGEL ACOMAYO</t>
  </si>
  <si>
    <t>COMPRE-SM-3-2019-OEC-UGEL-A-1</t>
  </si>
  <si>
    <t>20600307453 VITA AVENTURAS Y DEPORTES EMPRESA INDIVIDUAL DE RESPONSABILIDAD LIMITADA</t>
  </si>
  <si>
    <t>ADQUISICION DE MATERIALES PARA LA EJECUCION DEL II TINKUY 2019</t>
  </si>
  <si>
    <t>ASP-2019-049</t>
  </si>
  <si>
    <t>ADQUISICION DE MATERIALES DE PSICOMOTRICIDAD Y DIDACTICOS PARA LOS CEBE, PARA EL PP 106 EBE</t>
  </si>
  <si>
    <t>ASP-2019-050</t>
  </si>
  <si>
    <t>ADQUISCION DE CARTULINA HILO PARA IMPRESION DE DIPLOMAS POR EJECUCION DEL PLAN TINKUY 2019</t>
  </si>
  <si>
    <t>ASP-2019-051</t>
  </si>
  <si>
    <t>Para la implementacion del area de remuneraciones</t>
  </si>
  <si>
    <t>ASP-2019-052</t>
  </si>
  <si>
    <t>20407936231 ENGINEER @ SOFT ASOCIADOS S.R.L.</t>
  </si>
  <si>
    <t>ASP-2019-053</t>
  </si>
  <si>
    <t>20546980546 PARI'S GROUP INVERSIONES E.I.R.L</t>
  </si>
  <si>
    <t>ADQUISICION DE MODULOS DE BIBLIOTECA PARA LA PREMIACION DE LOS TINKUY ORGANIZADO POR LA UGEL ACOMAYO</t>
  </si>
  <si>
    <t>ASP-2019-054</t>
  </si>
  <si>
    <t>20526908628 REPRESENTACIONES GENERALES Y SERVICIOS AMERICANOS SOCIEDAD COMERCIAL DE RESPONSABILIDAD LIMITADA</t>
  </si>
  <si>
    <t>ADQUISICION DE PANTALLA ECRA PARA EL AUDITORIO DE LA UGEL ACOMAYO</t>
  </si>
  <si>
    <t>ASP-2019-055</t>
  </si>
  <si>
    <t>ADQUISICION DE CHALECOS DE IDENTIFICACION PERSONAL</t>
  </si>
  <si>
    <t>ASP-2019-056</t>
  </si>
  <si>
    <t>20601005043 INVERSIONES FEBRES TOLENTINO E.I.R.L.</t>
  </si>
  <si>
    <t>ADQUISICION DE IMPLEMENTOS Y REPUESTOS PARA LAS MOTOCICLETAS DE LA UGEL ACOMAYO</t>
  </si>
  <si>
    <t>ASP-2019-057</t>
  </si>
  <si>
    <t>10240045406 GUZMAN CHIRINOS SUSAN</t>
  </si>
  <si>
    <t>PARA QUE FUNCIONE COMO EL ADMINISTRADOR DEL SISTEMA UNICO DE PAGO SUP DEL AREA DE REMUNERACIONES</t>
  </si>
  <si>
    <t>ASP-2019-058</t>
  </si>
  <si>
    <t>MATERIALES DEPORTIVOS, CON SALDOS PRESUPUESTALES DE DEL DESARROLLO DE LA PROMOCION ESCOLAR, CULTURA Y DEPORTE</t>
  </si>
  <si>
    <t>ASP-2019-059</t>
  </si>
  <si>
    <t>ADQUISICION DE MATERIALES PARA EL LANZAMIENTO DEL BUEN INICIO DEL AÑO ESCOLAR 2020</t>
  </si>
  <si>
    <t>ASP-2019-060</t>
  </si>
  <si>
    <t>ADQUISICION DE MATERIALES DE LIMPIEZA Y OTROS PARA PRNOEIS Y CEBE</t>
  </si>
  <si>
    <t>ASP-2019-061</t>
  </si>
  <si>
    <t>ADQUISIICON DE MOCHILAS PARA ESTUDIANTES DE LA EBR CON CARGO A SALDOS PRESUPUESTALES 2019</t>
  </si>
  <si>
    <t>COMPRE-SM-4-2019-OEC-UGEL-A-1</t>
  </si>
  <si>
    <t>Pago de servicios de nergia electrica IIEE nivel secundario correspondiente a diciembre 2018</t>
  </si>
  <si>
    <t>ASP-2019-062</t>
  </si>
  <si>
    <t>20116544289 ELECTRO SUR ESTE S.A.A.</t>
  </si>
  <si>
    <t>PAGO DE SERVICIOS DE ENERGIA ELECTRICA DE LAS IIEE NIVEL PRIMARIO CORRESPONDIENTE A DICIEMBRE 2018</t>
  </si>
  <si>
    <t>ASP-2019-063</t>
  </si>
  <si>
    <t>Pago de servicios de energia electrica de las IIEE de nivel Inicial correpsondiente a Diciembre 2018</t>
  </si>
  <si>
    <t>ASP-2019-064</t>
  </si>
  <si>
    <t>PAGO DE SERVICIO DE ENERGIA ELECTRICA DE LAS IIEE NIVEL PRIMARIO - RONDOCAN-  DICIEMBRE 2018</t>
  </si>
  <si>
    <t>ASP-2019-065</t>
  </si>
  <si>
    <t>PAGO DE SERVICIOS DE ENERGIA ELECTRICA DE LAS SEDDE ADMINISTRATIVA DE LA UGEL ACOMAYO, DIC-2018</t>
  </si>
  <si>
    <t>ASP-2019-066</t>
  </si>
  <si>
    <t>CONTRATACION DE SERVICIOS DE PERSONAL TECNICO PARA MANTENIMIENTO DE INFRAESTRUCTURA EDUCATIVA Y APOY</t>
  </si>
  <si>
    <t>ASP-2019-067</t>
  </si>
  <si>
    <t>10404206406 SALAS USCAMAYTA HUGO FERNANDO</t>
  </si>
  <si>
    <t>PAGO POR SEVICIO DE ENERGIA ELECTRICA DE LAS IE INICIAL, PRIMARIA Y SECUNDARIA - DE LA JURISDICCION DE LA UGEL ACOMAYO, CORRESPONDIENTE AL MES DE ENERO 2019</t>
  </si>
  <si>
    <t>ASP-2019-068</t>
  </si>
  <si>
    <t>PAGO DE SERVICIOS DE ENERGIA ELECTRICA DE LAS SEDE ADMINISTRATIVA DE LA UGEL ACOMAYO, CORRESPONDIENTE AL MES DE ENERO DEL 2019</t>
  </si>
  <si>
    <t>ASP-2019-069</t>
  </si>
  <si>
    <t>CONTRATACION DE SERVICIO DE ATENCION DE ALMUERZOS, PARA LA COMISION DEL PROCESO DE CONTRATACION DOCE</t>
  </si>
  <si>
    <t>ASP-2019-070</t>
  </si>
  <si>
    <t>10801813939 HOLGADO CCAMA MAURA</t>
  </si>
  <si>
    <t>CONTRATACION DE SERVICIOS DE TRANSPORTE PARA MODULADO Y DISTRIBUCION DE MATERIALES FUNGIBLES PARA EL BIAE, DOTACION 2019</t>
  </si>
  <si>
    <t>PRECIOS UNITARIOS</t>
  </si>
  <si>
    <t>ASP-2019-071</t>
  </si>
  <si>
    <t>10242800830 LIMA MAMANI BACILIDES</t>
  </si>
  <si>
    <t>CONTRATACION DE SERVICIOS DE TRANSPORTE PARA LA DISTRIBUCION DE  MATERIALES EDUCATIVOS Y DURANT</t>
  </si>
  <si>
    <t>ASP-2019-072</t>
  </si>
  <si>
    <t>10247087074 CAHUANA MONZON HERNAN</t>
  </si>
  <si>
    <t>SERVICIO DE INTERNET DEDICADO 06 MB BANDA ANCHA 100% FIBRA OPTICA DE LA SEDE ADMINISTRATIVA DE LA UGEL ACOMAYO</t>
  </si>
  <si>
    <t>ASP-2019-073</t>
  </si>
  <si>
    <t>20518777646 LELITV EIRL</t>
  </si>
  <si>
    <t>TALLER DE FORTALECIMIENTO DE CAPACIDADE DE DIRECTORES DE IE DE LA UGEL ACOMAYO</t>
  </si>
  <si>
    <t>ASP-2019-074</t>
  </si>
  <si>
    <t>10452925309 BERNO LUNA VIOLETA</t>
  </si>
  <si>
    <t>CONTRATACION DE SERVICIOS DE APOYO TECNICO EN ADQUISICIONES PARA LA OFICINA DE ABASTECIMIENTO</t>
  </si>
  <si>
    <t>ASP-2019-075</t>
  </si>
  <si>
    <t>10710672305 CHAVEZ GONZALES RENE</t>
  </si>
  <si>
    <t>CONTRATACION DE SERVICIOS DE UN ESPECIALISTA EN PROGRAMACION Y PRESUPUESTO PARA EL AREA DE GESTION I</t>
  </si>
  <si>
    <t>ASP-2019-076</t>
  </si>
  <si>
    <t>10705142772 PARIGUANA COLLANTES ROSA ANGELICA</t>
  </si>
  <si>
    <t>CONTRATACION DEL SERVICIO DE INTENET PARA LA SEDE ADMINISTRATIVA DE LA UGEL ACOMAYO</t>
  </si>
  <si>
    <t>ASP-2019-077</t>
  </si>
  <si>
    <t>SERVICIO DE INTERNET SATELITAL PARA LAS DIVERSAS OFICINAS DE LA SEDE DE LA UGEL ACOMAYO, CORRESPONDIENTE A LA 1RA Y 2DA ENTREGA.</t>
  </si>
  <si>
    <t>ASP-2019-078</t>
  </si>
  <si>
    <t>20563896877 TELEREDES PERU S.A.C.</t>
  </si>
  <si>
    <t>ASP-2019-079</t>
  </si>
  <si>
    <t>10730506495 CASAFRANCA ORE CHRISTIAN</t>
  </si>
  <si>
    <t>PAGO DE SERVICIOS DE ENERGIA ELECTRICA DE LA SEDE ADMINISTRATIVA DE LA UGEL ACOMAYO, FEBRERO 2019</t>
  </si>
  <si>
    <t>ASP-2019-080</t>
  </si>
  <si>
    <t>SERVICIO DE FOTOCOPIADO E IMPRESIONES DE PROGRAMAS CURRICULARES PARA LOS NIVEL INICIAL, PRIMARIA Y S</t>
  </si>
  <si>
    <t>ASP-2019-081</t>
  </si>
  <si>
    <t>PAGO POR SEVICIO DE ENERGIA ELECTRICA DE LAS IE I.P.S. UGEL ACOMAYO, MES DE FEBRERO 2019</t>
  </si>
  <si>
    <t>ASP-2019-082</t>
  </si>
  <si>
    <t>CONTRATACION DE SERVICIO DE ALIMENTACION PARA LA EJECUCION DEL "I TALLER DE FORTALECIMIENTO DE CAPACIDADES DE DOCENTES Y DIRECTORES EN LA IMPLEMENTACION DE CURRICULO NACIONAL DE EDUCACION BASICA</t>
  </si>
  <si>
    <t>ASP-2019-083</t>
  </si>
  <si>
    <t>CONTRATACION DE SERVICIO PERSONAL TECNICO PARA MANTENIMIENTO DE INFRAESTRUCTURA EDUCATIVA Y APO</t>
  </si>
  <si>
    <t>ASP-2019-084</t>
  </si>
  <si>
    <t>CONTRATACION DE SERVICIO DE ALMUERZO PARA LA EJECUCION DEL "I TALLER DE CAPACITACIÓN A PROMOTORES EDUCATIVOS COMUNITARIOS DE PRONOEI"</t>
  </si>
  <si>
    <t>ASP-2019-085</t>
  </si>
  <si>
    <t>10249813147 LOPEZ CAMPANA PILAR</t>
  </si>
  <si>
    <t>CONTRATACION DE SERVICIOS DE TRANSPORTE PARA LA DISTRIBUCION DE  MATERIALES EDUCATIVOS DEL B.I.A.E. DURANTE EL AÑO 2019</t>
  </si>
  <si>
    <t>ASP-2019-086</t>
  </si>
  <si>
    <t>ASP-2019-087</t>
  </si>
  <si>
    <t>SERVICIO DE INTERNET SATELITAL PARA LAS DIVERSAS OFICINAS DE LA SEDE DE LA UGEL ACOMAYO,</t>
  </si>
  <si>
    <t>ASP-2019-088</t>
  </si>
  <si>
    <t>PAGO POR SEVICIO DE ENERGIA ELECTRICA DE LAS IE NIVEL INICIAL, PRIMARIA Y SECUNDARIA DE LA UGEL ACOMAYO, CORRESPONDIENTE AL MES DE MARZO DEL 2019</t>
  </si>
  <si>
    <t>ASP-2019-089</t>
  </si>
  <si>
    <t>SERVICIO DE ENERGIA ELECTRICA DE LA SEDE ADMINISTRATIVA DE LA UGEL ACOMAYO, MARZO DEL 2019</t>
  </si>
  <si>
    <t>ASP-2019-090</t>
  </si>
  <si>
    <t>ADQUISICION DE PASAJE AEREO PARA PARTICIPACION EN ASISTENCIA TECNICA SEGUN OFICIO CIRCULAR Nº 009-20</t>
  </si>
  <si>
    <t>ASP-2019-091</t>
  </si>
  <si>
    <t>20348858182 AVIANCA PERÚ S.A.</t>
  </si>
  <si>
    <t>PAGO POR SEVICIO DE ENERGIA ELECTRICA DE LAS IE NIVEL PRIMARIA RONDOCAN, MES DE MARZO DEL 2019</t>
  </si>
  <si>
    <t>ASP-2019-092</t>
  </si>
  <si>
    <t>CONTRATACION DE SERVICIO PERSONAL TECNICO PARA MANTENIMIENTO DE INFRAESTRUCTURA EDUCATIVA Y APOYO EN LA OFICINA DE GESTION INSTITUCIONAL</t>
  </si>
  <si>
    <t>ASP-2019-093</t>
  </si>
  <si>
    <t>CONTRATACION DE SERVICIO DE FOTOCOPIADO PARA LA EJECUCION DEL "I TALLER DE CAPACITACION A PROMOTORES EDUTIVOS COMUNALES" Y "TALLER DE ALFABETIZACION INCIAL, CONSTRUCCION DE NUMEROS, SND Y OPERACIONES ADITIVAS CON DOCENTES DEL III CICLO"</t>
  </si>
  <si>
    <t>ASP-2019-094</t>
  </si>
  <si>
    <t>CONTRATACION DE SERVICIO DE MANTENIMIENTO PREVENTIVO DE CAMIONETA TOYOTA HILUX DE LA UGEL ACOMAYO, A TODO COSTO</t>
  </si>
  <si>
    <t>ASP-2019-095</t>
  </si>
  <si>
    <t>20443108131 CORPORACION AUTOMOTRIZ DEL SUR S.A.</t>
  </si>
  <si>
    <t>ADQUISICION DE SOAT PARA LAS 02 MOTOCILETAS DE LA UGEL ACOMAYO</t>
  </si>
  <si>
    <t>ASP-2019-096</t>
  </si>
  <si>
    <t>20202380621 MAPFRE PERU COMPAÑIA DE SEGUROS Y REASEGUROS S.A.</t>
  </si>
  <si>
    <t>CONTRATACION DE TRANSPORTE DE MATERIALES DIDACTICOS Y DE LIMPIEZA A INSTITUCIONES EDUCATIVAS DE LA UGEL ACOMAYO</t>
  </si>
  <si>
    <t>ASP-2019-097</t>
  </si>
  <si>
    <t>10464610711 MUÑIZ MORVELI EDWIN ELOY</t>
  </si>
  <si>
    <t>CONTRATACION DEL SERVICIO DE INTENET MEDIANTE FIBRA OPTICA PARA LA SEDE ADMINISTRATIVA DE LA UGEL ACOMAYO, CORRESPONDIENTE AL MES DE ABRIL DEL 2019.</t>
  </si>
  <si>
    <t>ASP-2019-098</t>
  </si>
  <si>
    <t>SERVICIO DE INTERNET SATELITAL PARA LAS DIVERSAS OFICINAS DE LA SEDE DE LA UGEL ACOMAYO, CORRESPONDIENTE AL MES DE ABRIL DEL 2019.</t>
  </si>
  <si>
    <t>ASP-2019-099</t>
  </si>
  <si>
    <t>SERVICIO DE LOCACION DE ASISTENTE ADMINISTRATIVO EN EL AREA DE REMUNERACIONES, POR SERVICIOS PRESTADOS DESDE EL 18/02/2019 AL 16/04/2019</t>
  </si>
  <si>
    <t>ASP-2019-100</t>
  </si>
  <si>
    <t>10444259642 MAROCHO CACERES JORGE WASHINGTON</t>
  </si>
  <si>
    <t>PAGO DE SERVICIOS DE ENERGIA ELECTRICA DE LA SEDE ADMINISDTRATIVA DE LA UGEL ACOMAYO, CORRESPONDIENTE AL MES DE ABRIL 2019</t>
  </si>
  <si>
    <t>ASP-2019-101</t>
  </si>
  <si>
    <t>PAGO POR SEVICIO DE ENERGIA ELECTRICA DE LAS IE NIVEL PRIMARIA RONDOCAN DE LA UGEL ACOMAYO, CORRESPONDIENTE AL MES DE ABRIL DEL 2019</t>
  </si>
  <si>
    <t>ASP-2019-102</t>
  </si>
  <si>
    <t>PAGO POR SEVICIO DE ENERGIA ELECTRICA DE LAS IE NIVEL INICIAL, PRIMARIA Y SECUNDARIA DE LA UGEL ACOMAYO, CORRESPONDIENTE AL MES DE ABRIL DEL 2019</t>
  </si>
  <si>
    <t>ASP-2019-103</t>
  </si>
  <si>
    <t>SERVICIO DE CARPINTERIA PARA  ELABORACION DE PUERTA DE MADERA PARA SERVICIOS HIGIENICOS DE LA UGEL</t>
  </si>
  <si>
    <t>ASP-2019-104</t>
  </si>
  <si>
    <t>10243699199 TECSE RAMOS JULIO GUALBERTO</t>
  </si>
  <si>
    <t>CONTRATACION DE SERVICIO PERSONAL TECNICO PARA MANTENIMIENTO DE INFRAESTRUCTURA EDUCATIVA Y APOYO ADMINISTRATIVO AL AREA DE GESTION INSTITUCIONAL</t>
  </si>
  <si>
    <t>ASP-2019-105</t>
  </si>
  <si>
    <t>SERVICIO DE ATENCION DE REFRIGERIOS PARA LA "JORNADA DE REFLEXION DE LOS RESULTADOS DE LA ECE - 2018"</t>
  </si>
  <si>
    <t>ASP-2019-106</t>
  </si>
  <si>
    <t>PAGO POR SEVICIO DE ENERGIA ELECTRICA DE LAS IE INICIAL PRIMARIA Y SECUNDARIA DE LA UGEL ACOMAYO, CORRESPONDIENTE AL MES DE MAYO DEL 2019.</t>
  </si>
  <si>
    <t>ASP-2019-107</t>
  </si>
  <si>
    <t>PAGO DE SERVICIOS DE ENERGIA ELECTRICA DE LA SEDE ADMINSITRATIVA DE LA UGEL ACOMAYO, CORRESPONDIENTE AL MES DE MAYO DEL 2019</t>
  </si>
  <si>
    <t>ASP-2019-108</t>
  </si>
  <si>
    <t>CONTRATACION DEL SERVICIO DE INTENET MEDIANTE FIBRA OPTICA PARA LA SEDE ADMINISTRATIVA DE LA UGEL ACOMAYO, CORRESPONDIENTE AL MES DE MAYO DEL 2019</t>
  </si>
  <si>
    <t>ASP-2019-109</t>
  </si>
  <si>
    <t>SERVICIO DE INTERNET SATELITAL PARA LAS DIVERSAS OFICINAS DE LA SEDE DE LA UGEL ACOMAYO, CORRESPONDIENTE AL MES DE MAYO DEL 2019</t>
  </si>
  <si>
    <t>ASP-2019-110</t>
  </si>
  <si>
    <t>PAGO POR SEVICIO DE ENERGIA ELECTRICA DE LAS IE NIVEL PRIMARIA RONDOCAN DE LA UGEL ACOMAYO MAYO 2019</t>
  </si>
  <si>
    <t>ASP-2019-111</t>
  </si>
  <si>
    <t>SERVICIO DE ATENCION DE REFRIGERIO PARA EL I TALLER CON FAMILIAS EN EL CEBE GOTITAS DE AMOR DE POMACANCHI</t>
  </si>
  <si>
    <t>ASP-2019-112</t>
  </si>
  <si>
    <t>10238819101 GARATE ARIAS VDA DE BERNO BERTHA</t>
  </si>
  <si>
    <t>SERVICIO DE ATENCION DE REFRIGERIO PARA EL I TALLER CON FAMILIAS EN EL CEBE VIRGEN DE CHAPI DE ACOMAYO, CORRESPONDIENTE AL 2º, 3º, 4º Y 5º TALLER</t>
  </si>
  <si>
    <t>ASP-2019-113</t>
  </si>
  <si>
    <t>10482765276 ALANIA CASTAÑEDA DAYVIT</t>
  </si>
  <si>
    <t>ADQUISICION DE PASAJE AEREO PARA ASISTENCIA A TALLER DIRIGIDO A GESTORES CURRICULARES</t>
  </si>
  <si>
    <t>ASP-2019-114</t>
  </si>
  <si>
    <t>SERVICIO DE ATENCION DE ALMUERZO POR DIA DEL TRABAJADOR, PARA EL PERSONAL DE SEDE ADMINISTRATIVA</t>
  </si>
  <si>
    <t>ASP-2019-115</t>
  </si>
  <si>
    <t>CONTRATACION DE SERVICIO PERSONAL TECNICO PARA MANTENIMIENTO DE INFRAESTRUCTURA EDUCATIVA Y APOYO ADMINISTRATIVO EN EL AREA DE GESTION INSTITUCIONAL</t>
  </si>
  <si>
    <t>ASP-2019-116</t>
  </si>
  <si>
    <t>SERVICIO DE APOYO ADMINISTRATIVO EN EL AREA DE REMUNERACIONES DEL 17/04/2019 AL 17/07/2019</t>
  </si>
  <si>
    <t>ASP-2019-117</t>
  </si>
  <si>
    <t>PAGO DE SERVICIOS DE ENERGIA ELECTRICA DE LA SEDE ADMINSITRATIVA DE LA UGEL ACOMAYO, CORRESPONDIENTE AL MES DE JUNIO 2019</t>
  </si>
  <si>
    <t>ASP-2019-118</t>
  </si>
  <si>
    <t>PAGO POR SEVICIO DE ENERGIA ELECTRICA DE LAS IE NIVEL INICIAL, PRIMARIA Y SECUNDARIA DE LA  UGEL ACOMAYO, CORRESPONDIENTE AL MES DE JUNIO DEL 2019</t>
  </si>
  <si>
    <t>ASP-2019-119</t>
  </si>
  <si>
    <t>SERVICIO DE ALIMENTACION PARA EL I TALLER DE A.P.I. Y GIAS DE CAPACITACION EN DIFERENTES SEDES</t>
  </si>
  <si>
    <t>ASP-2019-120</t>
  </si>
  <si>
    <t>10452484485 LEON PUMA YOLANDA</t>
  </si>
  <si>
    <t>SERVICIO DE IMPRESION EN GENERAL PARA LA EJECUCION DEL I TALLER DE A.P.I. Y TALLERES CON PADRES DEL PP 106 - EBE</t>
  </si>
  <si>
    <t>ASP-2019-121</t>
  </si>
  <si>
    <t>CONTRATACION DEL SERVICIO DE INTENET FIBRA OPTICA PARA LA SEDE ADMINISTRATIVA DE LA UGEL ACOMAYO, CORRESPONDIENTE AL MES DE JUNIO DEL 2019</t>
  </si>
  <si>
    <t>ASP-2019-122</t>
  </si>
  <si>
    <t>SERVICIO DE INTERNET SATELITAL PARA LAS DIVERSAS OFICINAS DE LA SEDE DE LA UGEL ACOMAYO, CORRESPONDIENTE AL MES DE JUNIO DEL 2019</t>
  </si>
  <si>
    <t>ASP-2019-123</t>
  </si>
  <si>
    <t>PAGO POR SEVICIO DE ENERGIA ELECTRICA DE LAS IE NIVEL PRIMARIA RONDOCAN DE LA UGEL, JUNIO 2019</t>
  </si>
  <si>
    <t>ASP-2019-124</t>
  </si>
  <si>
    <t>SERVICIO DE SOPORTE INFORMATICO EN PROCESAMIENTO, ACTUALIZACION  DE DATOS PARA EL SUP DURANTE EL PERIODO COMPRENDIDO DE ENERO A MAYO DEL 2019</t>
  </si>
  <si>
    <t>ASP-2019-125</t>
  </si>
  <si>
    <t>10429089749 QUISPE CCALLO RENE</t>
  </si>
  <si>
    <t>SERVICIO DE ATENCION DE ALMUERZOS POR FESTEJO DEL DIA DEL MAESTRO</t>
  </si>
  <si>
    <t>ASP-2019-126</t>
  </si>
  <si>
    <t>10766148200 RAMIREZ ONOFRE YANET</t>
  </si>
  <si>
    <t>SERVICIO DE ATENCION DE REFRIGERIO PARA EL TALLER CON FAMILIAS EN EL CEBE GOTITAS DE AMOR DE POMACAN - SEGUNDA ENTREGA</t>
  </si>
  <si>
    <t>ASP-2019-127</t>
  </si>
  <si>
    <t>ADQUISICION DE PASAJE AEREO PARA ASISTENCIA TECNICA DE PROCESO DE RACIONALIZACION 2019, ECON. NICOLAS NAVARRO YARAHUAMAN, JEFE DE A.G.I.</t>
  </si>
  <si>
    <t>ASP-2019-128</t>
  </si>
  <si>
    <t>20600979141 MA-PI PERÚ TRAVEL EMPRESA INDIVIDUAL DE RESPONSABILIDAD LIMITADA</t>
  </si>
  <si>
    <t>ADQUISICION DE PASAJE AEREO POR VIAJE A LA CIUDAD DE LIMA, SEGUN MEMORANDUM Nº 805-2019-GR-C/D-AGA, LAURO ELIO FARFAN LEON, TESORERO.</t>
  </si>
  <si>
    <t>ASP-2019-129</t>
  </si>
  <si>
    <t>ADQUISICIONDE PASAJE AEREO POR VIAJE A LA CIUDAD DE LIMA, SEGUN MEMORANDUM Nº 805-.2019-GR-C/DRE-C/D, CPC CHRISTIAN IVAN FLORES CARIAPAZA, CONTADOR</t>
  </si>
  <si>
    <t>ASP-2019-130</t>
  </si>
  <si>
    <t>SERVICIO DE FOTOCOPIADO DE CUADERNILLO DE PRUEBAS PARA LA EJECUCION DE LA ONEM PRIMERA ETAPA Y CUADERNILLOS DE COMUNICACION CASTELLANO Y QUECHUA Y MATEMATICA CASTELLANO PARA LA EJECUCION DE TALLERES CON PERSPECTIVA A LA ECE 2019 A DOCENTES</t>
  </si>
  <si>
    <t>ASP-2019-131</t>
  </si>
  <si>
    <t>PAGO DE SERVICIOS DE ENERGIA ELECTRICA DE LA SEDE ADMINSITRATIVA DE LA UGEL ACOMAYO, CORRESPONDIENTE AL MES DE JULIO DEL 2019</t>
  </si>
  <si>
    <t>ASP-2019-132</t>
  </si>
  <si>
    <t>PAGO POR SEVICIO DE ENERGIA ELECTRICA DE LAS IIEE DE LA UGEL ACOMAYO, CORRESPONDIENTE A JULIO 2019</t>
  </si>
  <si>
    <t>ASP-2019-133</t>
  </si>
  <si>
    <t>SERVICIO DE TRALADO DE PERSONAL POR COMISION DE SERVICIOS, PARA LA EJECUCION DEL II TALLER DE FORTALECIMIENTO DE CAPACIDADES DE CAPACIDADES EN LA IMPLEMETACION DEL CURRICULO NACIONAL DE EB A DOCENTES Y DIRECTORES.</t>
  </si>
  <si>
    <t>ASP-2019-134</t>
  </si>
  <si>
    <t>20602700454 TURISMO MACHULITA EXPRESS S.R.L.</t>
  </si>
  <si>
    <t>SERVICIO DE MONITOREO DE LA EVALUACION DE ESTUDIANTES Y DOCENTES.</t>
  </si>
  <si>
    <t>ASP-2019-135</t>
  </si>
  <si>
    <t>10455494732 PULLA MONTALVO RUTH NOEMI</t>
  </si>
  <si>
    <t>CONTRATACION DEL SERVICIO DE INTENET FIBRA OPRTICA, PARA LA SEDE ADMINISTRATIVA DE LA UGEL ACOMAYO, CORREPONDIENTE AL MES DE JULIO DEL 2019</t>
  </si>
  <si>
    <t>ASP-2019-136</t>
  </si>
  <si>
    <t>SERVICIO DE INTERNET SATELITAL PARA LAS DIVERSAS OFICINAS DE LA SEDE DE LA UGEL ACOMAYO, CORRESPONDIENTE AL MES DE JULIO DEL 2019</t>
  </si>
  <si>
    <t>ASP-2019-137</t>
  </si>
  <si>
    <t>CONTRATACION DE SERVICIO DE ALIMENTACION PARA EL II TALLER DE API Y II TALLER DE FORTALECIMEINTO DE CAPACIDADES EN AL IMPLEMENTACION DEL CNEB, SEGUN TEMINOS DE REFERENCIA</t>
  </si>
  <si>
    <t>ASP-2019-138</t>
  </si>
  <si>
    <t>PAGO POR SEVICIO DE ENERGIA ELECTRICA DE LAS IE NIVEL PRIMARIA RONDOCAN DE LA UGEL ACOMAYO, JULIO 2019</t>
  </si>
  <si>
    <t>ASP-2019-139</t>
  </si>
  <si>
    <t>CONTRATACION DE SERVICIOS DE TRANSPORTE PARA DISTRIBUCION DE MATERIALES EDUCATIVOS DE REDISTRIBUCION.</t>
  </si>
  <si>
    <t>ASP-2019-140</t>
  </si>
  <si>
    <t>CONTRTACION DE SERVICIOS DE ANALÑISTA EN INFRAESTRUCTURA, COORESPONDIENTE A LA PRIMERA ENTREGA</t>
  </si>
  <si>
    <t>ASP-2019-141</t>
  </si>
  <si>
    <t>10709916306 ESCALANTE JERI MIJAEL OLIVER</t>
  </si>
  <si>
    <t>SERVICIO DE ATENCION DE ALMUERZOS PARA LA EJECUCION DEL II TALLER DE PROMOTORES EDUCATIVOS COMUNALES</t>
  </si>
  <si>
    <t>ASP-2019-142</t>
  </si>
  <si>
    <t>10424871139 CCALLUCO RIMACHE ALBARADA</t>
  </si>
  <si>
    <t>SERVICIO DE IMPRESIÓN DE DOSSIER PARA DIFERENTES TALLERES DE MEDIO AÑO ORGANIZADOS POR LA UGEL ACOMAYO</t>
  </si>
  <si>
    <t>ASP-2019-143</t>
  </si>
  <si>
    <t>SERVICIO DE INTERNET SATELITAL PARA LAS DIVERSAS OFICINAS DE LA SEDE DE LA UGEL ACOMAYO, CORRESPONDIENTE AL MES DE AGOSTO DEL 2019</t>
  </si>
  <si>
    <t>ASP-2019-144</t>
  </si>
  <si>
    <t>CONTRATACION DEL SERVICIO DE INTENET - FIBRA OPTICA - PARA LA SEDE ADMINISTRATIVA DE LA UGEL ACOMAYO, CORRESPONDIENTE AL MES DE AGOSTO DEL 2019</t>
  </si>
  <si>
    <t>ASP-2019-145</t>
  </si>
  <si>
    <t>SERVICIO DE ATENCION DE REFRIGERIO PARA EL TALLER CON FAMILIAS EN EL CEBE GOTITAS DE AMOR DE POMACANCHI CORRESPONDIENTE A LA TERCERA ENTREGA</t>
  </si>
  <si>
    <t>ASP-2019-146</t>
  </si>
  <si>
    <t>SERVICIO DE ENERGIA ELECTRICA DE LA SEDE ADMINISTRATIVA DE LA UGEL ACOMAYO, CORRESPONDIENTE AL MES DE  AGOSTO DEL 2019</t>
  </si>
  <si>
    <t>ASP-2019-147</t>
  </si>
  <si>
    <t>PAGO POR SEVICIO DE ENERGIA ELECTRICA DE LAS IE DE LOS NIVELES INICIAL, PRIMARIA Y SECUNDARIA, CORRESPONDIENTE AL MES DE AGOSTO DEL 2019</t>
  </si>
  <si>
    <t>ASP-2019-148</t>
  </si>
  <si>
    <t>SERVICIO DE MONITOREO DE LA EVALUACION DE ESTUDIANTES Y DOCENTES, SEGUNDO ENTREGABLE</t>
  </si>
  <si>
    <t>ASP-2019-149</t>
  </si>
  <si>
    <t>SERVICIO DE ATENCION DE ALIMENTOS PARA LA EJECUCION DE LOS JUEGOS FLORALES ESCOLARES 2019 ETAPA UGEL y EL I TALLER DE CAPACITACION PARA IMPLEMENTACION DE LA ETAPA DESCENTRALIZADA DE LA EVALUACION DEL CONCURSO DE NOMBRAMIENTO 2019 A DOCENTES DE LA JURISDIC</t>
  </si>
  <si>
    <t>ASP-2019-150</t>
  </si>
  <si>
    <t>SEGURO DE PROTECCION VEHICULAR CONTRA ACCIDENTES, PARA LA UNIDAD VEHICULAR DE LA UGEL ACOMAYO</t>
  </si>
  <si>
    <t>ASP-2019-151</t>
  </si>
  <si>
    <t>CONTRATATACION DE SERVICIOS NO PERSONALES PARA EL AREA DE REMUNERACIONES DE LA UGEL ACOMAYO DEL 18 DE JULIO AL 30 DE SETIEMBRE DEL 2019</t>
  </si>
  <si>
    <t>ASP-2019-152</t>
  </si>
  <si>
    <t>ADQUISICION DE PASAJES AEREOS PARA TRASLADO DE PERSONAL POR COMISION DE SERVICIO</t>
  </si>
  <si>
    <t>ASP-2019-153</t>
  </si>
  <si>
    <t>SERVICIO DE ATENCION DE ALMUERZOS PARA LA EJECUCION DEL TALLER DE FORTALECIMIENTO DE CAPACIDADES</t>
  </si>
  <si>
    <t>ASP-2019-154</t>
  </si>
  <si>
    <t>PARA IMPRESION DE BOLETAS DE PAGO DE LA OFICINA DE REMUNERACIONES</t>
  </si>
  <si>
    <t>ASP-2019-155</t>
  </si>
  <si>
    <t>10407147923 ALVAREZ SALAS LIDIA MILAGROS</t>
  </si>
  <si>
    <t>SERVICIO DE MOVILIDAD PARA TRASLADO DE ESPECIALISTA DE EDUCACION PARA A LA RED EDUCATIVA DE PILLPINTO Y ACOPIA (SANTO DOMINGO)</t>
  </si>
  <si>
    <t>ASP-2019-156</t>
  </si>
  <si>
    <t>20602774261 EMPRESA DE TRANSPORTES TURISMO WAQRAPUKARA ACOMAYO SOCIEDAD COMERCIAL DE RESPONSABILIDAD LIMITADA</t>
  </si>
  <si>
    <t>SERVICIO DE ENERGIA ELECTRICA DE LA SEDE ADMINISTRATIVA DE LA UGEL ACOMAYO, SETIEMBRE 2019</t>
  </si>
  <si>
    <t>ASP-2019-157</t>
  </si>
  <si>
    <t>PAGO POR SEVICIO DE ENERGIA ELECTRICA DE LAS IE NIVEL INICIAL, PRIMARIA Y SECUNDARIA, SETIEMBRE 2019</t>
  </si>
  <si>
    <t>ASP-2019-158</t>
  </si>
  <si>
    <t>SERVICIO DE ATENCION DE REFRIGERIO PARA EL TALLER CON FAMILIAS EN EL CEBE GOTITAS DE AMOR DE POMACANCHI 4TO TALLER</t>
  </si>
  <si>
    <t>ASP-2019-159</t>
  </si>
  <si>
    <t>CONTRATACION DEL SERVICIO DE INTENET PARA LA SEDE ADMINISTRATIVA DE LA UGEL ACOMAYO, CORRESPONDIENTE AL MES DE SETIEMBRE DEL 2019</t>
  </si>
  <si>
    <t>ASP-2019-160</t>
  </si>
  <si>
    <t>SERVICIO DE INTERNET SATELITAL PARA LAS DIVERSAS OFICINAS DE LA SEDE DE LA UGEL ACOMAYO, CORRESPONDIENTE AL MES DE SETIEMBRE DEL 2019</t>
  </si>
  <si>
    <t>ASP-2019-161</t>
  </si>
  <si>
    <t>SERVICIO DE ANIMACION PARA LA EJECUCION DE LA CAMPAÑA DE SENSIBILIZACION DEL PP106 EBE</t>
  </si>
  <si>
    <t>ASP-2019-162</t>
  </si>
  <si>
    <t>10738629316 MANOL QUISPE YANET</t>
  </si>
  <si>
    <t>PAGO POR SEVICIO DE ENERGIA ELECTRICA DE LAS IE NIVEL PRIMARIA RONDOCAN DE LA UGEL ACOMAYO, CORRESPONDIENTE AL MES  DE SETIEMBRE DEL 2019</t>
  </si>
  <si>
    <t>ASP-2019-163</t>
  </si>
  <si>
    <t>ADQUISICION DE PASAJES AEREOS POR VIAJE A LA CIUDAD DE LIMA POR CONVOCATORIA DEL MINEDU</t>
  </si>
  <si>
    <t>ASP-2019-164</t>
  </si>
  <si>
    <t>ASP-2019-165</t>
  </si>
  <si>
    <t>CONTRATATACION DE SERVICIOS NO PERSONALES PARA EL AREA DE REMUNERACIONES DE LA UGEL ACOMAYO</t>
  </si>
  <si>
    <t>ASP-2019-166</t>
  </si>
  <si>
    <t>CONTRTACION DE SERVICIOS DE ELABORACION, EJECUCION Y SUPERVISION DE ACTIVIDADES DE INFRAESTRUCTURA Y MANTENIMIENTO DE LOCLAES ESCOLARES, CORRESPONDIENTE A LA SEGUNDA ENTREGA</t>
  </si>
  <si>
    <t>ASP-2019-167</t>
  </si>
  <si>
    <t>ADQUISICION DE PASAJES AERESO PARA EL PERSONAL QUE VIAJARA A LA CIUDAD DE LIMA POR CONVOCATORIA DEL MINEDU</t>
  </si>
  <si>
    <t>ASP-2019-168</t>
  </si>
  <si>
    <t>SERVICIO DE ATENCION DE ALIMENTOS PARA LA EJECUCION DE LOS JUEGOS FLORALES ESCOLARES 2019 ETAPA UGEL</t>
  </si>
  <si>
    <t>ASP-2019-169</t>
  </si>
  <si>
    <t>SERVICIO DE MANTENIMIENTO PREVENTIVO DE UNIDAD VEHICULAR DE LA UGEL ACOMAYO</t>
  </si>
  <si>
    <t>ASP-2019-170</t>
  </si>
  <si>
    <t>SERVICIO DE IMPRESION DE GIGANTOGRAFIA PARA LA EJECUCION DE LOS JUEGOS FLORALES ESCOLARES 2019, ETAPA UGEL Y PARA LA EJECUCION DE LA XXIX FERIA ESCOLAR NACIONAL DE CIENCIA Y TECNOLOGIA EUREKA 2019</t>
  </si>
  <si>
    <t>ASP-2019-171</t>
  </si>
  <si>
    <t>SERVICIO DE ARBITRAJE PARA LA EJECUCIN DE XXI JUEGOS DEPORTIVOS Y CULTURALES MAGISTERIALES ACOMAYO 2019</t>
  </si>
  <si>
    <t>ASP-2019-172</t>
  </si>
  <si>
    <t>10245850706 MAMANI CORRALES PIO AUGUSTO</t>
  </si>
  <si>
    <t>PAGO POR SEVICIO DE ENERGIA ELECTRICA DE LAS IE DE LOS NIVELES INICIAL, PRIMARIA Y SECUNDARIA, CORRESPONDIENTE AL MES DE OCTUBRE DEL 2019</t>
  </si>
  <si>
    <t>ASP-2019-173</t>
  </si>
  <si>
    <t>PAGO DE SERVICIO DE ENERGIA ELECTRICA DE LA SEDE ADMINISTRATIVA DE LA UGEL ACOMAYO, CORRESPONDIENTE AL MES DE OCTUBRE DEL 2019</t>
  </si>
  <si>
    <t>ASP-2019-174</t>
  </si>
  <si>
    <t>SERVICIO DE REFRIGERIOS PARA CAMPAÑA DE SENSIBILIZACION PARA EL PP 106 EBE</t>
  </si>
  <si>
    <t>ASP-2019-175</t>
  </si>
  <si>
    <t>SERVICIO DE IMPRESIONES DE PRUERBAS PARA LA EJECUCION DE LA ECE-REGIONAL 2019</t>
  </si>
  <si>
    <t>ASP-2019-176</t>
  </si>
  <si>
    <t>CONTRATACION DEL SERVICIO DE INTENET PARA LA SEDE ADMINISTRATIVA DE LA UGEL ACOMAYO, CORRESPONDIENTE AL MES DE OCTUBRE DEL 2019</t>
  </si>
  <si>
    <t>ASP-2019-177</t>
  </si>
  <si>
    <t>SERVICIO DE INTERNET SATELITAL PARA LAS DIVERSAS OFICINAS DE LA SEDE DE LA UGEL ACOMAYO, CORRESPONDIENTE AL MES DE OCTUBRE DEL 2019</t>
  </si>
  <si>
    <t>ASP-2019-178</t>
  </si>
  <si>
    <t>CONTRATATACION DE SERVICIOS DE DIGITACION Y VERIFICACION DE COMPROBANTES DE PAGO PARA EL AREA DE REMUNERACIONES, PARA EL MES DE NOVIERMBRE DEL 2019</t>
  </si>
  <si>
    <t>ASP-2019-179</t>
  </si>
  <si>
    <t>PROGRAMA DE CAPACITACION DE PERSONAL DE LA SEDE ADMINISTRATIVA DE LA UGEL ACOMAYO</t>
  </si>
  <si>
    <t>ASP-2019-180</t>
  </si>
  <si>
    <t>20565399561 INSTITUTO PERUANO DE ASUNTOS PUBLICOS POLITICA Y GOBIERNO SOCIEDAD ANONIMA CERRADA</t>
  </si>
  <si>
    <t>PAGO POR SEVICIO DE ENERGIA ELECTRICA DE LAS IE NIVEL PRIMARIA RONDOCAN DE LA UGEL ACOMAYO, OCTUBRE DEL 2019</t>
  </si>
  <si>
    <t>ASP-2019-181</t>
  </si>
  <si>
    <t>CONTRTACION DE SERVICIOS DE ELABORACION, EJECUCION Y SUPERVISION DE ACTIVIDADES DE INFRAESTRUCTURA Y</t>
  </si>
  <si>
    <t>ASP-2019-182</t>
  </si>
  <si>
    <t>SERVICIO DE MANTENIMIENTO, SERVICIO A TODO COSTO</t>
  </si>
  <si>
    <t>ASP-2019-183</t>
  </si>
  <si>
    <t>SERVICIO DE MANTENIMIENTO PREVENTIVO DE UNIDAD VEHICULAR, SERVICIO A TODO COSTO</t>
  </si>
  <si>
    <t>ASP-2019-184</t>
  </si>
  <si>
    <t>SERVICIO DE ATENCION DE REFRIGERIO PARA EL TALLER CON FAMILIAS EN EL CEBE GOTITAS DE AMOR DE POMACANCHI, COORESPONDIENTE ALA QUINTA ENTREGA</t>
  </si>
  <si>
    <t>ASP-2019-185</t>
  </si>
  <si>
    <t>CONTRATACION DEL SERVICIO DE INTENET PARA LA SEDE ADMINISTRATIVA DE LA UGEL ACOMAYO, CORRESPONDIENTE ALMES DE NOVIEMBRE DEL 2019</t>
  </si>
  <si>
    <t>ASP-2019-186</t>
  </si>
  <si>
    <t>SERVICIO DE INTERNET SATELITAL PARA LAS DIVERSAS OFICINAS DE LA SEDE DE LA UGEL ACOMAYO, CORRESPONDIENTE AL MES DE NOVIEMBRE DEL 2019</t>
  </si>
  <si>
    <t>ASP-2019-187</t>
  </si>
  <si>
    <t>MICRO TALLER "PROGRAMACION DE UNIDADES DE APRENDIZAJE DEL CSTELLANO COMO SEGUNDA LENGUA Y EVALUACION</t>
  </si>
  <si>
    <t>ASP-2019-188</t>
  </si>
  <si>
    <t>10741994955 MARQUEZ QUISPE LIZETH</t>
  </si>
  <si>
    <t>CONTRATACION DE SERVICIOS DE MANTENIMIENTO PREVENTIVO DE EQUIPOS MULTIFUNCIONALES DE LA UGEL ACOMAYO</t>
  </si>
  <si>
    <t>ASP-2019-189</t>
  </si>
  <si>
    <t>MICRO TALLER "PROGRAMACION DE UNIDADES DE APRENDIZAJE DEL CSTELLANO COMO SEGUNDA LENGUA Y EVALUACION DEL PROGRESO DE LOS ESTUDIANTES</t>
  </si>
  <si>
    <t>ASP-2019-190</t>
  </si>
  <si>
    <t>SERVICIO DE ALIMENTACION PARA LA EJECUCION DEL TINKUY 2019 PROGRAMA API</t>
  </si>
  <si>
    <t>ASP-2019-191</t>
  </si>
  <si>
    <t>SERVICIO DE SOPORTE TECNICO PARA EL AREA DE REMUNERACIONES</t>
  </si>
  <si>
    <t>ASP-2019-192</t>
  </si>
  <si>
    <t>PAGO POR SEVICIO DE ENERGIA ELECTRICA DE LAS IE NIVEL INICIAL, PRIMARIA Y SECUNDARIA DE LA UGEL ACOMAYO, CORRESPONDIENTE AL MES DE NOVIEMBRE DEL 2019</t>
  </si>
  <si>
    <t>ASP-2019-193</t>
  </si>
  <si>
    <t>PAGO DE SERVICIOS DE ENERGIA ELECTRICA DE LA SEDE ADMINISTRATIVA DE LA UGEL ACOMAYO, CORRESPONDIENTE AL MES  DE NOVIEMBRE DEL 2019</t>
  </si>
  <si>
    <t>ASP-2019-194</t>
  </si>
  <si>
    <t>CONTRATACION DE PERDSONAL PARA REALIZAR ACTIVIDADES DE MONITOREO EN EL PROCESO DE EVALUACION DE DOCENTES</t>
  </si>
  <si>
    <t>ASP-2019-195</t>
  </si>
  <si>
    <t>CONTRATACION DEL SERVICIO DE LEVANTAMIENTO TOPOGRAFICO PARA EL SANEAMIENTO DE INMUEBLES OCUPADO DE 12 INSTITUCIONES EDUCATIVAS DEL NIVEL INICIAL DE LA UGEL ACOMAYO</t>
  </si>
  <si>
    <t>ASP-2019-196</t>
  </si>
  <si>
    <t>10718522108 APAZA VALENCIA AMILCAR IRWING</t>
  </si>
  <si>
    <t>CONTRATACION DEL SERVICIO DE INTENET MEDIANTE FIBRA OPTICA PARA LA SEDE ADMINISTRATIVA DE LA UGEL ACOMAYO, CORRESPONDIENTE AL MES DE DICIEMBRE DEL 2019</t>
  </si>
  <si>
    <t>ASP-2019-197</t>
  </si>
  <si>
    <t>SERVICIO DE INTERNET SATELITAL PARA LAS DIVERSAS OFICINAS DE LA SEDE DE LA UGEL ACOMAYO, CORRESPONDIENTE AL MES DE DICIEMBRE DEL 2019</t>
  </si>
  <si>
    <t>ASP-2019-198</t>
  </si>
  <si>
    <t>CONTRATATACION DE SERVICIOS NO PERSONALES PARA EL AREA DE REMUNERACIONES DE LA UGEL ACOMAYO, CORRESPONDIENTE AL MES DE DICIEMBRE DEL 2019</t>
  </si>
  <si>
    <t>ASP-2019-199</t>
  </si>
  <si>
    <t>PAGO POR SEVICIO DE ENERGIA ELECTRICA DE LAS IE NIVEL PRIMARIA RONDOCAN DE LA UGEL ACOMAYO, NOVIEMBRE DEL 2019</t>
  </si>
  <si>
    <t>ASP-2019-200</t>
  </si>
  <si>
    <t>SERVICIO DE ALIMENTACION PARA LA EJECUCION DE III TALLER ATA EN EL DISTRITO DE POMACANCHI</t>
  </si>
  <si>
    <t>ASP-2019-201</t>
  </si>
  <si>
    <t>SERVICIO DE IMPRESION EN GENERAL PARA LA EJEUCION DEL III TALLER ATA</t>
  </si>
  <si>
    <t>ASP-2019-202</t>
  </si>
  <si>
    <t>SERVICIO DE ALIMENTACION PARA EJECUCION DEL III TALLER ATA EN EL DISTRITO DE ACOMAYO</t>
  </si>
  <si>
    <t>ASP-2019-203</t>
  </si>
  <si>
    <t>CONTRATACION DE SERVICIOS DE ATENCION DE ALMUERZOS PARA EL TALLER DE FINALIZACION DEL AÑO LECTIVO 2020</t>
  </si>
  <si>
    <t>ASP-2019-204</t>
  </si>
  <si>
    <t>CONTRATACION DE SERVICIO DE TRANSPORTE DE MATERAILES EDUCATIVOS DOTACION 2020 PRIMERA ETAPA, PSIMOCTRICIDAD Y DIDACTICOS PARA PROGRAMAS NO ESCOLARIZADOS DE EDUCACION INICIAL DE LA UGEL ACOMAYO</t>
  </si>
  <si>
    <t>ASP-2019-205</t>
  </si>
  <si>
    <t>CONTRATACION DE PERDSONAL PARA REALIZAR ACTIVIDADDES DE MONITOREO EN EL PROCESO DE EVALUACION DE DOCENTES CORRESPONDEINTE A LA TERCERA ENTREGA</t>
  </si>
  <si>
    <t>ASP-2019-206</t>
  </si>
  <si>
    <t>SERVICIO DE MOVILIDAD PARA TRASLADO DE ESPECIALISTA DE EDUCACION PARA A LA EJECUCION DEL TALLER ATA EN LA CIUDAD DE POMCANCHI REALIZADOS LOS DIAS 10 Y 11 DE DICIEMBRE DEL PRESENTE AÑO</t>
  </si>
  <si>
    <t>ASP-2019-207</t>
  </si>
  <si>
    <t>SERVICIO DE GIGANTOGRAFIA PARA LA EJECUCION DEL TINKUY DE LAS IIEE FOCALIZADAS DE EIB DE LA  ACOMAYO</t>
  </si>
  <si>
    <t>ASP-2019-208</t>
  </si>
  <si>
    <t>SERVICIO DE MOVILIDAD DE PERSONAS PARA LA EJECUCION DEL TINKUY 2019 PROGRAMA API</t>
  </si>
  <si>
    <t>ASP-2019-209</t>
  </si>
  <si>
    <t>20601539382 EMPRESA DE TRANSPORTES TOURS ACOMAYO SOCIEDAD ANONIMA - TRANSP. TOURS ACOMAYO S.A.</t>
  </si>
  <si>
    <t>SERVICIO DE ORGANIZACIÓN DE EVENTOS DEL TINKUY 2019 PROGRAMA API</t>
  </si>
  <si>
    <t>ASP-2019-210</t>
  </si>
  <si>
    <t>10429790340 QUISPE PAULO BENEDICTA ALICIA</t>
  </si>
  <si>
    <t>Mateial impreso para el desarrollo de vivitas por parte del gestor curricular</t>
  </si>
  <si>
    <t>ASP-2019-211</t>
  </si>
  <si>
    <t>20604891524 SERVICOPIAS CIELITO EMPRESA INDIVIDUAL DE RESPONSABILIDAD LIMITADA - SERVICOPIAS CIELITO E.I.R.L.</t>
  </si>
  <si>
    <t>TENIENDO QUE SER ACTUALIZADO DE LA PAGINA INSTITUCIONAL, REMITO NECESIDADES PARA LA ACTUALIZAION DE LA PAGINA WEB INSTITUCIONAL</t>
  </si>
  <si>
    <t>ASP-2019-212</t>
  </si>
  <si>
    <t>10800570480 CONDORI CCANA EDGAR</t>
  </si>
  <si>
    <t>SERVICIO DE AMBIENTACION DE LOCAL PARA EJECUCION DETINKUY 2019 UGEL ACOMAYO</t>
  </si>
  <si>
    <t>ASP-2019-213</t>
  </si>
  <si>
    <t>ADQUISICION DE PASAJES AEREOS PARA LA ASISTENCIA AL I CONGRESO INTERNACIONAL DE RECURSOS HUMANO</t>
  </si>
  <si>
    <t>ASP-2019-214</t>
  </si>
  <si>
    <t>SERVICIO DE UN ANALISTA EN INFRAESTRUCTURA PARA EL AREA DE GESTION INSTITUCIONAL DE LA UGEL ACOMAYO</t>
  </si>
  <si>
    <t>ASP-2019-215</t>
  </si>
  <si>
    <t>MANTENIMIENTO PREVENTIVO DE CONDICIONES DE LA IIEE Nº 50070 ANA TOMASA TTITO CONDEMAYTA DE ACOS</t>
  </si>
  <si>
    <t>ASP-2019-216</t>
  </si>
  <si>
    <t>20605414959 GRUPO WAYRA MC EMPRESA INDIVIDUAL DE RESPONSABILIDAD LIMITADA. GWMC EIRL</t>
  </si>
  <si>
    <t>PARA EL ALQUILER DE DOMINIO Y HOSTING DE LA PAGINA WEB DE LA UGEL ACOMAYO</t>
  </si>
  <si>
    <t>ASP-2019-217</t>
  </si>
  <si>
    <t>10475653535 CASTRO LOPEZ JOSIMAR ALBERT</t>
  </si>
  <si>
    <t>PAGO POR SEVICIO DE ENERGIA ELECTRICA DE LAS IE NIVEL INICIAL, PRIMARIA Y SECUNDARIA DE LA UGEL ACOMAYO</t>
  </si>
  <si>
    <t>ASP-2019-218</t>
  </si>
  <si>
    <t>SERVICIO DE ATENCION DE REFRIGERIO PARA EL TALLER CON FAMILIAS EN EL CEBE VIRGEN DE CHAPI DE ACOMAYO, CORRESPONDIENTE AL 2º, 3º, 4º, Y 5º TALLER</t>
  </si>
  <si>
    <t>ASP-2019-219</t>
  </si>
  <si>
    <t>ADQUISCION DE TEMPERA COLOR AMARILLO PARA EL KIT DE MATERAL FUNGIBLE DOTACION 2020</t>
  </si>
  <si>
    <t>CCE-2020-001</t>
  </si>
  <si>
    <t>ADQUISICION DE TEMPERAS DE COLOR AZUL, ROJO Y BLANCO, PARA EL KIT DE MATERIAL FUNGIBLE DOTACION 2020</t>
  </si>
  <si>
    <t>CCE-2020-002</t>
  </si>
  <si>
    <t>ADQUISICION DE TAJADORES PARA EL KIT DE MATERIAL FUNGIBLE DOTACION 2020</t>
  </si>
  <si>
    <t>CCE-2020-003</t>
  </si>
  <si>
    <t>ADQUISICION DE PAPELOGRAFOS PARA EL KIT DE MATERIAL FUNGIBLE 2020</t>
  </si>
  <si>
    <t>CCE-2020-004</t>
  </si>
  <si>
    <t>ADQUISICION DE PAPEL LUSTRE COLOR AMARILLO PARA EL KIT DE MATERIAL FUNGIBLE DOTACION 2020</t>
  </si>
  <si>
    <t>CCE-2020-005</t>
  </si>
  <si>
    <t>ADQUISCION DE PUNTO DE ACCESO INALAMBRICO, PARA REALIZACION DE TALLERES ORGANIZADOS POR LA UGEL ACOMAYO</t>
  </si>
  <si>
    <t>ASP-2020-001</t>
  </si>
  <si>
    <t>ADQUISICION DE MOCHILAS DE LONA PARA ESTUDIANTES DE EDUCACION SECUNDARIA DE LA UGEL ACOMAYO</t>
  </si>
  <si>
    <t>COMPRE-SM-2-2020-OEC-UGEL-A-1</t>
  </si>
  <si>
    <t>ADQUISICION DE EQUIPOS DE PROTECCION PERSONAL E INSUMOS DE LIMPIEZA PARA EL PLAN DE PREVENCION, SEGURIDAD Y SALUD ANTE AL PRESENCIA DEL COVID-19 EN AL UGEL ACOMAYO.</t>
  </si>
  <si>
    <t>ACCESORIOS DE SEGURIDAD Y HERRAMIENTAS PARA UNIDAD VEHICULAR DE LA UGEL ACOMAYO</t>
  </si>
  <si>
    <t>ASP-2020-002</t>
  </si>
  <si>
    <t>ADQUISICION DE NEUMATICOS PARA UNIDAD VEHICULAR CAMIONETA PICK UP DE LA UGEL ACOMAYO</t>
  </si>
  <si>
    <t>ASP-2020-003</t>
  </si>
  <si>
    <t>10255010102 GAVILAN PAREDES CESAR</t>
  </si>
  <si>
    <t>REQUERIMIENTO DE MATERIAL DIDACTICO PARA LOS ALUMNOS DE LOS PRONOEI DEL CICLO I Y II CON CARGO AL PRESUPUESTO DEL FED</t>
  </si>
  <si>
    <t>ASP-2020-004</t>
  </si>
  <si>
    <t>ADQUISICION DE TINTA DE IM PRESION PARA IMPRESORAS A INYECCION DE TINTA DE LA SEDE ADMINISTRATIVA</t>
  </si>
  <si>
    <t>CCE-2020-006</t>
  </si>
  <si>
    <t>20602959628 AVL MASTER S.A.C.</t>
  </si>
  <si>
    <t>ADQUISICION DE TONER DE IMPRESION PARA MULTIFUNCIONALES DE LA SEDE ADMINISTRATIVA DE LA UGEL ACOMAYO</t>
  </si>
  <si>
    <t>CCE-2020-007</t>
  </si>
  <si>
    <t>20602557589 CONSORCIO FLOHUER S.A.C.</t>
  </si>
  <si>
    <t>CCE-2020-008</t>
  </si>
  <si>
    <t>20527829292 RAMDAC TECHNOLOGY EMPRESA INDIVIDUAL DE RESPONSABILIDAD LIMITADA</t>
  </si>
  <si>
    <t>CCE-2020-009</t>
  </si>
  <si>
    <t>20601675707 CEFRECOM PERU S.A.C.</t>
  </si>
  <si>
    <t>ADQUISICION DE TONER DE IMPRESION PARA IMPRESORAS LASER DE LA SEDE ADMINISTRATIVA DE LA UGEL ACOMAYO</t>
  </si>
  <si>
    <t>CCE-2020-010</t>
  </si>
  <si>
    <t>20603020775 SUPPLY CEMASH PERU E.I.R.L.</t>
  </si>
  <si>
    <t>CCE-2020-011</t>
  </si>
  <si>
    <t>20601810442 INTEC INFORMATICO S.A.C.</t>
  </si>
  <si>
    <t>ADQUISICION DE MATERIALES DE INSUMOS DE LIMPIEZA PARA IIEE DE LA EBR Y EBA DE LA UGEL ACOMAYO</t>
  </si>
  <si>
    <t>ASP-2020-005</t>
  </si>
  <si>
    <t>20600860888 COMERCIAL KURYKALA S.A.C.</t>
  </si>
  <si>
    <t>ADQUISICION DE MOCHILAS PARA ESTUDIANTES DE INSTITUCIONES EDUCATIVAS DE NIVEL INICIAL.</t>
  </si>
  <si>
    <t>ASP-2020-006</t>
  </si>
  <si>
    <t>ADQUISICION DE MATERISALES E INSUMOS DE LIMPIEZA PARA EL PP 090 PELA Y PP 106 EBE</t>
  </si>
  <si>
    <t>ASP-2020-007</t>
  </si>
  <si>
    <t>Material para los CEBE del ambito de la Ugel Acomayo</t>
  </si>
  <si>
    <t>ASP-2020-008</t>
  </si>
  <si>
    <t>PAGO POR SERVICIOS DE ENERGIA ELECTRICA DE LAS IE DE NIVEL PRIMARIO DEL DISTRITO DE RONDOCAN, COORESPONDIENTE AL MES DE DICIEMBRE DEL 2019</t>
  </si>
  <si>
    <t>ASP-2020-009</t>
  </si>
  <si>
    <t>CONTRATACION DE SERVICIO DE ALIMENTACION PARA EL PERSONAL DE LA COMISION DEL PROCESO DE CONTRATACION DOCENTE 2020</t>
  </si>
  <si>
    <t>ASP-2020-010</t>
  </si>
  <si>
    <t>PAGO DE SERVICIOS DE ENERGIA ELECTRICA DE LAS IE DE LA EBR MES DE ENERO 2020</t>
  </si>
  <si>
    <t>ASP-2020-011</t>
  </si>
  <si>
    <t>PEDIDO DE ADQUISICION DE PASAJES AEREOS POR VIAJE A CIERRE CONTABLE Y CONCILIACION DE CUENTAS DE ENLACE AL CIERRE DEL EJERCICIO FISCAL 2019</t>
  </si>
  <si>
    <t>ASP-2020-012</t>
  </si>
  <si>
    <t>20341841357 LATAM AIRLINES PERU S.A.</t>
  </si>
  <si>
    <t>PAGO DE SERVICIO DE ENERGIA ELECTRICA DE LA SEDE ADMINISTRATIVA DE LA UGEL ACOMAYO, CORRESPONDIENTE AL MES DE DICIEMBRE DEL 2019 Y ENERO 2020</t>
  </si>
  <si>
    <t>ASP-2020-013</t>
  </si>
  <si>
    <t>SERVICIO DE ENERGIA ELECTRICA DE LAS IE DE NIVEL PRIMARIO DEL DISTRITO DE RONDOCAN CORRESPONDIENTE AL CONSUMO DEL MES ENERO DEL 2020</t>
  </si>
  <si>
    <t>ASP-2020-014</t>
  </si>
  <si>
    <t>CONTRATO POR SERVICIOS NO PERSONALES (LOCACION DE SERVICIOS), CORRESPONDIENTE AL MES DE ENERO DEL 2020</t>
  </si>
  <si>
    <t>ASP-2020-015</t>
  </si>
  <si>
    <t>CONTRATACION DEL SERVICIO DE INTERNET RED CERRADA MEDIANTE FIBRA OPTICA PARA LA SEDE ADMINISTRA</t>
  </si>
  <si>
    <t>ASP-2020-016</t>
  </si>
  <si>
    <t>CONTRATACION DEL SERVICIO DE INTERNET REDE ABIERTA TRANSMISION DE PUNTO A PUNTO PARA LA SEDE ADMINISTRATIVA DE LA UGEL</t>
  </si>
  <si>
    <t>ASP-2020-017</t>
  </si>
  <si>
    <t>SOLICTO CONTRATO POR SERVICIOS NO PERSONALES (LOCACION DE SERVICIOS).</t>
  </si>
  <si>
    <t>ASP-2020-018</t>
  </si>
  <si>
    <t>CONTRATACION DE SERVICIOS DE TRANSPORTE DE MATERIALES FUNGIBLES Y DE LIMPIEZA DOTACION 2020</t>
  </si>
  <si>
    <t>ASP-2020-019</t>
  </si>
  <si>
    <t>10438461740 LIMA QUISPE DANTE RONALD</t>
  </si>
  <si>
    <t>SERVICIOS DE TRASNPORTE DE MATERIALES EDUCATIVOS A IE DE LA JURISDICCION DE LA UGEL ACOMAYO, DOTACION 2020</t>
  </si>
  <si>
    <t>ASP-2020-020</t>
  </si>
  <si>
    <t>PAGO DE SERVICIOS DE ENERGIA ELECTRICA DE LAS IIEE CORRESPONDIENTE AL MES DE FEBRERO 2020</t>
  </si>
  <si>
    <t>ASP-2020-021</t>
  </si>
  <si>
    <t>PAGO DE SERVICIO DE ENERGIA ELECTRICA DE LA SEDE ADMINISTRATIVA DE LA UGEL ACOMAYO, FEBRERO 2020</t>
  </si>
  <si>
    <t>ASP-2020-022</t>
  </si>
  <si>
    <t>SERVICIO DE ATENCION DE ALIMENTOS PARA TALLERES CON DOCENTES Y DIRECTIVOS DE LA UGEL ACOMAYO 2020</t>
  </si>
  <si>
    <t>ASP-2020-023</t>
  </si>
  <si>
    <t>CONTRATACION DE SERVICIO IMPRESION, FOTOCOPIADO Y ANILLADO DE DOSSIER PARA TALLERES ORGANIZADOS POR LA UGEL ACOMAYO</t>
  </si>
  <si>
    <t>ASP-2020-024</t>
  </si>
  <si>
    <t>SERVICIO DE UN ANALISTA EN INFRAEESTRUCTURA PARA EL AREA DE GESTION INSTITUCIONAL DE LA UGEL ACOMAYO</t>
  </si>
  <si>
    <t>ASP-2020-025</t>
  </si>
  <si>
    <t>PAGO DE SERVICIO DE ENERGIA ELECTRICA DE LAS IIEE DE NIVEL PRIMARIO DEL DISTRITO DE RONDOCAN, CORRESPONDIENTE AL MES DE FEBRERO DEL 2020</t>
  </si>
  <si>
    <t>ASP-2020-026</t>
  </si>
  <si>
    <t>IMPRESION DE MATERIAL INFORMATIVO PARA PROMOCION DEL BUEN INICIO DEL AÑO ESCOLAR 2020</t>
  </si>
  <si>
    <t>ASP-2020-027</t>
  </si>
  <si>
    <t>CONTRATACION DE SERVICIO DE IMPRESIONES EN GENERAL PARA TALLERES PRONOEI-API</t>
  </si>
  <si>
    <t>ASP-2020-028</t>
  </si>
  <si>
    <t>SERVICIO DE ALIMENTACIN DEL I TALLER API 2020</t>
  </si>
  <si>
    <t>ASP-2020-029</t>
  </si>
  <si>
    <t>CONTRATACION DE SERVICIO DE ALIMENTACION PARA TALLERES PRONOEI</t>
  </si>
  <si>
    <t>ASP-2020-030</t>
  </si>
  <si>
    <t>SERVICIO DE ALOJAMIENTO DE 03 DOCENTES POR REALIZACION DEL I TALLER DE API</t>
  </si>
  <si>
    <t>ASP-2020-031</t>
  </si>
  <si>
    <t>20159329535 MUNICIPALIDAD DISTRITAL DE POMACANCHI</t>
  </si>
  <si>
    <t>SOLICTO CONTRATO POR SERVICIOS NO PERSONALES (LOCACION DE SERVICIOS).CORRESPONDIENTE AL MES DE MARZO DEL 2020</t>
  </si>
  <si>
    <t>ASP-2020-032</t>
  </si>
  <si>
    <t>CONTRATACION DEL SERVICIO DE INTERNET RED CERRADA MEDIANTE FIBRA OPTICA PARA LA SEDE ADMINISTRA, CORRESPONDIENTE AL MES DE MARZO DEL 2020</t>
  </si>
  <si>
    <t>ASP-2020-033</t>
  </si>
  <si>
    <t>CONTRATACION DEL SERVICIO DE INTERNET REDE ABIERTA INALAMBRICA PARA LA SEDE ADMINISTRATIVA DE LA UGEL ACOMAYO, CORRESPONDIENTE AL MES  DE MARZO DEL 2020</t>
  </si>
  <si>
    <t>ASP-2020-034</t>
  </si>
  <si>
    <t>PAGO DE SERVICIOS DE ENERGIA ELECTRICA DE LA SEDE ADMINISTRATIVA CORRESPONDIENTE AL MES DE MARZO Y ABRIL DEL 2020</t>
  </si>
  <si>
    <t>ASP-2020-035</t>
  </si>
  <si>
    <t>PAGO DE SERVICIOS DE ENERGIA ELECTRICA IIEE I.P.S. MES DE MARZO Y ABRIL 2020</t>
  </si>
  <si>
    <t>ASP-2020-036</t>
  </si>
  <si>
    <t>PAGO DE SERVICIOS DE ENERGIA ELECTRICA DE LAS IIEE DE RONDOCAN MES DE MARZO Y ABRIL 2020</t>
  </si>
  <si>
    <t>ASP-2020-037</t>
  </si>
  <si>
    <t>CONTRATACION DEL SERVICIO DE INTERNET RED CERRADA MEDIANTE FIBRA OPTICA PARA LA SEDE ADMINISTRATIVA, CORRESPONDIENTE AL MES DE ABRIL 2020</t>
  </si>
  <si>
    <t>ASP-2020-038</t>
  </si>
  <si>
    <t>CONTRATACION DEL SERVICIO DE INTERNET REDE ABIERTA INALAMBRICA PARA LA SEDE ADMINISTRATIVA DE LA UGEL ACOMAYO, CORRESPONDIENTE AL MES DE ABRIL DEL 2020</t>
  </si>
  <si>
    <t>ASP-2020-039</t>
  </si>
  <si>
    <t>SERVICIO DE EMISION DE PROGRAMA RADIAL APRENDO EN CASA, PARA LAS COMUNIDADES DEL DISTRITO DE ACOMAYO</t>
  </si>
  <si>
    <t>ASP-2020-040</t>
  </si>
  <si>
    <t>10418377092 NINA MAYORGA SANTIAGO</t>
  </si>
  <si>
    <t>SERVICIO DE TRANSMISION DE SPOT PUBLICITARIO ESTRATEGIA EDUCATIVA "APRENDO EN CASA"</t>
  </si>
  <si>
    <t>ASP-2020-041</t>
  </si>
  <si>
    <t>10427560011 FARFAN TITO JHON CESAR</t>
  </si>
  <si>
    <t>IMPRESION DE BANNER INFORMATIVO FRENTE AL BROTE DEL COVID-19</t>
  </si>
  <si>
    <t>ASP-2020-042</t>
  </si>
  <si>
    <t>SERVICIO DE CARPINTERIA METALICA PARA CONFECCION DE EQUIPOS DE LAVADO DE MANOS Y PEDILUVIO, FRENTE AL BROTE DEL CORONAVIRUS COVID 19</t>
  </si>
  <si>
    <t>ASP-2020-043</t>
  </si>
  <si>
    <t>10409864185 CCORIMANYA CONDORI JUAN BAUTISTA</t>
  </si>
  <si>
    <t>CONTRATACION DEL SERVICIO DE INTERNET RED CERRADA MEDIANTE FIBRA OPTICA PARA LA SEDE ADMINISTRATIVA DE LA UGEL ACOMAYO, CORRESPONDIENTE AL MES DE MAYO DEL 2020</t>
  </si>
  <si>
    <t>ASP-2020-044</t>
  </si>
  <si>
    <t>CONTRATACION DEL SERVICIO DE INTERNET REDE ABIERTA INALAMBRICO PARA LA SEDE ADMINISTRATIVA DE LA UGEL ACOMAYO, CORRESPONDIENTE AL MES DE MAYO DEL 2020</t>
  </si>
  <si>
    <t>ASP-2020-045</t>
  </si>
  <si>
    <t>SERVICIO DE APOYO ADMINISTRATIVO PARA EL AREA DE REMUNERACIONES DE LA UGEL ACOMAYO. CORRESPONDIENTES A LOS MESE DE ABRIL Y MAYO DEL 2020</t>
  </si>
  <si>
    <t>ASP-2020-046</t>
  </si>
  <si>
    <t>SERVICIO DE UN ANALISTA EN INFRAEESTRUCTURA PARA EL AREA DE GESTION INSTITUCIONAL DE LA UGEL ACOMAYO, CORRESPONDIENTE A LOS MESES DE ABRIL Y MAYO DEL 2020</t>
  </si>
  <si>
    <t>ASP-2020-047</t>
  </si>
  <si>
    <t>SOAT PARA MOTOCICLETAS DE LA UNIDAD DE GESTION EDUCATIVA LOCAL DE ACOMAYO</t>
  </si>
  <si>
    <t>ASP-2020-048</t>
  </si>
  <si>
    <t>SERVICIO DE EMISION DE PROGRAMA RADIAL APRENDO EN CASA, PARA LAS COMUNIDADES DEL DISTRITO DE ACOMAYO, CORRESPONDIENTE AL MES DE MAYO DEL 2020</t>
  </si>
  <si>
    <t>ASP-2020-049</t>
  </si>
  <si>
    <t>SERVICIO DE DIFUSION DE PROGRAMA RADIAL DE LA ESTRATEGIA EDUCATIVA "APRENDO EN CASA" Y SPOT PUBLICITARIO, CORRESPONDIENTE AL MES DE MAYO DEL 2020</t>
  </si>
  <si>
    <t>ASP-2020-050</t>
  </si>
  <si>
    <t>PAGO DE SERVICIOS DE ENERGIA ELECTRICA DE LAS IIEE CORRESPONDIENTE AL MES DE MAYO DEL 2020</t>
  </si>
  <si>
    <t>ASP-2020-051</t>
  </si>
  <si>
    <t>SERVICIO DE APOYO ADMINISTRATIVO PARA EL AREA DE REMUNERACIONES DE LA UGEL ACOMAYO. CORRESPONDIENTE AL MES DE JUNIO DEL 2020</t>
  </si>
  <si>
    <t>ASP-2020-052</t>
  </si>
  <si>
    <t>SERVICIO DE UN ANALISTA EN INFRAEESTRUCTURA PARA EL AREA DE GESTION INSTITUCIONAL DE LA UGEL ACOMAYO, CORRESPONDIENTE AL MES DE JUNIO DEL 2020</t>
  </si>
  <si>
    <t>ASP-2020-053</t>
  </si>
  <si>
    <t>CONTRATACION DEL SERVICIO DE INTERNET RED CERRADA MEDIANTE FIBRA OPTICA PARA LA SEDE ADMINISTRA, CORRESPONDIENTE AL MES DE JUNIO DEL 2020</t>
  </si>
  <si>
    <t>ASP-2020-054</t>
  </si>
  <si>
    <t>CONTRATACION DEL SERVICIO DE INTERNET REDE ABIERTA INALAMBRICA PARA LA SEDE ADMINISTRATIVA DE LA UGEL, CORRESPONDIENTE AL MES DE JUNIO DEL 2020</t>
  </si>
  <si>
    <t>ASP-2020-055</t>
  </si>
  <si>
    <t>PAGO DE SERVICIOS DE ENERGIA ELECTRICA DE LAS IIEE CORRESPONDIENTE AL MES DE JUNIO DEL 2020</t>
  </si>
  <si>
    <t>ASP-2020-056</t>
  </si>
  <si>
    <t>PAGO DE SERVICIOS DE ENERGIA ELECTRICA DE LA SEDE ADMINISTRATIVA CORRESPONDIENTE AL MES DE MAYO Y JUNIO DEL 2020</t>
  </si>
  <si>
    <t>ASP-2020-057</t>
  </si>
  <si>
    <t>SERVICIO DE TRANSMISION PROGRAMACION Y SPOT PUBLICITARIO ESTRATEGIA EDUCATIVA "APRENDO EN CASA" CORRESPONDIENTE AL TERCER MES DE TRANSMISION.</t>
  </si>
  <si>
    <t>ASP-2020-058</t>
  </si>
  <si>
    <t>SERVICIO DE EMISION DE PROGRAMA RADIAL APRENDO EN CASA, PARA LAS COMUNIDADES DEL DISTRITO DE ACOMAYO, ACOS Y PILLPINTO</t>
  </si>
  <si>
    <t>ASP-2020-059</t>
  </si>
  <si>
    <t>CONTRATACION DEL SERVICIO DE INTERNET RED CERRADA MEDIANTE FIBRA OPTICA PARA LA SEDE ADMINISTRATIVA, CORRESPONDIENTE AL MES DE ENERO DEL 2020</t>
  </si>
  <si>
    <t>ASP-2020-060</t>
  </si>
  <si>
    <t>CONTRATACION DEL SERVICIO DE INTERNET REDE ABIERTA SATELITAL PARA LA SEDE ADMINISTRATIVA DE LA UGEL ACOMAYO, CORRESPONDIENTE AL MES DE ENERO DEL 2020</t>
  </si>
  <si>
    <t>ASP-2020-061</t>
  </si>
  <si>
    <t>CONTRATACION DEL SERVICIO DE INTERNET RED CERRADA MEDIANTE FIBRA OPTICA PARA LA SEDE ADMINISTRATIVA DE LA UGEL ACOMAYO, CORRESPONDIENTE AL MES DE JULIO DEL 2020</t>
  </si>
  <si>
    <t>ASP-2020-062</t>
  </si>
  <si>
    <t>CONTRATACION DEL SERVICIO DE INTERNET REDE ABIERTA SATELITAL PARA LA SEDE ADMINISTRATIVA DE LA UGEL ACOMAYO, CORRESPONDIENTE AL MES DE JULIO DEL 2020.</t>
  </si>
  <si>
    <t>ASP-2020-063</t>
  </si>
  <si>
    <t>SERVICIO DE APOYO ADMINISTRATIVO PARA EL AREA DE REMUNERACIONES DE LA UGEL ACOMAYO, CORRESPONDIENTE AL MES DE JULIO DEL 2020.</t>
  </si>
  <si>
    <t>ASP-2020-064</t>
  </si>
  <si>
    <t>SERVICIO DE UN ANALISTA EN INFRAEESTRUCTURA PARA EL AREA DE GESTION INSTITUCIONAL DE LA UGEL ACOMAYO, CORRESPONDIENTE AL MES DE JULIO DEL 2020.</t>
  </si>
  <si>
    <t>ASP-2020-065</t>
  </si>
  <si>
    <t>REQUERIMIENTO DE SPOT PUBLICITARIO RADIAL POR TRES MESES DESDE 06 DE ABRIL AL 06 DE JULIO</t>
  </si>
  <si>
    <t>ASP-2020-066</t>
  </si>
  <si>
    <t>10423944451 CALCINA SOTO RICHARD</t>
  </si>
  <si>
    <t>SERVICIOS DE ENERGIA ELECTRICA DE LAS IE CORRESPONDIENTE AL MES DE JULIO DEL 2020</t>
  </si>
  <si>
    <t>ASP-2020-067</t>
  </si>
  <si>
    <t>PAGO DE SERVICIOS DE ENERGIA ELECTRICA DE LA SEDE ADMINISTRATIVA CORRESPONDIENTE AL MES DE JULIO DEL 2020</t>
  </si>
  <si>
    <t>ASP-2020-068</t>
  </si>
  <si>
    <t>SERVICIOS DE ENERGIA ELECTRICA DE LAS IE PRIMARIA DEL DISTRITO DE RONDOCAN - JULIO 2020</t>
  </si>
  <si>
    <t>ASP-2020-069</t>
  </si>
  <si>
    <t>CONTRATACION DE EMISORA LOCAL PARA LA DIFUSION DE LA ESTRATEGIA APRENDO EN CASA, SPOT PUBLICITARIO Y ESPACIO RADIAL CORRESPONDIENTE AL MES DE JUNIO Y JULIO DEL 2020</t>
  </si>
  <si>
    <t>ASP-2020-070</t>
  </si>
  <si>
    <t>10478863093 VASQUEZ CANCAPA ADDERLY</t>
  </si>
  <si>
    <t>SERVICIO DE TRANSMISION DE SPOT PUBLICITARIO ESTRATEGIA EDUCATIVA "APRENDO EN CASA"-JULIO 2020</t>
  </si>
  <si>
    <t>ASP-2020-071</t>
  </si>
  <si>
    <t>SERVICIO DE EMISION DE PROGRAMA RADIAL APRENDO EN CASA, PARA LAS COMUNIDADES DEL DISTRITO DE ACOMAYO, ACOS Y PILLPINTO-JULIO 2020</t>
  </si>
  <si>
    <t>ASP-2020-072</t>
  </si>
  <si>
    <t>CONTRATACION DEL SERVICIO DE INTERNET RED CERRADA MEDIANTE FIBRA OPTICA PARA LA SEDE ADMINISTRA, CORRESPONDIENTE AL MES DE AGOSTO DEL 2020</t>
  </si>
  <si>
    <t>ASP-2020-073</t>
  </si>
  <si>
    <t>CONTRATACION DEL SERVICIO DE INTERNET REDE ABIERTA SATELITAL PARA LA SEDE ADMINISTRATIVA DE LA UGEL, CORRESPONDIENTE AL MES DE AGOSTO DEL 2020</t>
  </si>
  <si>
    <t>ASP-2020-074</t>
  </si>
  <si>
    <t>SERVICIO DE APOYO ADMINISTRATIVO PARA EL AREA DE REMUNERACIONES DE LA UGEL ACOMAYO. CORRESPONDIENTE AL MES DE AGOSTO DEL 2020</t>
  </si>
  <si>
    <t>ASP-2020-075</t>
  </si>
  <si>
    <t>SERVICIO DE UN ANALISTA EN INFRAEESTRUCTURA PARA EL AREA DE GESTION INSTITUCIONAL DE LA UGEL ACOMAYO, CORRESPONDIENTE AL MES DE AGOSTO DEL 2020</t>
  </si>
  <si>
    <t>ASP-2020-076</t>
  </si>
  <si>
    <t>PAGO DE SERVICIOS DE ENERGIA ELCTRICA DE LAS IE CORRESPONDIENTE AL MES DE AGOSTO 2020</t>
  </si>
  <si>
    <t>ASP-2020-077</t>
  </si>
  <si>
    <t>PAGO DE SERVICIO DE LA SEDE ADMINISTRATIVA E IEI 766 SANTA LUCIA, CORRESPONDIENTE AL MES DE AGOSTO DEL 2020.</t>
  </si>
  <si>
    <t>ASP-2020-078</t>
  </si>
  <si>
    <t>SERVICIO DE SOPORTE INFORMATICO PARA LA OFICINA DE REMUNERACIONES DE LOS MESES DE MARZO A AGOSTO</t>
  </si>
  <si>
    <t>ASP-2020-079</t>
  </si>
  <si>
    <t>10442594002 QUISPE CCALLO HERMOGENES</t>
  </si>
  <si>
    <t>CONTRATACION DE SERVICIOS ESPECIALIZADOS EN CONTROL PATRIMONIAL</t>
  </si>
  <si>
    <t>ASP-2020-080</t>
  </si>
  <si>
    <t>10467249512 HUALLPA LLACTAHUAMANI VALMIKE</t>
  </si>
  <si>
    <t>SERVICIO DE PLATAFORMA DE VIDEOCONFERENCIAS</t>
  </si>
  <si>
    <t>ASP-2020-081</t>
  </si>
  <si>
    <t>CONTRATACION DE EMISORA LOCAL PARA DIFUSION DE LA ESTRATEGIA EDUCATIVA EN LAS COMUNIDADES DE LOS DISTRITOS DE SANGARARA, ACOPIA, POMACANCHI, CORRESPONDIENTE AL MES DE AGOSTO.</t>
  </si>
  <si>
    <t>ASP-2020-082</t>
  </si>
  <si>
    <t>CONTRATACION DE EMISORA LOCAL PARA DIFUSION DE LA ESTRATEGIA EDUCATIVA EN LAS COMUNIDADES DE LOS DISTRITOS DE ACOMAYO, ACOS, PILLPINTO CORRESPONDIENTE AL MES DE AGOSTO DEL 2020</t>
  </si>
  <si>
    <t>ASP-2020-083</t>
  </si>
  <si>
    <t>CONTRATACION DE EMISORA LOCAL PARA DIFUSION DE LA ESTRATEGIA EDUCATIVA EN LAS COMUNIDADES DE LOS DISTRITOS DE ACOMAYO, ACOS Y PILLPINTO CORRESPONDIENTE AL MES DE AGOSTO DEL 2020.</t>
  </si>
  <si>
    <t>ASP-2020-084</t>
  </si>
  <si>
    <t>SERVICIO DE PONENCIA - MGT EDUARDO LEON ZAMORA</t>
  </si>
  <si>
    <t>ASP-2020-085</t>
  </si>
  <si>
    <t>10076352173 LEON ZAMORA ANIBAL EDUARDO</t>
  </si>
  <si>
    <t>CONTRATACION DE SOAT PARA UNIDAD DVEHICULAR PICK UP TOYOTA HILUX</t>
  </si>
  <si>
    <t>ASP-2020-086</t>
  </si>
  <si>
    <t>CONTRATACION DE SERVICIOS ESPECIALIZADOS EN TEMAS DE ABASTECIMIENTO</t>
  </si>
  <si>
    <t>ASP-2020-087</t>
  </si>
  <si>
    <t>10480586773 QUITO SURCO YHOSELIN ELIZABETH</t>
  </si>
  <si>
    <t>CONTRATACION DEL SERVICIO DE INTERNET RED CERRADA MEDIANTE FIBRA OPTICA PARA LA SEDE ADMINISTRATIVA CORRESPONDIENTE AL MES DE SETIEMBRE DEL 2020</t>
  </si>
  <si>
    <t>ASP-2020-088</t>
  </si>
  <si>
    <t>CONTRATACION DEL SERVICIO DE INTERNET REDE ABIERTA SATELITAL PARA LA SEDE ADMINISTRATIVA DE LA UGEL ACOMAYO CORRESPONDIENTE AL MES DE SETIEMBRE DEL 2020</t>
  </si>
  <si>
    <t>ASP-2020-089</t>
  </si>
  <si>
    <t>PAGO DE SERVICIOS DE ENERGIA ELECTRICA DE LA SEDE ADMINISTRATIVA CORRESPONDIENTE AL MES DE SETIEMBRE DEL 2020</t>
  </si>
  <si>
    <t>ASP-2020-090</t>
  </si>
  <si>
    <t>CONTRATACION DE SERVICIOS DE CAPACITACION EN DIPLOMADO EN RECURSOS HUMANOS Y LA LEY DE SERVICIO CIVIL</t>
  </si>
  <si>
    <t>ASP-2020-091</t>
  </si>
  <si>
    <t>20549828524 CENTRO PERUANO DE ESTUDIOS GUBERNAMENTALES - CEPEG</t>
  </si>
  <si>
    <t>PAGO DE SERVICIO DE ENERGIA ELECTRICA DE LAS IIEE DE LA UGEL ACOMAYO</t>
  </si>
  <si>
    <t>ASP-2020-092</t>
  </si>
  <si>
    <t>15/01/20221</t>
  </si>
  <si>
    <t>CONTRATACION DE SERVIOCIO DE TRANSPORTE DE MATERIALES EDUCATIVOS Y FUNGIBLES DOTACION 2021</t>
  </si>
  <si>
    <t>ASP-2021-001</t>
  </si>
  <si>
    <t>ADQUISICON DE MATERIAL FUNGIBLE PARA IIEE DOTACION 2021</t>
  </si>
  <si>
    <t>CCE-2021-001</t>
  </si>
  <si>
    <t>ADQUISICION DE MATERIAL FUNGIBLE PARA IIEE DOTACION 2021</t>
  </si>
  <si>
    <t>ADJUDICACION SI PROCESO</t>
  </si>
  <si>
    <t>ASP-2021-002</t>
  </si>
  <si>
    <t>ADQUISICION DE MATERIALES DE LIMPIEZA PARA IIEE DOTACION 2021</t>
  </si>
  <si>
    <t>CCE-2021-002</t>
  </si>
  <si>
    <t>ASP-2021-003</t>
  </si>
  <si>
    <t>ADQUISICION DE ESTANTES</t>
  </si>
  <si>
    <t>suma alzada</t>
  </si>
  <si>
    <t>02-2019</t>
  </si>
  <si>
    <t>10425042951  CARRILLO JALISTO BELINIA KELLY</t>
  </si>
  <si>
    <t>concluido</t>
  </si>
  <si>
    <t>ADQUISICION DE ANALIZADOR HEMOTOLOGICO AUTOMATICO</t>
  </si>
  <si>
    <t>03-2019</t>
  </si>
  <si>
    <t>20554364285  LABORATORISTA CLINICO  ADELAB S.A.C.</t>
  </si>
  <si>
    <t>ADQUISICION DE COCHE DE PARO</t>
  </si>
  <si>
    <t>01-2019</t>
  </si>
  <si>
    <t>10434284801 VENTURA FERNADEZ LELYS YONEL</t>
  </si>
  <si>
    <t>SUBASTA INVERSA ELETRONICA</t>
  </si>
  <si>
    <t>precio unitario</t>
  </si>
  <si>
    <t>10480332844 ABEL CASQUINA JARA</t>
  </si>
  <si>
    <t>SEGÚN CRONOGRAMA DEL AREA USUARIA</t>
  </si>
  <si>
    <t>ADQUISICION DE EQUIPO ANASTESIA</t>
  </si>
  <si>
    <t>ADJIDICASION SIMPLIFICADA</t>
  </si>
  <si>
    <t>20538597121 DRAEGER PERU S.A.C.</t>
  </si>
  <si>
    <t>SERVICIODE ENERGIA</t>
  </si>
  <si>
    <t>O/S</t>
  </si>
  <si>
    <t>PAGO MENSUAL</t>
  </si>
  <si>
    <t>20277812844  EMPSSAPAL S.A.</t>
  </si>
  <si>
    <t>SERVICIO DE TELEFONO MOVIL</t>
  </si>
  <si>
    <t>20467534026  AMERICA MOVIL PERU S.A.C.</t>
  </si>
  <si>
    <t>ADQUISICION DE ALIMENTOS  PARA EL HOSPITAL SANTO TOMAS</t>
  </si>
  <si>
    <t>02-2020</t>
  </si>
  <si>
    <t>10766023563  HUAMAN ZEGARRA ALEXANDRA EVELIN</t>
  </si>
  <si>
    <t>ADQUISICION DE INSUMOS , MATERIALES DE LABORATORIO</t>
  </si>
  <si>
    <t>01-2020</t>
  </si>
  <si>
    <t>20498674098 MEDICORP PERU S.A.C</t>
  </si>
  <si>
    <t>CONTRATACION DE INSUMOS DE LIMPIEZA</t>
  </si>
  <si>
    <t>20600261101  INVERSIONES Y DISTRIBUCIONES PACOBA S.A.C</t>
  </si>
  <si>
    <t>CONTRATACION DE IMPLEMENTO DE SEGURIDAD</t>
  </si>
  <si>
    <t>20602878873  INVERSIONES SANZ LSL E.I.R.L</t>
  </si>
  <si>
    <t>ADQUISICION DE EPPS DE PROTECCION</t>
  </si>
  <si>
    <t>04-2020</t>
  </si>
  <si>
    <t>20602723322  GRUPO CCALLO E.I.R.L.</t>
  </si>
  <si>
    <t>03-2020</t>
  </si>
  <si>
    <t>20523370201 CORPORACION MEDICAL BERTHS S.A.C</t>
  </si>
  <si>
    <t>ADQUISICION DE BALON DE OXIGENO MEDICINAL DE 10M3</t>
  </si>
  <si>
    <t xml:space="preserve"> O/C 210</t>
  </si>
  <si>
    <t>10407780979VASQUEZ CARRILLO LEIBER</t>
  </si>
  <si>
    <t>POR REGULARIZAR</t>
  </si>
  <si>
    <t>10480332844  ABEL CASQUINA JARA</t>
  </si>
  <si>
    <t>20116544289  ELECTRO SUR ESTE S.A.A.</t>
  </si>
  <si>
    <t>hasta el mes de agosto</t>
  </si>
  <si>
    <t>20467534026 AMERICA MOVIL PERU S.A.C.</t>
  </si>
  <si>
    <t>se va a adquirir 28 lineas nuevas</t>
  </si>
  <si>
    <t xml:space="preserve">                                                                          </t>
  </si>
  <si>
    <t>proyectado</t>
  </si>
  <si>
    <t>se adquirira lineas movil</t>
  </si>
  <si>
    <t>COMBUSTIBLE DIESEL</t>
  </si>
  <si>
    <t xml:space="preserve">SIE </t>
  </si>
  <si>
    <t>SIE Nº001-2019-HAL</t>
  </si>
  <si>
    <t>INVERSIONES CESO S.A.C</t>
  </si>
  <si>
    <t>UNIFORME DE FAENA</t>
  </si>
  <si>
    <t>AS Nº006-2019-HAL</t>
  </si>
  <si>
    <t>TEXTILES CAMILA</t>
  </si>
  <si>
    <t>CARNES BLANCAS Y AFINES</t>
  </si>
  <si>
    <t>AS Nº002-2019-HAL</t>
  </si>
  <si>
    <t>MIRANDA SAMANEZ MARTHA</t>
  </si>
  <si>
    <t>CARNE DE RES</t>
  </si>
  <si>
    <t>AS Nº001-2019-HAL</t>
  </si>
  <si>
    <t>VERDURA FRESCA</t>
  </si>
  <si>
    <t>AS Nº003-2019-HAL</t>
  </si>
  <si>
    <t>CARDENAS CORDOVA YULIANA</t>
  </si>
  <si>
    <t>FRUTA FRESCA</t>
  </si>
  <si>
    <t>AS Nº004-2019-HAL</t>
  </si>
  <si>
    <t xml:space="preserve">OXIGENO </t>
  </si>
  <si>
    <t>AS Nº005-2019-HAL</t>
  </si>
  <si>
    <t>PRAXAIR PERU SRL</t>
  </si>
  <si>
    <t>BOMBA DE  INFUSION DE DOBLE CANAL</t>
  </si>
  <si>
    <t>AS Nº009-2019-HAL</t>
  </si>
  <si>
    <t>NOVA MEDICAL</t>
  </si>
  <si>
    <t>SOLUCIONES PARA HEMODIALIS</t>
  </si>
  <si>
    <t>AS Nº008-2019-HAL</t>
  </si>
  <si>
    <t>B.BRAUNMEDICAL</t>
  </si>
  <si>
    <t>SERVICO DE LINEA DEDICADA A INTERNET</t>
  </si>
  <si>
    <t>AS Nº010-2019</t>
  </si>
  <si>
    <t>AMERICA MOVIL PERU</t>
  </si>
  <si>
    <t>FILTROS PARA HEMODIALIS</t>
  </si>
  <si>
    <t>AS Nº007-2019</t>
  </si>
  <si>
    <t>FRESENIUS MEDICAL CARE</t>
  </si>
  <si>
    <t>MEDICAMENTOS E INSUMOS MEDICOS</t>
  </si>
  <si>
    <t>COMPRAS COORPOPRATIVAS</t>
  </si>
  <si>
    <t>AS.SIE, LP</t>
  </si>
  <si>
    <t>CENARES</t>
  </si>
  <si>
    <t>MANTENIMIENTO DE   EQUIPOS   BIOMEDICOS</t>
  </si>
  <si>
    <t>SERVICIOS</t>
  </si>
  <si>
    <t>O/C</t>
  </si>
  <si>
    <t>PLAN DE MANTE</t>
  </si>
  <si>
    <t xml:space="preserve">05  VENTILADOR VOLUMETRICO MECANICO ADULTO PEDIATRICO </t>
  </si>
  <si>
    <t>C.D</t>
  </si>
  <si>
    <t>C.D Nª 001-2020-UEHAL</t>
  </si>
  <si>
    <t>HEMOCARE SAC .RUC Nº 20505463146</t>
  </si>
  <si>
    <t>DS Nª44-2020 (COVID -19) DS. Nº. 008-2020 MINSA</t>
  </si>
  <si>
    <t xml:space="preserve">01 ADQUISICION DE  MULTIPARAMETRO  DE FUNCIONES VITALES ADULO DE 10 PARAMETROS </t>
  </si>
  <si>
    <t>CD</t>
  </si>
  <si>
    <t>C. D Nº 002-2020-UEHAL-CUSCO</t>
  </si>
  <si>
    <t>900,00</t>
  </si>
  <si>
    <t>02 ASPIRADOR DE SECRECIONES ELECTRICO RODABLES</t>
  </si>
  <si>
    <t xml:space="preserve">CONTRATACION DIRECTA </t>
  </si>
  <si>
    <t>C. D Nº 003-2020-UEHAL-CUSCO</t>
  </si>
  <si>
    <t>02 MONITORES MULTIPARAMETRSO DE FUNICIONES VITALES  8 PARAMETROS</t>
  </si>
  <si>
    <t>C.D N° 003-2020-UEHAL</t>
  </si>
  <si>
    <t>7,500 GALON DIESEL B5 S-50</t>
  </si>
  <si>
    <t>SIE Nº 04-2020-DRSC-UEHAL</t>
  </si>
  <si>
    <t>SERVICENTRO JAKELINE S.C.LTDA  RUC. Nº20277577314</t>
  </si>
  <si>
    <t>S/CRONOGRAMA</t>
  </si>
  <si>
    <t>30 ,000  M3 DE OXIGENO</t>
  </si>
  <si>
    <t>CONTRACION DIRECTA</t>
  </si>
  <si>
    <t>C.D.Nº 006-2020-UEHAL-UEHAL</t>
  </si>
  <si>
    <t>PRAXAIR PERU SRL  RUC Nº20338570041</t>
  </si>
  <si>
    <t xml:space="preserve">7,300 UNIDADES DE MANDIL DESCARTABLE TALLA ESTANDAR </t>
  </si>
  <si>
    <t>CONTRATACION DIRECTA N°0074-2020-UEHAL</t>
  </si>
  <si>
    <t>CD N°008-2020-UEHAL</t>
  </si>
  <si>
    <t>MARLO E.I.R.LTDA RUC. N°20400201529</t>
  </si>
  <si>
    <t>EN PROCESO DE REGULARIZACION</t>
  </si>
  <si>
    <t>28/082020</t>
  </si>
  <si>
    <t>7200 UND. MANDIL DESCARTABLE  TALLA M</t>
  </si>
  <si>
    <t>CD N°007-2020-UEHAL</t>
  </si>
  <si>
    <t>CLINICA CAVERO RUC N°20564091571</t>
  </si>
  <si>
    <t>17,000 MASCARILLA DESCARTABLE N-95</t>
  </si>
  <si>
    <t>CD N°009-2020-UEHAL</t>
  </si>
  <si>
    <t>INTIMPAS  C.V. HOLDINGS S.R.L  N°20542823543</t>
  </si>
  <si>
    <t>ALIMENTO PARA PERSONAS  CARNE DEPOLLO SIN MENUDENCIA Y PESCADO Y HUEO</t>
  </si>
  <si>
    <t>A.S</t>
  </si>
  <si>
    <t>AS N°1</t>
  </si>
  <si>
    <t xml:space="preserve">EN PROCESO </t>
  </si>
  <si>
    <t>AREA DE PROCESOS DE SELECCIÓN</t>
  </si>
  <si>
    <t>ALIMENTO S Y BEBIDADSPARA PERSONAS  CARNE DE RES BISTENK</t>
  </si>
  <si>
    <t>A.S  N° 2</t>
  </si>
  <si>
    <t>ALIMENTOS Y BEBIDAS  PARA  PERSONAS ACEITE,AZUCAR, CERALES</t>
  </si>
  <si>
    <t>C.D N° 10</t>
  </si>
  <si>
    <t xml:space="preserve">ALIMENTO PARA PERSONAS VERDURAS </t>
  </si>
  <si>
    <t>A.S. N° 3</t>
  </si>
  <si>
    <t>13ALIMENTO PARA PERSONAS  FRUTAS</t>
  </si>
  <si>
    <t>A.S N 4</t>
  </si>
  <si>
    <t xml:space="preserve">FILTRO Y SET DE LINEA ARTERIAL  PARA HEMOSIALIS </t>
  </si>
  <si>
    <t>A.S N°007-2019</t>
  </si>
  <si>
    <t>FRESENIUS MEDICAL CARE DEL PERU S.A RUC N° 20462793791</t>
  </si>
  <si>
    <t>A.S N°010-2019</t>
  </si>
  <si>
    <t>AMERICA MOVIL SAC  RUC N° 20467534026</t>
  </si>
  <si>
    <t>SERVICIO DE MANTENIMIENTO DE  ADECUACION DE INFRAESTRUCTURA</t>
  </si>
  <si>
    <t>SERVIVIO &lt; A 8UITS</t>
  </si>
  <si>
    <t>SERVICIO &lt; A 8UIT</t>
  </si>
  <si>
    <t>29.972.75</t>
  </si>
  <si>
    <t>BANKINTER E.RI.R.L RUC Nº20604095132</t>
  </si>
  <si>
    <t>ATENDIDO</t>
  </si>
  <si>
    <t>SERVIVIO DE MANTENIMIENTO DE INFRAESTRUCTURA INSTALACION DE PUERTAS Y REJAS</t>
  </si>
  <si>
    <t>CONSTRUC. ELECTROMEC.INGENIEROS RUC Nº20278396577</t>
  </si>
  <si>
    <t>MANTENIMIENTO CORRECTIVO  DE MAQUINA DE AFERESIS</t>
  </si>
  <si>
    <t>TERUMO BCT.PERU S.A.C RUC Nº20469936164</t>
  </si>
  <si>
    <t>1 CONTRATACION DE SERVICIO DE SEGURIDAD Y VIGILANCIA PRIVADA PARA CUSTODIA DE BIENES Y RESGUARDO DEL LOCAL DE LA SEDE ADMINISTRATIVA DE LA RED DE SERVICIOS DE SALUD CUSCO SUR</t>
  </si>
  <si>
    <t>N°01-2019-CS/RSSCS</t>
  </si>
  <si>
    <t>2 CONTRATACION DE BIENES: IMPRESIÓN DE FORMATOS UNICO DE ATENCION (FUA) SIS, FORMATO DE REFERENCIA SIS, FORMATO DE CONTRAREFERENCIA SIS, DE LA UNIDAD DE SEGUROS DE LA RSSCS</t>
  </si>
  <si>
    <t>N°02-2019-CS/RSSCS</t>
  </si>
  <si>
    <t>3 CONTRATACION DE SERVICIO DE TRANSPORTE Y RECOLECCION DE RESIDUOS SOLIDOS DE LA RED DE SERVICIOS DE SALUD CUSCO SUR SEGUN TDR Y CRONOGRAMA.</t>
  </si>
  <si>
    <t>N°03-2019-CS/RSSCS</t>
  </si>
  <si>
    <t>4 CONTRATACION DE BIENES: INSUMOS DE ASEO ODONTOLOGICOS PARA LOS DIFERENTES ESTABLECIMIENTOS DE SALUD DE LA RED DE SERVICIOS DE SALUD CUSCO SUR.</t>
  </si>
  <si>
    <t>N°04-2019-CS/RSSCS</t>
  </si>
  <si>
    <t>5 CONTRATACION DE SERVICIO DE SEGURIDAD Y VIGILANCIA PRIVADA PARA EL HOSPITAL TUPAC AMARU DE LA RSSCS</t>
  </si>
  <si>
    <t>N°05-2019-CS/RSSCS</t>
  </si>
  <si>
    <t>6 CONTRATACION DE SERVICIO DE LIMPIEZA E HIGIENE PARA EL HOSPITAL TUPAC AMARU DE LA RED DE SERVICIOS DE SALUD CUSCO SUR</t>
  </si>
  <si>
    <t>N°06-2019-CS/RSSCS</t>
  </si>
  <si>
    <t>7 CONTRATACION DE BIENES: ADQUISICION DE EQUIPOS ODONTOLOGICOS UNIDAD DENTAL Y COMPRESORA PARA LA RED DE SERVICIOS DE SALUD CUSCO SUR</t>
  </si>
  <si>
    <t>N°07-2019-CS/RSSCS</t>
  </si>
  <si>
    <t>8 CONTRATACION DE BIENES ADQUISICION DE INSUMOS ODONTOLOGICOS PARA LA RED DE SERVICIOS DE SALUD CUSCO SUR</t>
  </si>
  <si>
    <t>N°09-2019-CS/RSSCS</t>
  </si>
  <si>
    <t>10239507927- 20202578145</t>
  </si>
  <si>
    <t>09/09/2019 17/09/2019</t>
  </si>
  <si>
    <t>19/09/2020 24/09/2020</t>
  </si>
  <si>
    <t>9 CONTRATACIÓN DE BIENES: ADQUISICIÓN DE INSUMOS DE LABORATORIO PARA LA RED DE SERVICIOS DE SALUD CUSCO SUR</t>
  </si>
  <si>
    <t>N°10-2019-CS/RSSCS</t>
  </si>
  <si>
    <t>20518745876- 20556662887 -20600258118 - 20498674098</t>
  </si>
  <si>
    <t>05/11/2019 04/11/2019 04/11/2019 04/11/2019</t>
  </si>
  <si>
    <t>24/11/2019 26/11/2019 27/11/2019 27/11/2019</t>
  </si>
  <si>
    <t>10 CONTRATACIÓN DE BIENES EQUIPOS BIOMEDICOS DE REPOSICIÓN MONITOR MULTIPARAMETRO Y CENTRIFUGA PARA LA RSSCS</t>
  </si>
  <si>
    <t>N°11-2019-CS/RSSCS</t>
  </si>
  <si>
    <t>11 MANTENIMIENTO DE LA INFRAESTRUCTURA DE LA IPRESS</t>
  </si>
  <si>
    <t>N°12-2019-CS/RSSCS</t>
  </si>
  <si>
    <t>12 ADQUISICION DE INCUBADORA ESTANDAR DE TRASNPORTE</t>
  </si>
  <si>
    <t>N°13-2019-CS/RSSCS</t>
  </si>
  <si>
    <t>13 SERVICIO DE MANTENIMIENTO PREVENTIVO Y CORRECTIVO DE SIETE AMBULANCIAS</t>
  </si>
  <si>
    <t>N°14-2019-CS/RSSCS</t>
  </si>
  <si>
    <t>14 CONTRATACIÓN DE SERVICIO DE MANTENIMIENTO DE EQUIPOS BIOMEDICOS Y REFRIGERACION (CONSERVADORA PARA VACUNAS, REFRIGERADORAS) DE LAS IPRESS DE LA RED DE SERVICIOS DE SALUD CUSCO SUR</t>
  </si>
  <si>
    <t>N°15-2019-CS/RSSCS</t>
  </si>
  <si>
    <t>15 SERVICIO DE MANTENIMIENTO PREVENTIVO Y/O CORRECTIVO DE 13 UNIDADES VEHICULARES, DE LAS DIFERENTES IPRESS DEL AMBITO DE LA RED DE SERVICIOS DE SALUD CUSCO SUR</t>
  </si>
  <si>
    <t>N°16-2019-CS/RSSCS</t>
  </si>
  <si>
    <t>16 ADQUISICION DE MOTOCICLETAS TODO TERRENO PARA EL PROGRAMA DE VIGILANCIA DE CALIDAD DE AGUA PARA CONSUMO HUMANO DE LA RED DE SERVICIOS DE SALUD CUSCO SUR</t>
  </si>
  <si>
    <t>N°17-2019-CS/RSSCS</t>
  </si>
  <si>
    <t>17 ADQUISICION DE DIESEL B5 Y GASOLINA</t>
  </si>
  <si>
    <t>SUBASTE INVERSA ELECTRONICA</t>
  </si>
  <si>
    <t>N°01-SIE 01--RSSCS</t>
  </si>
  <si>
    <t>20277577314 - 20527344019</t>
  </si>
  <si>
    <t xml:space="preserve">POR CONSUMIR </t>
  </si>
  <si>
    <t>18 ADQUISICION DE DIESEL B5</t>
  </si>
  <si>
    <t>N°02-SIE 02 - RSSCS</t>
  </si>
  <si>
    <t>19 CONTRATACION DE BIENES - EQUIPOS PARA EL MONITOREO DE PARAMETROS DE AGUA DE LA RSSCS</t>
  </si>
  <si>
    <t xml:space="preserve">COMPARACION DE PRECIOS </t>
  </si>
  <si>
    <t>21 CONTRATACION DE BIENES - INSTRUMENTAL MEDICO PARA EL PROGRAMA PRESUPUESTAL MATERNO NEONATAL DE LA RED DE SERVICIOS DE SALUD CUSCO SUR.</t>
  </si>
  <si>
    <t>22 CONTRATACION DE BIENES: ADQUISICION DE ESTETOSCOPIO CLINICO BIAURICULAR COMPLETO ADULTO PARA LA RED DE SERVICIOS DE SALUD CUSCO SUR</t>
  </si>
  <si>
    <t>23 CONTRATACION DE BIENES ADQUISICION DE EQUIPOS DE LABORATORIO PARA LA RED DE SERVICIOS DE SALUD CUSCO SUR</t>
  </si>
  <si>
    <t>24 CONTRATACION DE BIENES -ADQUISICION DE INSUMOS DE LABORATORIO PARA LOS DIFERENTES ESTABLECIMIENTOS DE SALUD DE LA RED DE SERVICIOS DE SALUD CUSCO SUR</t>
  </si>
  <si>
    <t>25 LA CONTRATACION DE BIENES- ADQUISICION DE MOBILIARIO SILLA ERGONOMICO, ESCRITORIOS, ESTANTATES, MESA DE MADERA, PIZARRA, PARA LA RED DE SERVICIOS DE SALUD CUSCO SUR</t>
  </si>
  <si>
    <t>26 CONTRATACION DE BIENES ¿ ADQUISICION DE EQUIPO DE CÓMPUTO INTEGRADO, PARA LA RED DE SERVICIOS DE SALUD CUSCO SUR</t>
  </si>
  <si>
    <t>27 CONTRATACION DE BIENES ¿ ADQUISICION DE DETECTOR DE LATIDOS FETALES DE SOBREMESA, TENSIOMETRO ANEROIDE CON BRAZALETE ADULTO PARA LA RED DE SERVICIOS DE SALUD CUSCO SUR.</t>
  </si>
  <si>
    <t>N°08-2019-CS/RSSCS</t>
  </si>
  <si>
    <t>28 ADQUISICION DE EQUIPO DE CÓMPUTO INTEGRADO, PARA LA UNIDAD DE SISMED Y DIRECCION DE SALUD AMBIENTAL DE LA RED DE SERVICIOS DE SALUD CUSCO SUR.</t>
  </si>
  <si>
    <t>29 ADQUISICION DE CARPAS DE CAMPAÑA</t>
  </si>
  <si>
    <t>N°01-2020/RSSCS</t>
  </si>
  <si>
    <t>30 ADQUISICION DE MASCARILLA DESCARTABLE QUIRURGICA</t>
  </si>
  <si>
    <t>N°02-2020/RSSCS</t>
  </si>
  <si>
    <t>31 ADQUISICION DE MASCARARILLA DESCARTABLE DE TRES PLIEGUES</t>
  </si>
  <si>
    <t>N°03-2020/RSSCS</t>
  </si>
  <si>
    <t>32 ADQUISICION DE MAMELUCOS DESCARTABLES</t>
  </si>
  <si>
    <t>N°04-2020/RSSCS</t>
  </si>
  <si>
    <t>33 ADQUISICION DE MASCARILLA DESCARTABLE KN 95</t>
  </si>
  <si>
    <t>N°05-2020/RSSCS</t>
  </si>
  <si>
    <t>34 ADQUISICION DE MANDIL DESCARTABLE NO ESTERIL</t>
  </si>
  <si>
    <t>N°08-2020/RSSCS</t>
  </si>
  <si>
    <t xml:space="preserve">35 ADQUISICION DE MATERIAL DE LIMPIEZA </t>
  </si>
  <si>
    <t>N°07-2020/RSSCS</t>
  </si>
  <si>
    <t>36 ADQUISICION DE MASCARILLA DESCARTABLE TOPO KN 95</t>
  </si>
  <si>
    <t>N°12-2020/RSSCS</t>
  </si>
  <si>
    <t>37 ADQUISCION DE LENTES PROTECTORES DE POLICARBONATO</t>
  </si>
  <si>
    <t>N°17-2020/RSSCS</t>
  </si>
  <si>
    <t>38 ADQUISICION DE MANDILES DESCARTABLES NO ESTERILES</t>
  </si>
  <si>
    <t>N°11- 2020/RSSCS</t>
  </si>
  <si>
    <t>39 ADQUISICION DE MAMELUCOS DESCARTABLES</t>
  </si>
  <si>
    <t>N°20-2020/RSSCS</t>
  </si>
  <si>
    <t>40 ADQUISICION DE CAMA HOSPITALARIA DE DOS MANIVELAS</t>
  </si>
  <si>
    <t>N°14-2020/RSSCS</t>
  </si>
  <si>
    <t>41 ADQUISICION DE PROTECTORES FACILAES</t>
  </si>
  <si>
    <t>N°23- 2020/RSSCS</t>
  </si>
  <si>
    <t>42 ADQUISICION DE CAMILLA DE TRANSPORTE</t>
  </si>
  <si>
    <t>N°24-2020/RSSCS</t>
  </si>
  <si>
    <t xml:space="preserve">43 ADQUISICION DE LAPAPRA DE LUZ </t>
  </si>
  <si>
    <t>N°18-2020/RSSCS</t>
  </si>
  <si>
    <t>44 ADQUISICON DE MAMELUCOS DESCARTABLES TALLA L XL</t>
  </si>
  <si>
    <t>N°25-2020/RSSCS</t>
  </si>
  <si>
    <t>44 ADQUISICION DE RECETARIOS SIS</t>
  </si>
  <si>
    <t>ADJUDICACION SIMPLIFICADA N°01</t>
  </si>
  <si>
    <t>45 ADQUISICION DE RECETARIO NUMERADO EN PAPEL</t>
  </si>
  <si>
    <t>ADJUDICACION SIMPLIFICADA N°02</t>
  </si>
  <si>
    <t>ADQUISICION DE INSUMOS DE LIEMPIEZA SEGUN INF N°002-2019-GR/CUSCO/DRSC/UE.408/US-GRAL PARA U.E. 408</t>
  </si>
  <si>
    <t>CONTRATACION &lt; O = 8 IUT</t>
  </si>
  <si>
    <t xml:space="preserve"> ALMACENERA MERCANTIL SOCIEDAD COMERCIAL DE RESPONSABILIDAD LIMITADA</t>
  </si>
  <si>
    <t>30/01/2019 00:00:00</t>
  </si>
  <si>
    <t>ADQUISICION DE INSUMOS DE LIMPIEZA PARA EL HOSPITAL DE ESPINAR SEGUN NF N°002-2019-GR/CUSCO/DRSC/UE.</t>
  </si>
  <si>
    <t>JJ AMERICAN BUSINESS S.A.C. - JAMBUS S.A.C.</t>
  </si>
  <si>
    <t>.ADQUISICION DE INSUMOS DE LIMPIEZA PARA EL HOSPITAL DE ESPINAR SEGUN INF N°002-2019-GR/CUSCO/DRSC/</t>
  </si>
  <si>
    <t>MULTISERVICIOS SOCAVAR S.A.C.</t>
  </si>
  <si>
    <t>ADQUISICION  DE CLORURO DE SODIO AL 900 MG/100 ML (0.9%) POR UN LITRO DE ACUERDO A INF Nª023-2019-GR</t>
  </si>
  <si>
    <t>ALMACENES FARMACEUTICOS SOCIEDAD ANONIMA CERRADA</t>
  </si>
  <si>
    <t>08/03/2019 00:00:00</t>
  </si>
  <si>
    <t>ADQUISICION DE GAS PROPANO X 45G SEGUN INF. Nª072019/GR.CUSCO Y INF Nª004-2019/GR.CUSCO</t>
  </si>
  <si>
    <t>MULTICOSAS E.I.R.L</t>
  </si>
  <si>
    <t>ADQUISICIÓN DE PAN POPULAR, PARA EL PACIENTE HOSPITALIZADO DEL HOSPITAL ESPINAR, SEG. INF Nª020-2019</t>
  </si>
  <si>
    <t>LUZ MARINA APAZA MACHICAO</t>
  </si>
  <si>
    <t>ADQUISICION DE ALIMENTOS CARNICOS PARA SER. DE NUTRICION SEG. INF Nª0017-2019/GR-CUSCO/DIRESA</t>
  </si>
  <si>
    <t>CARNIC. Y ABARROT.SAN ANTONIO - CHULLO PACO RUTH AMELIA</t>
  </si>
  <si>
    <t>12/03/2019 00:00:00</t>
  </si>
  <si>
    <t>MULTISERVICIOS LOG CHACHI-PAREDES CHUCTAYA RUTH AIDE</t>
  </si>
  <si>
    <t>ADQUISICIÓN DE ALIMENTOS PERECIBLES , PARA EL PACIENTE Y PERSONAL DE GUARDIA H.E. SEG. INF Nº16-2019</t>
  </si>
  <si>
    <t>14/03/2019 00:00:00</t>
  </si>
  <si>
    <t>ADQUISICIÓN DE ALIMENTOS NO PERECIBLES(SECOS) PARA EL PACIENTE-PERSONAL DE GD DEL H.E. SEG INF Nº015</t>
  </si>
  <si>
    <t>ADQUISICIÓN DE ALIMENTOS NO PERECIBLES (SECOS) , PARA PACIENTES HOSPITALIZADOS DEL H.E.SEG INF Nº018</t>
  </si>
  <si>
    <t>ADQUISICION DE MATERIAL DE ESCRITORIO PAPEL BOND DE 75 GR PARA LOS UNIDADES SEG. INF Nº059-2019/GR-CUSCO/DRSC/U.E408/UL</t>
  </si>
  <si>
    <t>COMERCIAL CYAM S.R.L.</t>
  </si>
  <si>
    <t>22/03/2019 00:00:00</t>
  </si>
  <si>
    <t>ADQUISICION DE MATERIAL DE LIMPIEZA SEG INFORME Nº02-2019-G.R.CUSCO/DRSC/U.E.-408/U.S.GRAL</t>
  </si>
  <si>
    <t xml:space="preserve"> J.B.COMERCIO NACIONAL S.A.C.</t>
  </si>
  <si>
    <t>01/04/2019 00:00:00</t>
  </si>
  <si>
    <t>ADQUISICION DE PAPEL TOALLA SEGUN INFORME Nº12-DIRESA-CUSCO/408-HE.CCPP-2019</t>
  </si>
  <si>
    <t>CCPP</t>
  </si>
  <si>
    <t xml:space="preserve">CATALOGO PERU COMPRAS </t>
  </si>
  <si>
    <t>ESPINOZA TICLLAS INES CARMEN</t>
  </si>
  <si>
    <t>03/04/2019 00:00:00</t>
  </si>
  <si>
    <t>ADQUISI. DE INSUMOS PARA EL SERVICIO DE FARMACIA SEG. INF. Nº 036-2019/GR-CUSCO/DRSC/U.E.408-HE/SF</t>
  </si>
  <si>
    <t>09/04/2019 00:00:00</t>
  </si>
  <si>
    <t>B.BRAUN MEDICAL PERU S.A.</t>
  </si>
  <si>
    <t>ADQUISI. DE MEDICAMENTOS PARA EL SERVICIO DE FARMACIA SEG. INF. Nº 036-2019/GR-CUSCO/DRSC/U.E.408-</t>
  </si>
  <si>
    <t>M PHARMA S.A.C.</t>
  </si>
  <si>
    <t>ADQUI DE LLANTAS PARA AMBULANCIA DE PLACA EUD-011 PARA SER. DE TRANSPORTE SEGUN  INF Nº011-2019/EAT/</t>
  </si>
  <si>
    <t>MULTILLANTAS Y SUMINISTROS DEL SUR S.A.C.</t>
  </si>
  <si>
    <t>10/04/2019 00:00:00</t>
  </si>
  <si>
    <t>ADQUI DE LLANTAS PARA CAMIONETA 4X4 PLACA V9F-920 PARA SER. DE TRANSPORTE SEGUN  INF Nº011-2019/EAT/</t>
  </si>
  <si>
    <t xml:space="preserve"> J.CH.COMERCIAL S.A.</t>
  </si>
  <si>
    <t>11/04/2019 00:00:00</t>
  </si>
  <si>
    <t>16/04/2019 00:00:00</t>
  </si>
  <si>
    <t>ADQUI. DE INSTRU. OFTALMOLOGICO SEG INFORME N°005/HE/GRCUSCO/DRSC-HE-P.P.N.T.-2019.</t>
  </si>
  <si>
    <t>MEDINET S.A.C.</t>
  </si>
  <si>
    <t>24/04/2019 00:00:00</t>
  </si>
  <si>
    <t>ADQUI. DE SET INSTRUME. OFTALMOLOGICO SEGUN INFORME N°004    /HE/GRCUSCO/DRSC-HE-P.P.N.T.-2019.</t>
  </si>
  <si>
    <t>DISTRIBUIDORA DE EQUIPOS E INSTRUMENTAL MEDICO DE TITANIO SOCIEDAD ANONIMA CERRADA</t>
  </si>
  <si>
    <t>ADQUISICION DE OXIGENO MEDICINAL PARA LOS DIFERENTES SERVICIOS SEGUN INFORME Nº 018 - 2019 - GR</t>
  </si>
  <si>
    <t>REPRESENTACIONES Y DISTRIBUCIONES CUSCO E.I.R.L.</t>
  </si>
  <si>
    <t>30/04/2019 00:00:00</t>
  </si>
  <si>
    <t>02/05/2019 00:00:00</t>
  </si>
  <si>
    <t>ADQUI. DE FORMATERIA EN GENERAL PARA LOS DIFE. SERVICIOS Y PROGRAMAS PRES. DEL HOSPITAL DE ESPINAR.</t>
  </si>
  <si>
    <t>IMPRESION Y EMPASTADO CANCHIS-BARAZORDA MARTINEZ YAKELIN</t>
  </si>
  <si>
    <t>09/05/2019 00:00:00</t>
  </si>
  <si>
    <t>IMPORTACIONES OSORIO - OSORIO MEJIA BENITO</t>
  </si>
  <si>
    <t>CONDORI SULLCA JUAN CARLOS</t>
  </si>
  <si>
    <t>GARCIA SAYAN JESUS MARCELINO</t>
  </si>
  <si>
    <t>ADQUISICION DE AMALGAMADOR INFORME N°010    /HE/GRCUSCO/DRSC-HE-P.P.N.T.-2019.</t>
  </si>
  <si>
    <t>DENT IMPORT S A</t>
  </si>
  <si>
    <t>ADQUISICION DE CAMILLAS GINECOLOGICAS PARA ATENCION PRENATAL SEG. INF Nº013-2019/CUSCO</t>
  </si>
  <si>
    <t>TECNOLOGIA MEDICA IMPORT S.A.C.</t>
  </si>
  <si>
    <t>13/05/2019 00:00:00</t>
  </si>
  <si>
    <t>ADQUISICION DE SILLAS DE RUEDAS METALICAS RODABLES PARA  GINECO OBSTETRICIA SEG INF Nº016-2019/CUSCO</t>
  </si>
  <si>
    <t>GLOBAL SCIENTIFIC S.A.C.</t>
  </si>
  <si>
    <t>ADQUISICION DE DESINFECTANTE PARA EL  HOSPITAL DE ESPINAR SEG INF Nº046-2019/GR.CUSCO/UE-408-HE/SF</t>
  </si>
  <si>
    <t>15/05/2019 00:00:00</t>
  </si>
  <si>
    <t>ROKER PERU SA</t>
  </si>
  <si>
    <t>ADQUISICION DE DESINFECTANTES DE USO HOSPITALARIO PARA EL AÑO 2019 DE ACUERDO A INFORME N° 46</t>
  </si>
  <si>
    <t>16/05/2019 00:00:00</t>
  </si>
  <si>
    <t>ADQUISICION  DE BOLETAS DE VENTA PARA PRODUCTOS FARMACÈUTICOS SEGUN INFORME Nº002-2019</t>
  </si>
  <si>
    <t>CCALLOCONDO ESPINOZA WILBER LINO</t>
  </si>
  <si>
    <t>20/05/2019 00:00:00</t>
  </si>
  <si>
    <t>ADUI. DE FORMATERIA EN GENERAL PARA LOS DIFE. SERVICIOS Y PROGRAMAS PRES. DEL HOSPITAL DE ESPINAR</t>
  </si>
  <si>
    <t>ADQUISICION DE INSUMOS ODONTOLOGICOS PARA EL SERVICIO DE FARMACIA  SEG INF Nº051-2019/GR.CUSCO/DRSC</t>
  </si>
  <si>
    <t>A. TARRILLO BARBA S.A.</t>
  </si>
  <si>
    <t>ODONTO S.R.LTDA.</t>
  </si>
  <si>
    <t>22/05/2019 00:00:00</t>
  </si>
  <si>
    <t>ADQUISICION DE TELA PARA UNIFORME INSTITUCIONAL SEGUN INFORME Nº120-GR/CUSCO</t>
  </si>
  <si>
    <t>COMPARACION DE PRECIOS Nº01</t>
  </si>
  <si>
    <t>TUPAYACHI QUISPE CIPRIANO - BAZAR TUPAYACHI</t>
  </si>
  <si>
    <t>23/05/2019 00:00:00</t>
  </si>
  <si>
    <t>ADQUISICION DE PLACAS E INSUMOS PARA  RAYOS X SEG. INF Nº11-2019-GRC/DRSC/U.E./HESPINAR/RX-JTCC</t>
  </si>
  <si>
    <t>X RAY SALES  AND SERVICE S.A.C.</t>
  </si>
  <si>
    <t>27/05/2019 00:00:00</t>
  </si>
  <si>
    <t>ADQUISICION DE PLACAS E INSUMOS PARA  RAYOS X SEG. INF Nº11-2019-GRC/DRSC/U.E./HESPINAR/RX-JTC.</t>
  </si>
  <si>
    <t>SOLUCIONES MEDICAS Y SERVICIOS E.I.R.L.</t>
  </si>
  <si>
    <t>ADQUISICION DE PLACAS E INSUMOS PARA  RAYOS X SEG. INF Nº11-2019-GRC/DRSC/U.E./HESPINAR/RX-JTC</t>
  </si>
  <si>
    <t>CRISOF SOLUCIONES INTEGRALES SOCIEDAD ANONIMA CERRADA - CRISOF S.A.C.</t>
  </si>
  <si>
    <t>03/06/2019 00:00:00</t>
  </si>
  <si>
    <t>10/06/2019 00:00:00</t>
  </si>
  <si>
    <t>01/07/2019 00:00:00</t>
  </si>
  <si>
    <t>ADQUISICION DE MATERIAL DE OFICINA EN GENERAL PARA EL HOSPITAL DE ESPINAR SEG INF Nº 130-2019/GR-CUS</t>
  </si>
  <si>
    <t xml:space="preserve"> CORPORACION KMR PERU S.A.C.</t>
  </si>
  <si>
    <t>03/07/2019 00:00:00</t>
  </si>
  <si>
    <t>CALCINA FLOREZ MAYLINDA</t>
  </si>
  <si>
    <t xml:space="preserve"> PALOMINO HURTADO PAUL WILBER</t>
  </si>
  <si>
    <t>INVERSIONES Y SOLUCIONES G &amp; F SOCIEDAD ANONIMA CERRADA</t>
  </si>
  <si>
    <t>GRUPO FAMTEC E.I.R.L.</t>
  </si>
  <si>
    <t>IMPORTACIONES MEGA CHAMBI S.A.C.</t>
  </si>
  <si>
    <t>ADQUIS. DE ALIMENTOS CARNICOS (VISERAS)PARA PPOG. ARTI. NUTRCIONAL SEGUN INFORME Nº015-2019-G.R</t>
  </si>
  <si>
    <t>ADQUISICION DE REACTIVOS INMONOSEROLOGICOS PARA EL SERVICIO DE LABORATORIO SEG INF 054-2019-GR-CUSCO</t>
  </si>
  <si>
    <t xml:space="preserve"> W.P. BIOMED E.I.R.L.</t>
  </si>
  <si>
    <t>MEDI.LAB S.R.L.</t>
  </si>
  <si>
    <t>R Y C BIOGIAGNOSTICA EMPRESA INDIVIDUAL DE RESPONSABILDIAD LIMITADA - R Y C</t>
  </si>
  <si>
    <t>ADQUISICION  DE REACTIVO PARA ANALIZADOR HEMATOLOGICO SEG INFORME Nº056-2019/UPSSPC/HE/U.E.408/DRSC.</t>
  </si>
  <si>
    <t>MF VIDA SOCIEDAD COMERCIAL DE RESPONSABILIDAD LIMITADA - MF VIDA S.R.L.</t>
  </si>
  <si>
    <t>ADQUISICION DE REACTIVOS BIOQUIMICOS PARA EL SERVICIO DE LABORATORIO SEG INF Nº053-2019/UPSSP/HE/U.E</t>
  </si>
  <si>
    <t>ADQUISICION DE INSUMOS Y MEDICAMENTOS PARA SALUD OCULAR SEG INFORME Nº70-2019/GR-CUSCO/DRSC</t>
  </si>
  <si>
    <t>ADQUISICION DE INSUMOS  PARA SALUD OCULAR SEG INFORME Nº70-2019/GR-CUSCO/DRSC</t>
  </si>
  <si>
    <t>INVERSIONES MEDICAS SAN MARTIN S.A.C.</t>
  </si>
  <si>
    <t>ADQUISICION DE RECIBOS DE CAJA PARA ECONOMIA  SEGUN INFORME N°028-019/MINSA/DRSC/UE408/HE/ECO</t>
  </si>
  <si>
    <t>SULLCAPUMA MAMANI MARCELINO - IMPRESIONES COSMOS</t>
  </si>
  <si>
    <t>ADQUIS. DE ALIMENTOS NO PERECIBLES(CEREALES)PARA PPOG. ARTI. NUTRCIONAL SEGUN INFORME Nº019-2019-G.R</t>
  </si>
  <si>
    <t>15/07/2019 00:00:00</t>
  </si>
  <si>
    <t>LAB &amp; HEALTH SUPPLY S.A.C.</t>
  </si>
  <si>
    <t>ADQUISICION DE IMPRESORA MATRICIAL  PARA LA UNIDAD DE SEGUROS DEL HOSPITAL DE ESPINAR SEG INF Nº104-</t>
  </si>
  <si>
    <t>CHANINTEC S.A.C.</t>
  </si>
  <si>
    <t>ADQUISICION DE ASPIRADORA DE SECRECIONES  POR REPOSICION SEGUN INFORME Nº084-2019/GR-CUSCO/DRSC/UE.408/G.OBS</t>
  </si>
  <si>
    <t>SOLUCIONES MEDICAS MACI E.I.R.L.</t>
  </si>
  <si>
    <t>18/07/2019 00:00:00</t>
  </si>
  <si>
    <t xml:space="preserve"> ADQUISICION DE EQUIPO DE FOTOTERAPIA  SEG INFORME Nº20 -2019-GRCUSCO/DRSC/HE/PED</t>
  </si>
  <si>
    <t>BIOMEDRAB S.A.C.</t>
  </si>
  <si>
    <t>ADQUISICION DE MONITOR FETAL  SOBREMEA POR REPOSICION SEGUN INF Nº083-2019/GR-CUSCO</t>
  </si>
  <si>
    <t>24/07/2019 00:00:00</t>
  </si>
  <si>
    <t>ADQUISICION DE INSUMOS DE LABORATORIO PARA EL SERVICIO DE LABORATORIO SEGUN INF Nº055-2019/UPSSP/HE</t>
  </si>
  <si>
    <t>25/07/2019 00:00:00</t>
  </si>
  <si>
    <t>ADVANCE SCIENTIF MEDIC S.A.C.</t>
  </si>
  <si>
    <t>31/07/2019 00:00:00</t>
  </si>
  <si>
    <t>01/08/2019 00:00:00</t>
  </si>
  <si>
    <t>02/08/2019 00:00:00</t>
  </si>
  <si>
    <t>REQUERIMIENTO DE MEDICAMENTOS PARA LA ESTRATEGIA SALUD OCULAR DE ACUERDO A INFORME N°070-2019/GR.CUS</t>
  </si>
  <si>
    <t>ADQUISICION DE LAMPARA DE XENON PARA  EQUIPO DE LAPAROSCOPIA SEGUN INF Nº059-2019-GR-CUSCO/DRSC/U.E4</t>
  </si>
  <si>
    <t>ADQUISICION DE VESTUARIO PARA LA CAMPAÑA DE VACUNACION ANTIRRABICA CANINA VA CAN 2019 SEG. INF Nº4-</t>
  </si>
  <si>
    <t xml:space="preserve"> BRHOMAN S CONFECCIONES S.R.L.</t>
  </si>
  <si>
    <t>ADQUISICION DE ALIMENTOS PARA LA CAMPAÑA DE VACUNACION ANTIRRABICA CANINA VA CAN 2019 SEG INF Nº 05-</t>
  </si>
  <si>
    <t>05/08/2019 00:00:00</t>
  </si>
  <si>
    <t>ADQUISICION DE COLLARES DE PLASTIZUNCHO PARA CAMPAÑA VACAN 2019 SEG INF Nº006-2019-DRSC-RSCCE-HE</t>
  </si>
  <si>
    <t>ROKIM SERVICIOS GENERALES S.A.C.</t>
  </si>
  <si>
    <t>09/08/2019 00:00:00</t>
  </si>
  <si>
    <t>13/08/2019 00:00:00</t>
  </si>
  <si>
    <t>ADQUISICIÓN DE LICUADORA PARA EL SERVICIO DE NUTRICIÓN SEGÚN INFORME Nº 088 - 2019/GRCUSCO/DIRE</t>
  </si>
  <si>
    <t>EMPRESA DE BIENES Y SERVICIOS PARA EL HOGAR S.A.C.</t>
  </si>
  <si>
    <t>ADQUI. DE TERMOMETRO DIGITAL PLEGABLE ORAL Y RECTAL PARA PRGO. PRES. ART. NUTR. SEG INF Nº034-2019</t>
  </si>
  <si>
    <t>15/08/2019 00:00:00</t>
  </si>
  <si>
    <t xml:space="preserve"> ADQUISICION DE  DEL INSUMO: AGUJA MULTIPLE PARA EXTRACCION AL VACIO INFORME Nª098-2019/UPSSPC/HE/U.</t>
  </si>
  <si>
    <t>22/08/2019 00:00:00</t>
  </si>
  <si>
    <t>26/08/2019 00:00:00</t>
  </si>
  <si>
    <t>02/09/2019 00:00:00</t>
  </si>
  <si>
    <t>ADQUISICION DE GORROS (SOMBREROS) PARA VISITAS DOMICILIARIAS SEGUN INF Nº047-2019-G.R.CUSCO</t>
  </si>
  <si>
    <t>03/09/2019 00:00:00</t>
  </si>
  <si>
    <t>ADQUISICION DE MOCHILAS PARA REALIZAR ACTIVIDADES DE VISITAS DOMICILIARIAS SEG INF Nº051-2019-G.R-CU</t>
  </si>
  <si>
    <t>ADQUISISCION DE TIJERAS DE USO MEDICO PARA CORTE DE GASAS Y/O ALGODONES SEG INF Nº052-2019-G.R.CUSCO</t>
  </si>
  <si>
    <t>ADQUISICION DE OXIMETRO DE PULSO PORTATIL ADULTO/PEDIATRICO SEGUN INF Nº 048-2019/GR-CUSCO/GR-CUSCO/</t>
  </si>
  <si>
    <t>ADQUISICION DE CABEZAL PARA  ELECTROCARDIOGRAFO SEGUN INFORME Nº092-2019/GR-CUSCO/DRSC/U.E408</t>
  </si>
  <si>
    <t xml:space="preserve"> CIAMEDICAL PERU S.A.C.</t>
  </si>
  <si>
    <t>ADQUISICION DE MOBILIARIO DE COCHE METALICO  PARA TRANPORTE GENERAL DE MED. SEG INF Nº043-2019</t>
  </si>
  <si>
    <t>METAX INDUSTRIA Y COMERCIO S.A.C.</t>
  </si>
  <si>
    <t>ADQUISICION DE EQUIPO DE TENSIOMETRO CON ESTETOSCOPIO SEGUN INFORME 047-2019/GR-CUSCO/DRSC/U.E.408;/</t>
  </si>
  <si>
    <t>ADQUISICION DE INSTRUMENTAL DE  ESTETOSCOPIO PEDIATRICO SEGUN INFORME 049-2019/GR-CUSCO/DRSC</t>
  </si>
  <si>
    <t>ADQUISICION DE INSTRUMENTAL DE  ESTETOSCOPIO ADULTO  SEGUN INFORME 054-2019/GR-CUSCO/DRSC</t>
  </si>
  <si>
    <t>ADQUISICION DE VITRINA METALICA PARA INSTRUMENTAL QUIRURGICO SEGUN INF Nº 046-2019/GR-CUSCO/DRSC</t>
  </si>
  <si>
    <t>IMPORTADORA ANDINA E.I.R.L</t>
  </si>
  <si>
    <t>ADQUISICION Y/O REQUERIMIENTO DE AGUA DE MESA PARA VISITAS DOMICILIARIAS SEGUN INF Nº050-2019-GR-CUS</t>
  </si>
  <si>
    <t>ADQUISICION DE MAQUETA DIDÁCTICO DE APARATO REPRODUCTOR MASCULINO  SEG. INFORME N 06/HEGRCUSCO/DRSC</t>
  </si>
  <si>
    <t>06/09/2019 00:00:00</t>
  </si>
  <si>
    <t>ADQUISICION DE ENSERES PARA  SERVICIO DE NUTRICION SEGUN INFORME Nº075-2019/GRCUSCO/DIRESAU.E.408/H.</t>
  </si>
  <si>
    <t>ADQUISICION DE VESTUARIO PARA TODO EL PERSONAL DE SALUD DEL U.E.408 HOSPITAL DE ESPINAR</t>
  </si>
  <si>
    <t>ADQUISICION DE MICROSCOPIO PORTATIL PARA HOSPITAL DE ESPINAR SEG INF Nº 06-A/HE/GRCUSCO/DRSC-HE-P.PN</t>
  </si>
  <si>
    <t>23/09/2019 00:00:00</t>
  </si>
  <si>
    <t>ADQUISICION DE REPUESTOS PARA EQUIPOS BIOMEDICOS SEG INF Nº0115-GRCUSCO/DRSC/U.E.408/UM-HE</t>
  </si>
  <si>
    <t>IMEEDCO S.R.L.</t>
  </si>
  <si>
    <t>24/09/2019 00:00:00</t>
  </si>
  <si>
    <t>ADQUISICION DE LAMPARA DE HENDIDURA PORTAIL SEGUN INFORME INFORME N°033    /HE/GRCUSCO/DRSC-H</t>
  </si>
  <si>
    <t>ADQUISICIÓN DE ENSERES DE COCINA SEGÚN INFORME  Nº 075 - 2019/GRCUSCO/DIRESA.UE 408 /H.ESPINAR/</t>
  </si>
  <si>
    <t>EQUIPOS GASTRONOMICOS S.R.L.</t>
  </si>
  <si>
    <t>ADQUISICIÓN DE  MESA DE PARTOS RODABLE PARA EL CENTRO QUIRURGICO PARA LA U.E.408 H.E. SEG INF 0169-2</t>
  </si>
  <si>
    <t>AS Nº002</t>
  </si>
  <si>
    <t>GRUPO JHS S.A.C.</t>
  </si>
  <si>
    <t>ADQUISICIÓN DE EQUIPOS MEDICOS , SEGÚN INFORME Nº 168-2019-GR-CUSCO/DRSC/U.E408/UL-HE</t>
  </si>
  <si>
    <t>AS Nº003</t>
  </si>
  <si>
    <t>BIOLOGIAS MEDICAS ANDINAS S.A.C.</t>
  </si>
  <si>
    <t>01/10/2019 00:00:00</t>
  </si>
  <si>
    <t xml:space="preserve"> JIREH MEDICAL IMPORT S.A.C.</t>
  </si>
  <si>
    <t>ADQUISICIÓN DE MANDILONES COMO MEDIDA DE BIOSEGURIDAD DEL PERSONAL INF  Nª18- DIRESA-CUSCO/408-H.E.</t>
  </si>
  <si>
    <t>07/10/2019 00:00:00</t>
  </si>
  <si>
    <t>ADQUISICION DE DE MATERIALES  DE LIMPIEZA  PARA MANTENIMIENTO SEG INF Nº 0104-2019-GR-CUSCO/DRSC/U.E</t>
  </si>
  <si>
    <t>MIGUEL ARCANGEL SANTO SERVICIOS GENERALES S.R.L.</t>
  </si>
  <si>
    <t>ADSQUISICION CARTILLA DE SNELLEN CON ILUMINACIÓN LED SEGUN DE INFORME N°040  /HE/GRCUSCO/DRSC-</t>
  </si>
  <si>
    <t>ADQUISICION DE MARTILLO NEUROLOGICO INFORME N°038  /HE/GRCUSCO/DRSC-HE-P.P.N.T.-2019.</t>
  </si>
  <si>
    <t>ADQUISICION DE ACCESORIOS Y REPUESTOS DE MANTE.SEGUN INF Nº 106-2019-GR-CUSCO/DRSC/U.E408/UM-HE</t>
  </si>
  <si>
    <t>FEMACO S.R.L.</t>
  </si>
  <si>
    <t>VIDRIOS MACSUR E. I. R.. LTDA</t>
  </si>
  <si>
    <t>ADQUISICION DE BOLSAS DE POLIETILENO.SEGUN INF Nº 039-2019-GR-CUSCO/DRSC/U.E408/U.R.GRAL.</t>
  </si>
  <si>
    <t>PLASTICOS CONTINENTAL S.A.C.</t>
  </si>
  <si>
    <t>SERVICIOS SEÑOR DE HUANCA SOCIEDAD ANONIMA</t>
  </si>
  <si>
    <t>ADQUISICION  DE MAQUETAS PARA CONSEJERIA EN CANCER SEGUN INFORME Nª 10-DIRESA-CUSCO/408-HE.C-PP-2019</t>
  </si>
  <si>
    <t>ACGFARMA E.I.R.L.</t>
  </si>
  <si>
    <t>09/10/2019 00:00:00</t>
  </si>
  <si>
    <t>ADQUISICION DE  APOSITOS TRANSPARENTES ADHESIVOS DE ACUERDO AL INFORME NRO 56-2019/GRC</t>
  </si>
  <si>
    <t>10/10/2019 00:00:00</t>
  </si>
  <si>
    <t>ADQUISICION DE TAMBORES DE ACERO QUIRURGICO SEGUN INF Nº 057-2019/GR-CUSCO/DRSC/U.E.408-HE/G-OBST</t>
  </si>
  <si>
    <t>ADQUISICION DE MATERIAL INSTRUMENTAL QUIRURGICO PARA USO DE ALGODONES SEGUN INF Nº046-2019-GR-CUSCO/</t>
  </si>
  <si>
    <t>ADQUISICIÓN DE INSTRUMENTAL MÉDICO PARA EL SERVICIO DE GINECO OBSTETRICIA, SEGÚN INFORME NRO.125-201</t>
  </si>
  <si>
    <t>11/10/2019 00:00:00</t>
  </si>
  <si>
    <t>ADQUISICION DE SET INSTRUMENTAL MEDICO DE ACUERDO AL INFORME NRO 52-2019/GRCUSCO/DRC/UE408:HE/G-O</t>
  </si>
  <si>
    <t>ADQUISICION DE EQUIPO DE TELELUPA BINOCULAR PARA OPERACIONES SEGUN INFORME Nº035/HE/GR-CUSCO/DRSC-HE</t>
  </si>
  <si>
    <t>EDONTO-PALOMINO ESPINOZA ALVARO GONZALO</t>
  </si>
  <si>
    <t>ADQUISICION DE MATERIALES E INSUMOS DE MANTE.SEGUN INF Nº 100-2019-GR-CUSCO/DRSC/U.E408/UM-HE</t>
  </si>
  <si>
    <t>ADQUISICION DE CALEFACTORES PARA  SERVICIO DE OBSTETRICIA SEGUN INF Nº122-2019/GRCUSCO/DRSC/UE408</t>
  </si>
  <si>
    <t>HOMECENTERS PERUANOS S.A.</t>
  </si>
  <si>
    <t>ADQUISICION DE EQUIPO, ESTUFA PARA  CONSULTORIO DE ARTICULADO NUTRICIONAL SEGUN INF Nº 044-2019-GR.C</t>
  </si>
  <si>
    <t>ADQUISICION DE REPUESTO PARA MAQUINA DE ANESTESIA DRAGER SEGUN INF Nº 124-2019-GR.CUSCO/DRSC</t>
  </si>
  <si>
    <t>DRAEGER PERU S.A.C.</t>
  </si>
  <si>
    <t>ADQUISICION DE ACCESORIOS DE RED PARA UNIDAD DE INFORMATICA SEGUN INF Nº 040-2019/GR-CUSCO/DRSC</t>
  </si>
  <si>
    <t>ADQUISICION DE RECARGA DE CO2  Y CILINDRO DE ACERO PARA SERVICIO DE MANTE. SEG INF Nº00118-2019-GR-C</t>
  </si>
  <si>
    <t>ADQUISICION DE RECARGA DE ACCESORIO DE MANGUERA CO2 PARA SERVICIO DE MANTE. SEG INF Nº00118-2019-GR</t>
  </si>
  <si>
    <t>28/10/2019 00:00:00</t>
  </si>
  <si>
    <t>ADQUISICION DE DETERGENTE GRANULADO PARA SER. GENERALES INFORME Nº 045-2019-GR.CUSCO/DRSC/U.E. 408</t>
  </si>
  <si>
    <t>CONSIGNACIONES REPRESENTACIONES Y SERVICIOS SRL</t>
  </si>
  <si>
    <t>ADQUISICION  COMBUSTIBLE DIESEL B5 S50 PARA .REFERENCIA DE PACIENTES POR EMERGENCIA SEG . INF Nº176</t>
  </si>
  <si>
    <t>PETROLCENTER S.A.C.</t>
  </si>
  <si>
    <t xml:space="preserve"> ADQUISICION DE DETECTOR DE LATIDOS SEGUN  INFORME N°  88  -2019/GR CUSCO/DRSC/UE408;HE/G-OBST</t>
  </si>
  <si>
    <t>ADQUISICION DE MONITOR MULTIPARAMETRO DE 5 PARAMETROS SEGUN INFORME Nº 049-2019</t>
  </si>
  <si>
    <t>FABRI MEDICAL S.A.C.</t>
  </si>
  <si>
    <t>04/11/2019 00:00:00</t>
  </si>
  <si>
    <t>ADQUI DE SUMINISTROS BIOMEDICOS PARA EL SERVICIO DE MANTENIMIENTO SEG INF Nº0153-2019-GR-CUSCO</t>
  </si>
  <si>
    <t>05/11/2019 00:00:00</t>
  </si>
  <si>
    <t>ADQUI DE SUMINISTROS PARA EQUIPOS BIOMEDICOS PARA MANTENIMIENTO SEGUN INFORME Nº153-2019-GR.CUSCO/DR</t>
  </si>
  <si>
    <t>CARDIOMED DEL PERU SAC</t>
  </si>
  <si>
    <t>06/11/2019 00:00:00</t>
  </si>
  <si>
    <t>ADQUISICION DE TEST PSICOLOGICOS PARA EL SERV. DE PSICOLOGIA SEGUN INFORME Nº010-2019-DIRESA-CUSCO</t>
  </si>
  <si>
    <t>INOFUENTE YUCRA KARINA ROXANA</t>
  </si>
  <si>
    <t>07/11/2019 00:00:00</t>
  </si>
  <si>
    <t>REQUERIMIENTO DE ADQUISICIÓN DE FORMATOS, SEGÚN INFORME N°160-2019-G.R.CUSCO/DRSC/UE408:HE/US</t>
  </si>
  <si>
    <t>ADQUISICION DE PAPEL PRE IMPRESO CONTINUO PARA BOLETAS DE PAGO SEGUN INFORME Nº223-2019-G.R.CUSCO/DR</t>
  </si>
  <si>
    <t>13/11/2019 00:00:00</t>
  </si>
  <si>
    <t>ADQUISICION DE COMBUTIBLE DIESEL BS 50 PARA PAN SEGUN INF Nº 73-2019-G.R.CUSCO/U.E.408-HE/PAN</t>
  </si>
  <si>
    <t>ADQUISICION DE INSUMOS MEDICOS PARA EL SERVICIO DE FARMACIA SEGUN INF Nº 118-2019/GR.CUSCO/DRSC/U.E.</t>
  </si>
  <si>
    <t>PALHER ASOCIADOS MEDICOS S.A.C.</t>
  </si>
  <si>
    <t>18/11/2019 00:00:00</t>
  </si>
  <si>
    <t>ADQUISICION DE INSUMOS MÉDICO QUIRURGICOS PARA EL SERVICIO DE FARMACIA SEGUN INFORME Nº118/2019/GR.C</t>
  </si>
  <si>
    <t>UNILENE S.A.C.</t>
  </si>
  <si>
    <t>19/11/2019 00:00:00</t>
  </si>
  <si>
    <t>ADQUISICION DE MEDICAMENTOS PARA EL SERVICIO DE FARMACIA SEGUN INF Nº097-2019/GR.CUSCO/DRSC</t>
  </si>
  <si>
    <t>KEROS AQP E.I.R.L.</t>
  </si>
  <si>
    <t>21/11/2019 00:00:00</t>
  </si>
  <si>
    <t>ADQUI DE CAMPOS PARA EL CONSUTORIO DIFERENCIA DE ITS VIH SIDA SEGUN INFORME Nº0027-2019-DIRESA/CUSCO</t>
  </si>
  <si>
    <t>INDUST.DEL VESTIDO SAN ANTONIO E.I.R.LTD</t>
  </si>
  <si>
    <t>ADQUISICION DE EQUIPO COMPUTACIONAL PARA EQUI. DE TELESALUD SEGUN INFORME Nº 180-2019-GR.CUSCO/DRSC/</t>
  </si>
  <si>
    <t>MICROTECH DEL PERU SOCIEDAD COMERCIAL DE RESPONSABILIDAD LIMITADA-"MICROTECH DEL PERU S.R.L."</t>
  </si>
  <si>
    <t>ADQUISICION DE EQUIPO IMPRESORA MULTIFU PARA EQUI. DE TELESALUD SEGUN INFORME Nº 180-2019-GR.CUSCO/D</t>
  </si>
  <si>
    <t>PC MAGIMPORT S.A.C.</t>
  </si>
  <si>
    <t>02/12/2019 00:00:00</t>
  </si>
  <si>
    <t>ADQUISICION DE LUBRICANTES PARA DIFERENTES EQUIPOS PARA MANTENIMIETO SEG INF Nº0103-2019-GR.CUSCO</t>
  </si>
  <si>
    <t>CCASA CORRALES ADRIAN ANSELMO</t>
  </si>
  <si>
    <t>ADQUIS DE PAPEL AUTOCOPIATIVO PARA LA AREA DE LOGISTICA SEG INF Nº 231-2019-GR.CUSCO/DRSC</t>
  </si>
  <si>
    <t>04/12/2019 00:00:00</t>
  </si>
  <si>
    <t>ADQUI DE MATERIALES DE OFICINA PARA EL HOSPITAL DE ESPINAR SEGUN INF º232-2019-GR.CUSCO/DRSC/U.E408</t>
  </si>
  <si>
    <t>CEFRECOM PERU S.A.C.</t>
  </si>
  <si>
    <t>CORPORACION FOX SUMINISTROS &amp; TECNOLOGIA SOCIEDAD ANONIMA CERRADA</t>
  </si>
  <si>
    <t>ADQUI DE EQUIPO DE LAMPARA FOTOCURADO PARA SERVICIO DE ODONTOLOGIA SEGUN INF Nº 47-2019/DRSC/U.E.408</t>
  </si>
  <si>
    <t>ADQUISICION DE INSTRUMENTAL E INSUMOS PARA EL SERVICIO DE ODONTOLOGIA SEG INF Nº048-2019/DRSC</t>
  </si>
  <si>
    <t>DENTOSHOP S.A.C.</t>
  </si>
  <si>
    <t>ADQUI DE INSUMOS PARA ACONDICONAMIENTO DE AMBIENTE SERV. MANTENIMIENTO SEGUN INF Nº0195-2019</t>
  </si>
  <si>
    <t>SUPHO PUMA DOMITILA</t>
  </si>
  <si>
    <t>ADQUISICION DE INSTRUMENTAL E INSUMOS PARA SERVICIO DE ODONTOLOGIA SEG INF Nº048-2019/DRSC</t>
  </si>
  <si>
    <t>ADQUISICION DE REPUESTOS PARA CAMIONETA SEGUN INFORME Nº0197-DIRESA-CUSCO/408-HE</t>
  </si>
  <si>
    <t>ADQUISICIÓN DE EQUIPO DE CENTRIFUGA REFRIGERADA, SEGÚN INFORME NRO. 02-2019</t>
  </si>
  <si>
    <t>VAN REPRESENTACIONES GENERALES E.I.R.L.</t>
  </si>
  <si>
    <t>ADQUI DE INSUMOS MEDICOS PARA EL SERVICIO DE FARMACIA SEGUN INF Nº000135-2019/GR-CUSCO</t>
  </si>
  <si>
    <t>GR MEDICAL E.I.R.L.</t>
  </si>
  <si>
    <t>ADQUI DE INSUMOS MEDICOS PARA EL SERVICIO DE FARMACIA SEGUN INFORME Nº00135-2019-GR-CUSCO</t>
  </si>
  <si>
    <t>ADQUI DE INSUMOS MEDICOS PARA EL SERVICIO DE OFTALMOLOGIA  SEGUN INFORME Nº00135-2019-GR-CUSCO</t>
  </si>
  <si>
    <t>ADQUISICION DE INSUMOS MEDICOS PARA EL SERVICIO DE FARMACIA SEGUN INF Nº 0135-2019/GR-CUSCO</t>
  </si>
  <si>
    <t>ADQUISICION DE TONER PARA FOTOCOPIADORA SEGUN INF Nº 225-2019/DRSC/UE408</t>
  </si>
  <si>
    <t>MINNOVETCI PERU S.A.C.</t>
  </si>
  <si>
    <t>ADQUISICION DE UTILES DE ESCRITORIO PARA U.E. 408 HOSPITAL DE ESPINAR SEGUN INF Nº251-2019/GR-CUSCO</t>
  </si>
  <si>
    <t>HUILLCA SALAS MERY</t>
  </si>
  <si>
    <t xml:space="preserve"> SARAVIA AMAT BERTHA</t>
  </si>
  <si>
    <t>ADQUISICION DE UITLES DE OFICINAS SEGUN INF  Nº0251-GR-CUSCO</t>
  </si>
  <si>
    <t>ADQUISICION DE MATERIAL DE LIMPIEZA PARA EL SERVICIO DE VIGILANCIA Y LIMPIEZA SEGUN INF Nº060-2019/G</t>
  </si>
  <si>
    <t>SERVICIO DE INSTALACION DE ELECTROBOMBA SEGUN INF Nª 001-2019-GR-CUSCO/DRSC/U.E408/UT-HE.</t>
  </si>
  <si>
    <t xml:space="preserve"> ACUARIUS BIENES Y SERVICIOS S.A.C.</t>
  </si>
  <si>
    <t>07/01/2019 00:00:00</t>
  </si>
  <si>
    <t>SERVICIO DE SUMINISTRO DE ENERGIA ELECTRICA MES DE DIC-2018 SEG. INF. 002-2019-GR-CUSCO</t>
  </si>
  <si>
    <t>ELECTRO SUR ESTE S.A.A</t>
  </si>
  <si>
    <t>CONTRATACION DE SERVICIO DE RPM ANUAL SEGUN INF N°020-2019-GR.CUSCO/DRSC/U.E408/U.E408/UL-HE.</t>
  </si>
  <si>
    <t>TELEFONICA DEL PERU S.A.A</t>
  </si>
  <si>
    <t>31/01/2019 00:00:00</t>
  </si>
  <si>
    <t>SERVICIO DE ENERGIA ELECTRICA DEL MES DE ENERO DEL 2019 SEGUN INF N° 007-2019-GR.CUSCO/DRSC/U.E.408/</t>
  </si>
  <si>
    <t>06/02/2019 00:00:00</t>
  </si>
  <si>
    <t>CONTRATACION DE SERVICIO DE INTERNET PARA LA U.E. 408 HOSPITAL DE ESPINAR SEG. INF N°080/GR.CUSCO/DR</t>
  </si>
  <si>
    <t xml:space="preserve"> TELEREDES SUR E.I.R.L.</t>
  </si>
  <si>
    <t xml:space="preserve"> CONTRATACION DE TEC. CONTABLE EN ASISTENCIA EN MONITOREO, ANALISIS Y PROC. SEGUN INF N°  01-2019</t>
  </si>
  <si>
    <t>GUEVARA PUENTE DE LA VEGA CLAUDIO CESAR</t>
  </si>
  <si>
    <t>07/02/2019 00:00:00</t>
  </si>
  <si>
    <t>27/02/2019 00:00:00</t>
  </si>
  <si>
    <t>01/03/2019 00:00:00</t>
  </si>
  <si>
    <t>SERVICIO DE ENERGIA ELECTRICA SEGUN INFORME Nº 016 - 2019 - GR.CUSCO/DRSC/U.E.408/UM-HE/.</t>
  </si>
  <si>
    <t>SERV. DE MANTENIMIENTO PREVEN.  DE UNIDAD MOVIL AMBULANCIA DE PLACA EUD-011 SEGUN INF Nª014-2019-GR-</t>
  </si>
  <si>
    <t>20/03/2019 00:00:00</t>
  </si>
  <si>
    <t>CONTRATACION DE SERVICIO DE INTERNET MODEM SEGUN ADENDA Nº001-2019 AL CONTRATO Nº04-B-2018</t>
  </si>
  <si>
    <t>COSERTEC COMUNICACIONES SRL</t>
  </si>
  <si>
    <t>28/03/2019 00:00:00</t>
  </si>
  <si>
    <t>CONTRATACION DE MEDICO ESPECIALISTA EN ANESTESIOLOGIA SEGUN INF No 09-2019/MINSA/G.R.CUSCO/DRSC</t>
  </si>
  <si>
    <t>SILVA RODRIGUEZ GERMAN TADEO</t>
  </si>
  <si>
    <t>04/04/2019 00:00:00</t>
  </si>
  <si>
    <t xml:space="preserve"> CONTRATACION DE AUDITOR MEDICO, POR LOCACION DE SER.  PARA LA UND. DE SEGUROS SEG. INF N°011-2019</t>
  </si>
  <si>
    <t xml:space="preserve"> ACHAHUANCO APAZA EDWIN RICHARD</t>
  </si>
  <si>
    <t>08/04/2019 00:00:00</t>
  </si>
  <si>
    <t>PASAJE ECONOMICO DE IDA</t>
  </si>
  <si>
    <t>AVIANCA PERÚ S.A.</t>
  </si>
  <si>
    <t>09/04/2019 15:00:15.136</t>
  </si>
  <si>
    <t>PASAJE ECONOMICO DE RETORNO</t>
  </si>
  <si>
    <t>VIVA AIRLINES PERU S.A.C</t>
  </si>
  <si>
    <t>09/04/2019 16:29:12.293</t>
  </si>
  <si>
    <t>CONTRATACION POR TERCERO DE SERVICIO DE GINECO OBSTETRA  SEGUN INF N°001-2019/MINSA/G.R.CUSCO/U</t>
  </si>
  <si>
    <t>ARIZABAL MORENO HOLGER MILENKO</t>
  </si>
  <si>
    <t>SERVICIO DE ENERGIA ELECTRICA DEL MES DE MARZO SEGUN INFORME 028-2019-GR-CUSCO/DRSC/U.E.</t>
  </si>
  <si>
    <t>SERV. MANTE PREVENTIVO DE CAMIONETA SEGUN INFORME Nº 020 - 2019 - GR.CUSCO/DRSC/U.E.408/UM-HE/.</t>
  </si>
  <si>
    <t>22/04/2019 00:00:00</t>
  </si>
  <si>
    <t>SERVICIO DE  CONTRATACION DE OBSTETRICIA PARA SERVICIO DE OBSTETRICIA SEG INF Nº018-2019-SER-OBST/HE</t>
  </si>
  <si>
    <t>LLERENA HUAMANI EVELIN KATERINE</t>
  </si>
  <si>
    <t>SERVICIO DE CONTRATACION DE INTERNET INALAMBRICO ENERO - DICIEMBRE 2019 UND. ADMI SEGU CONTRA Nº014-</t>
  </si>
  <si>
    <t>CORPORACION SERVITEL SOCIEDAD COMERCIAL DE RESPONSABILIDAD LIMITADA</t>
  </si>
  <si>
    <t>29/04/2019 00:00:00</t>
  </si>
  <si>
    <t>SERVICIO DE CONTRATACION DE MEDICO INTERNISTA SEG . INF Nº07-/HE/GR.CUSCO/DRSC-HE/P.P.N.T-2019</t>
  </si>
  <si>
    <t xml:space="preserve"> LUPACA CHARCA STALIN</t>
  </si>
  <si>
    <t>SERVICIO DE CAPACITACION PAR A LA CERTIFICACION DEL PERSONAL DE OEC SEGUN MOMO Nº0116-2019/GR-CUSCO</t>
  </si>
  <si>
    <t>AGENCIA  ANDINA PARA EL DESARROLLO HUMANO DEL PERU</t>
  </si>
  <si>
    <t>06/05/2019 00:00:00</t>
  </si>
  <si>
    <t>08/05/2019 00:00:00</t>
  </si>
  <si>
    <t>SERVICIO DE ENERGIA ELECTRICA DEL MES DE ABRIL SEGUN INFORME Nº043-2019-GR-CUSCO</t>
  </si>
  <si>
    <t>SERVICIO DE TRANSPORTE PARA TRASLADO DE PRODUCTOS FARMACÉUTICOS E INSUMOS MEDICOS INF Nº 050-2019/GR</t>
  </si>
  <si>
    <t>CHOQUE HUISA YSIDRO</t>
  </si>
  <si>
    <t>29/05/2019 00:00:00</t>
  </si>
  <si>
    <t>CONTRATACION DE SERV. DE TEC EN ENFERMERIA PARA  LLENADO DE FUAS  CONS. EXTERNO SEG. INF Nº044-2019</t>
  </si>
  <si>
    <t>SINTE CABANA CINTHYA SANDRA</t>
  </si>
  <si>
    <t>04/06/2019 00:00:00</t>
  </si>
  <si>
    <t>CONTRATACIÓN DE PERSONAL TÉCNICO EN FARMACIA PARA EL SERVICIO DE FARMACIA SEG. INF. Nº023-2019/GR.CU</t>
  </si>
  <si>
    <t>HANCCO HUAMANI NANCY GLADYS</t>
  </si>
  <si>
    <t>SERVICIO DE CONTRATACION DE TRANSPORTE DE RESIDUOS SOLIDOS SEGUN INF Nº014*2019-DRSC-HE-USA</t>
  </si>
  <si>
    <t>ECO METROPOLI SOCIEDAD COMERCIAL DE RESPONSABILIDAD LIMITADA - ECO METROPOLI S.R.L.</t>
  </si>
  <si>
    <t>POR EL SERVICIO DE ENERGIA ELECTRICA DEL MES MAYO SEG. INFORME Nº052-2019-GR-CUSCO/DRSC/U.E408/UM-HE</t>
  </si>
  <si>
    <t>14/06/2019 00:00:00</t>
  </si>
  <si>
    <t>17/06/2019 00:00:00</t>
  </si>
  <si>
    <t>25/06/2019 00:00:00</t>
  </si>
  <si>
    <t>CONTRATACION DE SERVICIO DE HOSTING Y DOMINIO PARA EL HOSPITAL DE ESPINAR SEG INFORME Nº026-2019/GR.</t>
  </si>
  <si>
    <t>PHSPERU.COM S.A.C.</t>
  </si>
  <si>
    <t>02/07/2019 00:00:00</t>
  </si>
  <si>
    <t>PEDIDO DE SERVICIO DE REVISION TECNICA DE VEHICULOS</t>
  </si>
  <si>
    <t>CENTRO DE INSPECCIONES TÉCNICAS VEHICULARES DEL PERÚ S.A.C.</t>
  </si>
  <si>
    <t>04/07/2019 00:00:00</t>
  </si>
  <si>
    <t>05/07/2019 00:00:00</t>
  </si>
  <si>
    <t>SERVICIO DE ADQUISICION DE SEGURO OBLIGATORIO DE ACCIDENTES DE TRANSITO SOAT PARA LA AMBULANCIA</t>
  </si>
  <si>
    <t>09/07/2019 00:00:00</t>
  </si>
  <si>
    <t>PAGO DE SERVICIO DE ENERGIA ELECTRICA DEL HOSPITAL DE ESPINRA  MES JUNIO SEG INFORME Nº068-2019-GR-C</t>
  </si>
  <si>
    <t>SERVICIO DE FOTOCOPIADO PARA PROGRAMAS PRESU. Y SEDE ADMINI. DEL HOSPITAL DE ESPINAR</t>
  </si>
  <si>
    <t>22/07/2019 00:00:00</t>
  </si>
  <si>
    <t>PASAJE ECONOMICO DE CUSCO A LA CIUDAD DE LIMA IDA Y RETORNO</t>
  </si>
  <si>
    <t xml:space="preserve"> SKY AIRLINE PERU S.A.C.</t>
  </si>
  <si>
    <t>SERVICIO DE RECARGA DE EXTINTORES SEGUN INFORME Nº62-2019-GR-CUSCO/DRSC/UE.408/UM-HE</t>
  </si>
  <si>
    <t>EXTINGPYROS E.I.R.L.</t>
  </si>
  <si>
    <t>CONTRATACION DE SERVICIO DE REFRIGERIO Y ALMUERZOS PARA PROGRAMAS PRESUPUESTALES SEGUN INF Nº02-DIRE</t>
  </si>
  <si>
    <t>QUIMPES MAMANI FRANKLIN EDER</t>
  </si>
  <si>
    <t xml:space="preserve"> CONTRATACION DE TEC. INFORMATICO DE ASISTENCIA EN MONITOREO, ANALISIS Y PROC. SEGUN INF N°  01-2019</t>
  </si>
  <si>
    <t>06/08/2019 00:00:00</t>
  </si>
  <si>
    <t>SERVICIO DE ENERGIA ELECTRICA DEL MES DE JULIO SEG INN Nº 093-2019/GR.CUSCO/DRSC/UE.408/UM-HE</t>
  </si>
  <si>
    <t>SERVICIO DE CONTRATACION DE INTERNET INALAMBRICO PORTATIL (MODEN) SEG. CONTRATO Nº014-2019-GR.CUSCO</t>
  </si>
  <si>
    <t>23/08/2019 00:00:00</t>
  </si>
  <si>
    <t>MANTENIMIENTO CORRECTIVO DE COCINA A GAS INDUSTRIAL SEGUN INF Nº 063-2019-GR-CUSCO/DRSC</t>
  </si>
  <si>
    <t>MULTISERVICIOS CHETO-PILLCO ROJAS FLORA</t>
  </si>
  <si>
    <t>MANTENIMIENTO CORRECTIVO DE ESTERILIZADOR DE CALOR SECO SEGUN INF Nº082-2019-GR-CUSCO/DRSC/U.E.408/U</t>
  </si>
  <si>
    <t>MANTENIMIENTO CORRECTIVO DE BOMBA DE INFUSION SEGUN INF Nº081-2019-GR-CUSCO/DRSC/U.E.408/UM-HE</t>
  </si>
  <si>
    <t>MANTENIMIENTO CORRECTIVO DE ELECTROCARDIOGRAFO SEGUN INF Nº079-2019GR-CUSCO/DRSC/U.408/UM-H</t>
  </si>
  <si>
    <t>MANTENIIENTO PREVENTIVO DE UNIDAD DENTAL SEGUN INF Nº078-2019-GR-CUSCO/DRSC/U.E408/UE-HE.</t>
  </si>
  <si>
    <t>MANTENIMIENTO PREVENTIVO DE CUNA DE CALOR RADIANTE SEGUN INF Nº077-2019-GR-CUSCO/DRSC/U.E408/UE-HE.</t>
  </si>
  <si>
    <t>MANTENIMIENTO PREVENTIVO DE ECOGRAFO MULTIPROPOSITO SEGUN INF Nº 072-2019-GR-CUSCO/DRSC</t>
  </si>
  <si>
    <t>REPRESENTACIONES BIO MEDICA SERVIS SOCIEDAD COMERCIAL DE RESPONSABILIDAD LIMITADA</t>
  </si>
  <si>
    <t>MANTENIMIENTO PREVENTIVO DE EQUIPOS DE LABORATORIO SEGUN INF Nº075-2019/GR-CUSCO/DRSC/U.E.408/UM-HE</t>
  </si>
  <si>
    <t>CONTRATACION DE TECNICO EN INFORMATICA (DIGITADOR) PARA LA UNIDAD SEGUROS SEG INF Nº-99-2019-GR-CUSC</t>
  </si>
  <si>
    <t>DEYSI MARIA ZAYRA CALIZAYA</t>
  </si>
  <si>
    <t>04/09/2019 00:00:00</t>
  </si>
  <si>
    <t>05/09/2019 00:00:00</t>
  </si>
  <si>
    <t>PASAJE ECONOMICO</t>
  </si>
  <si>
    <t>SERVICIO DE ENERGIA ELECTRICO DEL MES AGOSTO SEGUN INFORME Nº0119-2019-GR-CUSCO/DRSC/U.E408/UM-</t>
  </si>
  <si>
    <t>16/09/2019 00:00:00</t>
  </si>
  <si>
    <t>SERVICIO DE CONTRATACIÓN DE SEGURIDAD Y VIGILANCIA PARA LA U.E.408 H.E. SEGÚN INF Nº005-2019-GR-CUSC</t>
  </si>
  <si>
    <t>VIGILANCIA Y SEGURIDAD MAGISTRAL S.A.C.</t>
  </si>
  <si>
    <t>CONTRATACIÓN DE SERVICIOS POR TERCEROS PARA LA LECTURA DE LÁMINAS DE PAPANICOLAO SEG. INF Nº012-2019</t>
  </si>
  <si>
    <t>CANTU SUCLLY CESAR GRIMALDO</t>
  </si>
  <si>
    <t>SERVICIO DE MANTENIMIENTO CORRECTIVO DE INSUFLADOR DE CO2 SEGUN INF Nº 0111-2019/GR-CUSCO/DRSC/U.E.4</t>
  </si>
  <si>
    <t xml:space="preserve"> VISION Y TECNOLOGIA E.I.R.L.</t>
  </si>
  <si>
    <t>SERVICIO DE MANTENIMIENTO PREVENTIVO  DE EQUIPO DE LAPAROSCOPIA SEG INF Nº0108-GR-CUSCO/DRSC/U.E408/</t>
  </si>
  <si>
    <t>SERVICIO DE DIFUSION SPOTS RADIALES PARA PROGRAMAS PRES. SEGUN INF Nº0019-DIRESA-CUSCO/408/UE./C.PP-</t>
  </si>
  <si>
    <t>RADIO CADENA SUR DE SOTO OLARTE ZENEIDA</t>
  </si>
  <si>
    <t>02/10/2019 00:00:00</t>
  </si>
  <si>
    <t>RADIO LARAMANI DE QUISPE UMASI ROSALIA</t>
  </si>
  <si>
    <t>RADIO ESPINAR DE TACO QUISPE MARCELINO</t>
  </si>
  <si>
    <t>RADIO SOLAR DE CHACCA CHOQUE NARCISO</t>
  </si>
  <si>
    <t>MANTENIMIENTO PREVENTIVO DE EQUIPOS DE EMERGENCIA SEGUN INF Nº078-2019-GR-CUSCO/DRSC/U.E408/UE-HE</t>
  </si>
  <si>
    <t>03/10/2019 00:00:00</t>
  </si>
  <si>
    <t>MANTENIMIENTO PREVENTIVO DE CONGELADORAS SEGUN INF Nº 070-2019-GR-CUSCO/DRSC</t>
  </si>
  <si>
    <t>MANTENIMIENTO PREVENTIVO DE ESTERILIZADOR DE CALOR SECO E INCUBADORA DE LABORATORIO SEG INF Nº073-</t>
  </si>
  <si>
    <t>SERVICIO DE ENERGIA ELECTRICA PARA EL MES DE SETIEMBRE  SEGUN INFORME Nº 0134-2019-GR-CUSCO/DRSC/U.E</t>
  </si>
  <si>
    <t>18/10/2019 00:00:00</t>
  </si>
  <si>
    <t>CONTRATACION DE ACONDICIONAMIENTO  DE AMBIENTE  PARA EL PROG. EL TBC SEGUN INFORME Nº009-2019/DIRESA</t>
  </si>
  <si>
    <t>23/10/2019 00:00:00</t>
  </si>
  <si>
    <t>SERVICIO DE ACONDICIONAMIENTO DE TECHO DEL SERVICIO DE TRANSPORTES SEGUN INF Nº 0105-2019-G.R.CUSCO</t>
  </si>
  <si>
    <t>ECOPSA HABEL S.A.C.</t>
  </si>
  <si>
    <t>SERVICIO DE CONTRATACION DE MEDICO INTERNISTA SEGUN INFORME N°027   /HE/GRCUSCO/DRSC-HE-P.P.N.T</t>
  </si>
  <si>
    <t>SERVICIO DE MANTENIMIENTO CORRECTIVO DE AMBULANCIA DE PLACA EUD-011 SEGUN INF Nº 080-2019-GR-CUSCO/D</t>
  </si>
  <si>
    <t>HS TALLERES S.R.L.</t>
  </si>
  <si>
    <t>25/10/2019 00:00:00</t>
  </si>
  <si>
    <t>MANTENIMIENTO CORRECTIVO DE TECHO DE POLICARBONATO DEL SERVICIO DE EMERGENCIA SEGUN INF Nº 105-2019</t>
  </si>
  <si>
    <t>SERVICIOD GENERALES GARCIA-GARCIA HUAMANI ELISEO</t>
  </si>
  <si>
    <t>SERVICIO DE REPARACION DE PISO DE MODULO PREFABRICADO DEL CONSULTORIO DE NIÑO SANO SEGUN INF Nº 109-</t>
  </si>
  <si>
    <t>SERVICIO DE MANTENIMIENTO PREVENTIVO DE EQUIPO DE RAYOS X SEGUN INF Nº 114-2019-GR-CUSCO</t>
  </si>
  <si>
    <t>PASAJE ECONOMICO  SEGUN MEMORANDUN Nº412-2019/GR-CUSCO/DRCS</t>
  </si>
  <si>
    <t>SERVICIO DE ENEREGIA ELECTRICA DEL MES DE OCTUBRE SEGUN INFORME Nº165-2019-GR-CUSCO/DRSC/U.E</t>
  </si>
  <si>
    <t>CONTRATACION DE SERVICIO ESPECIALIZADO EN  OBSTETRICIA PARA EL SERV. HOSP. DE GINECO SEG INF Nº83-</t>
  </si>
  <si>
    <t>MAMANI APAZA ANA LUZ</t>
  </si>
  <si>
    <t>FLORES MAMANI JAQUELINE ESTELA</t>
  </si>
  <si>
    <t>CONTRATACION DE SERVICIO ESPECIALIZADO EN ENFERMERIA PARA CONS NIÑO SANO SEGU INF Nº063-2019</t>
  </si>
  <si>
    <t>TORRES BARRAGAN SILVIA</t>
  </si>
  <si>
    <t>CHACON CHISE MARY ELIZABETH</t>
  </si>
  <si>
    <t>SERVICIO DE CONTR. DE MED. ANESTESIOLOGO PARA CIRUGIA  INFORME NRO 88 -2019/GRCUSCO/DRSC/UE408;HE/G</t>
  </si>
  <si>
    <t>LAVILLA ZUNIGA MIDWUAR</t>
  </si>
  <si>
    <t>SERV  DE CONTRATACIÓN DE MÉDICO AUDITOR  PARA CONTROL DE CALIDAD EN AUDITORÍA SEG INF Nº171-2019-G.R</t>
  </si>
  <si>
    <t>SUCSO CONDORI SHEYLA GABRIELA DEL CARMEN</t>
  </si>
  <si>
    <t>REQUERIMIENTO DE CONTRATACIÓN DE UN TÉCNICO(A) EN ENFERMERÍA PARA UNIDAD DE SEGUROS, SEG INF Nº0170-</t>
  </si>
  <si>
    <t>TINTAYA LEANDRO CARMEN ELIZABETH</t>
  </si>
  <si>
    <t xml:space="preserve"> CONTRATACIÓN DE PERSONAL DE TEC. EN FARMACIA  DE SERVICIOS PARA SERVICIO DE FARMACIA SEG INF Nº112-</t>
  </si>
  <si>
    <t>PAUCCARA HUAMANI JULIANA</t>
  </si>
  <si>
    <t>SERVICIO DE CONTRATACION DE OBSTETRA PARA GINECO OBSTETRICIA SEGUN INF Nº 95-2019/GR-CUSCO/DRSC/UE40</t>
  </si>
  <si>
    <t>CAMA YAPO LYS DIANA</t>
  </si>
  <si>
    <t>CONTRATACION DE PROFESIONALES LICENCIADAS EN ENFERMERIA PARA PAN SEGUN INF Nº 072-2019/GR-CUSCO/DRSC</t>
  </si>
  <si>
    <t>ROMERO JACHA ISABEL</t>
  </si>
  <si>
    <t>SERVICIO DE MANTENIMIENTO PREVENTIVO  DE AMBULANCIA MERCEDEZ BENZ EUF-413 SEGUN INF Nº 164-2019-G.R.</t>
  </si>
  <si>
    <t>DIVECENTER S.A.C.</t>
  </si>
  <si>
    <t>SERVICIO DE ADQUI DE SEGURO OBLIGATORIO DE ACCIDENTES DE TRANSITO PARA LA CAMIONETA SEG INF N 042-20</t>
  </si>
  <si>
    <t>09/12/2019 00:00:00</t>
  </si>
  <si>
    <t>SERVICIO DE ENERGEIA ELECTRICA CORRESPONDIENTE AL MES DE NOVIEMBRE SEG INF Nº200-2019-GR-CUSCO</t>
  </si>
  <si>
    <t>10/12/2019 00:00:00</t>
  </si>
  <si>
    <t>SERVICIO DE  CONTRATACIÓN DE DIGITADOR POR LOCACIÓN DE SERVICIOS PARA UNIDAD DE SEGUN INF Nº 169-201</t>
  </si>
  <si>
    <t>IMATA ZEVALLOS JHON CARLOS</t>
  </si>
  <si>
    <t>MANTENIMIENTO CORRECTIVO DE AMBULANCIA KIT DE EMBRAGUE SEGUN INF Nº 182-2019-GR-CUSCO</t>
  </si>
  <si>
    <t>SERVICIO DE CONTRATACION DE INTERNET PARA EL HOSPITAL DE ESPINAR SEGUN INF Nº 080-GR.CUSCO/DR</t>
  </si>
  <si>
    <t>SERVICIO DE ACONDICIONAMIENTO DE CONSULTORIO DE TBC SEGUN  INFORME Nº41 -  DIRESA-CUSCO/408-H.E./C-P</t>
  </si>
  <si>
    <t>CONTRATACION DE PERSONAL OBSTETRA PARA EMERGENCIA  A PARTIR DELINFORME 11-2019/GR CUSCO/DRSC/UE</t>
  </si>
  <si>
    <t>ABANTO BRICEÑO CESAR ANTONIO</t>
  </si>
  <si>
    <t>SEGURO CONTRA TODO ACCIDENTE DE AMBULANCIA DE PLACA EUF-413 SEGUN INF Nº170-2019-GR-CUSCO</t>
  </si>
  <si>
    <t>SERVICIO DE ENERGIA ELECATRICA DEL MES DE DICIEMBRE DEL 2019 SEGUN INF Nº210-2019-GR-CUSCO</t>
  </si>
  <si>
    <t>SERVICIO DE INTENET INALAMBRICO MODEM SEGUN CONTRATO Nº 14-2019</t>
  </si>
  <si>
    <t>ACONDICIONAMIENTO DE ESTRUCTURA DE ALMACENAMIENTO DE DESECHOS HOSPITALARIOS SEG INF Nº 184-2019</t>
  </si>
  <si>
    <t>SERVICO DE CONTRTACION DE TELEFONIA RPM SEGUN INFORME Nº 20-2019</t>
  </si>
  <si>
    <t xml:space="preserve"> DE CONTRATACIÓN DE DIGITADOR POR LOCACIÓN DE SERVICIOS PARA UNIDAD DE SEGUROS SEGUN INF Nº 169-2019</t>
  </si>
  <si>
    <t>30/12/2019 00:00:00</t>
  </si>
  <si>
    <t>SERVICIO DE ATENCION DE ALMUERSOS Y REFRIGERIOS SEGUN INF Nº 002-2019-DIRESA</t>
  </si>
  <si>
    <t>REQUERIMIENTO DEOXIGENO MEDICINAL DE ACUERDO A INFORME N° 13-2020GR CUSCO/DRSC/U.E 408-HE/SF</t>
  </si>
  <si>
    <t>03/03/2020 00:00:00</t>
  </si>
  <si>
    <t>ADQUI DE ALIMENTOS(VERDURAS Y FRUTAS)PARA EL HOSPITAL DE ESPINAR AREA DE NUTRICION SEG INF Nº14-2020</t>
  </si>
  <si>
    <t>18/03/2020 00:00:00</t>
  </si>
  <si>
    <t>ADQUI. DE ALIMENTOS CARNICOS DEL SERVICIO DE NUTRICION DEL HOSPITAL DE ESPINAR SEGUN INF Nº 015-2020</t>
  </si>
  <si>
    <t>24/03/2020 00:00:00</t>
  </si>
  <si>
    <t>ADQUI DE ALIMENTOS(VERDURAS Y FRUTAS)PARA EL HOSPITAL DE ESPINAR AREA DE NUTRICION SEG INF Nº13-2020</t>
  </si>
  <si>
    <t>26/03/2020 00:00:00</t>
  </si>
  <si>
    <t>ADQUI DE ALIMENTOS NO PERECIBL(SECOS)PARA EL HOSPITAL DE ESPINAR AREA DE NUTRICION SEG INF Nº14-2020</t>
  </si>
  <si>
    <t>ADQUISICIÓN DE PAN INDIVIDUAL PARA EL PACIENTE HOSPITALIZADO DEL HOSPITAL ESPINAR, SEG INF Nº20-2020</t>
  </si>
  <si>
    <t>31/03/2020 00:00:00</t>
  </si>
  <si>
    <t>01/04/2020 00:00:00</t>
  </si>
  <si>
    <t>ADQUI DE GAS PROPANO  X 45 KG PARA EL HOSPITAL DE ESPINAR SEGUN INF Nº 021 Y INF Nº011-2020/GR.CUSCO</t>
  </si>
  <si>
    <t>SERVICIOS Y DISTRIBUCIONES LOGISTICA CHOQQUECHAMPI SOCIEDAD ANONIMA CERRADA</t>
  </si>
  <si>
    <t>03/04/2020 00:00:00</t>
  </si>
  <si>
    <t>08/04/2020 00:00:00</t>
  </si>
  <si>
    <t>ADQUSICION DE  DE EPP (MADIL  QUIRURGICO)  SEGÚN INFORME 0041 -2020 DEL SERVICIO DE FARMACIA PARA LA ATENCIÓN DE COVID-19</t>
  </si>
  <si>
    <t>DROGUERIA FAVETEX S.A.C.</t>
  </si>
  <si>
    <t>ADQUISICION  DE EPP (GUANTE QUIRURGICO) PARA PANDEMIA DE COVID-19 SEGUN INFORME N°44 -2020 DEL SERVICIO DE FARMACI</t>
  </si>
  <si>
    <t>ADQUISICION DE EPP ( GORRO DESCARTABLE) PARA ATENCIÓN DE PANDEMIA COVID 19  DE ACUERDO A INFORME N°0042-2020 DEL SERVICIO DE FARMACIA</t>
  </si>
  <si>
    <t>REQUERIMIENTO DE EPP PARA PANDEMIA COVID -2019 SEGUN INFORME 0046 -2020 DEL SERVIICIO DE FARMAC</t>
  </si>
  <si>
    <t>B&amp;M INVERSIONES -BORDA MORA KAROLL</t>
  </si>
  <si>
    <t>REQUERIMIENTO DE EPP PARA ATENCIÓN DE PANDEMIA DE ACUERDO A REQUERIMIENTO 0043-2020 DEL SERVICI</t>
  </si>
  <si>
    <t>23/04/2020 00:00:00</t>
  </si>
  <si>
    <t>REQUERIMIENTO DE EPP PARA PANDEMIA COVID-2019 SEGÚN INFORME N°0045-2020 DEL SERVICIO DE FARMACI</t>
  </si>
  <si>
    <t>24/04/2020 00:00:00</t>
  </si>
  <si>
    <t>ADQUI DE EPP SEGÚN INFORME N° 0040-2020 DEL SERVICIO DE FARMACIA, PARA LA ATENCIÓN DE COVID 19</t>
  </si>
  <si>
    <t>04/05/2020 00:00:00</t>
  </si>
  <si>
    <t>ADQUI DE TARJETA DE CONTROL PARA MONITOR MULTIPARAMETRO SEGUN INF Nº0035-2020-GR-CUSCO</t>
  </si>
  <si>
    <t>ADQUISICION DE INSUMOS PARA EL SERVICIO DE FARMACIA SEGUN INF Nº 135-2019/GR.CUSCO</t>
  </si>
  <si>
    <t>13/05/2020 00:00:00</t>
  </si>
  <si>
    <t>25/05/2020 00:00:00</t>
  </si>
  <si>
    <t>ADQUISICION DE FORMATERIA SEGUN CUADRO COMPARATIVO Nº30-2020 DE DIFE. AREAS DE U.E408 HE</t>
  </si>
  <si>
    <t>28/05/2020 00:00:00</t>
  </si>
  <si>
    <t>01/06/2020 00:00:00</t>
  </si>
  <si>
    <t>ADQUI DE OXIGENO MEDICINAL PARA LAS DIFERENTES SERVICIOS DEL HOSPITAL SEGÚN INFORME N°052-2020</t>
  </si>
  <si>
    <t>09/06/2020 00:00:00</t>
  </si>
  <si>
    <t>ADQUI DE NEUMATICOS PARA AREA DE MANTE. MED. PERU COMPRAS SEGUN INF Nº 25-2020-GR-CUSCO/DRSC</t>
  </si>
  <si>
    <t>IMPORTACIONES JORDANO E.I.R.L.</t>
  </si>
  <si>
    <t>ADQUI DE PAPEL CONTINUO  MED. PERU COMPRAS  SEGUN INF Nº 023-2020/MINSA PARA AREA DE REMUNERACIONES</t>
  </si>
  <si>
    <t>OGAMIG S.A.C.</t>
  </si>
  <si>
    <t>ADQUI. DE BOLSAS DE POLIETILENO PARA SERV. GENERALES Y INTE. SANTARIA SEGUN INF N038 E INF 21-2020</t>
  </si>
  <si>
    <t>12/06/2020 00:00:00</t>
  </si>
  <si>
    <t>ADQUI. DE BOLETAD DE PAGO PARA  AREA DE REMUNERACIONES SEGUN INF Nº 23-2020/MINSA</t>
  </si>
  <si>
    <t>16/06/2020 00:00:00</t>
  </si>
  <si>
    <t>ADQUISICION DE EPP MEDIANTE COMPRA CORPORATIVA  DE MODALIDAD CONTRA. DIRECTA SEGUN INF Nº084-2020/GR.CUS</t>
  </si>
  <si>
    <t>CONTRATCION DIRECTA</t>
  </si>
  <si>
    <t>CORPORACION MEDICAL BERTH'S S.A.C.</t>
  </si>
  <si>
    <t>17/06/2020 00:00:00</t>
  </si>
  <si>
    <t>ADQUISICION DE EPP MEDIANTE COMPRA REGIONAL DE MODALIDAD CONTRA. DIRECTA SEGUN INF Nº084-2020/GR.CUS</t>
  </si>
  <si>
    <t>CORSA PERÚ DISTRIBUIDOR Y DROG DE CORONADO SAAVEDRA MARGOT PAMELA</t>
  </si>
  <si>
    <t>25/06/2020 00:00:00</t>
  </si>
  <si>
    <t>30/06/2020 00:00:00</t>
  </si>
  <si>
    <t>01/07/2020 00:00:00</t>
  </si>
  <si>
    <t>ADQUI DE EQUIPOS DE PROTECCIÓN PERSONAL EPP DE ACUERDO   COMPRA CORPORATIVA  SEG INF  N° 93-2020/GR</t>
  </si>
  <si>
    <t>15/07/2020 00:00:00</t>
  </si>
  <si>
    <t xml:space="preserve"> OSIR INGENIERIA CONSTRUCCIONES E.I.R.L</t>
  </si>
  <si>
    <t>ADQUI DE PAPELERIA Y CARTONES  EN GENERAL PARA LA U.E. 408 HOSPITAL DE ESPINAR SEGUN INF Nº026-2020</t>
  </si>
  <si>
    <t>17/07/2020 00:00:00</t>
  </si>
  <si>
    <t>ADQUI. DE TONER Y CINTA DE IMPRESION PARA EL HOSPITAL DE ESPINAR SEG. INF 027-2020/ Y INF Nº052-2020</t>
  </si>
  <si>
    <t>APC SUMINISTROS S.A.C.</t>
  </si>
  <si>
    <t>30/07/2020 00:00:00</t>
  </si>
  <si>
    <t>03/08/2020 00:00:00</t>
  </si>
  <si>
    <t>06/08/2020 00:00:00</t>
  </si>
  <si>
    <t>ADQUISICION DE INSTRUMENTAL MEDICO PARA SERV DE  HOSPI DE GINECOOBSTETRICIA SEGUN INF Nº092-2020</t>
  </si>
  <si>
    <t>18/08/2020 00:00:00</t>
  </si>
  <si>
    <t>ADQUIS DE SUMINITROS DE REACITVO  DE LABORATORIO SEGUN INF Nº 88-2020/UPSSPC/HE/U.E.408/DRSC</t>
  </si>
  <si>
    <t>PERUVIA MEDICA S.A.C.</t>
  </si>
  <si>
    <t>ADQUI DE EPP - COVID MAMELUCO DE ACUERDO AL INFORME N° 112- 2020/GR CUSCO/DRSC/U.E. 408 - H.E</t>
  </si>
  <si>
    <t>PUYE SOCIEDAD ANONIMA CERRADA</t>
  </si>
  <si>
    <t>ADQUISICION DE EPP  COVID MASCARILLA DESCARTABLE TIPO N 95 DE ACUERDO AL INFORME N° 109 - 2020/GR CU</t>
  </si>
  <si>
    <t>ADQUI  DE PAPEL TOALLA  INTERDOBLADO PARA AMBIENTES DIFERENCIADO DE COVID  SEGUN INF Nº 048-2020-GR-</t>
  </si>
  <si>
    <t>TECNICA SOCIEDAD ANONIMA  CERRADA</t>
  </si>
  <si>
    <t>27/08/2020 00:00:00</t>
  </si>
  <si>
    <t>ADQUI DE DESINFECTANTE AMONI CUATERNARIO PARA SERVICIO GENERALES DEL COVID SEGUN INF Nº048-2020-GR</t>
  </si>
  <si>
    <t>DISTRIBUCIONES Y SERVICIOS CHEM E.I.R.L.</t>
  </si>
  <si>
    <t>31/08/2020 00:00:00</t>
  </si>
  <si>
    <t>01/09/2020 00:00:00</t>
  </si>
  <si>
    <t>POR LA ADQUISICION DE BOLSAS PARA CADAVER POR COVID SEGUN INFORME  N° 02-2020 GR- CUSCO/UE 408</t>
  </si>
  <si>
    <t>04/09/2020 00:00:00</t>
  </si>
  <si>
    <t>ADQUISICION DE KIT DE EMBRAGUE-REPUESTOAS PARA CAMIONETA NISSAN FRONTIER NP300</t>
  </si>
  <si>
    <t>HILARIO AQUIMA JELBER LUIS</t>
  </si>
  <si>
    <t xml:space="preserve"> ADQ. DE UTILES DE ESCRITORIO, SEGUN INFORME Nº 052-2020-GR E INFORME Nº 024-2020</t>
  </si>
  <si>
    <t>MASS COMPUTER S.R.L.</t>
  </si>
  <si>
    <t>COMERCIAL JOERDAK EMPRESA INDIVIDUAL DE RESPONSABILIDAD LIMITADA</t>
  </si>
  <si>
    <t>OFFICMAS EIRL</t>
  </si>
  <si>
    <t>ADQUI DE VESTUARIO PARA EL PERSONA DE SERVICIOS GENERALES SEGUN INFORME N° 027  - 2020 - D</t>
  </si>
  <si>
    <t>ADQUISICION DE TEXTILES Y ACABADOS TEXTILES PARA UNIFORME DEL PERSONAL ADMINISTRATIVO Y ASISTEN</t>
  </si>
  <si>
    <t>28/09/2020 00:00:00</t>
  </si>
  <si>
    <t>POR EL SERVICIO DE SEGURIDAD Y VIGILANCIA  PARA EL HOSPITAL DE ESPINAR SEGUN CONTRATO Nº037-201</t>
  </si>
  <si>
    <t>11/02/2020 00:00:00</t>
  </si>
  <si>
    <t>12/02/2020 00:00:00</t>
  </si>
  <si>
    <t>POR EL SERVICIO DE TRAN. DE RESIDUOS HOSPITALARIOS SEGUN INFORME Nº 001-2020-DRSC-HE-USA</t>
  </si>
  <si>
    <t>17/02/2020 00:00:00</t>
  </si>
  <si>
    <t>CONTRATACION DE SERVICIO DE RMP ANUAL  SEGUN INF Nº 010 -2020/GR.CUSCO/DRSC/UE408/UL-HE</t>
  </si>
  <si>
    <t>CONTRATACION DE SERVICIO DE INTERNET SEGUN INF Nº003-2020/GR-CUSCO/DRSC/HE/INF</t>
  </si>
  <si>
    <t>02/03/2020 00:00:00</t>
  </si>
  <si>
    <t>SERV DE MANTENIMIENTO PREVENTIVO DE CAMIONETA DE PLACA V9F-920 SEGUN CONTRATO Nº20-2019</t>
  </si>
  <si>
    <t>SERVICIO DE ENERGIA ELECTRICA DEL MES DE FEBRERO DEL 2020 SEGUN INF Nº 21-2020-GR-CUSCO</t>
  </si>
  <si>
    <t>06/03/2020 00:00:00</t>
  </si>
  <si>
    <t>SERVICIO DE MANTENIMIENTO PREVENTIVO DE AMBULANCIA DE PLACA EUF-413 SEGUN INF Nº 02-2020-GR-CUSCO</t>
  </si>
  <si>
    <t>12/03/2020 00:00:00</t>
  </si>
  <si>
    <t>SERVICIO DE TRANSPORTE PARA EL TRASLALDO DE MEDICAMENTOS, INSUMOS Y DESINFECTANTES SEG INF Nº 023-GR</t>
  </si>
  <si>
    <t>MOLLAPAZA GUTIERREZ OLGER</t>
  </si>
  <si>
    <t>30/03/2020 00:00:00</t>
  </si>
  <si>
    <t>13/04/2020 00:00:00</t>
  </si>
  <si>
    <t>SERVICIO DE ENERGIA ELECTRICA DEL MES DE MARZO DEL 2020 SEG INF Nº0041-2020-GR-CUSCO</t>
  </si>
  <si>
    <t>SERVICIO DE TEC EN FARMACIA DE ACUERDO AL INFORME N° 0017-2020/GR CUSCO/DRSC/U.E 408-HE/SF.</t>
  </si>
  <si>
    <t>QQUEHUE HUAMANI JESSICA</t>
  </si>
  <si>
    <t>SERVICIO DE MANTENIMIENTO CORRECTIVO DE SISTEMA DE BOMBEO DE AGUA SEGUN INF Nº037-2020</t>
  </si>
  <si>
    <t>EFFORT INGENIEROS S.R.L.</t>
  </si>
  <si>
    <t>05/05/2020 00:00:00</t>
  </si>
  <si>
    <t>CONTRA DE SERV DE MANTE PREVENTIVO DE CAMIONETA NISSAN SEG INF Nº 018-2020-GR-CUSCO</t>
  </si>
  <si>
    <t>07/05/2020 00:00:00</t>
  </si>
  <si>
    <t>12/05/2020 00:00:00</t>
  </si>
  <si>
    <t>14/05/2020 00:00:00</t>
  </si>
  <si>
    <t>SERVICIO DE ENERGIA ELECTRICA DEL MES DE ABRIL SEGUN INFORME Nº 057-2020-GR-CUSCO/DRSC</t>
  </si>
  <si>
    <t>18/05/2020 00:00:00</t>
  </si>
  <si>
    <t>CONTRATACIÓN DE SERVICIO DE INTERNET MOVIL, PARA LA AREA ADM DE HOSPITAL DE ESPINAR SEG CONTRA Nº 14</t>
  </si>
  <si>
    <t>05/06/2020 00:00:00</t>
  </si>
  <si>
    <t>CONTRATACION DEL SERVICIO DE HOSTING Y DOMINIO PARA U.E. 408 HOSPITAL DE ESPINAR SEG INF Nº 011-2020</t>
  </si>
  <si>
    <t>SER. DE CONTRATACION DE VIGILANCIA PARA RESGUARDAR LOS BIENES PATRIMONIALES SEG CONTRATO COM Nº001-2</t>
  </si>
  <si>
    <t>SERVICIO DE ENERGIA ELECTRICA DEL MES DE MAYO SEGUN INF Nº073-2020/GR.CUSCO/DRSC/UE408/UM.HE</t>
  </si>
  <si>
    <t>23/06/2020 00:00:00</t>
  </si>
  <si>
    <t>SERV. DE CONTRATACION DE OBSTETRICIA  PARA U.E. 408 HE SEGUN INFORME Nº015-2020/SER/OBST/UE408-HE</t>
  </si>
  <si>
    <t>SAICO MOLLEAPAZA DANIELA MARIA</t>
  </si>
  <si>
    <t>14/07/2020 00:00:00</t>
  </si>
  <si>
    <t>SERVICIO DE CONTRATACIÓN DE  TÉCNICO EN NUTRICIÓN PARA EL SERVICIO DE NUTRICIÓN SEGUN INF Nº 062-202</t>
  </si>
  <si>
    <t>MORA CANAZAS ABEL RICARDO</t>
  </si>
  <si>
    <t>CONTRATACIÓN DE PERSONAL MÉDICO ESPECUIALIZADO EN ANESTESIOLOGÍA, SEGÚN EL INFORME NRO.0027- 20</t>
  </si>
  <si>
    <t>TAPIA SUCA JUAN BENANCIO</t>
  </si>
  <si>
    <t>27/07/2020 00:00:00</t>
  </si>
  <si>
    <t>SERVICIO DE CONTRATACION DE VIGILANCIA PARA RESGUARDAR LOS BIENES PATRIMONIALES SEG INF Nº038-2020/G</t>
  </si>
  <si>
    <t>12/08/2020 00:00:00</t>
  </si>
  <si>
    <t>CONTRA.  DE SERVICIO DE FOTOCOPIADO PARA LA UNIDAD DE LOGISTICA AREA DE ADQUICIONES SEG INF N22-2020</t>
  </si>
  <si>
    <t>SERVICIO DE ENERGIA ELECTRICA DE LOS MESES DE JUNIO Y JULIO SEGUN INF Nº097-2020-GR-CUSCO</t>
  </si>
  <si>
    <t>19/08/2020 00:00:00</t>
  </si>
  <si>
    <t>21/08/2020 00:00:00</t>
  </si>
  <si>
    <t>25/08/2020 00:00:00</t>
  </si>
  <si>
    <t xml:space="preserve"> SERVICIO DE ENERGIA ELECTRICA CORRESPONDIENTE AL MES DE AGOSTO SEGUN INF Nº109-2020-GR-CUSCO</t>
  </si>
  <si>
    <t>ACONDICIONAMIENTO DEL MODULO PREFABRICADO ADMINISTRATIVO PARA LA ATENCION DE PACIENTES COVID-19</t>
  </si>
  <si>
    <t>15/09/2020 00:00:00</t>
  </si>
  <si>
    <t>SERV. DE CONTRATACION DE MED. INTERNISTA PARA UE408-HE SEGUN INFORME Nº006-2020/SER</t>
  </si>
  <si>
    <t>24/09/2020 00:00:00</t>
  </si>
  <si>
    <t>MANTENIMIENTO CORRECTIVO DE AMBULANCIA TIPO II DE PLACA EUF-413 SEGUN INF Nº113-2020/GR-CUSCO</t>
  </si>
  <si>
    <t>CONTRATACION DE SERVICIO DE ENERGIA ELECTRICA  ANUAL</t>
  </si>
  <si>
    <t>CONTRATACION DE ALIMENTO PARA EL SERVICIO DE NUTRICION  ANUAL</t>
  </si>
  <si>
    <t>NO SE TIENE PROVVEDOR</t>
  </si>
  <si>
    <t>CONTRATACION DE SERVICIO DE INTERNET ANUAL</t>
  </si>
  <si>
    <t>CONTRATACION DE SERVICIO DE VIGILANCIA  ANUAL</t>
  </si>
  <si>
    <t>CONTRATACION DE RMP ANUAL</t>
  </si>
  <si>
    <t>CONTRATACION DE SERVICIO DE MANTENIMIENTO DE AMBULANCIA ANUAL</t>
  </si>
  <si>
    <t>1 CONTRATACION DE SERVICIO DE ESPECIALISTA MEDICOS PARA LA UE 409 HOSPITAL ALFREDO CALLO RODRIGUEZ</t>
  </si>
  <si>
    <t>AS-SM-1-2019-UE 409 HACR-1</t>
  </si>
  <si>
    <t>10239236401, servicio de especialista en anestesiologia, JUAN TAPIA SUCA. 10239651319, servicio de especialista medico internista, COYURI JUAN CARLOS. 10247101042 especialista medico en ginecologia, RONAL CONDORI.</t>
  </si>
  <si>
    <t>DURANTE EL AÑO 2019</t>
  </si>
  <si>
    <t>AÑO 2019</t>
  </si>
  <si>
    <t>2 CONTRATACION DE SERVICIO DE TRANSPORTE, TRASLADO Y DISPOSICIÓN FINAL DE RESIDUOS SÓLIDOS DE LA UE 409 HACR</t>
  </si>
  <si>
    <t>AS-SM-2-2019-UE 409 HACR-1</t>
  </si>
  <si>
    <t xml:space="preserve">20490436783, ECO METROPOLI SOCIEDAD COMERCIAL DE RESPONSABILIDAD
LIMITADA - ECO METROPOLI S.R.L </t>
  </si>
  <si>
    <t>3 ADQUISICION DE COMBUSTIBLE PARA LA UE 409 HACR</t>
  </si>
  <si>
    <t>SIE-SIE-1-2019-UE 409 HACR-1</t>
  </si>
  <si>
    <t>10294676282, CARPIO VARGAS FEDERICO ANTONIO</t>
  </si>
  <si>
    <t>4 ADQUISICION DE ALIMENTOS FRESCOS CARNES PARA EL SERVICIO DE NUTRICIÓN PARA UE 409 HACR</t>
  </si>
  <si>
    <t>AS-SM-6-2019-UE 409 HACR-1</t>
  </si>
  <si>
    <t>10251845714, CHALLCO LOAYZA DINA</t>
  </si>
  <si>
    <t>5 ADQUISICION DE INSUMOS DE LABARATORIO PARA LA UE 409 HACRS</t>
  </si>
  <si>
    <t>AS-SM-4-2019-UE 409 HACR-1</t>
  </si>
  <si>
    <t>20524800510, LAB &amp; HEALTH SUPPLY S.A.C</t>
  </si>
  <si>
    <t>6 ADQUISICION DE MATERIALES DE LIMPIEZA Y BOLSAS PLASTICAS PARA LA UE 409 HOSPITAL ALFREDO CALLO RODRIGUEZ</t>
  </si>
  <si>
    <t>AS-SM-7-2019-UE 409 HACR-1</t>
  </si>
  <si>
    <t>20498475052, PLASTICOS CONTINENTAL S.A.C</t>
  </si>
  <si>
    <t>7 ADQUISICION DE AMBULANCIA URBANA TIPO II PARA LA UE 409 HOSPITAL ALFREDO CALLO RODRIGUEZ</t>
  </si>
  <si>
    <t>AS-SM-8-2019-UE 409 HACR-1</t>
  </si>
  <si>
    <t>20392988565, CONVERSIONES SAN JOSE PERU S.A.C</t>
  </si>
  <si>
    <t>8 ADQUISICION DE MONITOR MULTIPARAMETRO DE 6 Y 5 PARÁMETROS PARA LA UE 409 HACR</t>
  </si>
  <si>
    <t>LP-SM-1-2019-UE 409 HACR-1</t>
  </si>
  <si>
    <t>20101337261, ROCA S.A.C</t>
  </si>
  <si>
    <t>9 ADQUISICION DE CORTE DE TELA PARA LA UE 409 HOSPITAL ALFREDO CALLO RODRIGUEZ</t>
  </si>
  <si>
    <t>AS-SM-12-2019-UE 409 HACR-1</t>
  </si>
  <si>
    <t>10246744039, TUPAYACHI QUISPE CIPRIANO</t>
  </si>
  <si>
    <t>10 SERVICIO DE MANTENIMIENTO CORRECTIVO DE EQUIPOS BIOMÉDICOS DE LA UE 409 HACR</t>
  </si>
  <si>
    <t>AS-SM-14-2019-UE 409 HACR-1</t>
  </si>
  <si>
    <t>20543935710, SOLUCIONES INTEGRALES EN BIOINGENIERIA S.A.C</t>
  </si>
  <si>
    <t>11 SERVICIO DE MANTENIMIENTO DE PREVENTIVO DE EQUIPOS BIOMEDICOS Y ELECTROMECANICOS DE LA UE 409 HOSPITAL ALFREDO CALLO RODRIGUEZ</t>
  </si>
  <si>
    <t>AS-SM-13-2019-UE 409 HACR-1</t>
  </si>
  <si>
    <t>12 ADQUISICION DE INSUMOS MEDICOS FARMACIA PARA LA UE 409 HOSPITAL ALFREDO CALLO RODRIGUEZ</t>
  </si>
  <si>
    <t xml:space="preserve"> AS-SM-1-2020-UE 409 HACR-1</t>
  </si>
  <si>
    <t xml:space="preserve">20448605893, ALMACENES FARMACEUTICOS SOCIEDAD ANONIMA CERRADA </t>
  </si>
  <si>
    <t>01-2020-HACR</t>
  </si>
  <si>
    <t>ENTREGADO</t>
  </si>
  <si>
    <t>AÑO 2020</t>
  </si>
  <si>
    <t>13 ADQUISICION DE OXIGENO MEDICINAL 99.5%</t>
  </si>
  <si>
    <t>AS-SM-2-2020-UE 409 HACR-1</t>
  </si>
  <si>
    <t>20527110531, REDICUSCO - OXIMEDIC</t>
  </si>
  <si>
    <t>02-2020-HACR</t>
  </si>
  <si>
    <t>DURANTE EL AÑO 2020</t>
  </si>
  <si>
    <t>14 CONTRATACIÓN DE SERVICIO DE RECOJO TRANSPORTE EXTERNO Y DISPOSICIÓN FINAL DE RESIDUOS SOLIDOS PELIGROSOS (BIOCONTAMINADOS Y ESPECIALES).</t>
  </si>
  <si>
    <t>AS-SM-3-2020-UE 409 HACR-1</t>
  </si>
  <si>
    <t xml:space="preserve">20511964653,SERVICIOS GENERALES MANTENIMIENTO 'HUANCHAQUITO' S.R.L. </t>
  </si>
  <si>
    <t>03-2020-HACR</t>
  </si>
  <si>
    <t>15 CONTRATACION DE SERVICIO DE ESPECIALISTAS MEDICOS</t>
  </si>
  <si>
    <t xml:space="preserve"> AS-SM-4-2020-UE 409 HACR-1</t>
  </si>
  <si>
    <t>10437522125 PARI CALLER CHARLYE GYORGY,10239651319 CCOYURI GONZALES JUAN CARLOS</t>
  </si>
  <si>
    <t>04-2020-HACR</t>
  </si>
  <si>
    <t>16 ADQUISICION DE COMBUSTIBLE</t>
  </si>
  <si>
    <t>SIE-SIE-1-2020-UE 409 HACR-1</t>
  </si>
  <si>
    <t>10294676282
CARPIO VARGAS FEDERICO ANTONIO</t>
  </si>
  <si>
    <t>05-2020-HACR</t>
  </si>
  <si>
    <t>17  ADQUISICION DE INSUMOS DE LABORATORIO PARA LA UE 409 HACR</t>
  </si>
  <si>
    <t>AS-SM-5-2020-UE 409 HACR-1</t>
  </si>
  <si>
    <t>06-2020-HACR</t>
  </si>
  <si>
    <t>18 CONTRATACION DE SERVICIO DE ESPECIALISTA MEDICOS PARA LA UE 409 HOSPITAL ALFREDO CALLO RODRIGUEZ</t>
  </si>
  <si>
    <t>19 CONTRATACION DE SERVICIO DE TRANSPORTE, TRASLADO Y DISPOSICIÓN FINAL DE RESIDUOS SÓLIDOS DE LA UE 409 HACR</t>
  </si>
  <si>
    <t>20  ADQUISICION DE COMBUSTIBLE PARA LA UE 409 HACR</t>
  </si>
  <si>
    <t>ADQUISICION DE INSUMOS DE LABARATORIO PARA LA UE 409 HACRS</t>
  </si>
  <si>
    <t>ADQUISICION DE INSUMOS DE FARMACIA PARA LA UE 409 HACRS</t>
  </si>
  <si>
    <t>SERVICIO DE MANTENIMIENTO CORRECTIVO DE EQUIPOS BIOMÉDICOS DE LA UE 409 HACR</t>
  </si>
  <si>
    <t>SERVICIO DE MANTENIMIENTO DE PREVENTIVO DE EQUIPOS BIOMEDICOS Y ELECTROMECANICOS DE LA UE 409 HOSPITAL ALFREDO CALLO RODRIGUEZ</t>
  </si>
  <si>
    <t xml:space="preserve"> ADQUISICION DE CORTE DE TELA PARA LA UE 409 HOSPITAL ALFREDO CALLO RODRIGUEZ</t>
  </si>
  <si>
    <t>1 - ADQUISICIÓN CARNE Y POLLO</t>
  </si>
  <si>
    <t>AS-SM-1-2019-CE/UE 410/LC-1</t>
  </si>
  <si>
    <t>20564141349 - INVERSIONES MAESLY EMPRESA INDIVIDUAL DE RESPONSABILIDAD LIMITADA</t>
  </si>
  <si>
    <t>2 - ADQUISICION DE VIVERES FRESCOS</t>
  </si>
  <si>
    <t>AS-SM-2-2019-CE/UE 410/LC-2</t>
  </si>
  <si>
    <t>10239691655 - DURAN LLANOS GABINA</t>
  </si>
  <si>
    <t>3 - CONTRATACIÓN DE ALIMENTOS NO PERECIBLES</t>
  </si>
  <si>
    <t>AS-SM-3-2019-CE/UE 410/LC-3</t>
  </si>
  <si>
    <t>CUSI ESPEJO OSCAR HUGO</t>
  </si>
  <si>
    <t>4 - ADQUISICION DE MONITOR MULTIPARAMETRO DE FUNCIONES VITALES PEDRIATICO NEONATAL PARA EL SERVICIO DE PEDRIATIA</t>
  </si>
  <si>
    <t>AS-SM-4-2019-CE/UE 410/LC-4</t>
  </si>
  <si>
    <t>20538597121 - DRAEGER PERU S.A.C.</t>
  </si>
  <si>
    <t>5 - ADQUISICION DE MONITOR MULTIPARAMETRO DE FUNCIONES VITALES DE 8 PARAMETROS PARA EL SERVICIO DE HOSPITALIZACION DEL SERVICIO DE MEDICINA DE LA UNIIDAD EJECUTORA 410 ¿ HOSPITAL QUILLABAMBA</t>
  </si>
  <si>
    <t>AS-SM-5-2019-CE/UE 410/LC-5</t>
  </si>
  <si>
    <t>6 - ADQUISICION DE VENTILADOR VOLUMETRICO PARA EL SERVICIO DE HOSPITALIZACION DEL SERVICIO DE MEDICINA DE LA UNIIDAD EJECUTORA 410 - HOSPITAL QUILLABAMBA</t>
  </si>
  <si>
    <t>AS-SM-6-2019-CE/UE 410/LC-6</t>
  </si>
  <si>
    <t>7 - ADQUISICION DE EQUIPO DE ANESTESIA CON SISTEMA DE MONITOREO RODABLE PARA EL CENTRO QUIRURGICO SALA DE OPERACIONES</t>
  </si>
  <si>
    <t>AS-SM-7-2019-CE/UE 410/LC-7</t>
  </si>
  <si>
    <t>8 - ADQUISICIÓN DE LAMPARA CIALITICA RODABLE PARA EL CENTRO QUIRÚRGICO SALA DE OPERACIONES DE LA UNIDAD EJECUTORA 410- HOSPITAL QUILLABAMBA</t>
  </si>
  <si>
    <t>AS-SM-8-2019-CE/UE 410/LC-8</t>
  </si>
  <si>
    <t>9 - ADQUISICION DE LAMPARA DE ENDIDURA CON TONOMETRO DE APLANACION</t>
  </si>
  <si>
    <t>COMPRE-SM-1-2019-HQ-CEAH-1</t>
  </si>
  <si>
    <t xml:space="preserve"> JAEL INVERSIONES EMPRESA INDIVIDUAL DE RESPONSABILIDAD LIMITADA</t>
  </si>
  <si>
    <t>10 - ADQUISICIÓN DE INCUBADORA NEONATAL DE TRANSPORTE PARA EL SERVICIO DE NEONATOLOGIA</t>
  </si>
  <si>
    <t>COMPRE-SM-2-2019-CE-HQ/LC-1</t>
  </si>
  <si>
    <t>JAEL INVERSIONES EMPRESA INDIVIDUAL DE RESPONSABILIDAD LIMITADA</t>
  </si>
  <si>
    <t>11 - CONTRATACIÓN DE PRODUCTOS (NO PERECIBLES) PARA EL SERVICIO DE NUTRICION - HOSPITALIZACION, DE LA UNIDAD EJECUTORA 410 - HOSPITAL DE QUILLABAMBA</t>
  </si>
  <si>
    <t xml:space="preserve">SUBASTA INVERSA </t>
  </si>
  <si>
    <t>SIE-1-2019-CE-HQ/LC-1</t>
  </si>
  <si>
    <t>20491221446 - CONSORCIO ORION CUSCO S.R.L.</t>
  </si>
  <si>
    <t>12.- Asquisisicion de productos farmaceuticos abastecimieneto 2020-2021</t>
  </si>
  <si>
    <t>SIENº021-2018 CENARES MINSA</t>
  </si>
  <si>
    <t>CONSORCIO QUIMICA SUIZA SAC</t>
  </si>
  <si>
    <t>DISTRIBUIDORA DROGUERIA SAGITARIO SRL</t>
  </si>
  <si>
    <t>DROGUERIA INERSIONES JPS SAC</t>
  </si>
  <si>
    <t>FARMACEUTICA OTARVASQ S.A.C</t>
  </si>
  <si>
    <t>FARMINDUSTRIA S.A</t>
  </si>
  <si>
    <t>FRESENIUS KABI PERU S.A</t>
  </si>
  <si>
    <t>HERSIL S.A. LABORATORIOS INDUSTRIALES FARMACEUTIC OS</t>
  </si>
  <si>
    <t>INSTITUTO QUIMIOTERAPICO S.A</t>
  </si>
  <si>
    <t>JOBAL PHARMA E.I.R.L</t>
  </si>
  <si>
    <t>JOHN EDWARD GRAY CHICCHON</t>
  </si>
  <si>
    <t>JPS DISTRIBUCIONES E.I.RL.</t>
  </si>
  <si>
    <t>LABORAOTIROS AC FARMA SA</t>
  </si>
  <si>
    <t>LABORATOIOS PORTUGAL SRL</t>
  </si>
  <si>
    <t>LABORATORIOS AC FARMA S.A.</t>
  </si>
  <si>
    <t>LABORATORIOS AMERICANOS S.A.</t>
  </si>
  <si>
    <t>LABORATORIOS PORTUGAL SRL</t>
  </si>
  <si>
    <t>LABORATORIOS UNIDOS SA</t>
  </si>
  <si>
    <t>MEDIFARMA S.A</t>
  </si>
  <si>
    <t>MEOW SERVICES S.A.C</t>
  </si>
  <si>
    <t>MERCK PERUANA S.A.</t>
  </si>
  <si>
    <t>NORDIC PHARMACEUTICAL COMPAMY S.A.C</t>
  </si>
  <si>
    <t>PEREDA DISTRIBUCIONES SRL</t>
  </si>
  <si>
    <t>PHARMARIS PERU SAC</t>
  </si>
  <si>
    <t>PHARNACEUTICAL DISTOLOZA S.A</t>
  </si>
  <si>
    <t>ROKER PERU S.A</t>
  </si>
  <si>
    <t>SARMIENTO CCOSCCO AGRIPINO</t>
  </si>
  <si>
    <t>SEVEN PHARMA SAC</t>
  </si>
  <si>
    <t>SUN PHARMACEUTICAL INDUSTRIES S.A.C</t>
  </si>
  <si>
    <t>VITALIS PERU SAC</t>
  </si>
  <si>
    <t>ARGON PHARMA SAC</t>
  </si>
  <si>
    <t>CONTRACTUAL</t>
  </si>
  <si>
    <t xml:space="preserve">SEGUNDA CONVOCATORIA </t>
  </si>
  <si>
    <t>CORPORACION ALKAPHARMA SAC</t>
  </si>
  <si>
    <t>GLAXOSMITKLINE PERU S.A.</t>
  </si>
  <si>
    <t>JOBALPHARMA EIRL</t>
  </si>
  <si>
    <t>MEDIFARMA S.A.</t>
  </si>
  <si>
    <t>MEDIKA EXPRESS S.A.C</t>
  </si>
  <si>
    <t>12 - ADQUISICION DE PRODUCTOS FARMACEUTICOS - COMPRA CORPORATIVA ABASTECIMIENTO 2019-2020</t>
  </si>
  <si>
    <t>LP 014-2018-CENARES/MINSA</t>
  </si>
  <si>
    <t>20136961528 - PEREDA DISTRIBUIDORES SRL</t>
  </si>
  <si>
    <t>20255361695 - LABORATORIO AMERICANOS SA</t>
  </si>
  <si>
    <t>20109161609 - ROKER PERU SA</t>
  </si>
  <si>
    <t>20100018625 - MEDIFARMA SA</t>
  </si>
  <si>
    <t>1 - SUMINISTRO PRODUCTOS CÁRNICOS (CARNE DE RES Y CARNE DE POLLO) PARA EL SERVICIO DE NUTRICIÓN DE LA UNIDAD EJECUTORA 410 - HOSPITAL QUILLABAMBA</t>
  </si>
  <si>
    <t>ADJUDICACION  SIMPLIFICADA</t>
  </si>
  <si>
    <t>AS-SM-1-2020-CE/UE 410/LC-1</t>
  </si>
  <si>
    <t>10409589575 - PEÑA QUISPE MARCO ANTONIO</t>
  </si>
  <si>
    <t>EJECUCION CONTRACTUAL</t>
  </si>
  <si>
    <t>SUMINISTRO</t>
  </si>
  <si>
    <t>2 - SUMINISTRO DE ALIMENTOS NO PERECIBLES PARA EL SERVICIO DE NUTRICION DE LA UNIDAD EJECUTORA 410 ¿ HOSPITAL QUILLABAMBA</t>
  </si>
  <si>
    <t>AS-SM-2-2020-CE/UE 410/LC-2</t>
  </si>
  <si>
    <t>10443285259 - CUSI ESPEJO OSCAR HUGO</t>
  </si>
  <si>
    <t>3 - SUMINISTRO DE ALIMENTOS PERECIBLES PARA EL SERVICIO DE NUTRICION DE LA UNIDAD EJECUTORA 410 ¿ HOSPITAL QUILLABAMBA</t>
  </si>
  <si>
    <t>AS-SM-3-2020-CE/UE 410/LC-3</t>
  </si>
  <si>
    <t>4 - SUMINISTRO DE VÍVERES SECOS (ACEITE, ARROZ Y AZÚCAR), PARA EL SERVICIO DE NUTRICIÓN DE LA UNIDAD EJECUTORA 410 - HOSPITAL QUILLABAMBA</t>
  </si>
  <si>
    <t>SIE-1-2020-CE/UE.410-HQ/LC-1</t>
  </si>
  <si>
    <t>10249822847 - ESPEJO LIVANO DOMINGA MARILUZ</t>
  </si>
  <si>
    <t>5 - ADQUISICION DE MANDILES DESCARTABLES PARA PROTECCION CONTRA COVID-19 PARA EL PERSAONAL DE LA UE 410 - HOSPTAL DE QUILLABAMBA</t>
  </si>
  <si>
    <t>COMPRE-SM-1-2020-CE/UE 410/LC-1</t>
  </si>
  <si>
    <t>20601826870 - EQUIPOS Y MOBILIARIOS MEDICOS DEL PERU E.I.R.L.</t>
  </si>
  <si>
    <t>PROCESOS SELECCIÓN</t>
  </si>
  <si>
    <t>6.- Asquisisicion de productos farmaceuticos abastecimieneto 2020-2021</t>
  </si>
  <si>
    <t>LABORATORIOS AMERICANOS S.A</t>
  </si>
  <si>
    <t xml:space="preserve">JPS DISTRIBUCIONES EIRL </t>
  </si>
  <si>
    <t>7.- Asquisisicion de productos farmaceuticos abastecimieneto 2020-2021</t>
  </si>
  <si>
    <t>INSTITUTO QUIMIOTERAPICO SA</t>
  </si>
  <si>
    <t>8.-Adquisisicion de Dispositvos abastecimiento 2020-2021</t>
  </si>
  <si>
    <t>Subasta Inversa Electronica</t>
  </si>
  <si>
    <t>L&amp;M MEDICAL SUPPLIES SAC</t>
  </si>
  <si>
    <t>02/072020</t>
  </si>
  <si>
    <t>LABORATORIO TEXTILES LOS ROSALES SAC</t>
  </si>
  <si>
    <t>LABORATORIOS AMERICANOS SA</t>
  </si>
  <si>
    <t>NIPROMEDICAL CORPORATION SUCURSAL DEL PERU</t>
  </si>
  <si>
    <t>9.- Asquisisicion de productos farmaceuticos abastecimieneto 2020-2021</t>
  </si>
  <si>
    <t>CONSORCIO QUIMICA SUIZA</t>
  </si>
  <si>
    <t>DISTRIBUIDORA SEOGUERIA ALFARO SAC</t>
  </si>
  <si>
    <t>DROGUERIA INVERSIONES JPS SAC</t>
  </si>
  <si>
    <t>DROGUERIAS UNIDAS DEL PERU SAC</t>
  </si>
  <si>
    <t>EUROFARMA PERU SAC</t>
  </si>
  <si>
    <t>FARMACEUTICA OTARVASQ SAC</t>
  </si>
  <si>
    <t>FARMINDUSTRIA SA</t>
  </si>
  <si>
    <t>FRESENIUS KABI PERU S.A.</t>
  </si>
  <si>
    <t>GP PHARM SA</t>
  </si>
  <si>
    <t>J &amp; R PHAR,A INVERSIONES SAC</t>
  </si>
  <si>
    <t>JOBAL PHARMA EIRL</t>
  </si>
  <si>
    <t>JPS DISTRIBUCIONES EIRL</t>
  </si>
  <si>
    <t>LABORATORIOS  AMERICANOS SA</t>
  </si>
  <si>
    <t>LABORATORIOS AC FARMA SA</t>
  </si>
  <si>
    <t>LABORATORIOS GABBLAN SAC</t>
  </si>
  <si>
    <t>LABORATORIOS INDUQUIMICA SA</t>
  </si>
  <si>
    <t>MASTER FARMA S.A.</t>
  </si>
  <si>
    <t>MED FARMA SAC</t>
  </si>
  <si>
    <t>MEGA LABS LATAM SA</t>
  </si>
  <si>
    <t>MEOW SERVICES SAC</t>
  </si>
  <si>
    <t>MERCK PERUANA SA</t>
  </si>
  <si>
    <t>MULTIALMACENES DEL PERU SAC</t>
  </si>
  <si>
    <t>OQ PHARMA SAC</t>
  </si>
  <si>
    <t>PEREDA DISTRIBUIDORES SRL</t>
  </si>
  <si>
    <t>ROSTER SA</t>
  </si>
  <si>
    <t>10.- Asquisisicion de productos farmaceuticos abastecimieneto 2020-2021</t>
  </si>
  <si>
    <t>11.- Adquisisicion de Dispositvos abastecimiento 2020-2021</t>
  </si>
  <si>
    <t>LP 15-2019</t>
  </si>
  <si>
    <r>
      <rPr>
        <sz val="8"/>
        <rFont val="Arial"/>
        <family val="2"/>
      </rPr>
      <t>LP Nº13</t>
    </r>
    <r>
      <rPr>
        <sz val="9"/>
        <rFont val="Arial"/>
        <family val="2"/>
      </rPr>
      <t>-2019-CENARES MINSA</t>
    </r>
  </si>
  <si>
    <r>
      <rPr>
        <sz val="8"/>
        <rFont val="Arial"/>
        <family val="2"/>
      </rPr>
      <t>LP Nº14</t>
    </r>
    <r>
      <rPr>
        <sz val="9"/>
        <rFont val="Arial"/>
        <family val="2"/>
      </rPr>
      <t>-2019-CENARES MINSA</t>
    </r>
  </si>
  <si>
    <r>
      <rPr>
        <sz val="8"/>
        <rFont val="Arial"/>
        <family val="2"/>
      </rPr>
      <t>SIE Nº11</t>
    </r>
    <r>
      <rPr>
        <sz val="9"/>
        <rFont val="Arial"/>
        <family val="2"/>
      </rPr>
      <t>-2019-CENARES MINSA</t>
    </r>
  </si>
  <si>
    <r>
      <rPr>
        <sz val="8"/>
        <rFont val="Arial"/>
        <family val="2"/>
      </rPr>
      <t>SIE Nº13</t>
    </r>
    <r>
      <rPr>
        <sz val="9"/>
        <rFont val="Arial"/>
        <family val="2"/>
      </rPr>
      <t>-2019-CENARES MINSA</t>
    </r>
  </si>
  <si>
    <r>
      <rPr>
        <sz val="8"/>
        <rFont val="Arial"/>
        <family val="2"/>
      </rPr>
      <t>SIE Nº14</t>
    </r>
    <r>
      <rPr>
        <sz val="9"/>
        <rFont val="Arial"/>
        <family val="2"/>
      </rPr>
      <t>-2019-CENARES MINSA</t>
    </r>
  </si>
  <si>
    <t>20601165369 - GRUPO ATAYUPANQUI INNOVANDO TU VIDA E.I.R.L.</t>
  </si>
  <si>
    <t>20501701956 - METAX INDUSTRIA Y COMERCIO S.A.C.</t>
  </si>
  <si>
    <t>COMERCIAL LEQ Y MADERERA KEYLI : 20600670850 - COMERCIAL LEQ MULTISERVICIOS MARCELOS S.R.L. 10441870791 - LEON QUISPE LIZBETH EDITH</t>
  </si>
  <si>
    <t>20490616765 - INDUSTRIAS ATIY EMPRESA INDIVIDUAL DE RESPONSABILIDAD LIMITADA</t>
  </si>
  <si>
    <t>COMERCIAL LEQ Y MADERERA KEYLI :20600670850 - COMERCIAL LEQ MULTISERVICIOS MARCELOS S.R.L. 10441870791 - LEON QUISPE LIZBETH EDITH</t>
  </si>
  <si>
    <t>20390932864 - IMPORTACIONES GELCO SAC</t>
  </si>
  <si>
    <t>20600603966 - JARA GOODS SERVICES EMPRESA INDIVIDUAL</t>
  </si>
  <si>
    <t>20167877444 - ARBORIZACIONES E.I.R.L.</t>
  </si>
  <si>
    <t>CONSORCIO CUSCO : 20527253722 - EMPRESA DE TRANSPORTES Y SERVICIOS SAN JUDAS TADEO EIRLTDA 10438431034 - GAMARRA SALAZAR JOSE LEANDRO</t>
  </si>
  <si>
    <t>20604924449 - DIMEL INGENIERIA S.A. SUCURSAL PERU</t>
  </si>
  <si>
    <t>20527954780 - INVERSIONES HOMACO S.R.L.</t>
  </si>
  <si>
    <t>10429325256 - AMAO PALOMINO JORGE DAVID</t>
  </si>
  <si>
    <t>20492226883 - BIOMEDRAB S.A.C.</t>
  </si>
  <si>
    <t>20551648436 - INDUSTRIA Y SERVICIOS GENERALES SOLIS S.A.C.</t>
  </si>
  <si>
    <t>20480430621 - BIOLOGIA TECNOLOGIA CHICLAYO S.A.C.</t>
  </si>
  <si>
    <t>20545804795 - GOLDEN MEDICAL TECH S.A.C</t>
  </si>
  <si>
    <t>20510820101 - LIDA MEDIC SAC</t>
  </si>
  <si>
    <t>20604712531 - CORPORACION CONSTRUCSUR SOCIEDAD ANONIMA CERRADA - CORPORACION CONSTRUCSUR S.A.C.</t>
  </si>
  <si>
    <t>20138651917 - SANICENTER S.A.C.</t>
  </si>
  <si>
    <t>20600407903 - V &amp; S ELECTROGAMA EMPRESA INDIVIDUAL DE RESPONSABILIDAD LIMITADA - V &amp; S ELECTROGAMA E.I.R.L.</t>
  </si>
  <si>
    <t>20455610975 - DISTRIBUIDORA POLIETILENO DEL SUR E.I.R.L.</t>
  </si>
  <si>
    <t xml:space="preserve">CONSORCIO CUSCO :
10403887493 - VELASQUEZ VASQUEZ EMILIO FELIX
20603958820 - ASHLEY COMPANY S.A.C.
</t>
  </si>
  <si>
    <t>20563918358 - SERVICIOS GENERALES CONCHA EMPRESA INDIVIDUAL DE RESPONSABILIDAD LIMITADA - S.G CONCHA E.I.R.L.</t>
  </si>
  <si>
    <t>20527453659 - GRUPO RROOCHA SOCIEDAD COMERCIAL DE RESPONSABILIDAD LIMITADA</t>
  </si>
  <si>
    <t>20114689425 - CIA ELECTRICA INGENIEROS S.R.L.</t>
  </si>
  <si>
    <t>SIN DISPONIBILIDAD PTAL</t>
  </si>
  <si>
    <t>CONSORCIO FRONTERA :
10408822560 - DEL POZO PILCO HOLGER
10412581194 - ARRIOLA VALENCIA GODOFREDO</t>
  </si>
  <si>
    <t>20524232104 - OPEN MEDIC S.A.C.</t>
  </si>
  <si>
    <t>20527800049 - INVERSIONES ORIENT SAV S.R.L</t>
  </si>
  <si>
    <t>20600616235 - PROMAINGSA S.A.C.</t>
  </si>
  <si>
    <t>10456730596 - PONAYLOS CHARA NELSON</t>
  </si>
  <si>
    <t>20277577314 - SERVICENTRO JAKELINE S.C.R.LTDA.</t>
  </si>
  <si>
    <t>20490759795 - CONARENA C &amp; G SOCIEDAD COMERCIAL DE RESPONSABILIDAD LIMITADA - CONARENA S.R.L.</t>
  </si>
  <si>
    <t>20492414299 - CORPORACION MEDICA SOCIEDAD ANONIMA CERRADA</t>
  </si>
  <si>
    <t>20542642166 - CORPORACION CODISUR S.R.L.</t>
  </si>
  <si>
    <t>10239838133 - SORIA SALVATIERRA DAGUER VICENZO</t>
  </si>
  <si>
    <t>20511037001 - GRUPO SANTA FE SOCIEDAD ANONIMA CERRADA - GRUPO SANTA FE S.A.C.</t>
  </si>
  <si>
    <t>20538492028 - TOP COMERCIALIZADORA Y DISTRIBUIDORA S.A.C.</t>
  </si>
  <si>
    <t>20519302153 - IMJOSA SAC</t>
  </si>
  <si>
    <t>20521974495 - HP &amp; T ELECTRIC S.A.C.</t>
  </si>
  <si>
    <t xml:space="preserve">CONSORCIO JOSE OLAYA :
20600213840 - VELAZCO + CIERTO CONSULTORES S.A.C. V+C CONSULTORES S.A.C.
10403887493 - VELASQUEZ VASQUEZ EMILIO FELIX
</t>
  </si>
  <si>
    <t>20123734573 - INVERSIONES MERCEDES DEL SUR S.A.</t>
  </si>
  <si>
    <t>20447790999 - EXPORT PERU GLOBAL SOCIEDAD ANONIMA CERRADA</t>
  </si>
  <si>
    <t>20202380621 - MAPFRE PERU COMPAÑIA DE SEGUROS Y REASEGUROS S.A.</t>
  </si>
  <si>
    <t>20601785324 - STBIOMEDICAL S.A.C.</t>
  </si>
  <si>
    <t>20600705289 - INVERSIONES CECO. S.A.C</t>
  </si>
  <si>
    <t xml:space="preserve">Consorcio La Positiva - Pacifico :
20100210909 - LA POSITIVA SEGUROS Y REASEGUROS
20332970411 - PACIFICO COMPAÑIA DE SEGUROS Y REASEGUROS
</t>
  </si>
  <si>
    <t>20600984528 - SURK'AY PERU S.A.C.</t>
  </si>
  <si>
    <t>20100162238 - AMERICAN HOSP SCIEF EQUIP CO DEL PERU SA</t>
  </si>
  <si>
    <t>20563900815 - SERVICIOS MULTIPLES DARCY OMAR E.I.R.L.</t>
  </si>
  <si>
    <t>20278699391 - CONSULTORES GENERALES FIDA S.R.L.</t>
  </si>
  <si>
    <t>10295667333 - ALVAREZ CANO REGINA MONICA</t>
  </si>
  <si>
    <t>20527612129 - MAFETSUR INVERSIONES GENERALES SOCIEDAD ANONIMA CERRADA</t>
  </si>
  <si>
    <t>20490409549 - JIREH BUSINESS TECHNOLOGY EMPRESA INDIVIDUAL DE RESPONSABILIDAD LIMITADA - JIREH BUSINESS TECHNOLOGY</t>
  </si>
  <si>
    <t>10423323651 - QUISPE QUISPE CARMEN ROCIO</t>
  </si>
  <si>
    <t>20493929403 - AYEP CONTRATISTAS GENERALES E.I.R.L.</t>
  </si>
  <si>
    <t>10008219503 - LOPEZ MENDOZA LUIS</t>
  </si>
  <si>
    <t>20134294303 - MAXAM PERU S.A.C.</t>
  </si>
  <si>
    <t>20527954780 - INVERSIONES HOMACO S.R.L</t>
  </si>
  <si>
    <t>20521700794 - G &amp; C ARQUITECTURA E INGENIERIA S.A.C.</t>
  </si>
  <si>
    <t>20454838514 - LUCIO BUSTAMANTE E HIJOS S.A.C.</t>
  </si>
  <si>
    <t>20102032951 - A JAIME ROJAS REPRESENTACIONES GRLES S A</t>
  </si>
  <si>
    <t>CONSORCIO CHACHANI :
10015526594 - MAMANI AROQUIPA DIONICIO
20456149139 - CONSTRUCTORA Y SERVICIOS CHACHANI S.A.C.</t>
  </si>
  <si>
    <t>20563859084 - INVERSIONES Y DISTRIBUCIONES CONTINENTAL EMPRESA INDIVIDUAL DE RESPONSA</t>
  </si>
  <si>
    <t>20492730701 - HUANCOR PERU SOCIEDAD ANONIMA CERRADA</t>
  </si>
  <si>
    <t>20102084595 - COMPANIA DE SERVICIOS VICUGNA S A</t>
  </si>
  <si>
    <t>20454094221 - BIOLOGIAS MEDICAS ANDINAS SOCIEDAD ANONIMA CERRADA</t>
  </si>
  <si>
    <t>10249940301 - QUISPE TOROBEO VILMA</t>
  </si>
  <si>
    <t>20601990181 - GEENTOS SOCIEDAD COMERCIAL DE RESPONSABILIDAD LIMITADA - GEENTOS S.R.L.</t>
  </si>
  <si>
    <t>10238671430 - VALER ARAGON LUIS ALBERTO</t>
  </si>
  <si>
    <t>CONSORCIO CUSCO : 20604504687 - Y &amp; Y INVERSIONES PERU E.I.R.L. 10251274571 - TTITO PARI JULIAN</t>
  </si>
  <si>
    <t>20553231273 - GFF KEY POWER EQUIPMENT S.A.</t>
  </si>
  <si>
    <t>20601232571 - UNIMASS E.I.R.L</t>
  </si>
  <si>
    <t>20553367761 - GRUPO JOALARA S.A.C.</t>
  </si>
  <si>
    <t>20526980574 - LADRILLOS MECANIZADOS INKA</t>
  </si>
  <si>
    <t>20541386794 - GRUPO EMPRESARIAL MOLISA INGENIEROS S.A.C</t>
  </si>
  <si>
    <t xml:space="preserve">20600603966 - JARA GOODS SERVICES EMPRESA INDIVIDUAL </t>
  </si>
  <si>
    <t>20454256141 - MEGATECH PERU S.A.C.</t>
  </si>
  <si>
    <t>20600256026 - MATERIALES GROUP S.A.C.</t>
  </si>
  <si>
    <t>20531607784 - SERVICIOS DEL ACERO E.I.R.L.</t>
  </si>
  <si>
    <t>20101792898 - SEYMA S.A.C.</t>
  </si>
  <si>
    <t>20601368341 - ROCAS Y SUELOS SOCIEDAD ANONIMA</t>
  </si>
  <si>
    <t>20601325153 - VAN REPRESENTACIONES GENERALES E.I.R.L.</t>
  </si>
  <si>
    <t>20400589314 - PROCANING S.R.LTDA.</t>
  </si>
  <si>
    <t>10253194834 - MISME MEDINA MOISES ARTURO</t>
  </si>
  <si>
    <t>20556349470 - MULTIMEDICA TECNOLOGICA S.A.C.</t>
  </si>
  <si>
    <t>10461091763 - ARGANDOÑA PEREDA JOSE ANTONIO</t>
  </si>
  <si>
    <t>20600825594 - CORPORACION KALLPA MULTISERVICIOS E.I.R.L.</t>
  </si>
  <si>
    <t>20601525951 - INVESTIGACION, AMBIENTE Y DESARROLLO S.A.C.</t>
  </si>
  <si>
    <t>CONSORCIO NIÑO COMPADRITO :
20604486646 - INVERSIONES NICOM SOCIEDAD ANONIMA CERRADA - INVERSIONES NICOM S.A.C.
20490858181 - KRAD INGENIEROS EMPRESA INDIVIDUAL DE RESPONSABILIDAD LIMITADA - KRADI E.I.R.L.</t>
  </si>
  <si>
    <t>20600713419 - INVERSIONES MASTERCHIP SOCIEDAD ANONIMA CERRADA</t>
  </si>
  <si>
    <t>CONSORCIO INKA :
20450604381 - CORPORACION LUOSEM CONSULTORES Y EJECUTORES S.R.L
20357844461 - M.C.M. INGENIEROS S.R.L.</t>
  </si>
  <si>
    <t>20125534393 - COMERCIAL VILCA S.A.</t>
  </si>
  <si>
    <t>20550113547 - DISTRIBUCIÓN INGENIERÍA Y FABRICACIONES LLAMOCA S.A.C.</t>
  </si>
  <si>
    <t>20600297539 - F.E.M. CONSULTORIA Y CONSTRUCCION E.I.R.L.</t>
  </si>
  <si>
    <t>20543038076 - ALTURAS SEGURIDAD INDUSTRIAL S.A.C.</t>
  </si>
  <si>
    <t>10409461706 - CANAL BELLOTA DAVID</t>
  </si>
  <si>
    <t xml:space="preserve">20527612129 - MAFETSUR INVERSIONES GENERALES SOCIEDAD ANONIMA </t>
  </si>
  <si>
    <t>10240025936 - CCOLQUE FARFAN RICHARD</t>
  </si>
  <si>
    <t>20600713419 - INVERSIONES MASTERCHIP SOCIEDAD ANONIMA</t>
  </si>
  <si>
    <t>10238280961 - MEJIA GALICIA WALTER</t>
  </si>
  <si>
    <t>10461640279 - CALLOQUISPE ARIAS MARIO DEIVIS</t>
  </si>
  <si>
    <t>20467936337 - FIERROS LORENTE SOCIEDAD ANONIMA CERRADA</t>
  </si>
  <si>
    <t>10104598311 - PACHECO NARVASTA JENNY MADELEINE</t>
  </si>
  <si>
    <t>CONSORCIO LA POSITIVA SEGUROS Y REASEGUROS S.A. - PACIFICO COMPAÑIA DE SEGUROS Y REASEGUROS S.A.C. :</t>
  </si>
  <si>
    <t xml:space="preserve">20490699369 - DISTRIBUCIONES CONTRATISTAS GENERALES WORLD CABALLERO </t>
  </si>
  <si>
    <t>20527310971 - AGRO LATINO EIRL</t>
  </si>
  <si>
    <t xml:space="preserve">10252172161 - SUCNO MAZA IRMA CORINA </t>
  </si>
  <si>
    <t xml:space="preserve">20490338935 - GRUPO MAQUI SOCIEDAD ANONIMA CERRADA </t>
  </si>
  <si>
    <t>20490338935 - GRUPO MAQUI SOCIEDAD ANONIMA CERRADA</t>
  </si>
  <si>
    <t>10238647555 - MEDRANO VARGAS JOSE CARLOS</t>
  </si>
  <si>
    <t>20602067671 - TEKSA EMPRESA INDIVIDUAL DE RESPONSABILIDAD LIMITADA - TEKSA E.I.R.L.</t>
  </si>
  <si>
    <t>20527947813 - CAMEC INGENIEROS SOCIEDAD ANONIMA CERRADA</t>
  </si>
  <si>
    <t>20542625741 - SUDAMERICANA LOGISTICA HISUKI SOCIEDAD</t>
  </si>
  <si>
    <t>20490090895 - MULTINEGOCIOS UNIVERSALES E.I.R.L.</t>
  </si>
  <si>
    <t>20563842602 - INVERSIONES SEDIMAC EMPRESA INDIVIDUAL</t>
  </si>
  <si>
    <t>20448344569 - POSTES Y CONCRETOS ALTIPLANO SOCIEDAD</t>
  </si>
  <si>
    <t>20100218551 - POSTES AREQUIPA S A</t>
  </si>
  <si>
    <t>20521676478 - ROCATECH S.A.C.</t>
  </si>
  <si>
    <t>20400934437 - K.S. DISTRIBUCI0NES S.A.C.</t>
  </si>
  <si>
    <t>20490645510 - INVERSIONES Y PROVEEDORES QUILLABAMBA - PROQUILL S.R.L20138651917 - SANICENTER S.A.C.</t>
  </si>
  <si>
    <t>20103365628 - DISTRIBUCIONES OLANO S.A.C.</t>
  </si>
  <si>
    <t>20601862418 - F &amp; S CONSTRUCSUR S.A.C.</t>
  </si>
  <si>
    <t>20564428478 - INTERNET PERU CABLE SOCIEDAD COMERCIAL</t>
  </si>
  <si>
    <t>ITEM I: 10239194929 - QUISPE QUISPE BERNA
ITEM II: 10239194929 - QUISPE QUISPE BERNA
ITEM III: 10423323651 - QUISPE QUISPE CARMEN ROCIO</t>
  </si>
  <si>
    <t>10013303831 - AROCUTIPA AJROTA AMADEO PERCY</t>
  </si>
  <si>
    <t>20558659221 - COMERCIALIZADORA DIFESUR S.A.C.</t>
  </si>
  <si>
    <t>20490599224 - INVERSIONES S`LO STOP SOCIEDAD ANONIMA CERRADA</t>
  </si>
  <si>
    <t>20551789170 - FABEL MEDICA E.I.R.L.</t>
  </si>
  <si>
    <t>20107603485 - EL TUMI PERU S.R.L.</t>
  </si>
  <si>
    <t>10436683664 - DAVILA RENGIFO ROLY ARMANDO</t>
  </si>
  <si>
    <t>20514387878 - SM DESARROLLO LOGISTICO SOCIEDAD ANONIMA CERRADA</t>
  </si>
  <si>
    <t>20527014141 - G &amp; C GOLDEN SOCIEDAD ANONIMA CERRADA</t>
  </si>
  <si>
    <t>20490528556 - ZAPATA INGENIEROS SOCIEDAD COMERCIAL DE RESPONSABILIDAD LIMITADA-"ZAPATA INGENIEROS S.R.L."</t>
  </si>
  <si>
    <t>20505026439 - REPUESTOS SUDAMERICA SOCIEDAD ANONIMA CERRADA</t>
  </si>
  <si>
    <t>20415716754 - ENRAF MEDICA E.I.R.L.</t>
  </si>
  <si>
    <t>20563850451 - CUSCO QUALITY SERVICES E.I.R.L.</t>
  </si>
  <si>
    <t>20495053297 - J.C. AUTOMOTRIZ TRAK SERVIS S.A.C.</t>
  </si>
  <si>
    <t>10239194929 - QUISPE QUISPE BERNA</t>
  </si>
  <si>
    <t>20545109183 - GALVANOMETAL PERU S.A.C</t>
  </si>
  <si>
    <t xml:space="preserve">20527831432 - LADRILLOS MURALLA SOCIEDAD COMERCIAL DE </t>
  </si>
  <si>
    <t>20601559171 - SOMOS SOLUCIONES EMPRESA INDIVIDUAL DE RESPONSABILIDAD</t>
  </si>
  <si>
    <t>20527502374 - OURO VERMELHO PERU</t>
  </si>
  <si>
    <t>20600176162 - GRUPO EMPRESARIAL METCLAR &amp; ASOCIADOS</t>
  </si>
  <si>
    <t>20490510690 - INVERSIONES HATUN RUMIS EMPRESA</t>
  </si>
  <si>
    <t>20600713419 - INVERSIONES MASTERCHIP SOCIEDAD</t>
  </si>
  <si>
    <t>20490419692 - PREMEZCLADOS Y MAQUINARIAS CUSCO</t>
  </si>
  <si>
    <t>20454166311 - ADELTA REPRESENTACIONES S.R.L.</t>
  </si>
  <si>
    <t xml:space="preserve">20519604591 - COMERCIAL CYJSA EMPRESA </t>
  </si>
  <si>
    <t>10252172161 - SUCNO MAZA IRMA CORINA</t>
  </si>
  <si>
    <t>20600166230 - GRUPO ARGOS REPRESENTACIONES S.R.L.</t>
  </si>
  <si>
    <t>20527943150 - FABRICA DE ESTRUCTURAS METALICAS INDUSTRIALES</t>
  </si>
  <si>
    <t xml:space="preserve">20600713419 - INVERSIONES MASTERCHIP SOCIEDAD </t>
  </si>
  <si>
    <t>20392965191 - CONCRETOS SUPERMIX SOCIEDAD ANONIMA</t>
  </si>
  <si>
    <t xml:space="preserve">20392965191 - CONCRETOS SUPERMIX SOCIEDAD ANONIMA </t>
  </si>
  <si>
    <t>20467534026 - AMERICA MOVIL PERU S.A.C.</t>
  </si>
  <si>
    <t>10412625248 - JALISTO CONDORI ESTRELLA</t>
  </si>
  <si>
    <t>PERDIDA DE BUENA PRO</t>
  </si>
  <si>
    <t>20494442141 - A &amp; C CONSULTORES Y MULTISERVICIOS S.A.C.</t>
  </si>
  <si>
    <t>20527344019 - SURTIDORES MANU SAC</t>
  </si>
  <si>
    <t>20484996602 - MUEBLES Y DECORACIONES URPI S.A.C.</t>
  </si>
  <si>
    <t>10428311723 - PILLCO PAREDES GUIDO</t>
  </si>
  <si>
    <t>20527502374 - OURO VERMELHO PERU EMPRESA</t>
  </si>
  <si>
    <t>20601572053 - MIHANE S.A.C.</t>
  </si>
  <si>
    <t>20100241022 - ACEROS COMERCIALES S C R L</t>
  </si>
  <si>
    <t>contratacion de arena triturada para la meta 80</t>
  </si>
  <si>
    <t>10434824601 - HUALLPA SAIRE FRANK YIMY</t>
  </si>
  <si>
    <t>CONTRATACION DE SERVICIO DE CONSULTORIA DE OBRA DE EXPEDIENTE TECNICO "MEJORAMIENTO Y AMPLIACION DEL SERVICIO DEL IE.S.T.P. ANTA  ZURITE, LA HUAYLLA DEL  DISTRITO DE ZURITE PROVINCIA DE ANTA DEPARTAMENTO DE CUSCO"</t>
  </si>
  <si>
    <t>CONTRATACIÓN DE COMBUSTIBLE DIESEL B5 S-50 PARA LA META 27 "MANTENIMIENTO DE CAUCES, DRENAJES Y ESTRUCTURAS DE SEGURIDAD FISICA FRENTE A LOS PELIGROS"</t>
  </si>
  <si>
    <t>ADQUISICION DE  DRIZAS Y SOGUILLA Y REDES PARA LA META  MEJORAMIENTO DE LAS CAPACIDADES PARA EL MANEJO SOSTENIBLE  DE LA VICUNA EN LAS COMUNIDADES CONSERVACIONISTAS DE LA REGION  DEL CUSCO</t>
  </si>
  <si>
    <t>CONTRATACIÓN DE MEDICAMENTOS DE ATENCIÓN VETERINARIA PARA EL PROYECTO ¿MEJORAMIENTO DEL SERVICIO DE CAPACIDADES COMPETITIVAS DE LA CADENA PRODUCTIVA DE ALPACAS DE LA REGIÓN CUSCO</t>
  </si>
  <si>
    <t>CONTRATACIÓN DE CAMIONETAS PICK UP DOBLE CABINA TRACCIÓN 4X4</t>
  </si>
  <si>
    <t>CONTRATACION DE SERVICIO DE MANTENIMIENTO DE AUDITORIO DE LA SEDE DEL GORE META 235</t>
  </si>
  <si>
    <t>CONTRATACION DE SERVICIO DE MANTENIMIENTO DE LA I.E.I. 647 DE HUAYLLABAMBA</t>
  </si>
  <si>
    <t>CONTRATACION DE SISTEMA DE GASES MEDICINALES - INCLUYE INSTALACION (META: 112)</t>
  </si>
  <si>
    <t>CONTRATACION DE GASES MEDICINALES PARA EL PROYECTO: CENTRO DE SALUD TTIO-CUSCO</t>
  </si>
  <si>
    <t>MANTENIMIENTO DE LA IE PRIMARIA 50508 SECSENCALLA ANDAHUAYLILLAS</t>
  </si>
  <si>
    <t>SERVICIO DE SUMINISTRO, INSTALACION Y PUESTA EN OPERATIVIDAD DE ESTRUCTURAS METALICAS</t>
  </si>
  <si>
    <t>SERVICIO DE SUMINISTRO, INSTALACION Y PUESTA EN FUNCIONAMIENTO DEL SISTEMA ELECTRICO Y SISTEMA DE COMUNICACIÓN</t>
  </si>
  <si>
    <t>SERVICIO DE SUMINISTRO, INSTALACION Y OPERATIVIDAD DE LAS INSTALACIONES MEWCANICAS</t>
  </si>
  <si>
    <t>SERVICIO DE SUMINISTRO, INSTALACION Y ADECUACION DE AMBIENTES</t>
  </si>
  <si>
    <t>ADQUISICION DE SEMILLAS NACIONAL E IMPORTADA</t>
  </si>
  <si>
    <t>MISME MEDINA MOISES ARTURO</t>
  </si>
  <si>
    <t>CONTRATACION DE LUMINARIAS Y CABLES PARA EL PROYECTO: CENTRO DE SALUD TTIO-CUSCO</t>
  </si>
  <si>
    <t>CONTRATACIÓN DEL SERVICIO DE ENLACE DEDICADO Y ACCESO A INTERNET DE 170 MBP PARA LA SEDE CENTRAL DEL GOBIERNO REGIONAL DEL CUSCO</t>
  </si>
  <si>
    <t>INPECABLE S.R.L.</t>
  </si>
  <si>
    <t>CONTRATACIÓN DE CEMENTO PORTLAND TIPO IP (42.5 KG) PARA LA META 0078 MEJORAMIENTO DE LOS SERVICIOS TURÍSTICOS EN LA CORDILLERA ARCOIRIS, COMUNIDAD CAMPESINA DE PALCCOYO, DISTRITO DE CHECACUPE, PROVINCIA DE CANCHIS, REGIÓN CUSCO</t>
  </si>
  <si>
    <t>GRUPO SANTA FE SAC</t>
  </si>
  <si>
    <t>CONTRATACION DE CARPA FAMILIAR PARA 6 PERSONAS</t>
  </si>
  <si>
    <t>SAHUAY GUERRA CARLOS HUBERTO</t>
  </si>
  <si>
    <t>CONTRATACIÓN DEL SERVICIO DE CONSULTORÍA DE OBRA, PARA ELABORACIÓN DE ESTUDIO DEFINITIVO DE 09 PUENTES DEL PROYECTO CREACIÓN DE LOS SERVICIOS DE TRANSITABILIDAD VEHICULAR RUTA CU-104 TRAMO PUENTE TAHUIS Y SAN ANTONIO DEL DISTRITO DE YANATILE, PROVINCIA DE CALCA, DEPARTAMENTO DEL CUSCO. PARA LA META</t>
  </si>
  <si>
    <t>SELECCIÓN</t>
  </si>
  <si>
    <t>CONTRATACION DE CRISTALES POLIMEROS DE POTASIO (HIDROGEL) PARA EL PROYECTO DENOMINADO RECUPERACION DEL SERVICIO ECOSISTEMATICO DE CONTROL DE EROSION DE SUELOS EN LAS COMUNIDADES CAMPESINAS PRIORIZADAS DE LOS DISTRITOS DE CHECA, LAYO,ACOMAYO, POCANCHI, RONDOCAN Y OCCORURO DEL DEPARTAMENTO DE CUSCO</t>
  </si>
  <si>
    <t>INVERSIONES Y SOLUCIONES ECOLOGICAS AGROGEO EMPRESA INDIVIDUAL DE RESPONSABILIDAD LIMITADA-INSECO AG</t>
  </si>
  <si>
    <t>CONTRATACIÓN DE KIT DE MATERIALES DE ENSEÑANZA PARA EL PROYECTO MEJORAMIENTO DE LOS SERVICIOS EDUCATIVOS DE LA IE SECUNDARIA VIRGEN ASUNCIÓN DE PILLPINTO - CUSCO</t>
  </si>
  <si>
    <t>CONTRATACIÓN DE EQUIPOS QUIRURGICOS</t>
  </si>
  <si>
    <t>CONTRATACIÓN DE COMBUSTIBLE PARA LA META 133 MEJORAMIENTO Y AMPLIACIÓN DEL SISTEMA DE AGUA POTABLE Y DESAGUE EN EL CENTRO POBLADO DE HUARO - DISTRITO DE HUARO - PROVINCIA DE QUISPICANCHIS - CUSCO</t>
  </si>
  <si>
    <t>GRFO JHP EIRL</t>
  </si>
  <si>
    <t>CONTRATACIÓN DE CONCRETO PRE MEZCLADO PARA LA META 043 "MEJORAMIENTO, AMPLIACIÓN DE LOS SERVICIOS DE EDUCACIÓN INICIAL, PRIMARIA Y SECUNDARIA DE LA I.E. MX 51037 VIRGEN DEL CARMEN DE LA C.C. DE PILLAO MATAO, DISTRITO DE SAN JERÓNIMO - CUSCO"</t>
  </si>
  <si>
    <t>CONCRETOS SUPERMIX SAC</t>
  </si>
  <si>
    <t>CONTRATACIÓN DE IMPLEMENTOS DE SEGURIDAD PARA LA META 133 MEJORAMIENTO Y AMPLIACIÓN DEL SISTEMA DE AGUA POTABLE Y DESAGÜE EN EL CENTRO POBLADO DE HUARO, DISTRITO DE HUARO - PROVINCIA DE QUISPICANCHI -CUSCO.</t>
  </si>
  <si>
    <t>CONTRATACIÓN DE BALDOSA DE CIELO RASO, INCLUYE INSTALACIÓN, PARA LA OBRA MEJORAMIENTO DE LOS SERVICIOS DE SALUD DEL CENTRO DE SALUD TTIO, DISTRITO DE WANCHAQ, PROVINCIA DE CUSCO -  REGION CUSCO</t>
  </si>
  <si>
    <t>BUSCALL PROFESIONALES DEL DRYWALL S.A.C.</t>
  </si>
  <si>
    <t>CONTRATACIÓN DE HIDROGEL RETENEDOR DE AGUA, PARA EL PROYECTO INSTALACIÓN DE PLANTACIONES FORESTALES EN ÁREAS NO INTERVENIDAS EN LAS PROVINCIAS DE CALCA Y URUBAMBA DE LA REGIÓN CUSCO</t>
  </si>
  <si>
    <t>ROJAS BRUNO ROSARIO MIRTHA</t>
  </si>
  <si>
    <t>CONTRATACIÓN DE MANTENIMIENTO DE LA INSTITUCIÓN EDUCATIVA PRIMARIA NRO. 50596 DE LA COMUNIDAD CAMPESINA HUYCHO, DISTRITO DE HUAYLLABAMBA</t>
  </si>
  <si>
    <t>INKASA GESTORA DE PROYECTOS SAC</t>
  </si>
  <si>
    <t>CONTRATACION DE ASCENSOR Y MONTA CARGA (META: 122)</t>
  </si>
  <si>
    <t>SERVICIO DE ALIMENTACION PARA PERSONAS EN CUARENTENA</t>
  </si>
  <si>
    <t>CONTRATACIÓN DE MANTENIMIENTO DEL LOCAL ÁREA FUNCIONAL DE ESTUDIOS Y PROYECTOS DEL GOBIERNO REGIONAL CUSCO, DISTRO DE WANCHAQ - PROVINCIA Y DEPARTAMENTO DE CUSCO</t>
  </si>
  <si>
    <t>SERVIS SAC</t>
  </si>
  <si>
    <t>CONTRATACIÓN DE ACCESORIOS PARA TUBERIA PARA LO OBRA MEJORAMIENTO Y AMPLIACIÓN DEL SISTEMA DE AGUA POTABLE Y DESAGUE EN EL CENTRO POBLADO DE HUARO - DISTRITO DE HUARO - PROVINCIA DE QUISPICANCHIS - CUSCO</t>
  </si>
  <si>
    <t>CONTRATACION DE ALQUILER DE CARGADOR FRONTAL PARA LA META 080</t>
  </si>
  <si>
    <t>CONTRATACIÓN DE POSTES DE CONCRETO ARMADO CENTRIFUGADO PARA LA META 015 AMPLIACIÓN DEL SERVICIO DE ENERGÍA ELÉCTRICA EN 13 COMUNIDADES RURALES DE LOS DISTRITOS DE COLQUEPATA, CHALLABAMBA, HUANCARANI Y PAUCARTAMBO DE LA PROVINCIA DE PAUCARTAMBO DEPARTAMENTO DE CUSCO.</t>
  </si>
  <si>
    <t>POSTES AREQUIPA SA</t>
  </si>
  <si>
    <t>CONTRATACION DE LAJA DE PIEDRA PARA MEJORAMIENTO DELUGARES TURISTICOS</t>
  </si>
  <si>
    <t>CONTRATACIÓN DE BALDOSA ACÚSTICA DE FIBROCEMENTO TEXTURADO PARA EL PROYECTO ¿MEJORAMIENTO Y AMPLIACIÓN DEL SERVICIO DE EDUCACIÓN PRIMARIA DE LA I.E. N° 51017 MARISCAL GAMARRA, DISTRITO DE CUSCO, PROVINCIA DE CUSCO ¿ CUSCO¿</t>
  </si>
  <si>
    <t>G &amp; C ARQUITECTURA E INGENIERIA S.A.C.</t>
  </si>
  <si>
    <t>CONTRATACION DE EQUIPOS DE RAYOS X PARA LA META 179</t>
  </si>
  <si>
    <t>ADQUISICION DE MATERIALES ELECTRICOS Y ELECTRONICOS PARA LA CONSTRUCCION DE SISTEMA ELECTRICO DE LAS LOCALIDADES DE LA PROVINCIA DE CHUMBIVILCAS</t>
  </si>
  <si>
    <t>CONTRATACIÓN DE TAPAS METÁLICAS</t>
  </si>
  <si>
    <t>CONTRATACION DE CEMENTO ASFALTICO MODIFICADO CON POLIMERO PG 70-28 PARA LA META (081): MEJORAMIENTO DE LA CARRETERA IZCUCHACA ¿ CRUZPATA DE LA PROVINCIA DE ANTA Y URUBAMBA - CUSCO</t>
  </si>
  <si>
    <t>CONTRATACIÓN DE MATERIAL AGREGADO PARA LA META 133 MEJORAMIENTO Y AMPLIACIÓN DEL SISTEMA DE AGUA POTABLE Y DESAGÜE EN EL CENTRO POBLADO DE HUARO - DISTRITO DE HUARO - PROVINCIA DE QUISPICANCHIS - CUSCO</t>
  </si>
  <si>
    <t>TRANSPORTES Y AGREGADOS JZA EIRL</t>
  </si>
  <si>
    <t>CONTRATACIÓN DE MADERA CORRIENTE Y ROLLIZOS DE EUCALIPTO PARA LA OBRA MEJORAMIENTO Y AMPLIACIÓN DEL SISTEMA DE AGUA POTABLE Y DESAGUE EN EL CENTRO POBLADO DE HUARO - DISTRITO DE HUARO - PROVINCIA DE QUISPICANCHIS - CUSCO</t>
  </si>
  <si>
    <t>TORRES CALLAÑAUPA NIELI</t>
  </si>
  <si>
    <t>SERVICIO DE CONSULTORIA PARA EL MEJORAMIENTO DE LA GESTION ADMINISTRACION , RESOLUCION, TRANSFORMACION Y PREVENCION DE LOS CONFLICTOS SOCIALES</t>
  </si>
  <si>
    <t>CONTRATACION DE AIRE ACONDICIONADO Y VENTILACION MECANICA, INCLUYE SUMINISTRO DE INSTALACION PARA EL PROYECTO MEJORAMIENTO DE LOS SERVICIOS DE SALUD DEL CENTRO DE SALUD TTIO, DISTRITO DE WANCHAQ, PROVINCIA DE CUSCO, REGION CUSCO</t>
  </si>
  <si>
    <t>CONTRATACIÓN DE LAVADOR ULTRASÓNICO PARA INSTRUMENTAL QUIRÚRGICO, LAVADOR DESINFECTOR PARA EL PROYECTO MEJORAMIENTO DE LA PRESTACION DE LOS SERVICIOS DE SALUD EN EL CENTRO DE SALUD DE CHALLABAMBA - DIRESA CUSCO</t>
  </si>
  <si>
    <t>CONTRATACIÓN DE CAMIONETA PICK UP 4X4 PARA EL PROYECTO ¿MEJORAMIENTO DEL SERVICIO DE CAPACIDADES COMPETITIVAS DE LA CADENA PRODUCTIVA DE ALPACAS DE LA REGIÓN CUSCO, MULTIDISTRITAL, CUSCO, CUSCO¿</t>
  </si>
  <si>
    <t>CONTRATACION DE APARATOS SANITARIOS GRIFERIA Y ACCESORIOS PARA LA META: MEJORAMIENTO DEL CENTRO DE SALUD TTIO, DISTRITO DE WANCHAQ, PROVINCIA DE CUSCO ¿ REGION CUSCO</t>
  </si>
  <si>
    <t>NVERSIONES Y PROVEEDORES QUILLABAMBA - PROQUILL S.R.L</t>
  </si>
  <si>
    <t>CONTRATACIÓN DE VIDRIO LAMINADO, INCLUYE INSTALACIÓN, PARA EL PROYECTO MEJORAMIENTO Y AMPLIACIÓN DE LOS SERVICIOS DE EDUCACIÓN INICIAL, PRIMARIA Y SECUNDARIA DE LA I.E MX 51017 VIRGEN DEL CARMEN DE LA CC. DE PILLAO MATAO DISTRITO DE SAN JERÓNIMO, CUSCO</t>
  </si>
  <si>
    <t>BRUNO CARDENAS GILMER JUNIOR</t>
  </si>
  <si>
    <t>CONTRATACIÓN DE UNIDAD DE TRATAMIENTO DE RESIDUOS HOSPITALARIOS</t>
  </si>
  <si>
    <t>CONTRATACIÓN DE UNIDAD DE TRATAMIENTO DE RESIDUOS HOSPITALARIOS PARA LA OBRA MEJORAMIENTO DE LA PROVISIÓN DE SERVICIOS DE SALUD DEL ESTABLECIMIENTO DE SALUD DE CCAPI A CENTRO DE SALUD DE NIVEL I-4 MICRORED YAURISQUE - RED CUSCO</t>
  </si>
  <si>
    <t>EMULSIÓN ASFÁLTICA PARA IMPRIMACIÓN PARA EL PROYECTO ¿MEJORAMIENTO DE LA CARRETERA IZCUCHACA ¿ CRUZPATA PROVINCIA DE ANTA Y URUBAMBA ¿ CUSCO</t>
  </si>
  <si>
    <t>CONTRATACIÓN DE CEMENTO PORTLAND PARA LA META 0020 ¿INSTALACIÓN DE LA DEFENSA RIBEREÑA, EN LA MARGEN DERECHA, DEL RIO TINCOQMAYO SECTOR AAHH. TOMASA TTITO CONDEMAYTA ZONA URBANA DE ACOMAYO, DISTRITO DE ACOMAYO,PROVINCIA DE ACOMAYO-CUSCO¿</t>
  </si>
  <si>
    <t xml:space="preserve"> 
INVERSIONES CECO. S.A.C</t>
  </si>
  <si>
    <t>TABLEROS DE DISTRIBUCIÓN ELÉCTRICA A NORMA</t>
  </si>
  <si>
    <t>ALVAREZ CANO REGINA MONICA</t>
  </si>
  <si>
    <t>CONTRATACIÓN DE BIDESTILADOR DE AGUA DE 4 LITROS / H, PARA LA OBRA MEJORAMIENTO DE LOS SERVICIOS DE SALUD DEL CENTRO DE SALUD DE CHALLABAMBA DEL DISTRITO DE CHALLABAMBA, PAUCARTAMBO - CUSCO</t>
  </si>
  <si>
    <t>CONTRAATACO PARA LA ADQUSICION DE SUSTRATO CON CORTEZA DE PINO X 25KG</t>
  </si>
  <si>
    <t>MAREM REPRESENTACIONES S.R.L.</t>
  </si>
  <si>
    <t>CONTRATACION DE GAVIONES PARA LA OBRA INSTALACIÓN DE DEFENSA RIBEREÑA EN LA MARGEN DERECHA DEL RIO TINCOQMAYO SECTOR AAHH. TOMASA TTITO CONDEMAYTA ZONA URBANA DEL DISTRITO DE ACOMAYO - PROVINCIA DE ACOMAYO - CUSCO</t>
  </si>
  <si>
    <t>CONTRATACIÓN DE ESQUILADORA Y AMOLADORA, PARA EL PROYECTO MEJORAMIENTO DE CAPACIDADES PARA EL MANEJO SOSTENIBLE DE LA VICUÑA EN LAS COMUNIDADES CONSERVACIONISTAS DE LA REGION CUSCO</t>
  </si>
  <si>
    <t>PANCA TURPO MIRIAM MADELEIN</t>
  </si>
  <si>
    <t>CONTRATACION DE ESTRUCTURA METALICA Y COBERTURA DE TECHO POLICARBONATO Y COBERTURA TERMO ACUSTICA,INCLUYE INSTALACION SEGÚN PLANO</t>
  </si>
  <si>
    <t>ESTRUCTURAS CUSCO</t>
  </si>
  <si>
    <t>CONTRATACION DE LADRILLOS PARA EL PROYECTO: MEJORAMIENTO Y AMPLIACION DEL SERVICIO DE EDUCACION PRIMARIA DE LA I.E.  51017 MARISCAL GAMARRA DISTRITO DE CUSCO - PROVINCIA DE CUSCO - DEPARTAMENTO DE CUSCO</t>
  </si>
  <si>
    <t>EMPRESA ZOHE SAC</t>
  </si>
  <si>
    <t>CONTRATACIÓN DE TRANSFORMADOR, PARA EL PROYECTO MEJORAMIENTO DE LA PROVISIÓN DE SERVICIOS DE SALUD DEL ESTABLECIMIENTO DE SALUD DE CCAPI, A CENTRO DE SALUD DE NIVEL I-4, MICRORED YAURISQUE - RED CUSCO SUR, DISTRITO DE CCAPI - PARURO - CUSCO</t>
  </si>
  <si>
    <t>DETALLE CORPORATIVO E.I.R.L.</t>
  </si>
  <si>
    <t>CONTRATACIÓN DE TEJA ANDINA Y CUMBRERAS, PARA EL PROYECTO ¿MEJORAMIENTO Y AMPLIACÍÓN DEL SERVICIO EDUCATIVO EN LA I.E. DEL NIVEL SECUNDARIO MIGUEL ANGEL HURTADO DELGADO DEL DISTRITO DE ACOPIA, PROVINCIA DE ACOMAYO ¿ CUSCO¿</t>
  </si>
  <si>
    <t>INVERSIONES JV Y HERMANOS S.R.L.</t>
  </si>
  <si>
    <t>ADQUISICION DE MOTOCICLETA LINEAL PARA EL PROYECTO MEJORAMIENTO DEL SERVICIO DE CAPACIDADES COMPETITIVAS DE LA CADENA PRODUCTIVA DE LA ALPACAS DE LA REGION CUSCO</t>
  </si>
  <si>
    <t>JCM MOTORS S.A.C.</t>
  </si>
  <si>
    <t>CONTRATACIÓN DE ARETES Y ARETADORES, PARA EL PROYECTO ¿MEJORAMIENTO DE CAPACIDADES COMPETITIVAS DE LA CADENA PRODUCTIVA DE ALPACAS EN LA REGIÓN CUSCO¿</t>
  </si>
  <si>
    <t>COMERCIALIZADORA A Y V S.R.L.</t>
  </si>
  <si>
    <t>CONTRATACIÓN DE LADRILLOS PARA I.E. DE NIVEL SECUNDARIO ¿MIGUEL ANGEL HURTADO DELGADO¿ DEL DISTRITO DE ACOPÍA, PROVINCIA DE ACOMAYO ¿ CUSCO</t>
  </si>
  <si>
    <t>OURO VERMELHO PERU EMPRESA INDIVIDUAL DE RESPONSABILIDAD LIMITADA</t>
  </si>
  <si>
    <t>CONTRATACION DE MATERIAL AGREGADO</t>
  </si>
  <si>
    <t>CONTRATACIÓN DE EQUIPOS MULTIMEDIA PARA EL MEJORAMIENTO DE LOS SERVICIOS EDUCATIVOS EN LA INSTITUCIÓN EDUCATIVA TÉCNICO AGROPECUARIO CON JORNADA ESCOLAR COMPLETA, DISTRITO DE LAYO, PROVINCIA DE CANAS, DEPARTAMENTO DE CUSCO</t>
  </si>
  <si>
    <t>CONTRATACIÓN DEL SERVICIO DE ALOJAMIENTO TEMPORAL Y ALIMENTACIÓN PARA PERSONAS CON RESULTADO POSITIVO DE COVID 19 Y POTENCIAL RIESGO DE CONTAGIO DE COVID 19, CON EL OBJETO DE CUMPLIR EL PERIODO DE CUARENTENA Y EN ATENCIÓN AL D.S. N° 008-2020-SA Y D.U</t>
  </si>
  <si>
    <t>CONTRATACION DE SERVICIO DE ALOJAMIENTO TEMPORAL PARA PERSONAS EN CUARENTENA</t>
  </si>
  <si>
    <t>CONTRATACIÓN DE MALLAS GANADERA GALVANIZADA, POSTES DE FIERRO METÁLICOS EN T RANURADO Y DISPOSITIVOS DE UNION METALICO PARA ALAMBRE GANADERO PARA EL PROYECTO META 0075  MEJORAMIENTO DEL SERVICIO DE CAPACIDADES COMPETITIVAS DE LA CADENA PRODUCTIVA DE ALPACAS DE LA REGION CUSCO</t>
  </si>
  <si>
    <t>CONTRATACIÓN DEL SERVICIO DE ALOJAMIENTO TEMPORAL Y ALIMENTACIÓN INTEGRAL PARA 250 PERSONAS TRASLADADAS DE DISTINTAS REGIONES A LA CIUDAD DE CUSCO; EN CUMPLIMIENTO DEL DECRETO DE URGENCIA N° 043-2020</t>
  </si>
  <si>
    <t>CONTRATACIÓN DE CHALECOS ACOLCHADOS GANADEROS PARA CRÍAS DE ALPACAS, PARA EL PROYECTO MEJORAMIENTO DEL SERVICIO DE CAPACIDADES COMPETITIVAS DE LA CADENA PRODUCTIVA DE ALPACAS DE LA REGIÓN CUSCO</t>
  </si>
  <si>
    <t>CONTRATACIÓN DE MADERA AGUANO PARA LA CONSTRUCCIÓN DE INFRAESTRUCTURA EDUCATIVA</t>
  </si>
  <si>
    <t>ORPORACIÓN INTI AQP SAC</t>
  </si>
  <si>
    <t>CONTRATACIÓN DE CEMENTO PORTLAND TIPO IP x 42.5 KG. PARA LA OBRA MEJORAMIENTO Y AMPLIACIÓN DEL SISTEMA DE AGUA POTABLE Y DESAGÜE EN EL CENTRO POBLADO DE HUARO, PROVINCIA DE QUISPICANCHIS - CUSCO</t>
  </si>
  <si>
    <t>CONTRATACIÓN DE SERVICIO DE ALIMENTACIÓN</t>
  </si>
  <si>
    <t>CONTRATACIÓN DE SERVICIO DE ALIMENTACIÓN POR SUMINISTRO DE 42000 RACIONES DE COMIDAS (DESAYUNO, ALMUERZO Y CENA), PARA EL PERIODO DE 14 DÍAS, LOS MISMOS QUE SERÁN DISTRIBUIDAS ENTRE LAS PERSONAS TRASLADADAS A LA CIUDAD DEL CUSCO DE DIFERENTES REGIONES DEL PAÍS Y SERÁN PUESTOS EN CUARENTENA</t>
  </si>
  <si>
    <t>CONTRATACIÓN DE SERVICIO DE 910 ATENCIONES (ALOJAMIENTO Y ALIMENTACIÓN CONSISTENTE EN: DESAYUNO, ALMUERZO Y CENA), PARA EL PERIODO DE CUARENTENA DE LAS PERSONAS QUE DAN RESULTADO POSITIVO DE COVID-19; DE LA POBLACIÓN CUSQUEÑA, QUE SE VIENEN TRASLADANDO DE OTRAS REGIONES DEL PERÚ</t>
  </si>
  <si>
    <t>CONTRATACIÓN DE CONCRETO PRE-MEZCLADO</t>
  </si>
  <si>
    <t>CONCRETOS SUPERMIX S.A.</t>
  </si>
  <si>
    <t>CONTRATACION DE SERVICIO DE INSTALACION DE PISOS, CONTRAZOCALO RECTO, CONTRAZOCALOS SANITARIO, PASOS Y CONTRAPASOS DE ESCALEROS EN TERRAZO</t>
  </si>
  <si>
    <t>CONTRATACIÓN DE COCHE DE PARO EQUIPADO PARA LA CONSTRUCCIÓN DEL CENTRO DE SALUD, MARGEN DERECHA TIPO I-IV, RED DE SERVICIOS DE SALUD CUSCO SUR, MICRORED SAN SEBASTIAN, DISTRITO DE SAN SEBASTIAN - CUSCO</t>
  </si>
  <si>
    <t>SERVICIO BIOMEDICO Y ELECTRONICO SCRL</t>
  </si>
  <si>
    <t>CONTRATACIÓN DE CUNA DE CALOR RADIANTE</t>
  </si>
  <si>
    <t>CONTRATACIÓN DE SISTEMA DE MURO AUTOPORTANTE DE ALUMINIO CON SISTEMA PROYECTANTE CON VIDRIO TEMPLADO REFLEJANTE DE 8MM, INCLUYE INSTALACIÓN, PARA LA OBRA MEJORAMIENTO DE LOS SERVICIOS DE SALUD DEL CENTRO DE SALUD TTIO, DISTRITO DE WANCHAQ, PROVINCIA DE CUSCO -  REGION CUSCO</t>
  </si>
  <si>
    <t>GRUPO MAQUI S.A.C.</t>
  </si>
  <si>
    <t>CONTRATACION DE COMBUSTIBLE</t>
  </si>
  <si>
    <t>CONTRATACIÓN DE BARRA PARA CONSTRUCCIÓN PARA LA OBRA ¿MEJORAMIENTO Y AMPLIACIÓN DEL SISTEMA DE AGUA POTABLE Y DESAGUE EN EL CENTRO POBLADO DE HUARO ¿ DISTRITO DE HUARO ¿ PROVINCIA DE QUISPICANCHI ¿ CUSCO¿</t>
  </si>
  <si>
    <t>COMERCIALIZADORA DIFESUR S.A.C.</t>
  </si>
  <si>
    <t>CONTRATACIÓN DE VENTANAS Y MAMPARAS PARA EL MEJORAMIENTO DE LOS SERVICIOS EDUCATIVOS EN LA INSTITUCIÓN EDUCATIVA TÉCNICO AGROPECUARIA CON JORNADA ESCOLAR COMPLETA, DISTRITO DE LAYO, PROVINCIA DE CANAS, DEPARTAMENTO DE CUSCO</t>
  </si>
  <si>
    <t>CONTRATACION DE LADRILLOS PARA EL PROYECTO: MEJORAMIENTO DEL SERVICIO EDUCATIVO EN LOS NIVELES INICIAL, PRIMARIA Y SECUNDARIA CON JORNADA ESCOLAR COMPLETA DE LA INSTITUCION EDUCATIVA INTEGRADA N 51003 ROSARIO DEL DISTRITO, PROVINCIA Y DEPARTAMENTO DE CUSCO</t>
  </si>
  <si>
    <t>OURO VERMELHO PERU E</t>
  </si>
  <si>
    <t>MANTENIMIENTO DE LA OFICINA DE ASESORÍA JURÍDICA DEL GOBIERNO REGIONAL CUSCO</t>
  </si>
  <si>
    <t>SAR SERVIS SAC</t>
  </si>
  <si>
    <t>MANTENIMIENTO DEL LABORATORIO DE MECÁNICA DE SUELOS DEL GOBIERNO REGIONAL CUSCO</t>
  </si>
  <si>
    <t>CONTRATACIÓN DE ALQUILER DE MAQUINARIA PESADA</t>
  </si>
  <si>
    <t>ITEM I: DISTRIBUCIONES CONTRATISTAS GENERALE CABALLERO EIRL                                ITEM II: GENUINE PARTS IMPORT EIRL</t>
  </si>
  <si>
    <t>ADQUISICION PUERTAS Y VENTANAS PARA EL PROYECTO: MEJORAMIENTO DE LOS SERVICIOS EDUCATIVOS EN LA I.E. DE TECNICO AGROPECUARIO CON JORNADA ESCOLAR COMPLETA, DISTRITO DE LAYO, PROVINCIA DE CANAS, DEPARTAMENTO DEL CUSCO</t>
  </si>
  <si>
    <t>HUGO AURELIO NUÑUNCCA TAYPE Y JHON CHURA PAUCAR</t>
  </si>
  <si>
    <t>CONTRATACIÓN DE COMBUSTIBLE DIESEL B5 S-50 PARA EL MEJORAMIENTO DE SERVICIOS DEL GOBIERNO REGIONAL DEL CUSCO</t>
  </si>
  <si>
    <t xml:space="preserve"> 
SERVICENTRO JAKELINE S.C.R.LTDA.</t>
  </si>
  <si>
    <t>CONTRATACIÓN DE MEDICAMENTOS DE ATENCIÓN VETERINARIA, PARA EL PROYECTO ¿MEJORAMIENTO DE CAPACIDADES TÉCNICO PRODUCTIVAS PARA EL DESARROLLO AGROPECUARIO EN CENTROS POBLADOS EN PROCESO DE INCLUSIÓN DE LA REGIÓN CUSCO¿</t>
  </si>
  <si>
    <t>COMERCIALIZADORA A Y V SCRL</t>
  </si>
  <si>
    <t>CONTRATACION DE SILLAS Y MESAS DE AGUANO  PARA EL PROYECTO: MEJORAMIENTO DE LOS SERVICIOS EDUCATIVOS EN LA I.E. DE TECNICO AGROPECUARIO CON JORNADA ESCOLAR COMPLETA, DISTRITO DE LAYO, PROVINCIA DE CANAS, DEPARTAMENTO DEL CUSCO</t>
  </si>
  <si>
    <t>QUISPE TOROBEO VILMA</t>
  </si>
  <si>
    <t>ADQUISICION DE CARPA FAMILIAR PARA 6 PERSONAS, PARA ADMINISTRACION Y ALMACENAMIENTO DE KITS PARA LA ASISTENCIA FRENTE A EMERGENCIAS Y DESASTRES</t>
  </si>
  <si>
    <t>CARPAS DEL SUR</t>
  </si>
  <si>
    <t>CONTRATACIÓN DE EQUIPOS DE PROTECCIÓN PERSONAL PARA BOMBEROS FORESTALES Y BRIGADAS COMUNALES</t>
  </si>
  <si>
    <t xml:space="preserve"> CORPORACION CHALLSE S.A.C</t>
  </si>
  <si>
    <t>CONTRATACIÓN DE EQUIPOS DE PROTECCIÓN PARA BOMBEROS FORESTALES CON CERTIFICACION INTERNACIONAL.</t>
  </si>
  <si>
    <t>ALTURAS SEGURIDAD INDUSTRIAL S.A.C.</t>
  </si>
  <si>
    <t>CONTRATACION DE CERAMICO PARA PISO DE 40 cm X 40 cm APROX (I.E. 51003)</t>
  </si>
  <si>
    <t>BYS FAEDU S.A.C.</t>
  </si>
  <si>
    <t>ADQUISICION DE INSUMOS ALIMENTICIOS PARA PREPARACION DE RACIONES BALANCEADAS PARA LA ALIMENTACION DE CUYES EN ETAPA DE PRODUCCION ,PARA EL MEJORAMIENTO DE CAPACIDADES TECNICO PRODUCTIVAS PARA EL DESARROLLO AGROPECUARIO EN CENTROS POBLADOS  EN PROCESO DE INCLUSION, MULTIDISTRITAL CUSCO - CUSCO</t>
  </si>
  <si>
    <t>ALIMENTOS AYNI PERU S.A.C.</t>
  </si>
  <si>
    <t>CONTRATACIÓN DE MATERIAL AGEGADO</t>
  </si>
  <si>
    <t>ANTARES INGENIEROS ASOCIADOS S.A.C.</t>
  </si>
  <si>
    <t>ADQUISICION DE BALDOSA ACUSTICA DE FIBRA MINERAL PARA EL PROYECTO: MEJORAMIENTO DE LOS SERVICIOS EDUCATIVOS EN LA I.E. DE TECNICO AGROPECUARIO CON JORNADA ESCOLAR COMPLETA, DISTRITO DE LAYO, PROVINCIA DE CANAS, DEPARTAMENTO DEL CUSCO</t>
  </si>
  <si>
    <t>CONTRATACION DE MADERA AGUANO Y CORRIENTE PARA LA  I.E. MIGUEL ANGEL HURTADO</t>
  </si>
  <si>
    <t>VILMA TOROBEO</t>
  </si>
  <si>
    <t>CONTRATACION DE OVER DE RIO (MATERIAL AGREGADO META (138): MEJORAMIENTO DE LA CARRETERA IZCUCHACA -CRUZPATA; PROVINCIAS DE ANTA Y URUBAMBA-CUSCO.</t>
  </si>
  <si>
    <t>CORNEJO CALA DANITZA</t>
  </si>
  <si>
    <t>CONTRATACION DE FILTROS Y ACEITE SPARA MAQUINARIA PESADA</t>
  </si>
  <si>
    <t>CORPORACION DELTA SRL</t>
  </si>
  <si>
    <t>CONTRATACION DE CEMENTO PORTLAND PUZOLANICO TIPO IP X 42.50 KG</t>
  </si>
  <si>
    <t>CONTRATACIÓN DE COMBUSTIBLE DIESEL B5 S-50 PARA LA OBRA INSTALACIÓN DE DEFENSA RIBEREÑA EN LA MARGEN DERECHA DEL RIO TINCOQMAYO SECTOR AAHH. TOMASA TTITO CONDEMAYTA ZONA URBANA DEL DISTRITO DE ACOMAYO - PROVINCIA DE ACOMAYO - CUSCO</t>
  </si>
  <si>
    <t>CONTRATACION TEJA ANDINA Y ACCESORIOS PARA EL PROYECTO: MEJORAMIENTO Y AMPLIACION DEL SERVICIO DE EDUCACION PRIMARIA DE LA I.E.  51017 MARISCAL GAMARRA DISTRITO DE CUSCO - PROVINCIA DE CUSCO - DEPARTAMENTO DE CUSCO</t>
  </si>
  <si>
    <t>CONTRATACIÓN DE  GASOHOL, PARA LABORES DEL CONSEJO REGIONAL DEL GOBIERNO REGIONAL CUSCO</t>
  </si>
  <si>
    <t>CONTRATACIÓN DE COMBUSTIBLE DIESEL B5 S-50, PARA GERENCIA DE ADMINSITRACIÓN DEL GOBIERNO REGIONAL CUSCO</t>
  </si>
  <si>
    <t xml:space="preserve">SERVICENTRO JAKELINE S.C.R.LTDA. </t>
  </si>
  <si>
    <t>ADQUISICION DE ENSERES AGROPECUARIOS, PARA EL MEJORAMIENTO DE CAPACIDADES TECNICO PRODUCTIVAS PARA EL DESARROLLO AGROPECUARIO EN CENTROS POBLADOS EN PROCESO DE EXCLUSION, MULTIDISTRITAL CUSCO</t>
  </si>
  <si>
    <t>XPORT PERU GLOBAL SAC</t>
  </si>
  <si>
    <t>CONTRATACIÓN DE SERVICIO DE ALIMENTACIÓN PARA PERSONAS EN SITUACIÓN DE ABANDONO QUE LLEGARON DE LA CIUDAD DE LIMA HACIA LA CIUDAD DEL CUSCO COMO CONSECUENCIA  DE LA DECLARARÍA DE ESTADO DE EMERGENCIA NACIONAL POR LAS GRAVES CIRCUNSTANCIAS QUE AFECTAN LA VIDA DE LA NACIÓN A CONSECUENCIA DEL BROTE DEL COVID-19</t>
  </si>
  <si>
    <t>CONTRATACIÓN DE SERVICIO DE HOSPEDAJE PARA PERSONAS EN SITUACIÓN DE ABANDONO QUE LLEGARON DE LA CIUDAD DE LIMA HACIA LA CIUDAD DEL CUSCO COMO CONSECUENCIA  DE LA DECLARARÍA DE ESTADO DE EMERGENCIA NACIONAL POR LAS GRAVES CIRCUNSTANCIAS QUE AFECTAN LA VIDA DE LA NACIÓN A CONSECUENCIA DEL BROTE DEL COVID-19</t>
  </si>
  <si>
    <t>CONTRATACIÓN DE PASAJES AEREOS NACIONAL, PARA EL TRASLADO DE POBLADORES EN SITUACIÓN DE ABANDONO Y VARADOS EN LA CIUDAD DE LIMA COMO CONSECUENCIA  DE LA DECLARARÍA DE ESTADO DE EMERGENCIA NACIONAL POR LAS GRAVES CIRCUNSTANCIAS QUE AFECTAN LA VIDA DE LA NACIÓN A CONSECUENCIA DEL BROTE DEL COVID-19</t>
  </si>
  <si>
    <t>CONTRATACION DE CEMENTO PORTLAND TIPO IP PARA EL PROYECTO: MEJORAMIENTO Y AMPLIACION DEL SERVICIO DE EDUCACION PRIMARIA DE LA I.E.  51017 MARISCAL GAMARRA DISTRITO DE CUSCO - PROVINCIA DE CUSCO - DEPARTAMENTO DE CUSCO</t>
  </si>
  <si>
    <t>CONTRATACION DE CUYES PARA PRODUCCION PARA EL MEJORAMIENTOI DE CAPACIDADES TECNICOPRODUCTIVAS PARA LOS CENTROS POBLADOS</t>
  </si>
  <si>
    <t>TECNO ANDES GROUP EIRL</t>
  </si>
  <si>
    <t>CONTRATACION DE SERVICIO DE REFRIGERIOS PARA LA INSTALACION DE LOS SERVICIOS DE PREVENCION Y CONTROL DE INCENDIOS FORESTALES Y PASTIZALES EN LA REGION CUSCO</t>
  </si>
  <si>
    <t>ADQUISICION DE INSUMOS PROTEICOS PARA AVES, PARA EL  MEJORAMIENTO DE CAPACIDADES TECNICO PRODUCTIVAS PARA EL DESARROLLO  AGROPECUARIO EN CENTROS POBLADOS EN PROCESO DE INCLUSION, MULTIDISTRITAL  CUSCO CUSCO</t>
  </si>
  <si>
    <t>ADQUISICION  DE CEMENTO PORTLAND TIPO IP X 42.5 KG</t>
  </si>
  <si>
    <t>EMPRESA OSHI FYG SAC</t>
  </si>
  <si>
    <t>CEMENTO PORTLAND PUZOLANICO TIPO IP X42.5 KG</t>
  </si>
  <si>
    <t>GRUPO SANTA FE S.A.C.</t>
  </si>
  <si>
    <t>CONTRATACION DE AGREGADOS</t>
  </si>
  <si>
    <t>INVERSIONES &amp; DISTRIBUCIONES JESSICA EIRL</t>
  </si>
  <si>
    <t>SORIA SALVATIERRA DAGUER VICENZO</t>
  </si>
  <si>
    <t>CONTRATACIÓN DE DIESEL B-5 S-10 PARA LA META 26: DESARROLLO DE LOS CENTROS Y ESPACIOS DE MONITOREO DE EMERGENCIAS Y DESASTRES.</t>
  </si>
  <si>
    <t>CONTRATACION DE BARRAS DE CONSTRUCCION</t>
  </si>
  <si>
    <t>ACEROS COMERCIALES S C R L</t>
  </si>
  <si>
    <t>CONTRATACION CONCRETO PREMEZCLADO FC 210 PARA EL PROYECTO: MEJORAMIENTO Y AMPLIACION DEL SERVICIO DE EDUCACION PRIMARIA DE LA I.E.  51017 MARISCAL GAMARRA DISTRITO DE CUSCO - PROVINCIA DE CUSCO - DEPARTAMENTO DE CUSCO</t>
  </si>
  <si>
    <t>CONTRATACION DE MINIVAN DE 14 PASAJEROS</t>
  </si>
  <si>
    <t>LOVON MACHADO POLA</t>
  </si>
  <si>
    <t>ASTO OROZCO CINTHYA LUCILA</t>
  </si>
  <si>
    <t>VILLALBA SALCEDO REGINA EUTEMIA</t>
  </si>
  <si>
    <t>INVERSIONES PASCUALINOS SCRL.</t>
  </si>
  <si>
    <t>SERVICIO ALQUILER DE LOCAL SEGÚN TDR</t>
  </si>
  <si>
    <t>CERRATE ANGELES CARLOS ILDEFONSO</t>
  </si>
  <si>
    <t>MORRIEL QUISPE MIRIAM INES</t>
  </si>
  <si>
    <t>DELGADO CABANA CESARI ANIBAL</t>
  </si>
  <si>
    <t>YAURI YUCRA LEONIDAS</t>
  </si>
  <si>
    <t>SOCIEDAD DE BENEFICENCIA PÚBLICA DE SICUANI</t>
  </si>
  <si>
    <t>ALQUILER DE OFICINA</t>
  </si>
  <si>
    <t>CHAMPI HUILLCA MIGUEL</t>
  </si>
  <si>
    <t>OLIVERA AGUIRRE SANDRA</t>
  </si>
  <si>
    <t>CHACON MINAYA MARIA ANTONIA</t>
  </si>
  <si>
    <t>FORMATO N°10 INFORMACION DE REMUNERACION Y NUEMRO DE PLAZAS- PRESUPUESTO 2019, 2020 Y PROYECTO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</si>
</sst>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9">
    <numFmt numFmtId="44" formatCode="_-&quot;S/&quot;* #,##0.00_-;\-&quot;S/&quot;* #,##0.00_-;_-&quot;S/&quot;* &quot;-&quot;??_-;_-@_-"/>
    <numFmt numFmtId="164" formatCode="_ * #,##0.00_ ;_ * \-#,##0.00_ ;_ * &quot;-&quot;??_ ;_ @_ "/>
    <numFmt numFmtId="165" formatCode="_ &quot;S/.&quot;\ * #,##0.00_ ;_ &quot;S/.&quot;\ * \-#,##0.00_ ;_ &quot;S/.&quot;\ * &quot;-&quot;??_ ;_ @_ "/>
    <numFmt numFmtId="166" formatCode="[$-280A]d&quot; de &quot;mmmm&quot; de &quot;yyyy;@"/>
    <numFmt numFmtId="167" formatCode="_ * #,##0_ ;_ * \-#,##0_ ;_ * &quot;-&quot;??_ ;_ @_ "/>
    <numFmt numFmtId="168" formatCode="#,##0;\-#,##0;&quot;&quot;"/>
    <numFmt numFmtId="169" formatCode="_ * #,##0.0_ ;_ * \-#,##0.0_ ;_ * &quot;-&quot;??_ ;_ @_ "/>
    <numFmt numFmtId="170" formatCode="&quot;S/&quot;#,##0.00"/>
    <numFmt numFmtId="171" formatCode="&quot;S/.&quot;\ #,##0.00"/>
    <numFmt numFmtId="172" formatCode="&quot;S/&quot;\ #,##0.00;[Red]&quot;S/&quot;\ \-#,##0.00"/>
    <numFmt numFmtId="173" formatCode="dd/mm/yyyy;@"/>
    <numFmt numFmtId="174" formatCode="#,##0.00_ ;\-#,##0.00\ "/>
    <numFmt numFmtId="175" formatCode="_-[$S/-280A]\ * #,##0.00_-;\-[$S/-280A]\ * #,##0.00_-;_-[$S/-280A]\ * &quot;-&quot;??_-;_-@_-"/>
    <numFmt numFmtId="176" formatCode="_-* #,##0.00\ _€_-;\-* #,##0.00\ _€_-;_-* &quot;-&quot;??\ _€_-;_-@_-"/>
    <numFmt numFmtId="177" formatCode="#,##0_ ;[Red]\-#,##0\ "/>
    <numFmt numFmtId="178" formatCode="#,##0.00_ ;[Red]\-#,##0.00\ "/>
    <numFmt numFmtId="179" formatCode="#,##0_);\-#,##0"/>
    <numFmt numFmtId="180" formatCode="00000000"/>
    <numFmt numFmtId="181" formatCode="#,##0.0"/>
  </numFmts>
  <fonts count="57" x14ac:knownFonts="1">
    <font>
      <sz val="10"/>
      <name val="Arial"/>
    </font>
    <font>
      <sz val="11"/>
      <color theme="1"/>
      <name val="Calibri"/>
      <family val="2"/>
      <scheme val="minor"/>
    </font>
    <font>
      <sz val="11"/>
      <color theme="1"/>
      <name val="Calibri"/>
      <family val="2"/>
      <scheme val="minor"/>
    </font>
    <font>
      <sz val="10"/>
      <name val="Arial"/>
      <family val="2"/>
    </font>
    <font>
      <sz val="8"/>
      <name val="Arial"/>
      <family val="2"/>
    </font>
    <font>
      <b/>
      <sz val="10"/>
      <name val="Arial"/>
      <family val="2"/>
    </font>
    <font>
      <sz val="10"/>
      <name val="Arial Narrow"/>
      <family val="2"/>
    </font>
    <font>
      <sz val="10"/>
      <name val="Arial"/>
      <family val="2"/>
    </font>
    <font>
      <b/>
      <sz val="8"/>
      <name val="Arial"/>
      <family val="2"/>
    </font>
    <font>
      <sz val="10"/>
      <name val="Courier"/>
      <family val="3"/>
    </font>
    <font>
      <b/>
      <sz val="12"/>
      <name val="Arial"/>
      <family val="2"/>
    </font>
    <font>
      <sz val="9"/>
      <name val="Arial"/>
      <family val="2"/>
    </font>
    <font>
      <b/>
      <sz val="9"/>
      <name val="Arial"/>
      <family val="2"/>
    </font>
    <font>
      <sz val="8"/>
      <name val="Arial"/>
      <family val="2"/>
    </font>
    <font>
      <b/>
      <sz val="9"/>
      <color indexed="8"/>
      <name val="Arial"/>
      <family val="2"/>
    </font>
    <font>
      <sz val="9"/>
      <color indexed="32"/>
      <name val="Arial"/>
      <family val="2"/>
    </font>
    <font>
      <sz val="9"/>
      <color indexed="8"/>
      <name val="Arial"/>
      <family val="2"/>
    </font>
    <font>
      <sz val="8"/>
      <color indexed="81"/>
      <name val="Tahoma"/>
      <family val="2"/>
    </font>
    <font>
      <sz val="12"/>
      <name val="Arial"/>
      <family val="2"/>
    </font>
    <font>
      <sz val="8"/>
      <name val="Calibri"/>
      <family val="2"/>
      <scheme val="minor"/>
    </font>
    <font>
      <b/>
      <sz val="8"/>
      <name val="Calibri"/>
      <family val="2"/>
      <scheme val="minor"/>
    </font>
    <font>
      <sz val="8"/>
      <color indexed="8"/>
      <name val="Arial"/>
      <family val="2"/>
    </font>
    <font>
      <b/>
      <u/>
      <sz val="8"/>
      <name val="Arial"/>
      <family val="2"/>
    </font>
    <font>
      <sz val="10"/>
      <name val="Arial"/>
      <family val="2"/>
    </font>
    <font>
      <sz val="11"/>
      <color indexed="8"/>
      <name val="Calibri"/>
      <family val="2"/>
      <scheme val="minor"/>
    </font>
    <font>
      <b/>
      <sz val="9"/>
      <name val="Calibri"/>
      <family val="2"/>
      <scheme val="minor"/>
    </font>
    <font>
      <b/>
      <sz val="10"/>
      <name val="Calibri"/>
      <family val="2"/>
      <scheme val="minor"/>
    </font>
    <font>
      <sz val="10"/>
      <color indexed="8"/>
      <name val="Arial"/>
      <family val="2"/>
    </font>
    <font>
      <sz val="10"/>
      <color theme="1"/>
      <name val="Arial"/>
      <family val="2"/>
    </font>
    <font>
      <sz val="9"/>
      <color rgb="FF000000"/>
      <name val="Calibri"/>
      <family val="2"/>
    </font>
    <font>
      <sz val="9"/>
      <color theme="1"/>
      <name val="Calibri"/>
      <family val="2"/>
    </font>
    <font>
      <sz val="9"/>
      <name val="Calibri"/>
      <family val="2"/>
    </font>
    <font>
      <sz val="10"/>
      <name val="Arial"/>
      <family val="2"/>
    </font>
    <font>
      <b/>
      <sz val="9"/>
      <color theme="1"/>
      <name val="Arial"/>
      <family val="2"/>
    </font>
    <font>
      <sz val="9"/>
      <color theme="1"/>
      <name val="Arial"/>
      <family val="2"/>
    </font>
    <font>
      <sz val="9"/>
      <color rgb="FF333333"/>
      <name val="Arial"/>
      <family val="2"/>
    </font>
    <font>
      <sz val="9"/>
      <color rgb="FF555555"/>
      <name val="Arial"/>
      <family val="2"/>
    </font>
    <font>
      <sz val="11"/>
      <name val="Arial"/>
      <family val="2"/>
    </font>
    <font>
      <sz val="9"/>
      <color rgb="FF000000"/>
      <name val="Arial"/>
      <family val="2"/>
    </font>
    <font>
      <sz val="8"/>
      <color rgb="FF333333"/>
      <name val="Arial"/>
      <family val="2"/>
    </font>
    <font>
      <sz val="8"/>
      <color rgb="FF000000"/>
      <name val="Arial"/>
      <family val="2"/>
    </font>
    <font>
      <sz val="8"/>
      <color theme="1"/>
      <name val="Arial"/>
      <family val="2"/>
    </font>
    <font>
      <sz val="8"/>
      <color rgb="FF222222"/>
      <name val="Arial"/>
      <family val="2"/>
    </font>
    <font>
      <b/>
      <sz val="11"/>
      <name val="Arial"/>
      <family val="2"/>
    </font>
    <font>
      <sz val="16"/>
      <name val="Arial"/>
      <family val="2"/>
    </font>
    <font>
      <b/>
      <sz val="9"/>
      <color rgb="FFC00000"/>
      <name val="Arial"/>
      <family val="2"/>
    </font>
    <font>
      <sz val="9"/>
      <color rgb="FF0070C0"/>
      <name val="Arial"/>
      <family val="2"/>
    </font>
    <font>
      <b/>
      <sz val="7.5"/>
      <name val="Arial Narrow"/>
      <family val="2"/>
    </font>
    <font>
      <sz val="7.5"/>
      <name val="Arial Narrow"/>
      <family val="2"/>
    </font>
    <font>
      <sz val="9"/>
      <name val="Arial Narrow"/>
      <family val="2"/>
    </font>
    <font>
      <b/>
      <sz val="9"/>
      <name val="Arial Narrow"/>
      <family val="2"/>
    </font>
    <font>
      <sz val="8"/>
      <color rgb="FFFF0000"/>
      <name val="Arial"/>
      <family val="2"/>
    </font>
    <font>
      <sz val="10"/>
      <color theme="1"/>
      <name val="Calibri"/>
      <family val="2"/>
      <scheme val="minor"/>
    </font>
    <font>
      <sz val="8"/>
      <color theme="1"/>
      <name val="Calibri"/>
      <family val="2"/>
      <scheme val="minor"/>
    </font>
    <font>
      <sz val="8"/>
      <color rgb="FF555354"/>
      <name val="Arial"/>
      <family val="2"/>
    </font>
    <font>
      <sz val="9"/>
      <color theme="1"/>
      <name val="Calibri"/>
      <family val="2"/>
      <scheme val="minor"/>
    </font>
    <font>
      <b/>
      <sz val="8"/>
      <color theme="1"/>
      <name val="Arial"/>
      <family val="2"/>
    </font>
  </fonts>
  <fills count="17">
    <fill>
      <patternFill patternType="none"/>
    </fill>
    <fill>
      <patternFill patternType="gray125"/>
    </fill>
    <fill>
      <patternFill patternType="solid">
        <fgColor indexed="2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bgColor indexed="64"/>
      </patternFill>
    </fill>
    <fill>
      <patternFill patternType="solid">
        <fgColor theme="3" tint="0.79998168889431442"/>
        <bgColor indexed="64"/>
      </patternFill>
    </fill>
    <fill>
      <patternFill patternType="solid">
        <fgColor theme="9" tint="-0.249977111117893"/>
        <bgColor indexed="64"/>
      </patternFill>
    </fill>
    <fill>
      <patternFill patternType="solid">
        <fgColor theme="9"/>
        <bgColor indexed="64"/>
      </patternFill>
    </fill>
    <fill>
      <patternFill patternType="solid">
        <fgColor rgb="FFFFFFFF"/>
        <bgColor indexed="64"/>
      </patternFill>
    </fill>
    <fill>
      <patternFill patternType="solid">
        <fgColor rgb="FFEEEEEE"/>
        <bgColor indexed="64"/>
      </patternFill>
    </fill>
    <fill>
      <patternFill patternType="solid">
        <fgColor rgb="FF92D050"/>
        <bgColor indexed="64"/>
      </patternFill>
    </fill>
    <fill>
      <patternFill patternType="solid">
        <fgColor rgb="FFFFFFFF"/>
      </patternFill>
    </fill>
    <fill>
      <patternFill patternType="solid">
        <fgColor rgb="FFFFFF00"/>
        <bgColor indexed="64"/>
      </patternFill>
    </fill>
    <fill>
      <patternFill patternType="solid">
        <fgColor theme="7" tint="0.79998168889431442"/>
        <bgColor indexed="64"/>
      </patternFill>
    </fill>
    <fill>
      <patternFill patternType="solid">
        <fgColor theme="0" tint="-4.9989318521683403E-2"/>
        <bgColor indexed="64"/>
      </patternFill>
    </fill>
    <fill>
      <patternFill patternType="solid">
        <fgColor theme="8" tint="0.79998168889431442"/>
        <bgColor indexed="64"/>
      </patternFill>
    </fill>
  </fills>
  <borders count="112">
    <border>
      <left/>
      <right/>
      <top/>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right style="thin">
        <color indexed="64"/>
      </right>
      <top/>
      <bottom/>
      <diagonal/>
    </border>
    <border>
      <left style="medium">
        <color indexed="64"/>
      </left>
      <right style="medium">
        <color indexed="64"/>
      </right>
      <top/>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thick">
        <color indexed="64"/>
      </bottom>
      <diagonal/>
    </border>
    <border>
      <left style="medium">
        <color indexed="64"/>
      </left>
      <right style="medium">
        <color indexed="64"/>
      </right>
      <top style="thin">
        <color indexed="64"/>
      </top>
      <bottom style="thin">
        <color indexed="64"/>
      </bottom>
      <diagonal/>
    </border>
    <border>
      <left/>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bottom/>
      <diagonal/>
    </border>
    <border>
      <left style="thin">
        <color indexed="64"/>
      </left>
      <right style="medium">
        <color indexed="64"/>
      </right>
      <top/>
      <bottom/>
      <diagonal/>
    </border>
    <border>
      <left style="medium">
        <color indexed="64"/>
      </left>
      <right style="thin">
        <color indexed="64"/>
      </right>
      <top/>
      <bottom/>
      <diagonal/>
    </border>
    <border>
      <left style="thin">
        <color indexed="64"/>
      </left>
      <right/>
      <top/>
      <bottom style="medium">
        <color indexed="64"/>
      </bottom>
      <diagonal/>
    </border>
    <border>
      <left style="medium">
        <color indexed="64"/>
      </left>
      <right style="thin">
        <color indexed="64"/>
      </right>
      <top style="medium">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bottom style="thick">
        <color indexed="64"/>
      </bottom>
      <diagonal/>
    </border>
    <border>
      <left/>
      <right/>
      <top style="thin">
        <color indexed="64"/>
      </top>
      <bottom style="thin">
        <color indexed="64"/>
      </bottom>
      <diagonal/>
    </border>
    <border>
      <left style="medium">
        <color indexed="64"/>
      </left>
      <right/>
      <top/>
      <bottom style="thin">
        <color indexed="64"/>
      </bottom>
      <diagonal/>
    </border>
    <border>
      <left style="medium">
        <color indexed="64"/>
      </left>
      <right/>
      <top style="dotted">
        <color indexed="64"/>
      </top>
      <bottom style="dotted">
        <color indexed="64"/>
      </bottom>
      <diagonal/>
    </border>
    <border>
      <left style="thin">
        <color indexed="64"/>
      </left>
      <right style="medium">
        <color indexed="64"/>
      </right>
      <top/>
      <bottom style="medium">
        <color indexed="64"/>
      </bottom>
      <diagonal/>
    </border>
    <border>
      <left style="medium">
        <color indexed="64"/>
      </left>
      <right/>
      <top style="dotted">
        <color indexed="64"/>
      </top>
      <bottom style="medium">
        <color indexed="64"/>
      </bottom>
      <diagonal/>
    </border>
    <border>
      <left style="medium">
        <color indexed="64"/>
      </left>
      <right/>
      <top style="dotted">
        <color indexed="64"/>
      </top>
      <bottom/>
      <diagonal/>
    </border>
    <border>
      <left/>
      <right/>
      <top/>
      <bottom style="medium">
        <color indexed="64"/>
      </bottom>
      <diagonal/>
    </border>
    <border>
      <left style="thin">
        <color indexed="64"/>
      </left>
      <right/>
      <top style="thin">
        <color indexed="64"/>
      </top>
      <bottom/>
      <diagonal/>
    </border>
    <border>
      <left style="medium">
        <color indexed="64"/>
      </left>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style="thin">
        <color indexed="64"/>
      </left>
      <right style="thin">
        <color indexed="64"/>
      </right>
      <top style="dotted">
        <color indexed="64"/>
      </top>
      <bottom/>
      <diagonal/>
    </border>
    <border>
      <left style="thin">
        <color indexed="64"/>
      </left>
      <right style="medium">
        <color indexed="64"/>
      </right>
      <top style="dotted">
        <color indexed="64"/>
      </top>
      <bottom/>
      <diagonal/>
    </border>
    <border>
      <left style="medium">
        <color rgb="FFC00000"/>
      </left>
      <right/>
      <top style="medium">
        <color rgb="FFC00000"/>
      </top>
      <bottom style="dotted">
        <color rgb="FFC00000"/>
      </bottom>
      <diagonal/>
    </border>
    <border>
      <left style="medium">
        <color rgb="FFC00000"/>
      </left>
      <right style="thin">
        <color rgb="FFC00000"/>
      </right>
      <top style="medium">
        <color rgb="FFC00000"/>
      </top>
      <bottom style="dotted">
        <color rgb="FFC00000"/>
      </bottom>
      <diagonal/>
    </border>
    <border>
      <left style="thin">
        <color rgb="FFC00000"/>
      </left>
      <right style="thin">
        <color rgb="FFC00000"/>
      </right>
      <top style="medium">
        <color rgb="FFC00000"/>
      </top>
      <bottom style="dotted">
        <color rgb="FFC00000"/>
      </bottom>
      <diagonal/>
    </border>
    <border>
      <left style="thin">
        <color rgb="FFC00000"/>
      </left>
      <right style="medium">
        <color rgb="FFC00000"/>
      </right>
      <top style="medium">
        <color rgb="FFC00000"/>
      </top>
      <bottom style="dotted">
        <color rgb="FFC00000"/>
      </bottom>
      <diagonal/>
    </border>
    <border>
      <left/>
      <right/>
      <top style="dotted">
        <color rgb="FFC00000"/>
      </top>
      <bottom style="dotted">
        <color rgb="FFC00000"/>
      </bottom>
      <diagonal/>
    </border>
    <border>
      <left style="medium">
        <color rgb="FFC00000"/>
      </left>
      <right style="thin">
        <color rgb="FFC00000"/>
      </right>
      <top style="dotted">
        <color rgb="FFC00000"/>
      </top>
      <bottom style="dotted">
        <color rgb="FFC00000"/>
      </bottom>
      <diagonal/>
    </border>
    <border>
      <left style="thin">
        <color rgb="FFC00000"/>
      </left>
      <right style="thin">
        <color rgb="FFC00000"/>
      </right>
      <top style="dotted">
        <color rgb="FFC00000"/>
      </top>
      <bottom style="dotted">
        <color rgb="FFC00000"/>
      </bottom>
      <diagonal/>
    </border>
    <border>
      <left style="thin">
        <color rgb="FFC00000"/>
      </left>
      <right style="medium">
        <color rgb="FFC00000"/>
      </right>
      <top style="dotted">
        <color rgb="FFC00000"/>
      </top>
      <bottom style="dotted">
        <color rgb="FFC00000"/>
      </bottom>
      <diagonal/>
    </border>
    <border>
      <left/>
      <right/>
      <top style="dotted">
        <color rgb="FFC00000"/>
      </top>
      <bottom style="medium">
        <color rgb="FFC00000"/>
      </bottom>
      <diagonal/>
    </border>
    <border>
      <left style="medium">
        <color rgb="FFC00000"/>
      </left>
      <right style="thin">
        <color rgb="FFC00000"/>
      </right>
      <top style="dotted">
        <color rgb="FFC00000"/>
      </top>
      <bottom style="medium">
        <color rgb="FFC00000"/>
      </bottom>
      <diagonal/>
    </border>
    <border>
      <left style="thin">
        <color rgb="FFC00000"/>
      </left>
      <right style="thin">
        <color rgb="FFC00000"/>
      </right>
      <top style="dotted">
        <color rgb="FFC00000"/>
      </top>
      <bottom style="medium">
        <color rgb="FFC00000"/>
      </bottom>
      <diagonal/>
    </border>
    <border>
      <left style="thin">
        <color rgb="FFC00000"/>
      </left>
      <right style="medium">
        <color rgb="FFC00000"/>
      </right>
      <top style="dotted">
        <color rgb="FFC00000"/>
      </top>
      <bottom style="medium">
        <color rgb="FFC00000"/>
      </bottom>
      <diagonal/>
    </border>
    <border>
      <left/>
      <right/>
      <top/>
      <bottom style="thin">
        <color indexed="30"/>
      </bottom>
      <diagonal/>
    </border>
    <border>
      <left style="medium">
        <color indexed="62"/>
      </left>
      <right style="thin">
        <color indexed="62"/>
      </right>
      <top/>
      <bottom style="thin">
        <color indexed="62"/>
      </bottom>
      <diagonal/>
    </border>
    <border>
      <left style="thin">
        <color indexed="62"/>
      </left>
      <right style="thin">
        <color indexed="62"/>
      </right>
      <top/>
      <bottom style="thin">
        <color indexed="62"/>
      </bottom>
      <diagonal/>
    </border>
    <border>
      <left style="thin">
        <color indexed="62"/>
      </left>
      <right/>
      <top/>
      <bottom style="thin">
        <color indexed="62"/>
      </bottom>
      <diagonal/>
    </border>
    <border>
      <left style="thin">
        <color indexed="62"/>
      </left>
      <right style="medium">
        <color indexed="62"/>
      </right>
      <top/>
      <bottom style="thin">
        <color indexed="62"/>
      </bottom>
      <diagonal/>
    </border>
    <border>
      <left/>
      <right/>
      <top style="thin">
        <color indexed="30"/>
      </top>
      <bottom style="thin">
        <color indexed="30"/>
      </bottom>
      <diagonal/>
    </border>
    <border>
      <left style="medium">
        <color indexed="62"/>
      </left>
      <right style="thin">
        <color indexed="62"/>
      </right>
      <top style="thin">
        <color indexed="62"/>
      </top>
      <bottom style="thin">
        <color indexed="62"/>
      </bottom>
      <diagonal/>
    </border>
    <border>
      <left style="thin">
        <color indexed="62"/>
      </left>
      <right style="thin">
        <color indexed="62"/>
      </right>
      <top style="thin">
        <color indexed="62"/>
      </top>
      <bottom style="thin">
        <color indexed="62"/>
      </bottom>
      <diagonal/>
    </border>
    <border>
      <left style="thin">
        <color indexed="62"/>
      </left>
      <right/>
      <top style="thin">
        <color indexed="62"/>
      </top>
      <bottom style="thin">
        <color indexed="62"/>
      </bottom>
      <diagonal/>
    </border>
    <border>
      <left style="thin">
        <color indexed="62"/>
      </left>
      <right style="medium">
        <color indexed="62"/>
      </right>
      <top style="thin">
        <color indexed="62"/>
      </top>
      <bottom style="thin">
        <color indexed="62"/>
      </bottom>
      <diagonal/>
    </border>
    <border>
      <left/>
      <right/>
      <top style="thin">
        <color indexed="30"/>
      </top>
      <bottom style="medium">
        <color indexed="30"/>
      </bottom>
      <diagonal/>
    </border>
    <border>
      <left style="medium">
        <color indexed="62"/>
      </left>
      <right style="thin">
        <color indexed="62"/>
      </right>
      <top style="thin">
        <color indexed="62"/>
      </top>
      <bottom style="medium">
        <color indexed="62"/>
      </bottom>
      <diagonal/>
    </border>
    <border>
      <left style="thin">
        <color indexed="62"/>
      </left>
      <right style="thin">
        <color indexed="62"/>
      </right>
      <top style="thin">
        <color indexed="62"/>
      </top>
      <bottom style="medium">
        <color indexed="62"/>
      </bottom>
      <diagonal/>
    </border>
    <border>
      <left style="thin">
        <color indexed="62"/>
      </left>
      <right/>
      <top style="thin">
        <color indexed="62"/>
      </top>
      <bottom style="medium">
        <color indexed="62"/>
      </bottom>
      <diagonal/>
    </border>
    <border>
      <left style="thin">
        <color indexed="62"/>
      </left>
      <right style="medium">
        <color indexed="62"/>
      </right>
      <top style="thin">
        <color indexed="62"/>
      </top>
      <bottom style="medium">
        <color indexed="62"/>
      </bottom>
      <diagonal/>
    </border>
    <border>
      <left style="medium">
        <color rgb="FFC00000"/>
      </left>
      <right style="thin">
        <color rgb="FFC00000"/>
      </right>
      <top style="medium">
        <color rgb="FFC00000"/>
      </top>
      <bottom style="medium">
        <color rgb="FFC00000"/>
      </bottom>
      <diagonal/>
    </border>
    <border>
      <left style="thin">
        <color rgb="FFC00000"/>
      </left>
      <right style="thin">
        <color rgb="FFC00000"/>
      </right>
      <top style="medium">
        <color rgb="FFC00000"/>
      </top>
      <bottom style="medium">
        <color rgb="FFC00000"/>
      </bottom>
      <diagonal/>
    </border>
    <border>
      <left style="thin">
        <color rgb="FFC00000"/>
      </left>
      <right style="medium">
        <color rgb="FFC00000"/>
      </right>
      <top style="medium">
        <color rgb="FFC00000"/>
      </top>
      <bottom style="medium">
        <color rgb="FFC00000"/>
      </bottom>
      <diagonal/>
    </border>
    <border>
      <left style="thin">
        <color indexed="64"/>
      </left>
      <right/>
      <top style="medium">
        <color indexed="64"/>
      </top>
      <bottom/>
      <diagonal/>
    </border>
  </borders>
  <cellStyleXfs count="19">
    <xf numFmtId="0" fontId="0" fillId="0" borderId="0"/>
    <xf numFmtId="0" fontId="6" fillId="0" borderId="0"/>
    <xf numFmtId="0" fontId="6" fillId="0" borderId="0"/>
    <xf numFmtId="49" fontId="9" fillId="0" borderId="0"/>
    <xf numFmtId="0" fontId="3" fillId="0" borderId="0"/>
    <xf numFmtId="164" fontId="23" fillId="0" borderId="0" applyFont="0" applyFill="0" applyBorder="0" applyAlignment="0" applyProtection="0"/>
    <xf numFmtId="0" fontId="24" fillId="0" borderId="0"/>
    <xf numFmtId="164" fontId="24" fillId="0" borderId="0" applyFont="0" applyFill="0" applyBorder="0" applyAlignment="0" applyProtection="0"/>
    <xf numFmtId="164" fontId="3" fillId="0" borderId="0" applyFont="0" applyFill="0" applyBorder="0" applyAlignment="0" applyProtection="0"/>
    <xf numFmtId="0" fontId="2" fillId="0" borderId="0"/>
    <xf numFmtId="164" fontId="2" fillId="0" borderId="0" applyFont="0" applyFill="0" applyBorder="0" applyAlignment="0" applyProtection="0"/>
    <xf numFmtId="165" fontId="32"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44" fontId="3" fillId="0" borderId="0" applyFont="0" applyFill="0" applyBorder="0" applyAlignment="0" applyProtection="0"/>
    <xf numFmtId="0" fontId="3" fillId="0" borderId="0"/>
    <xf numFmtId="0" fontId="1" fillId="0" borderId="0"/>
    <xf numFmtId="0" fontId="1" fillId="0" borderId="0"/>
    <xf numFmtId="0" fontId="1" fillId="0" borderId="0"/>
  </cellStyleXfs>
  <cellXfs count="1327">
    <xf numFmtId="0" fontId="0" fillId="0" borderId="0" xfId="0"/>
    <xf numFmtId="0" fontId="11" fillId="0" borderId="0" xfId="2" applyFont="1" applyFill="1" applyBorder="1" applyAlignment="1">
      <alignment horizontal="left" vertical="center"/>
    </xf>
    <xf numFmtId="0" fontId="12" fillId="0" borderId="0" xfId="2" applyFont="1" applyFill="1" applyBorder="1" applyAlignment="1">
      <alignment vertical="center"/>
    </xf>
    <xf numFmtId="0" fontId="11" fillId="0" borderId="0" xfId="0" applyFont="1"/>
    <xf numFmtId="0" fontId="11" fillId="0" borderId="3" xfId="0" applyFont="1" applyBorder="1"/>
    <xf numFmtId="0" fontId="11" fillId="0" borderId="0" xfId="0" applyFont="1" applyFill="1"/>
    <xf numFmtId="0" fontId="12" fillId="0" borderId="0" xfId="0" applyFont="1" applyFill="1" applyAlignment="1">
      <alignment horizontal="center"/>
    </xf>
    <xf numFmtId="0" fontId="11" fillId="0" borderId="0" xfId="0" applyFont="1" applyFill="1" applyBorder="1"/>
    <xf numFmtId="0" fontId="11" fillId="0" borderId="0" xfId="0" applyFont="1" applyBorder="1"/>
    <xf numFmtId="0" fontId="12" fillId="0" borderId="0" xfId="0" applyFont="1" applyBorder="1"/>
    <xf numFmtId="49" fontId="11" fillId="0" borderId="0" xfId="3" applyFont="1" applyAlignment="1">
      <alignment vertical="center"/>
    </xf>
    <xf numFmtId="0" fontId="12" fillId="0" borderId="0" xfId="0" applyFont="1"/>
    <xf numFmtId="0" fontId="11" fillId="0" borderId="14" xfId="0" applyFont="1" applyBorder="1"/>
    <xf numFmtId="0" fontId="11" fillId="0" borderId="5" xfId="0" applyFont="1" applyBorder="1"/>
    <xf numFmtId="0" fontId="11" fillId="0" borderId="18" xfId="0" applyFont="1" applyBorder="1"/>
    <xf numFmtId="49" fontId="15" fillId="0" borderId="0" xfId="1" quotePrefix="1" applyNumberFormat="1" applyFont="1" applyFill="1" applyAlignment="1">
      <alignment horizontal="left" vertical="center"/>
    </xf>
    <xf numFmtId="49" fontId="11" fillId="0" borderId="0" xfId="1" applyNumberFormat="1" applyFont="1" applyFill="1" applyAlignment="1">
      <alignment horizontal="left" vertical="center"/>
    </xf>
    <xf numFmtId="0" fontId="11" fillId="0" borderId="6" xfId="0" applyFont="1" applyBorder="1"/>
    <xf numFmtId="49" fontId="11" fillId="0" borderId="3" xfId="0" applyNumberFormat="1" applyFont="1" applyBorder="1" applyAlignment="1">
      <alignment horizontal="left"/>
    </xf>
    <xf numFmtId="0" fontId="11" fillId="0" borderId="7" xfId="0" applyFont="1" applyBorder="1" applyAlignment="1">
      <alignment horizontal="right"/>
    </xf>
    <xf numFmtId="0" fontId="11" fillId="0" borderId="3" xfId="0" applyFont="1" applyBorder="1" applyAlignment="1">
      <alignment horizontal="center"/>
    </xf>
    <xf numFmtId="0" fontId="11" fillId="0" borderId="0" xfId="2" applyFont="1" applyAlignment="1">
      <alignment vertical="center"/>
    </xf>
    <xf numFmtId="0" fontId="12" fillId="0" borderId="0" xfId="2" applyFont="1" applyFill="1" applyBorder="1" applyAlignment="1">
      <alignment horizontal="center" vertical="center"/>
    </xf>
    <xf numFmtId="0" fontId="12" fillId="2" borderId="19" xfId="2" applyFont="1" applyFill="1" applyBorder="1" applyAlignment="1">
      <alignment horizontal="center" vertical="center"/>
    </xf>
    <xf numFmtId="0" fontId="12" fillId="2" borderId="18" xfId="2" applyFont="1" applyFill="1" applyBorder="1" applyAlignment="1">
      <alignment horizontal="center" vertical="center"/>
    </xf>
    <xf numFmtId="0" fontId="12" fillId="2" borderId="11" xfId="2" applyFont="1" applyFill="1" applyBorder="1" applyAlignment="1">
      <alignment horizontal="center" vertical="center"/>
    </xf>
    <xf numFmtId="0" fontId="12" fillId="2" borderId="18" xfId="2" applyFont="1" applyFill="1" applyBorder="1" applyAlignment="1">
      <alignment vertical="center"/>
    </xf>
    <xf numFmtId="0" fontId="12" fillId="2" borderId="5" xfId="2" applyFont="1" applyFill="1" applyBorder="1" applyAlignment="1">
      <alignment vertical="center"/>
    </xf>
    <xf numFmtId="0" fontId="11" fillId="0" borderId="12" xfId="0" applyFont="1" applyBorder="1"/>
    <xf numFmtId="0" fontId="12" fillId="2" borderId="7" xfId="2" applyFont="1" applyFill="1" applyBorder="1" applyAlignment="1">
      <alignment horizontal="center" vertical="center"/>
    </xf>
    <xf numFmtId="0" fontId="12" fillId="2" borderId="21" xfId="2" applyFont="1" applyFill="1" applyBorder="1" applyAlignment="1">
      <alignment horizontal="center" vertical="center"/>
    </xf>
    <xf numFmtId="0" fontId="11" fillId="0" borderId="16" xfId="0" applyFont="1" applyBorder="1"/>
    <xf numFmtId="166" fontId="11" fillId="0" borderId="0" xfId="0" applyNumberFormat="1" applyFont="1"/>
    <xf numFmtId="0" fontId="11" fillId="0" borderId="15" xfId="0" applyFont="1" applyBorder="1"/>
    <xf numFmtId="0" fontId="12" fillId="0" borderId="29" xfId="2" applyFont="1" applyFill="1" applyBorder="1" applyAlignment="1">
      <alignment vertical="center"/>
    </xf>
    <xf numFmtId="0" fontId="11" fillId="0" borderId="53" xfId="0" applyFont="1" applyBorder="1"/>
    <xf numFmtId="0" fontId="12" fillId="2" borderId="8" xfId="2" applyFont="1" applyFill="1" applyBorder="1" applyAlignment="1">
      <alignment horizontal="center" vertical="center"/>
    </xf>
    <xf numFmtId="0" fontId="12" fillId="2" borderId="4" xfId="2" applyFont="1" applyFill="1" applyBorder="1" applyAlignment="1">
      <alignment horizontal="center" vertical="center"/>
    </xf>
    <xf numFmtId="0" fontId="11" fillId="0" borderId="0" xfId="0" applyFont="1" applyAlignment="1">
      <alignment wrapText="1"/>
    </xf>
    <xf numFmtId="49" fontId="11" fillId="0" borderId="7" xfId="0" applyNumberFormat="1" applyFont="1" applyBorder="1" applyAlignment="1">
      <alignment horizontal="left"/>
    </xf>
    <xf numFmtId="0" fontId="11" fillId="0" borderId="3" xfId="0" applyFont="1" applyBorder="1" applyAlignment="1">
      <alignment horizontal="left"/>
    </xf>
    <xf numFmtId="0" fontId="11" fillId="0" borderId="0" xfId="2" applyFont="1" applyFill="1" applyBorder="1" applyAlignment="1">
      <alignment vertical="center"/>
    </xf>
    <xf numFmtId="0" fontId="12" fillId="0" borderId="41" xfId="0" applyFont="1" applyBorder="1" applyAlignment="1">
      <alignment horizontal="center"/>
    </xf>
    <xf numFmtId="0" fontId="11" fillId="0" borderId="0" xfId="0" applyFont="1" applyAlignment="1">
      <alignment horizontal="center" wrapText="1"/>
    </xf>
    <xf numFmtId="0" fontId="12" fillId="0" borderId="0" xfId="0" applyFont="1" applyAlignment="1">
      <alignment horizontal="center" textRotation="90" wrapText="1"/>
    </xf>
    <xf numFmtId="0" fontId="4" fillId="0" borderId="0" xfId="0" applyFont="1" applyAlignment="1">
      <alignment horizontal="center" vertical="center" wrapText="1"/>
    </xf>
    <xf numFmtId="0" fontId="4" fillId="0" borderId="0" xfId="0" applyFont="1"/>
    <xf numFmtId="0" fontId="4" fillId="0" borderId="0" xfId="0" applyFont="1" applyAlignment="1">
      <alignment wrapText="1"/>
    </xf>
    <xf numFmtId="0" fontId="11" fillId="0" borderId="0" xfId="0" applyFont="1"/>
    <xf numFmtId="0" fontId="12" fillId="2" borderId="21" xfId="2" applyFont="1" applyFill="1" applyBorder="1" applyAlignment="1">
      <alignment horizontal="center" vertical="center"/>
    </xf>
    <xf numFmtId="0" fontId="11" fillId="3" borderId="11" xfId="0" applyFont="1" applyFill="1" applyBorder="1" applyAlignment="1">
      <alignment horizontal="right"/>
    </xf>
    <xf numFmtId="0" fontId="11" fillId="0" borderId="31" xfId="0" applyNumberFormat="1" applyFont="1" applyBorder="1"/>
    <xf numFmtId="0" fontId="11" fillId="0" borderId="30" xfId="0" applyNumberFormat="1" applyFont="1" applyBorder="1"/>
    <xf numFmtId="0" fontId="11" fillId="0" borderId="26" xfId="0" applyNumberFormat="1" applyFont="1" applyBorder="1"/>
    <xf numFmtId="0" fontId="11" fillId="0" borderId="29" xfId="0" applyNumberFormat="1" applyFont="1" applyBorder="1"/>
    <xf numFmtId="0" fontId="11" fillId="0" borderId="34" xfId="0" applyNumberFormat="1" applyFont="1" applyBorder="1"/>
    <xf numFmtId="0" fontId="11" fillId="3" borderId="37" xfId="0" applyNumberFormat="1" applyFont="1" applyFill="1" applyBorder="1"/>
    <xf numFmtId="0" fontId="11" fillId="0" borderId="22" xfId="0" applyNumberFormat="1" applyFont="1" applyBorder="1"/>
    <xf numFmtId="0" fontId="11" fillId="0" borderId="25" xfId="0" applyNumberFormat="1" applyFont="1" applyBorder="1"/>
    <xf numFmtId="0" fontId="11" fillId="0" borderId="0" xfId="0" applyFont="1"/>
    <xf numFmtId="0" fontId="12" fillId="2" borderId="21" xfId="2" applyFont="1" applyFill="1" applyBorder="1" applyAlignment="1">
      <alignment horizontal="center" vertical="center"/>
    </xf>
    <xf numFmtId="0" fontId="12" fillId="2" borderId="18" xfId="2" applyFont="1" applyFill="1" applyBorder="1" applyAlignment="1">
      <alignment horizontal="center" vertical="center"/>
    </xf>
    <xf numFmtId="0" fontId="12" fillId="2" borderId="11" xfId="2" applyFont="1" applyFill="1" applyBorder="1" applyAlignment="1">
      <alignment horizontal="center" vertical="center"/>
    </xf>
    <xf numFmtId="0" fontId="12" fillId="0" borderId="0" xfId="0" applyFont="1" applyFill="1"/>
    <xf numFmtId="0" fontId="11" fillId="5" borderId="0" xfId="0" applyFont="1" applyFill="1" applyBorder="1"/>
    <xf numFmtId="0" fontId="10" fillId="5" borderId="0" xfId="0" applyFont="1" applyFill="1"/>
    <xf numFmtId="0" fontId="11" fillId="0" borderId="0" xfId="0" applyFont="1"/>
    <xf numFmtId="0" fontId="12" fillId="5" borderId="0" xfId="0" applyFont="1" applyFill="1"/>
    <xf numFmtId="0" fontId="12" fillId="5" borderId="0" xfId="2" applyFont="1" applyFill="1" applyAlignment="1">
      <alignment vertical="center"/>
    </xf>
    <xf numFmtId="0" fontId="12" fillId="5" borderId="0" xfId="0" applyFont="1" applyFill="1" applyBorder="1"/>
    <xf numFmtId="0" fontId="11" fillId="5" borderId="0" xfId="0" applyFont="1" applyFill="1"/>
    <xf numFmtId="0" fontId="10" fillId="4" borderId="0" xfId="0" applyFont="1" applyFill="1" applyAlignment="1">
      <alignment vertical="center"/>
    </xf>
    <xf numFmtId="0" fontId="18" fillId="4" borderId="0" xfId="0" applyFont="1" applyFill="1" applyAlignment="1">
      <alignment vertical="center" wrapText="1"/>
    </xf>
    <xf numFmtId="0" fontId="18" fillId="4" borderId="0" xfId="0" applyFont="1" applyFill="1" applyAlignment="1">
      <alignment vertical="center"/>
    </xf>
    <xf numFmtId="0" fontId="0" fillId="0" borderId="0" xfId="0" applyAlignment="1">
      <alignment vertical="center"/>
    </xf>
    <xf numFmtId="0" fontId="0" fillId="0" borderId="0" xfId="0" applyAlignment="1">
      <alignment vertical="center" wrapText="1"/>
    </xf>
    <xf numFmtId="0" fontId="7" fillId="0" borderId="0" xfId="0" applyFont="1" applyAlignment="1">
      <alignment vertical="center"/>
    </xf>
    <xf numFmtId="0" fontId="5" fillId="0" borderId="0" xfId="0" applyFont="1" applyAlignment="1">
      <alignment vertical="center"/>
    </xf>
    <xf numFmtId="0" fontId="18" fillId="0" borderId="0" xfId="0" applyFont="1" applyFill="1" applyAlignment="1">
      <alignment vertical="center"/>
    </xf>
    <xf numFmtId="0" fontId="0" fillId="0" borderId="0" xfId="0" applyFill="1" applyAlignment="1">
      <alignment vertical="center"/>
    </xf>
    <xf numFmtId="0" fontId="7" fillId="0" borderId="0" xfId="0" applyFont="1" applyFill="1" applyAlignment="1">
      <alignment vertical="center"/>
    </xf>
    <xf numFmtId="0" fontId="11" fillId="0" borderId="0" xfId="0" applyFont="1"/>
    <xf numFmtId="0" fontId="12" fillId="0" borderId="0" xfId="2" applyFont="1" applyFill="1" applyAlignment="1">
      <alignment vertical="center"/>
    </xf>
    <xf numFmtId="0" fontId="12" fillId="0" borderId="0" xfId="0" applyFont="1" applyFill="1" applyAlignment="1"/>
    <xf numFmtId="0" fontId="10" fillId="0" borderId="0" xfId="0" applyFont="1" applyFill="1"/>
    <xf numFmtId="0" fontId="10" fillId="0" borderId="0" xfId="2" applyFont="1" applyFill="1" applyAlignment="1">
      <alignment vertical="center"/>
    </xf>
    <xf numFmtId="0" fontId="18" fillId="0" borderId="0" xfId="0" applyFont="1" applyFill="1"/>
    <xf numFmtId="49" fontId="10" fillId="0" borderId="0" xfId="3" applyFont="1" applyFill="1" applyAlignment="1">
      <alignment vertical="center"/>
    </xf>
    <xf numFmtId="49" fontId="10" fillId="0" borderId="0" xfId="3" applyFont="1" applyFill="1" applyBorder="1" applyAlignment="1">
      <alignment vertical="center"/>
    </xf>
    <xf numFmtId="0" fontId="8" fillId="0" borderId="0" xfId="0" applyFont="1" applyFill="1" applyAlignment="1">
      <alignment horizontal="left"/>
    </xf>
    <xf numFmtId="0" fontId="4" fillId="0" borderId="0" xfId="0" applyFont="1" applyFill="1" applyAlignment="1">
      <alignment horizontal="left"/>
    </xf>
    <xf numFmtId="0" fontId="8" fillId="0" borderId="0" xfId="2" applyFont="1" applyFill="1" applyAlignment="1">
      <alignment vertical="center"/>
    </xf>
    <xf numFmtId="0" fontId="4" fillId="0" borderId="0" xfId="0" applyFont="1" applyAlignment="1">
      <alignment horizontal="justify" vertical="center" wrapText="1"/>
    </xf>
    <xf numFmtId="0" fontId="20" fillId="0" borderId="0" xfId="0" applyFont="1" applyFill="1"/>
    <xf numFmtId="0" fontId="20" fillId="0" borderId="0" xfId="0" applyFont="1" applyFill="1" applyAlignment="1"/>
    <xf numFmtId="0" fontId="20" fillId="0" borderId="0" xfId="2" applyFont="1" applyFill="1" applyAlignment="1">
      <alignment vertical="center"/>
    </xf>
    <xf numFmtId="0" fontId="19" fillId="0" borderId="0" xfId="0" applyFont="1" applyFill="1"/>
    <xf numFmtId="0" fontId="19" fillId="0" borderId="0" xfId="0" applyFont="1"/>
    <xf numFmtId="0" fontId="20" fillId="0" borderId="0" xfId="0" applyFont="1"/>
    <xf numFmtId="0" fontId="19" fillId="0" borderId="0" xfId="0" applyFont="1" applyFill="1" applyAlignment="1">
      <alignment horizontal="centerContinuous"/>
    </xf>
    <xf numFmtId="0" fontId="19" fillId="0" borderId="0" xfId="0" applyFont="1" applyAlignment="1">
      <alignment vertical="center" wrapText="1"/>
    </xf>
    <xf numFmtId="0" fontId="19" fillId="0" borderId="0" xfId="0" applyFont="1" applyAlignment="1">
      <alignment wrapText="1"/>
    </xf>
    <xf numFmtId="49" fontId="20" fillId="0" borderId="0" xfId="3" applyFont="1" applyBorder="1" applyAlignment="1">
      <alignment horizontal="left" vertical="center"/>
    </xf>
    <xf numFmtId="3" fontId="19" fillId="0" borderId="0" xfId="3" applyNumberFormat="1" applyFont="1" applyBorder="1" applyAlignment="1">
      <alignment vertical="center"/>
    </xf>
    <xf numFmtId="3" fontId="19" fillId="0" borderId="0" xfId="3" applyNumberFormat="1" applyFont="1" applyAlignment="1">
      <alignment vertical="center"/>
    </xf>
    <xf numFmtId="3" fontId="19" fillId="0" borderId="0" xfId="3" applyNumberFormat="1" applyFont="1" applyAlignment="1">
      <alignment horizontal="right" vertical="center"/>
    </xf>
    <xf numFmtId="3" fontId="19" fillId="0" borderId="14" xfId="0" applyNumberFormat="1" applyFont="1" applyBorder="1"/>
    <xf numFmtId="3" fontId="19" fillId="0" borderId="0" xfId="0" applyNumberFormat="1" applyFont="1" applyBorder="1"/>
    <xf numFmtId="3" fontId="19" fillId="0" borderId="4" xfId="0" applyNumberFormat="1" applyFont="1" applyBorder="1"/>
    <xf numFmtId="3" fontId="19" fillId="0" borderId="0" xfId="0" applyNumberFormat="1" applyFont="1" applyBorder="1" applyAlignment="1"/>
    <xf numFmtId="3" fontId="19" fillId="0" borderId="14" xfId="0" applyNumberFormat="1" applyFont="1" applyBorder="1" applyAlignment="1"/>
    <xf numFmtId="0" fontId="19" fillId="0" borderId="11" xfId="0" applyFont="1" applyBorder="1"/>
    <xf numFmtId="0" fontId="20" fillId="0" borderId="0" xfId="0" applyFont="1" applyAlignment="1">
      <alignment horizontal="center" vertical="center" textRotation="90"/>
    </xf>
    <xf numFmtId="0" fontId="20" fillId="0" borderId="14" xfId="0" applyFont="1" applyBorder="1" applyAlignment="1"/>
    <xf numFmtId="0" fontId="20" fillId="0" borderId="0" xfId="0" applyFont="1" applyFill="1" applyAlignment="1">
      <alignment horizontal="center" vertical="center" wrapText="1"/>
    </xf>
    <xf numFmtId="0" fontId="19" fillId="0" borderId="14" xfId="0" applyFont="1" applyBorder="1"/>
    <xf numFmtId="3" fontId="19" fillId="0" borderId="4" xfId="0" applyNumberFormat="1" applyFont="1" applyBorder="1" applyAlignment="1"/>
    <xf numFmtId="0" fontId="19" fillId="0" borderId="0" xfId="0" applyFont="1" applyBorder="1"/>
    <xf numFmtId="0" fontId="19" fillId="0" borderId="4" xfId="0" applyFont="1" applyBorder="1"/>
    <xf numFmtId="0" fontId="12" fillId="0" borderId="18" xfId="0" applyFont="1" applyBorder="1" applyAlignment="1">
      <alignment horizontal="center"/>
    </xf>
    <xf numFmtId="0" fontId="11" fillId="0" borderId="42" xfId="0" applyFont="1" applyBorder="1"/>
    <xf numFmtId="0" fontId="11" fillId="0" borderId="17" xfId="0" applyFont="1" applyBorder="1"/>
    <xf numFmtId="0" fontId="11" fillId="0" borderId="41" xfId="0" applyFont="1" applyBorder="1"/>
    <xf numFmtId="0" fontId="5" fillId="0" borderId="0" xfId="0" applyFont="1" applyAlignment="1">
      <alignment horizontal="center" vertical="center"/>
    </xf>
    <xf numFmtId="0" fontId="3" fillId="0" borderId="0" xfId="0" applyFont="1" applyFill="1"/>
    <xf numFmtId="0" fontId="3" fillId="0" borderId="0" xfId="0" applyFont="1" applyFill="1" applyBorder="1"/>
    <xf numFmtId="0" fontId="3" fillId="0" borderId="0" xfId="0" applyFont="1" applyFill="1" applyAlignment="1">
      <alignment vertical="center"/>
    </xf>
    <xf numFmtId="0" fontId="19" fillId="0" borderId="0" xfId="0" applyFont="1"/>
    <xf numFmtId="0" fontId="8" fillId="7" borderId="32" xfId="0" applyFont="1" applyFill="1" applyBorder="1" applyAlignment="1">
      <alignment horizontal="center" vertical="center" wrapText="1"/>
    </xf>
    <xf numFmtId="0" fontId="8" fillId="7" borderId="23" xfId="0" applyFont="1" applyFill="1" applyBorder="1" applyAlignment="1">
      <alignment horizontal="center" vertical="center" wrapText="1"/>
    </xf>
    <xf numFmtId="0" fontId="20" fillId="7" borderId="18" xfId="0" applyFont="1" applyFill="1" applyBorder="1" applyAlignment="1">
      <alignment horizontal="center" vertical="center" textRotation="90" wrapText="1"/>
    </xf>
    <xf numFmtId="0" fontId="20" fillId="7" borderId="5" xfId="0" applyFont="1" applyFill="1" applyBorder="1" applyAlignment="1">
      <alignment horizontal="center" vertical="center" textRotation="90" wrapText="1"/>
    </xf>
    <xf numFmtId="0" fontId="20" fillId="7" borderId="20" xfId="0" applyFont="1" applyFill="1" applyBorder="1" applyAlignment="1">
      <alignment horizontal="center" vertical="center" textRotation="90" wrapText="1"/>
    </xf>
    <xf numFmtId="49" fontId="16" fillId="7" borderId="37" xfId="3" applyFont="1" applyFill="1" applyBorder="1" applyAlignment="1">
      <alignment horizontal="center" textRotation="90" wrapText="1"/>
    </xf>
    <xf numFmtId="49" fontId="16" fillId="7" borderId="39" xfId="3" applyFont="1" applyFill="1" applyBorder="1" applyAlignment="1">
      <alignment horizontal="center" textRotation="90" wrapText="1"/>
    </xf>
    <xf numFmtId="49" fontId="16" fillId="7" borderId="38" xfId="3" applyFont="1" applyFill="1" applyBorder="1" applyAlignment="1">
      <alignment horizontal="center" textRotation="90" wrapText="1"/>
    </xf>
    <xf numFmtId="49" fontId="16" fillId="7" borderId="49" xfId="3" applyFont="1" applyFill="1" applyBorder="1" applyAlignment="1">
      <alignment horizontal="center" textRotation="90" wrapText="1"/>
    </xf>
    <xf numFmtId="49" fontId="14" fillId="7" borderId="39" xfId="3" applyFont="1" applyFill="1" applyBorder="1" applyAlignment="1">
      <alignment horizontal="center" textRotation="90" wrapText="1"/>
    </xf>
    <xf numFmtId="49" fontId="12" fillId="7" borderId="38" xfId="3" applyFont="1" applyFill="1" applyBorder="1" applyAlignment="1">
      <alignment horizontal="center" textRotation="90" wrapText="1"/>
    </xf>
    <xf numFmtId="0" fontId="8" fillId="7" borderId="61" xfId="2" applyFont="1" applyFill="1" applyBorder="1" applyAlignment="1">
      <alignment horizontal="center" vertical="center"/>
    </xf>
    <xf numFmtId="0" fontId="8" fillId="7" borderId="44" xfId="2" applyFont="1" applyFill="1" applyBorder="1" applyAlignment="1">
      <alignment horizontal="center" vertical="center" wrapText="1"/>
    </xf>
    <xf numFmtId="0" fontId="4" fillId="7" borderId="27" xfId="2" applyFont="1" applyFill="1" applyBorder="1" applyAlignment="1">
      <alignment horizontal="center" vertical="center" textRotation="90" wrapText="1"/>
    </xf>
    <xf numFmtId="0" fontId="4" fillId="7" borderId="28" xfId="2" applyFont="1" applyFill="1" applyBorder="1" applyAlignment="1">
      <alignment horizontal="center" vertical="center" textRotation="90" wrapText="1"/>
    </xf>
    <xf numFmtId="0" fontId="8" fillId="7" borderId="28" xfId="2" applyFont="1" applyFill="1" applyBorder="1" applyAlignment="1">
      <alignment horizontal="center" vertical="center" textRotation="90" wrapText="1"/>
    </xf>
    <xf numFmtId="0" fontId="8" fillId="7" borderId="1" xfId="2" applyFont="1" applyFill="1" applyBorder="1" applyAlignment="1">
      <alignment horizontal="center" vertical="center" textRotation="90" wrapText="1"/>
    </xf>
    <xf numFmtId="0" fontId="8" fillId="7" borderId="29" xfId="2" applyFont="1" applyFill="1" applyBorder="1" applyAlignment="1">
      <alignment horizontal="center" vertical="center" textRotation="90" wrapText="1"/>
    </xf>
    <xf numFmtId="0" fontId="12" fillId="7" borderId="12" xfId="0" applyFont="1" applyFill="1" applyBorder="1" applyAlignment="1">
      <alignment horizontal="center" vertical="center" textRotation="90" wrapText="1"/>
    </xf>
    <xf numFmtId="0" fontId="12" fillId="7" borderId="13" xfId="0" applyFont="1" applyFill="1" applyBorder="1" applyAlignment="1">
      <alignment horizontal="center" vertical="center" textRotation="90" wrapText="1"/>
    </xf>
    <xf numFmtId="0" fontId="12" fillId="7" borderId="47" xfId="0" applyFont="1" applyFill="1" applyBorder="1" applyAlignment="1">
      <alignment horizontal="center" vertical="center" textRotation="90" wrapText="1"/>
    </xf>
    <xf numFmtId="0" fontId="12" fillId="7" borderId="52" xfId="0" applyFont="1" applyFill="1" applyBorder="1" applyAlignment="1">
      <alignment horizontal="center" vertical="center" textRotation="90" wrapText="1"/>
    </xf>
    <xf numFmtId="0" fontId="12" fillId="7" borderId="56" xfId="0" applyFont="1" applyFill="1" applyBorder="1" applyAlignment="1">
      <alignment horizontal="center" vertical="center" textRotation="90" wrapText="1"/>
    </xf>
    <xf numFmtId="0" fontId="12" fillId="7" borderId="21" xfId="0" applyFont="1" applyFill="1" applyBorder="1" applyAlignment="1">
      <alignment horizontal="center" vertical="center" textRotation="90" wrapText="1"/>
    </xf>
    <xf numFmtId="0" fontId="12" fillId="7" borderId="14" xfId="0" applyFont="1" applyFill="1" applyBorder="1" applyAlignment="1">
      <alignment horizontal="center" vertical="center" textRotation="90" wrapText="1"/>
    </xf>
    <xf numFmtId="0" fontId="12" fillId="7" borderId="11" xfId="0" applyFont="1" applyFill="1" applyBorder="1" applyAlignment="1">
      <alignment horizontal="center"/>
    </xf>
    <xf numFmtId="0" fontId="12" fillId="7" borderId="10" xfId="0" applyFont="1" applyFill="1" applyBorder="1" applyAlignment="1">
      <alignment horizontal="center"/>
    </xf>
    <xf numFmtId="0" fontId="12" fillId="7" borderId="48" xfId="0" applyFont="1" applyFill="1" applyBorder="1" applyAlignment="1">
      <alignment horizontal="center"/>
    </xf>
    <xf numFmtId="0" fontId="12" fillId="7" borderId="48" xfId="0" quotePrefix="1" applyFont="1" applyFill="1" applyBorder="1" applyAlignment="1">
      <alignment horizontal="center"/>
    </xf>
    <xf numFmtId="0" fontId="12" fillId="7" borderId="55" xfId="0" quotePrefix="1" applyFont="1" applyFill="1" applyBorder="1" applyAlignment="1">
      <alignment horizontal="center"/>
    </xf>
    <xf numFmtId="0" fontId="12" fillId="7" borderId="9" xfId="0" quotePrefix="1" applyFont="1" applyFill="1" applyBorder="1" applyAlignment="1">
      <alignment horizontal="center"/>
    </xf>
    <xf numFmtId="0" fontId="12" fillId="7" borderId="8" xfId="0" quotePrefix="1" applyFont="1" applyFill="1" applyBorder="1" applyAlignment="1">
      <alignment horizontal="center"/>
    </xf>
    <xf numFmtId="0" fontId="12" fillId="7" borderId="8" xfId="0" applyFont="1" applyFill="1" applyBorder="1" applyAlignment="1">
      <alignment horizontal="center"/>
    </xf>
    <xf numFmtId="0" fontId="12" fillId="7" borderId="5" xfId="2" applyFont="1" applyFill="1" applyBorder="1" applyAlignment="1">
      <alignment horizontal="center" vertical="center"/>
    </xf>
    <xf numFmtId="0" fontId="12" fillId="7" borderId="18" xfId="2" applyFont="1" applyFill="1" applyBorder="1" applyAlignment="1">
      <alignment horizontal="center" vertical="center" wrapText="1"/>
    </xf>
    <xf numFmtId="0" fontId="12" fillId="7" borderId="5" xfId="2" applyFont="1" applyFill="1" applyBorder="1" applyAlignment="1">
      <alignment horizontal="center" vertical="center" wrapText="1"/>
    </xf>
    <xf numFmtId="0" fontId="12" fillId="7" borderId="41" xfId="0" applyFont="1" applyFill="1" applyBorder="1" applyAlignment="1">
      <alignment horizontal="center" vertical="center" wrapText="1"/>
    </xf>
    <xf numFmtId="0" fontId="12" fillId="7" borderId="15" xfId="0" applyFont="1" applyFill="1" applyBorder="1" applyAlignment="1">
      <alignment horizontal="center" vertical="center" wrapText="1"/>
    </xf>
    <xf numFmtId="0" fontId="12" fillId="7" borderId="16" xfId="0" applyFont="1" applyFill="1" applyBorder="1" applyAlignment="1">
      <alignment horizontal="center" vertical="center" wrapText="1"/>
    </xf>
    <xf numFmtId="0" fontId="12" fillId="7" borderId="42" xfId="0" applyFont="1" applyFill="1" applyBorder="1" applyAlignment="1">
      <alignment horizontal="center" vertical="center" wrapText="1"/>
    </xf>
    <xf numFmtId="0" fontId="12" fillId="7" borderId="20" xfId="0" applyFont="1" applyFill="1" applyBorder="1" applyAlignment="1">
      <alignment horizontal="center" vertical="center" wrapText="1"/>
    </xf>
    <xf numFmtId="166" fontId="12" fillId="7" borderId="41" xfId="0" applyNumberFormat="1" applyFont="1" applyFill="1" applyBorder="1" applyAlignment="1">
      <alignment horizontal="center" textRotation="90" wrapText="1"/>
    </xf>
    <xf numFmtId="166" fontId="12" fillId="7" borderId="16" xfId="0" applyNumberFormat="1" applyFont="1" applyFill="1" applyBorder="1" applyAlignment="1">
      <alignment horizontal="center" textRotation="90" wrapText="1"/>
    </xf>
    <xf numFmtId="166" fontId="12" fillId="7" borderId="42" xfId="0" applyNumberFormat="1" applyFont="1" applyFill="1" applyBorder="1" applyAlignment="1">
      <alignment horizontal="center" textRotation="90" wrapText="1"/>
    </xf>
    <xf numFmtId="0" fontId="4" fillId="0" borderId="0" xfId="0" applyFont="1" applyFill="1" applyAlignment="1">
      <alignment horizontal="centerContinuous"/>
    </xf>
    <xf numFmtId="0" fontId="4" fillId="0" borderId="0" xfId="0" applyFont="1" applyFill="1"/>
    <xf numFmtId="49" fontId="21" fillId="7" borderId="41" xfId="3" applyFont="1" applyFill="1" applyBorder="1" applyAlignment="1">
      <alignment horizontal="center" textRotation="90" wrapText="1"/>
    </xf>
    <xf numFmtId="49" fontId="21" fillId="7" borderId="16" xfId="3" applyFont="1" applyFill="1" applyBorder="1" applyAlignment="1">
      <alignment horizontal="center" textRotation="90" wrapText="1"/>
    </xf>
    <xf numFmtId="49" fontId="21" fillId="7" borderId="17" xfId="3" applyFont="1" applyFill="1" applyBorder="1" applyAlignment="1">
      <alignment horizontal="center" textRotation="90" wrapText="1"/>
    </xf>
    <xf numFmtId="49" fontId="8" fillId="7" borderId="41" xfId="3" applyNumberFormat="1" applyFont="1" applyFill="1" applyBorder="1" applyAlignment="1" applyProtection="1">
      <alignment horizontal="center" textRotation="90" wrapText="1"/>
    </xf>
    <xf numFmtId="49" fontId="8" fillId="7" borderId="42" xfId="3" applyFont="1" applyFill="1" applyBorder="1" applyAlignment="1">
      <alignment horizontal="center" textRotation="90" wrapText="1"/>
    </xf>
    <xf numFmtId="49" fontId="4" fillId="0" borderId="60" xfId="3" applyFont="1" applyBorder="1" applyAlignment="1">
      <alignment vertical="center"/>
    </xf>
    <xf numFmtId="49" fontId="4" fillId="0" borderId="2" xfId="3" applyFont="1" applyBorder="1" applyAlignment="1">
      <alignment vertical="center"/>
    </xf>
    <xf numFmtId="4" fontId="4" fillId="0" borderId="29" xfId="3" applyNumberFormat="1" applyFont="1" applyBorder="1" applyAlignment="1">
      <alignment vertical="center"/>
    </xf>
    <xf numFmtId="49" fontId="4" fillId="0" borderId="59" xfId="3" applyFont="1" applyBorder="1" applyAlignment="1">
      <alignment vertical="center"/>
    </xf>
    <xf numFmtId="49" fontId="8" fillId="2" borderId="19" xfId="3" applyFont="1" applyFill="1" applyBorder="1" applyAlignment="1">
      <alignment horizontal="center" vertical="center"/>
    </xf>
    <xf numFmtId="4" fontId="8" fillId="2" borderId="42" xfId="3" applyNumberFormat="1" applyFont="1" applyFill="1" applyBorder="1" applyAlignment="1">
      <alignment horizontal="right" vertical="center"/>
    </xf>
    <xf numFmtId="0" fontId="8" fillId="0" borderId="0" xfId="0" applyFont="1" applyFill="1" applyAlignment="1"/>
    <xf numFmtId="0" fontId="8" fillId="0" borderId="0" xfId="0" quotePrefix="1" applyFont="1" applyFill="1" applyAlignment="1"/>
    <xf numFmtId="0" fontId="8" fillId="7" borderId="41" xfId="0" applyFont="1" applyFill="1" applyBorder="1" applyAlignment="1">
      <alignment horizontal="center" vertical="center" textRotation="90" wrapText="1"/>
    </xf>
    <xf numFmtId="0" fontId="8" fillId="7" borderId="16" xfId="0" applyFont="1" applyFill="1" applyBorder="1" applyAlignment="1">
      <alignment horizontal="center" vertical="center" textRotation="90" wrapText="1"/>
    </xf>
    <xf numFmtId="0" fontId="8" fillId="7" borderId="15" xfId="0" applyFont="1" applyFill="1" applyBorder="1" applyAlignment="1">
      <alignment horizontal="center" vertical="center" textRotation="90" wrapText="1"/>
    </xf>
    <xf numFmtId="0" fontId="8" fillId="7" borderId="18" xfId="0" applyFont="1" applyFill="1" applyBorder="1" applyAlignment="1">
      <alignment horizontal="center" vertical="center" textRotation="90" wrapText="1"/>
    </xf>
    <xf numFmtId="0" fontId="8" fillId="0" borderId="12" xfId="0" applyFont="1" applyBorder="1" applyAlignment="1">
      <alignment horizontal="center" wrapText="1"/>
    </xf>
    <xf numFmtId="0" fontId="8" fillId="0" borderId="56" xfId="0" applyFont="1" applyBorder="1" applyAlignment="1">
      <alignment horizontal="center"/>
    </xf>
    <xf numFmtId="0" fontId="22" fillId="0" borderId="14" xfId="0" applyFont="1" applyFill="1" applyBorder="1" applyAlignment="1">
      <alignment wrapText="1"/>
    </xf>
    <xf numFmtId="3" fontId="8" fillId="0" borderId="47" xfId="0" applyNumberFormat="1" applyFont="1" applyBorder="1"/>
    <xf numFmtId="3" fontId="8" fillId="0" borderId="4" xfId="0" applyNumberFormat="1" applyFont="1" applyBorder="1"/>
    <xf numFmtId="0" fontId="4" fillId="0" borderId="14" xfId="0" applyFont="1" applyFill="1" applyBorder="1" applyAlignment="1">
      <alignment wrapText="1"/>
    </xf>
    <xf numFmtId="3" fontId="4" fillId="0" borderId="54" xfId="0" applyNumberFormat="1" applyFont="1" applyBorder="1"/>
    <xf numFmtId="3" fontId="4" fillId="0" borderId="47" xfId="0" applyNumberFormat="1" applyFont="1" applyBorder="1"/>
    <xf numFmtId="3" fontId="4" fillId="0" borderId="4" xfId="0" applyNumberFormat="1" applyFont="1" applyBorder="1"/>
    <xf numFmtId="0" fontId="8" fillId="0" borderId="14" xfId="0" applyFont="1" applyFill="1" applyBorder="1" applyAlignment="1">
      <alignment wrapText="1"/>
    </xf>
    <xf numFmtId="0" fontId="4" fillId="0" borderId="14" xfId="0" applyFont="1" applyFill="1" applyBorder="1" applyAlignment="1">
      <alignment horizontal="left" wrapText="1"/>
    </xf>
    <xf numFmtId="0" fontId="4" fillId="0" borderId="14" xfId="0" quotePrefix="1" applyFont="1" applyFill="1" applyBorder="1" applyAlignment="1">
      <alignment horizontal="left" wrapText="1"/>
    </xf>
    <xf numFmtId="0" fontId="22" fillId="0" borderId="14" xfId="0" applyFont="1" applyFill="1" applyBorder="1" applyAlignment="1">
      <alignment horizontal="left" wrapText="1"/>
    </xf>
    <xf numFmtId="0" fontId="4" fillId="0" borderId="7" xfId="0" applyFont="1" applyBorder="1" applyAlignment="1">
      <alignment wrapText="1"/>
    </xf>
    <xf numFmtId="0" fontId="4" fillId="0" borderId="3" xfId="0" applyFont="1" applyFill="1" applyBorder="1" applyAlignment="1">
      <alignment wrapText="1"/>
    </xf>
    <xf numFmtId="0" fontId="8" fillId="0" borderId="43" xfId="0" applyFont="1" applyFill="1" applyBorder="1" applyAlignment="1">
      <alignment horizontal="center" wrapText="1"/>
    </xf>
    <xf numFmtId="3" fontId="8" fillId="0" borderId="65" xfId="0" applyNumberFormat="1" applyFont="1" applyFill="1" applyBorder="1"/>
    <xf numFmtId="0" fontId="8" fillId="0" borderId="5" xfId="0" applyFont="1" applyFill="1" applyBorder="1" applyAlignment="1">
      <alignment horizontal="center" wrapText="1"/>
    </xf>
    <xf numFmtId="3" fontId="8" fillId="0" borderId="41" xfId="0" applyNumberFormat="1" applyFont="1" applyFill="1" applyBorder="1"/>
    <xf numFmtId="3" fontId="8" fillId="0" borderId="20" xfId="0" applyNumberFormat="1" applyFont="1" applyFill="1" applyBorder="1"/>
    <xf numFmtId="3" fontId="8" fillId="0" borderId="15" xfId="0" applyNumberFormat="1" applyFont="1" applyFill="1" applyBorder="1"/>
    <xf numFmtId="3" fontId="8" fillId="0" borderId="18" xfId="0" applyNumberFormat="1" applyFont="1" applyFill="1" applyBorder="1"/>
    <xf numFmtId="3" fontId="4" fillId="0" borderId="56" xfId="0" applyNumberFormat="1" applyFont="1" applyFill="1" applyBorder="1"/>
    <xf numFmtId="3" fontId="4" fillId="0" borderId="45" xfId="0" applyNumberFormat="1" applyFont="1" applyFill="1" applyBorder="1"/>
    <xf numFmtId="3" fontId="4" fillId="0" borderId="51" xfId="0" applyNumberFormat="1" applyFont="1" applyFill="1" applyBorder="1"/>
    <xf numFmtId="3" fontId="4" fillId="0" borderId="50" xfId="0" applyNumberFormat="1" applyFont="1" applyFill="1" applyBorder="1"/>
    <xf numFmtId="3" fontId="4" fillId="0" borderId="21" xfId="0" applyNumberFormat="1" applyFont="1" applyFill="1" applyBorder="1"/>
    <xf numFmtId="3" fontId="8" fillId="0" borderId="42" xfId="0" applyNumberFormat="1" applyFont="1" applyFill="1" applyBorder="1"/>
    <xf numFmtId="3" fontId="4" fillId="0" borderId="46" xfId="0" applyNumberFormat="1" applyFont="1" applyFill="1" applyBorder="1"/>
    <xf numFmtId="3" fontId="8" fillId="0" borderId="16" xfId="0" applyNumberFormat="1" applyFont="1" applyFill="1" applyBorder="1"/>
    <xf numFmtId="0" fontId="5" fillId="0" borderId="0" xfId="2" applyFont="1" applyFill="1" applyAlignment="1">
      <alignment vertical="center"/>
    </xf>
    <xf numFmtId="0" fontId="5" fillId="5" borderId="0" xfId="0" applyFont="1" applyFill="1"/>
    <xf numFmtId="0" fontId="11" fillId="0" borderId="0" xfId="4" applyFont="1"/>
    <xf numFmtId="0" fontId="12" fillId="0" borderId="0" xfId="4" applyFont="1" applyFill="1" applyAlignment="1">
      <alignment horizontal="center"/>
    </xf>
    <xf numFmtId="0" fontId="18" fillId="0" borderId="0" xfId="4" applyFont="1" applyFill="1"/>
    <xf numFmtId="0" fontId="10" fillId="0" borderId="0" xfId="4" applyFont="1" applyFill="1"/>
    <xf numFmtId="0" fontId="10" fillId="0" borderId="0" xfId="4" applyFont="1" applyFill="1" applyAlignment="1"/>
    <xf numFmtId="0" fontId="12" fillId="0" borderId="0" xfId="4" applyFont="1" applyFill="1" applyAlignment="1"/>
    <xf numFmtId="0" fontId="0" fillId="5" borderId="0" xfId="0" applyFill="1" applyAlignment="1">
      <alignment horizontal="left" vertical="center" wrapText="1"/>
    </xf>
    <xf numFmtId="0" fontId="0" fillId="0" borderId="0" xfId="0" applyAlignment="1">
      <alignment horizontal="left" vertical="center"/>
    </xf>
    <xf numFmtId="0" fontId="0" fillId="0" borderId="0" xfId="0" applyFill="1" applyAlignment="1">
      <alignment horizontal="left" vertical="center"/>
    </xf>
    <xf numFmtId="0" fontId="4" fillId="0" borderId="0" xfId="0" applyFont="1" applyFill="1" applyBorder="1" applyAlignment="1">
      <alignment horizontal="left" indent="2"/>
    </xf>
    <xf numFmtId="0" fontId="5" fillId="0" borderId="28" xfId="0" applyFont="1" applyBorder="1" applyAlignment="1">
      <alignment horizontal="left" vertical="center"/>
    </xf>
    <xf numFmtId="167" fontId="3" fillId="0" borderId="28" xfId="5" applyNumberFormat="1" applyFont="1" applyFill="1" applyBorder="1"/>
    <xf numFmtId="167" fontId="5" fillId="6" borderId="28" xfId="5" applyNumberFormat="1" applyFont="1" applyFill="1" applyBorder="1"/>
    <xf numFmtId="167" fontId="3" fillId="0" borderId="35" xfId="5" applyNumberFormat="1" applyFont="1" applyFill="1" applyBorder="1"/>
    <xf numFmtId="0" fontId="5" fillId="6" borderId="41" xfId="0" applyFont="1" applyFill="1" applyBorder="1" applyAlignment="1">
      <alignment horizontal="right" vertical="center" indent="2"/>
    </xf>
    <xf numFmtId="167" fontId="5" fillId="6" borderId="16" xfId="5" applyNumberFormat="1" applyFont="1" applyFill="1" applyBorder="1" applyAlignment="1">
      <alignment vertical="center"/>
    </xf>
    <xf numFmtId="167" fontId="5" fillId="6" borderId="42" xfId="5" applyNumberFormat="1" applyFont="1" applyFill="1" applyBorder="1" applyAlignment="1">
      <alignment vertical="center"/>
    </xf>
    <xf numFmtId="49" fontId="25" fillId="0" borderId="19" xfId="3" applyFont="1" applyBorder="1" applyAlignment="1">
      <alignment horizontal="center" vertical="center"/>
    </xf>
    <xf numFmtId="2" fontId="19" fillId="0" borderId="14" xfId="0" applyNumberFormat="1" applyFont="1" applyBorder="1"/>
    <xf numFmtId="0" fontId="26" fillId="0" borderId="0" xfId="0" applyFont="1" applyFill="1" applyAlignment="1"/>
    <xf numFmtId="167" fontId="8" fillId="0" borderId="23" xfId="5" applyNumberFormat="1" applyFont="1" applyBorder="1" applyAlignment="1">
      <alignment vertical="center"/>
    </xf>
    <xf numFmtId="167" fontId="8" fillId="0" borderId="26" xfId="5" applyNumberFormat="1" applyFont="1" applyBorder="1" applyAlignment="1">
      <alignment vertical="center"/>
    </xf>
    <xf numFmtId="167" fontId="8" fillId="0" borderId="1" xfId="5" applyNumberFormat="1" applyFont="1" applyBorder="1" applyAlignment="1">
      <alignment vertical="center"/>
    </xf>
    <xf numFmtId="167" fontId="4" fillId="0" borderId="26" xfId="5" applyNumberFormat="1" applyFont="1" applyBorder="1" applyAlignment="1">
      <alignment horizontal="justify" vertical="center"/>
    </xf>
    <xf numFmtId="167" fontId="4" fillId="0" borderId="28" xfId="5" applyNumberFormat="1" applyFont="1" applyBorder="1" applyAlignment="1">
      <alignment horizontal="justify" vertical="center"/>
    </xf>
    <xf numFmtId="167" fontId="4" fillId="0" borderId="26" xfId="5" applyNumberFormat="1" applyFont="1" applyBorder="1" applyAlignment="1">
      <alignment vertical="center"/>
    </xf>
    <xf numFmtId="167" fontId="4" fillId="0" borderId="28" xfId="5" applyNumberFormat="1" applyFont="1" applyBorder="1" applyAlignment="1">
      <alignment vertical="center"/>
    </xf>
    <xf numFmtId="167" fontId="8" fillId="0" borderId="34" xfId="5" applyNumberFormat="1" applyFont="1" applyBorder="1" applyAlignment="1">
      <alignment vertical="center"/>
    </xf>
    <xf numFmtId="167" fontId="8" fillId="2" borderId="41" xfId="5" applyNumberFormat="1" applyFont="1" applyFill="1" applyBorder="1" applyAlignment="1">
      <alignment horizontal="right" vertical="center"/>
    </xf>
    <xf numFmtId="167" fontId="8" fillId="2" borderId="16" xfId="5" applyNumberFormat="1" applyFont="1" applyFill="1" applyBorder="1" applyAlignment="1">
      <alignment horizontal="right" vertical="center"/>
    </xf>
    <xf numFmtId="167" fontId="8" fillId="0" borderId="33" xfId="5" applyNumberFormat="1" applyFont="1" applyBorder="1" applyAlignment="1">
      <alignment vertical="center"/>
    </xf>
    <xf numFmtId="167" fontId="8" fillId="0" borderId="32" xfId="5" applyNumberFormat="1" applyFont="1" applyBorder="1" applyAlignment="1">
      <alignment vertical="center"/>
    </xf>
    <xf numFmtId="167" fontId="4" fillId="0" borderId="23" xfId="5" applyNumberFormat="1" applyFont="1" applyBorder="1" applyAlignment="1">
      <alignment vertical="center"/>
    </xf>
    <xf numFmtId="167" fontId="4" fillId="0" borderId="24" xfId="5" applyNumberFormat="1" applyFont="1" applyBorder="1" applyAlignment="1">
      <alignment vertical="center"/>
    </xf>
    <xf numFmtId="167" fontId="4" fillId="0" borderId="1" xfId="5" applyNumberFormat="1" applyFont="1" applyBorder="1" applyAlignment="1">
      <alignment vertical="center"/>
    </xf>
    <xf numFmtId="167" fontId="4" fillId="0" borderId="34" xfId="5" applyNumberFormat="1" applyFont="1" applyBorder="1" applyAlignment="1">
      <alignment vertical="center"/>
    </xf>
    <xf numFmtId="167" fontId="4" fillId="0" borderId="35" xfId="5" applyNumberFormat="1" applyFont="1" applyBorder="1" applyAlignment="1">
      <alignment vertical="center"/>
    </xf>
    <xf numFmtId="167" fontId="8" fillId="0" borderId="30" xfId="5" applyNumberFormat="1" applyFont="1" applyBorder="1" applyAlignment="1">
      <alignment vertical="center"/>
    </xf>
    <xf numFmtId="167" fontId="4" fillId="0" borderId="32" xfId="5" applyNumberFormat="1" applyFont="1" applyBorder="1" applyAlignment="1">
      <alignment vertical="center"/>
    </xf>
    <xf numFmtId="167" fontId="4" fillId="0" borderId="33" xfId="5" applyNumberFormat="1" applyFont="1" applyBorder="1" applyAlignment="1">
      <alignment vertical="center"/>
    </xf>
    <xf numFmtId="167" fontId="4" fillId="0" borderId="30" xfId="5" applyNumberFormat="1" applyFont="1" applyBorder="1" applyAlignment="1">
      <alignment vertical="center"/>
    </xf>
    <xf numFmtId="4" fontId="4" fillId="0" borderId="31" xfId="3" applyNumberFormat="1" applyFont="1" applyBorder="1" applyAlignment="1">
      <alignment vertical="center"/>
    </xf>
    <xf numFmtId="167" fontId="4" fillId="0" borderId="60" xfId="5" applyNumberFormat="1" applyFont="1" applyBorder="1" applyAlignment="1">
      <alignment vertical="center"/>
    </xf>
    <xf numFmtId="167" fontId="4" fillId="0" borderId="67" xfId="5" applyNumberFormat="1" applyFont="1" applyBorder="1" applyAlignment="1">
      <alignment vertical="center"/>
    </xf>
    <xf numFmtId="0" fontId="5" fillId="7" borderId="30" xfId="0" applyFont="1" applyFill="1" applyBorder="1" applyAlignment="1">
      <alignment horizontal="center" vertical="center" wrapText="1"/>
    </xf>
    <xf numFmtId="0" fontId="5" fillId="7" borderId="32" xfId="0" applyFont="1" applyFill="1" applyBorder="1" applyAlignment="1">
      <alignment horizontal="center" vertical="center"/>
    </xf>
    <xf numFmtId="0" fontId="5" fillId="7" borderId="31" xfId="0" applyFont="1" applyFill="1" applyBorder="1" applyAlignment="1">
      <alignment horizontal="center" vertical="center"/>
    </xf>
    <xf numFmtId="0" fontId="5" fillId="6" borderId="26" xfId="0" applyFont="1" applyFill="1" applyBorder="1"/>
    <xf numFmtId="167" fontId="5" fillId="6" borderId="29" xfId="5" applyNumberFormat="1" applyFont="1" applyFill="1" applyBorder="1"/>
    <xf numFmtId="0" fontId="3" fillId="0" borderId="26" xfId="0" applyFont="1" applyFill="1" applyBorder="1" applyAlignment="1">
      <alignment horizontal="left" indent="2"/>
    </xf>
    <xf numFmtId="167" fontId="3" fillId="0" borderId="29" xfId="5" applyNumberFormat="1" applyFont="1" applyFill="1" applyBorder="1"/>
    <xf numFmtId="0" fontId="3" fillId="0" borderId="37" xfId="0" applyFont="1" applyFill="1" applyBorder="1" applyAlignment="1">
      <alignment horizontal="left" indent="2"/>
    </xf>
    <xf numFmtId="167" fontId="3" fillId="0" borderId="39" xfId="5" applyNumberFormat="1" applyFont="1" applyFill="1" applyBorder="1"/>
    <xf numFmtId="167" fontId="3" fillId="0" borderId="38" xfId="5" applyNumberFormat="1" applyFont="1" applyFill="1" applyBorder="1"/>
    <xf numFmtId="0" fontId="5" fillId="6" borderId="41" xfId="0" applyFont="1" applyFill="1" applyBorder="1" applyAlignment="1">
      <alignment horizontal="right" vertical="center"/>
    </xf>
    <xf numFmtId="0" fontId="3" fillId="0" borderId="34" xfId="0" applyFont="1" applyFill="1" applyBorder="1" applyAlignment="1">
      <alignment horizontal="left" indent="2"/>
    </xf>
    <xf numFmtId="167" fontId="3" fillId="0" borderId="36" xfId="5" applyNumberFormat="1" applyFont="1" applyFill="1" applyBorder="1"/>
    <xf numFmtId="167" fontId="3" fillId="0" borderId="1" xfId="8" applyNumberFormat="1" applyFont="1" applyBorder="1"/>
    <xf numFmtId="167" fontId="3" fillId="0" borderId="33" xfId="8" applyNumberFormat="1" applyFont="1" applyBorder="1"/>
    <xf numFmtId="0" fontId="8" fillId="0" borderId="0" xfId="2" applyFont="1" applyFill="1" applyAlignment="1">
      <alignment vertical="center"/>
    </xf>
    <xf numFmtId="168" fontId="28" fillId="0" borderId="28" xfId="4" applyNumberFormat="1" applyFont="1" applyFill="1" applyBorder="1" applyAlignment="1">
      <alignment vertical="top"/>
    </xf>
    <xf numFmtId="0" fontId="28" fillId="0" borderId="30" xfId="4" applyNumberFormat="1" applyFont="1" applyFill="1" applyBorder="1" applyAlignment="1">
      <alignment vertical="top"/>
    </xf>
    <xf numFmtId="168" fontId="28" fillId="0" borderId="32" xfId="4" applyNumberFormat="1" applyFont="1" applyFill="1" applyBorder="1" applyAlignment="1">
      <alignment vertical="top"/>
    </xf>
    <xf numFmtId="0" fontId="28" fillId="0" borderId="26" xfId="4" applyNumberFormat="1" applyFont="1" applyFill="1" applyBorder="1" applyAlignment="1">
      <alignment vertical="top"/>
    </xf>
    <xf numFmtId="167" fontId="3" fillId="0" borderId="29" xfId="8" applyNumberFormat="1" applyFont="1" applyBorder="1"/>
    <xf numFmtId="0" fontId="28" fillId="0" borderId="68" xfId="4" applyNumberFormat="1" applyFont="1" applyFill="1" applyBorder="1" applyAlignment="1">
      <alignment vertical="top"/>
    </xf>
    <xf numFmtId="0" fontId="5" fillId="6" borderId="9" xfId="0" applyFont="1" applyFill="1" applyBorder="1" applyAlignment="1">
      <alignment horizontal="right" vertical="center" indent="2"/>
    </xf>
    <xf numFmtId="168" fontId="5" fillId="6" borderId="48" xfId="0" applyNumberFormat="1" applyFont="1" applyFill="1" applyBorder="1" applyAlignment="1">
      <alignment vertical="center"/>
    </xf>
    <xf numFmtId="168" fontId="5" fillId="6" borderId="69" xfId="0" applyNumberFormat="1" applyFont="1" applyFill="1" applyBorder="1" applyAlignment="1">
      <alignment vertical="center"/>
    </xf>
    <xf numFmtId="167" fontId="3" fillId="0" borderId="28" xfId="8" applyNumberFormat="1" applyFont="1" applyBorder="1"/>
    <xf numFmtId="167" fontId="0" fillId="0" borderId="29" xfId="5" applyNumberFormat="1" applyFont="1" applyBorder="1"/>
    <xf numFmtId="0" fontId="0" fillId="0" borderId="4" xfId="0" applyBorder="1"/>
    <xf numFmtId="167" fontId="3" fillId="0" borderId="29" xfId="5" applyNumberFormat="1" applyFont="1" applyBorder="1"/>
    <xf numFmtId="0" fontId="3" fillId="0" borderId="3" xfId="0" applyFont="1" applyBorder="1" applyAlignment="1"/>
    <xf numFmtId="0" fontId="3" fillId="0" borderId="26" xfId="0" applyFont="1" applyBorder="1" applyAlignment="1"/>
    <xf numFmtId="167" fontId="11" fillId="0" borderId="32" xfId="5" applyNumberFormat="1" applyFont="1" applyBorder="1"/>
    <xf numFmtId="167" fontId="11" fillId="0" borderId="31" xfId="5" applyNumberFormat="1" applyFont="1" applyBorder="1"/>
    <xf numFmtId="167" fontId="11" fillId="0" borderId="30" xfId="5" applyNumberFormat="1" applyFont="1" applyBorder="1"/>
    <xf numFmtId="167" fontId="11" fillId="0" borderId="28" xfId="5" applyNumberFormat="1" applyFont="1" applyBorder="1"/>
    <xf numFmtId="167" fontId="11" fillId="0" borderId="29" xfId="5" applyNumberFormat="1" applyFont="1" applyBorder="1"/>
    <xf numFmtId="167" fontId="11" fillId="0" borderId="26" xfId="5" applyNumberFormat="1" applyFont="1" applyBorder="1"/>
    <xf numFmtId="167" fontId="11" fillId="0" borderId="35" xfId="5" applyNumberFormat="1" applyFont="1" applyBorder="1"/>
    <xf numFmtId="167" fontId="11" fillId="0" borderId="34" xfId="5" applyNumberFormat="1" applyFont="1" applyBorder="1"/>
    <xf numFmtId="167" fontId="11" fillId="3" borderId="39" xfId="5" applyNumberFormat="1" applyFont="1" applyFill="1" applyBorder="1"/>
    <xf numFmtId="167" fontId="11" fillId="3" borderId="37" xfId="5" applyNumberFormat="1" applyFont="1" applyFill="1" applyBorder="1"/>
    <xf numFmtId="167" fontId="11" fillId="0" borderId="23" xfId="5" applyNumberFormat="1" applyFont="1" applyBorder="1"/>
    <xf numFmtId="167" fontId="11" fillId="0" borderId="25" xfId="5" applyNumberFormat="1" applyFont="1" applyBorder="1"/>
    <xf numFmtId="167" fontId="11" fillId="0" borderId="22" xfId="5" applyNumberFormat="1" applyFont="1" applyBorder="1"/>
    <xf numFmtId="167" fontId="11" fillId="0" borderId="67" xfId="5" applyNumberFormat="1" applyFont="1" applyBorder="1"/>
    <xf numFmtId="167" fontId="11" fillId="0" borderId="33" xfId="5" applyNumberFormat="1" applyFont="1" applyBorder="1"/>
    <xf numFmtId="167" fontId="11" fillId="0" borderId="24" xfId="5" applyNumberFormat="1" applyFont="1" applyBorder="1"/>
    <xf numFmtId="167" fontId="11" fillId="0" borderId="3" xfId="5" applyNumberFormat="1" applyFont="1" applyBorder="1"/>
    <xf numFmtId="167" fontId="11" fillId="0" borderId="52" xfId="5" applyNumberFormat="1" applyFont="1" applyBorder="1"/>
    <xf numFmtId="167" fontId="11" fillId="0" borderId="47" xfId="5" applyNumberFormat="1" applyFont="1" applyBorder="1"/>
    <xf numFmtId="167" fontId="11" fillId="0" borderId="53" xfId="5" applyNumberFormat="1" applyFont="1" applyBorder="1"/>
    <xf numFmtId="167" fontId="11" fillId="0" borderId="0" xfId="5" applyNumberFormat="1" applyFont="1"/>
    <xf numFmtId="164" fontId="11" fillId="0" borderId="31" xfId="0" applyNumberFormat="1" applyFont="1" applyBorder="1"/>
    <xf numFmtId="164" fontId="11" fillId="0" borderId="25" xfId="0" applyNumberFormat="1" applyFont="1" applyBorder="1"/>
    <xf numFmtId="164" fontId="11" fillId="3" borderId="39" xfId="5" applyNumberFormat="1" applyFont="1" applyFill="1" applyBorder="1"/>
    <xf numFmtId="164" fontId="11" fillId="3" borderId="38" xfId="5" applyNumberFormat="1" applyFont="1" applyFill="1" applyBorder="1"/>
    <xf numFmtId="169" fontId="3" fillId="0" borderId="28" xfId="5" applyNumberFormat="1" applyFont="1" applyFill="1" applyBorder="1"/>
    <xf numFmtId="164" fontId="5" fillId="6" borderId="28" xfId="5" applyNumberFormat="1" applyFont="1" applyFill="1" applyBorder="1"/>
    <xf numFmtId="169" fontId="5" fillId="6" borderId="28" xfId="5" applyNumberFormat="1" applyFont="1" applyFill="1" applyBorder="1"/>
    <xf numFmtId="169" fontId="5" fillId="6" borderId="16" xfId="5" applyNumberFormat="1" applyFont="1" applyFill="1" applyBorder="1" applyAlignment="1">
      <alignment vertical="center"/>
    </xf>
    <xf numFmtId="0" fontId="12" fillId="0" borderId="4" xfId="2" applyFont="1" applyFill="1" applyBorder="1" applyAlignment="1">
      <alignment vertical="center"/>
    </xf>
    <xf numFmtId="0" fontId="29" fillId="0" borderId="28" xfId="4" applyFont="1" applyFill="1" applyBorder="1" applyAlignment="1">
      <alignment vertical="center" wrapText="1"/>
    </xf>
    <xf numFmtId="0" fontId="29" fillId="0" borderId="28" xfId="4" applyFont="1" applyFill="1" applyBorder="1" applyAlignment="1">
      <alignment horizontal="center" vertical="center"/>
    </xf>
    <xf numFmtId="0" fontId="29" fillId="0" borderId="28" xfId="4" applyFont="1" applyFill="1" applyBorder="1" applyAlignment="1">
      <alignment horizontal="center" vertical="center" wrapText="1"/>
    </xf>
    <xf numFmtId="0" fontId="30" fillId="0" borderId="28" xfId="4" applyFont="1" applyFill="1" applyBorder="1" applyAlignment="1">
      <alignment vertical="center" wrapText="1"/>
    </xf>
    <xf numFmtId="10" fontId="31" fillId="0" borderId="28" xfId="4" applyNumberFormat="1" applyFont="1" applyFill="1" applyBorder="1" applyAlignment="1">
      <alignment horizontal="center" vertical="center"/>
    </xf>
    <xf numFmtId="0" fontId="31" fillId="0" borderId="28" xfId="4" applyFont="1" applyFill="1" applyBorder="1" applyAlignment="1">
      <alignment horizontal="center" vertical="center" wrapText="1"/>
    </xf>
    <xf numFmtId="10" fontId="29" fillId="0" borderId="28" xfId="4" applyNumberFormat="1" applyFont="1" applyFill="1" applyBorder="1" applyAlignment="1">
      <alignment horizontal="center" vertical="center" wrapText="1"/>
    </xf>
    <xf numFmtId="10" fontId="29" fillId="0" borderId="28" xfId="4" applyNumberFormat="1" applyFont="1" applyFill="1" applyBorder="1" applyAlignment="1">
      <alignment horizontal="center" vertical="center"/>
    </xf>
    <xf numFmtId="3" fontId="29" fillId="0" borderId="28" xfId="4" applyNumberFormat="1" applyFont="1" applyFill="1" applyBorder="1" applyAlignment="1">
      <alignment horizontal="center" vertical="center" wrapText="1"/>
    </xf>
    <xf numFmtId="0" fontId="11" fillId="0" borderId="28" xfId="4" applyFont="1" applyFill="1" applyBorder="1" applyAlignment="1">
      <alignment horizontal="justify" vertical="center" wrapText="1"/>
    </xf>
    <xf numFmtId="164" fontId="3" fillId="0" borderId="28" xfId="5" applyNumberFormat="1" applyFont="1" applyFill="1" applyBorder="1"/>
    <xf numFmtId="164" fontId="3" fillId="0" borderId="39" xfId="5" applyNumberFormat="1" applyFont="1" applyFill="1" applyBorder="1"/>
    <xf numFmtId="164" fontId="5" fillId="6" borderId="16" xfId="5" applyNumberFormat="1" applyFont="1" applyFill="1" applyBorder="1" applyAlignment="1">
      <alignment vertical="center"/>
    </xf>
    <xf numFmtId="169" fontId="3" fillId="0" borderId="35" xfId="5" applyNumberFormat="1" applyFont="1" applyFill="1" applyBorder="1"/>
    <xf numFmtId="167" fontId="0" fillId="0" borderId="0" xfId="5" applyNumberFormat="1" applyFont="1"/>
    <xf numFmtId="164" fontId="3" fillId="0" borderId="0" xfId="5" applyFont="1" applyFill="1" applyAlignment="1">
      <alignment vertical="center"/>
    </xf>
    <xf numFmtId="167" fontId="3" fillId="0" borderId="0" xfId="0" applyNumberFormat="1" applyFont="1" applyFill="1" applyAlignment="1">
      <alignment vertical="center"/>
    </xf>
    <xf numFmtId="168" fontId="28" fillId="0" borderId="28" xfId="9" applyNumberFormat="1" applyFont="1" applyFill="1" applyBorder="1" applyAlignment="1">
      <alignment vertical="top"/>
    </xf>
    <xf numFmtId="167" fontId="28" fillId="0" borderId="28" xfId="10" applyNumberFormat="1" applyFont="1" applyBorder="1"/>
    <xf numFmtId="0" fontId="3" fillId="0" borderId="26" xfId="0" applyFont="1" applyFill="1" applyBorder="1"/>
    <xf numFmtId="0" fontId="3" fillId="0" borderId="29" xfId="0" applyFont="1" applyFill="1" applyBorder="1"/>
    <xf numFmtId="0" fontId="5" fillId="6" borderId="37" xfId="0" applyFont="1" applyFill="1" applyBorder="1" applyAlignment="1">
      <alignment horizontal="right" vertical="center" indent="2"/>
    </xf>
    <xf numFmtId="167" fontId="5" fillId="6" borderId="39" xfId="5" applyNumberFormat="1" applyFont="1" applyFill="1" applyBorder="1" applyAlignment="1">
      <alignment vertical="center"/>
    </xf>
    <xf numFmtId="167" fontId="5" fillId="6" borderId="38" xfId="5" applyNumberFormat="1" applyFont="1" applyFill="1" applyBorder="1" applyAlignment="1">
      <alignment vertical="center"/>
    </xf>
    <xf numFmtId="167" fontId="27" fillId="0" borderId="29" xfId="6" applyNumberFormat="1" applyFont="1" applyBorder="1"/>
    <xf numFmtId="167" fontId="27" fillId="0" borderId="36" xfId="6" applyNumberFormat="1" applyFont="1" applyBorder="1"/>
    <xf numFmtId="0" fontId="3" fillId="0" borderId="34" xfId="0" applyFont="1" applyFill="1" applyBorder="1"/>
    <xf numFmtId="164" fontId="3" fillId="0" borderId="0" xfId="0" applyNumberFormat="1" applyFont="1" applyFill="1" applyAlignment="1">
      <alignment vertical="center"/>
    </xf>
    <xf numFmtId="168" fontId="5" fillId="6" borderId="39" xfId="5" applyNumberFormat="1" applyFont="1" applyFill="1" applyBorder="1" applyAlignment="1">
      <alignment vertical="center"/>
    </xf>
    <xf numFmtId="168" fontId="28" fillId="0" borderId="23" xfId="4" applyNumberFormat="1" applyFont="1" applyFill="1" applyBorder="1" applyAlignment="1">
      <alignment vertical="top"/>
    </xf>
    <xf numFmtId="0" fontId="5" fillId="7" borderId="41" xfId="0" applyFont="1" applyFill="1" applyBorder="1" applyAlignment="1">
      <alignment horizontal="center" vertical="center" wrapText="1"/>
    </xf>
    <xf numFmtId="0" fontId="5" fillId="7" borderId="16" xfId="0" applyFont="1" applyFill="1" applyBorder="1" applyAlignment="1">
      <alignment horizontal="center" vertical="center"/>
    </xf>
    <xf numFmtId="0" fontId="5" fillId="7" borderId="42" xfId="0" applyFont="1" applyFill="1" applyBorder="1" applyAlignment="1">
      <alignment horizontal="center" vertical="center"/>
    </xf>
    <xf numFmtId="0" fontId="28" fillId="0" borderId="22" xfId="4" applyNumberFormat="1" applyFont="1" applyFill="1" applyBorder="1" applyAlignment="1">
      <alignment vertical="top"/>
    </xf>
    <xf numFmtId="0" fontId="0" fillId="0" borderId="25" xfId="0" applyBorder="1"/>
    <xf numFmtId="0" fontId="0" fillId="0" borderId="29" xfId="0" applyBorder="1"/>
    <xf numFmtId="168" fontId="28" fillId="0" borderId="39" xfId="4" applyNumberFormat="1" applyFont="1" applyFill="1" applyBorder="1" applyAlignment="1">
      <alignment vertical="top"/>
    </xf>
    <xf numFmtId="168" fontId="28" fillId="0" borderId="39" xfId="9" applyNumberFormat="1" applyFont="1" applyFill="1" applyBorder="1" applyAlignment="1">
      <alignment vertical="top"/>
    </xf>
    <xf numFmtId="0" fontId="0" fillId="0" borderId="38" xfId="0" applyBorder="1"/>
    <xf numFmtId="168" fontId="3" fillId="0" borderId="0" xfId="0" applyNumberFormat="1" applyFont="1" applyFill="1" applyAlignment="1">
      <alignment vertical="center"/>
    </xf>
    <xf numFmtId="0" fontId="28" fillId="0" borderId="68" xfId="9" applyNumberFormat="1" applyFont="1" applyFill="1" applyBorder="1" applyAlignment="1">
      <alignment vertical="top"/>
    </xf>
    <xf numFmtId="0" fontId="28" fillId="0" borderId="70" xfId="9" applyNumberFormat="1" applyFont="1" applyFill="1" applyBorder="1" applyAlignment="1">
      <alignment vertical="top"/>
    </xf>
    <xf numFmtId="168" fontId="5" fillId="6" borderId="16" xfId="0" applyNumberFormat="1" applyFont="1" applyFill="1" applyBorder="1" applyAlignment="1">
      <alignment vertical="center"/>
    </xf>
    <xf numFmtId="0" fontId="5" fillId="7" borderId="46" xfId="0" applyFont="1" applyFill="1" applyBorder="1" applyAlignment="1">
      <alignment horizontal="center" vertical="center"/>
    </xf>
    <xf numFmtId="0" fontId="5" fillId="6" borderId="69" xfId="0" applyFont="1" applyFill="1" applyBorder="1" applyAlignment="1">
      <alignment vertical="center"/>
    </xf>
    <xf numFmtId="0" fontId="28" fillId="0" borderId="26" xfId="9" applyNumberFormat="1" applyFont="1" applyFill="1" applyBorder="1" applyAlignment="1">
      <alignment vertical="top"/>
    </xf>
    <xf numFmtId="167" fontId="0" fillId="0" borderId="28" xfId="5" applyNumberFormat="1" applyFont="1" applyBorder="1"/>
    <xf numFmtId="168" fontId="28" fillId="0" borderId="35" xfId="4" applyNumberFormat="1" applyFont="1" applyFill="1" applyBorder="1" applyAlignment="1">
      <alignment vertical="top"/>
    </xf>
    <xf numFmtId="0" fontId="3" fillId="0" borderId="36" xfId="0" applyFont="1" applyFill="1" applyBorder="1"/>
    <xf numFmtId="167" fontId="5" fillId="0" borderId="0" xfId="5" applyNumberFormat="1" applyFont="1" applyAlignment="1">
      <alignment horizontal="center" vertical="center"/>
    </xf>
    <xf numFmtId="167" fontId="3" fillId="0" borderId="0" xfId="5" applyNumberFormat="1" applyFont="1" applyFill="1" applyAlignment="1">
      <alignment vertical="center"/>
    </xf>
    <xf numFmtId="0" fontId="28" fillId="0" borderId="71" xfId="9" applyNumberFormat="1" applyFont="1" applyFill="1" applyBorder="1" applyAlignment="1">
      <alignment vertical="top"/>
    </xf>
    <xf numFmtId="167" fontId="0" fillId="0" borderId="35" xfId="5" applyNumberFormat="1" applyFont="1" applyBorder="1"/>
    <xf numFmtId="168" fontId="5" fillId="6" borderId="42" xfId="0" applyNumberFormat="1" applyFont="1" applyFill="1" applyBorder="1" applyAlignment="1">
      <alignment vertical="center"/>
    </xf>
    <xf numFmtId="0" fontId="25" fillId="0" borderId="5" xfId="0" applyFont="1" applyBorder="1" applyAlignment="1">
      <alignment vertical="center"/>
    </xf>
    <xf numFmtId="3" fontId="25" fillId="0" borderId="5" xfId="0" applyNumberFormat="1" applyFont="1" applyBorder="1" applyAlignment="1">
      <alignment vertical="center"/>
    </xf>
    <xf numFmtId="2" fontId="25" fillId="0" borderId="18" xfId="0" applyNumberFormat="1" applyFont="1" applyBorder="1" applyAlignment="1">
      <alignment vertical="center"/>
    </xf>
    <xf numFmtId="168" fontId="12" fillId="2" borderId="19" xfId="2" applyNumberFormat="1" applyFont="1" applyFill="1" applyBorder="1" applyAlignment="1">
      <alignment vertical="center"/>
    </xf>
    <xf numFmtId="0" fontId="11" fillId="0" borderId="3" xfId="2" applyFont="1" applyFill="1" applyBorder="1" applyAlignment="1">
      <alignment horizontal="left" vertical="center"/>
    </xf>
    <xf numFmtId="168" fontId="11" fillId="0" borderId="6" xfId="9" applyNumberFormat="1" applyFont="1" applyFill="1" applyBorder="1" applyAlignment="1">
      <alignment vertical="top"/>
    </xf>
    <xf numFmtId="168" fontId="11" fillId="0" borderId="51" xfId="9" applyNumberFormat="1" applyFont="1" applyFill="1" applyBorder="1" applyAlignment="1">
      <alignment vertical="top"/>
    </xf>
    <xf numFmtId="168" fontId="12" fillId="0" borderId="3" xfId="5" applyNumberFormat="1" applyFont="1" applyFill="1" applyBorder="1" applyAlignment="1">
      <alignment vertical="center"/>
    </xf>
    <xf numFmtId="168" fontId="12" fillId="0" borderId="53" xfId="5" applyNumberFormat="1" applyFont="1" applyFill="1" applyBorder="1" applyAlignment="1">
      <alignment vertical="center"/>
    </xf>
    <xf numFmtId="168" fontId="11" fillId="0" borderId="3" xfId="5" applyNumberFormat="1" applyFont="1" applyFill="1" applyBorder="1" applyAlignment="1">
      <alignment vertical="center"/>
    </xf>
    <xf numFmtId="168" fontId="11" fillId="0" borderId="53" xfId="5" applyNumberFormat="1" applyFont="1" applyFill="1" applyBorder="1" applyAlignment="1">
      <alignment vertical="center"/>
    </xf>
    <xf numFmtId="168" fontId="11" fillId="0" borderId="7" xfId="5" applyNumberFormat="1" applyFont="1" applyBorder="1" applyAlignment="1">
      <alignment vertical="center"/>
    </xf>
    <xf numFmtId="168" fontId="11" fillId="0" borderId="69" xfId="5" applyNumberFormat="1" applyFont="1" applyBorder="1" applyAlignment="1">
      <alignment vertical="center"/>
    </xf>
    <xf numFmtId="0" fontId="11" fillId="0" borderId="6" xfId="2" applyFont="1" applyFill="1" applyBorder="1" applyAlignment="1">
      <alignment horizontal="left" vertical="center"/>
    </xf>
    <xf numFmtId="0" fontId="11" fillId="0" borderId="7" xfId="2" applyFont="1" applyFill="1" applyBorder="1" applyAlignment="1">
      <alignment horizontal="left" vertical="center"/>
    </xf>
    <xf numFmtId="168" fontId="11" fillId="0" borderId="10" xfId="5" applyNumberFormat="1" applyFont="1" applyBorder="1" applyAlignment="1">
      <alignment vertical="center"/>
    </xf>
    <xf numFmtId="168" fontId="11" fillId="0" borderId="72" xfId="5" applyNumberFormat="1" applyFont="1" applyBorder="1" applyAlignment="1">
      <alignment vertical="center"/>
    </xf>
    <xf numFmtId="168" fontId="11" fillId="0" borderId="11" xfId="5" applyNumberFormat="1" applyFont="1" applyBorder="1" applyAlignment="1">
      <alignment vertical="center"/>
    </xf>
    <xf numFmtId="0" fontId="11" fillId="0" borderId="8" xfId="2" applyFont="1" applyBorder="1" applyAlignment="1">
      <alignment vertical="center"/>
    </xf>
    <xf numFmtId="168" fontId="11" fillId="0" borderId="50" xfId="2" applyNumberFormat="1" applyFont="1" applyFill="1" applyBorder="1" applyAlignment="1">
      <alignment vertical="center"/>
    </xf>
    <xf numFmtId="168" fontId="11" fillId="0" borderId="45" xfId="2" applyNumberFormat="1" applyFont="1" applyFill="1" applyBorder="1" applyAlignment="1">
      <alignment vertical="center"/>
    </xf>
    <xf numFmtId="168" fontId="11" fillId="0" borderId="13" xfId="5" applyNumberFormat="1" applyFont="1" applyFill="1" applyBorder="1" applyAlignment="1">
      <alignment vertical="center"/>
    </xf>
    <xf numFmtId="168" fontId="11" fillId="0" borderId="0" xfId="5" applyNumberFormat="1" applyFont="1" applyFill="1" applyBorder="1" applyAlignment="1">
      <alignment vertical="center"/>
    </xf>
    <xf numFmtId="168" fontId="11" fillId="0" borderId="6" xfId="2" applyNumberFormat="1" applyFont="1" applyFill="1" applyBorder="1" applyAlignment="1">
      <alignment vertical="center"/>
    </xf>
    <xf numFmtId="168" fontId="11" fillId="0" borderId="3" xfId="2" applyNumberFormat="1" applyFont="1" applyFill="1" applyBorder="1" applyAlignment="1">
      <alignment vertical="center"/>
    </xf>
    <xf numFmtId="168" fontId="12" fillId="2" borderId="5" xfId="2" applyNumberFormat="1" applyFont="1" applyFill="1" applyBorder="1" applyAlignment="1">
      <alignment vertical="center"/>
    </xf>
    <xf numFmtId="164" fontId="11" fillId="0" borderId="29" xfId="0" applyNumberFormat="1" applyFont="1" applyBorder="1"/>
    <xf numFmtId="0" fontId="12" fillId="3" borderId="41" xfId="0" applyNumberFormat="1" applyFont="1" applyFill="1" applyBorder="1"/>
    <xf numFmtId="164" fontId="12" fillId="3" borderId="16" xfId="5" applyNumberFormat="1" applyFont="1" applyFill="1" applyBorder="1"/>
    <xf numFmtId="167" fontId="12" fillId="3" borderId="41" xfId="5" applyNumberFormat="1" applyFont="1" applyFill="1" applyBorder="1"/>
    <xf numFmtId="167" fontId="12" fillId="3" borderId="16" xfId="5" applyNumberFormat="1" applyFont="1" applyFill="1" applyBorder="1"/>
    <xf numFmtId="164" fontId="12" fillId="3" borderId="42" xfId="5" applyNumberFormat="1" applyFont="1" applyFill="1" applyBorder="1"/>
    <xf numFmtId="0" fontId="12" fillId="0" borderId="32" xfId="2" applyFont="1" applyFill="1" applyBorder="1" applyAlignment="1">
      <alignment vertical="center"/>
    </xf>
    <xf numFmtId="0" fontId="12" fillId="0" borderId="31" xfId="2" applyFont="1" applyFill="1" applyBorder="1" applyAlignment="1">
      <alignment vertical="center"/>
    </xf>
    <xf numFmtId="0" fontId="12" fillId="0" borderId="28" xfId="2" applyFont="1" applyFill="1" applyBorder="1" applyAlignment="1">
      <alignment vertical="center"/>
    </xf>
    <xf numFmtId="0" fontId="12" fillId="0" borderId="28" xfId="2" applyFont="1" applyFill="1" applyBorder="1" applyAlignment="1">
      <alignment horizontal="left" vertical="center"/>
    </xf>
    <xf numFmtId="0" fontId="12" fillId="0" borderId="39" xfId="2" applyFont="1" applyFill="1" applyBorder="1" applyAlignment="1">
      <alignment vertical="center"/>
    </xf>
    <xf numFmtId="0" fontId="12" fillId="0" borderId="38" xfId="2" applyFont="1" applyFill="1" applyBorder="1" applyAlignment="1">
      <alignment vertical="center"/>
    </xf>
    <xf numFmtId="0" fontId="12" fillId="2" borderId="72" xfId="2" applyFont="1" applyFill="1" applyBorder="1" applyAlignment="1">
      <alignment vertical="center"/>
    </xf>
    <xf numFmtId="0" fontId="12" fillId="2" borderId="48" xfId="2" applyFont="1" applyFill="1" applyBorder="1" applyAlignment="1">
      <alignment vertical="center"/>
    </xf>
    <xf numFmtId="0" fontId="12" fillId="2" borderId="9" xfId="2" applyFont="1" applyFill="1" applyBorder="1" applyAlignment="1">
      <alignment vertical="center"/>
    </xf>
    <xf numFmtId="0" fontId="12" fillId="2" borderId="69" xfId="2" applyFont="1" applyFill="1" applyBorder="1" applyAlignment="1">
      <alignment vertical="center"/>
    </xf>
    <xf numFmtId="0" fontId="34" fillId="0" borderId="30" xfId="0" applyFont="1" applyBorder="1" applyAlignment="1">
      <alignment vertical="center" wrapText="1"/>
    </xf>
    <xf numFmtId="0" fontId="34" fillId="0" borderId="32" xfId="0" applyFont="1" applyBorder="1" applyAlignment="1">
      <alignment vertical="center" wrapText="1"/>
    </xf>
    <xf numFmtId="0" fontId="34" fillId="0" borderId="26" xfId="0" applyFont="1" applyBorder="1" applyAlignment="1">
      <alignment vertical="center" wrapText="1"/>
    </xf>
    <xf numFmtId="0" fontId="34" fillId="0" borderId="28" xfId="0" applyFont="1" applyBorder="1" applyAlignment="1">
      <alignment vertical="center" wrapText="1"/>
    </xf>
    <xf numFmtId="0" fontId="11" fillId="0" borderId="28" xfId="0" applyFont="1" applyBorder="1" applyAlignment="1">
      <alignment horizontal="center"/>
    </xf>
    <xf numFmtId="0" fontId="35" fillId="0" borderId="28" xfId="0" applyFont="1" applyBorder="1"/>
    <xf numFmtId="0" fontId="11" fillId="0" borderId="28" xfId="0" applyFont="1" applyBorder="1"/>
    <xf numFmtId="4" fontId="35" fillId="5" borderId="28" xfId="0" applyNumberFormat="1" applyFont="1" applyFill="1" applyBorder="1" applyAlignment="1">
      <alignment horizontal="right" vertical="center" wrapText="1"/>
    </xf>
    <xf numFmtId="0" fontId="35" fillId="0" borderId="28" xfId="0" applyFont="1" applyBorder="1" applyAlignment="1">
      <alignment wrapText="1"/>
    </xf>
    <xf numFmtId="0" fontId="36" fillId="0" borderId="28" xfId="0" applyFont="1" applyBorder="1"/>
    <xf numFmtId="4" fontId="36" fillId="9" borderId="28" xfId="0" applyNumberFormat="1" applyFont="1" applyFill="1" applyBorder="1" applyAlignment="1">
      <alignment horizontal="right" vertical="center" wrapText="1"/>
    </xf>
    <xf numFmtId="14" fontId="11" fillId="5" borderId="28" xfId="2" applyNumberFormat="1" applyFont="1" applyFill="1" applyBorder="1" applyAlignment="1">
      <alignment horizontal="center" vertical="center" wrapText="1"/>
    </xf>
    <xf numFmtId="0" fontId="35" fillId="5" borderId="28" xfId="0" applyFont="1" applyFill="1" applyBorder="1" applyAlignment="1">
      <alignment horizontal="left" vertical="center" wrapText="1"/>
    </xf>
    <xf numFmtId="0" fontId="35" fillId="10" borderId="28" xfId="0" applyFont="1" applyFill="1" applyBorder="1" applyAlignment="1">
      <alignment horizontal="left" vertical="center" wrapText="1"/>
    </xf>
    <xf numFmtId="0" fontId="11" fillId="0" borderId="28" xfId="2" applyFont="1" applyFill="1" applyBorder="1" applyAlignment="1">
      <alignment vertical="center"/>
    </xf>
    <xf numFmtId="0" fontId="11" fillId="0" borderId="28" xfId="2" applyFont="1" applyFill="1" applyBorder="1" applyAlignment="1">
      <alignment vertical="center" wrapText="1"/>
    </xf>
    <xf numFmtId="0" fontId="11" fillId="0" borderId="28" xfId="2" applyFont="1" applyFill="1" applyBorder="1" applyAlignment="1">
      <alignment horizontal="left" vertical="center" wrapText="1"/>
    </xf>
    <xf numFmtId="0" fontId="11" fillId="0" borderId="28" xfId="2" applyFont="1" applyFill="1" applyBorder="1" applyAlignment="1">
      <alignment horizontal="left" vertical="top" wrapText="1"/>
    </xf>
    <xf numFmtId="0" fontId="11" fillId="0" borderId="28" xfId="0" applyFont="1" applyBorder="1" applyAlignment="1">
      <alignment vertical="center" wrapText="1"/>
    </xf>
    <xf numFmtId="0" fontId="11" fillId="0" borderId="23" xfId="2" applyFont="1" applyFill="1" applyBorder="1" applyAlignment="1">
      <alignment vertical="center" wrapText="1"/>
    </xf>
    <xf numFmtId="0" fontId="11" fillId="0" borderId="23" xfId="2" applyFont="1" applyFill="1" applyBorder="1" applyAlignment="1">
      <alignment horizontal="left" vertical="center" wrapText="1"/>
    </xf>
    <xf numFmtId="0" fontId="12" fillId="0" borderId="23" xfId="2" applyFont="1" applyFill="1" applyBorder="1" applyAlignment="1">
      <alignment vertical="center" wrapText="1"/>
    </xf>
    <xf numFmtId="0" fontId="12" fillId="11" borderId="19" xfId="2" applyFont="1" applyFill="1" applyBorder="1" applyAlignment="1">
      <alignment horizontal="left" vertical="center"/>
    </xf>
    <xf numFmtId="0" fontId="12" fillId="11" borderId="18" xfId="2" applyFont="1" applyFill="1" applyBorder="1" applyAlignment="1">
      <alignment horizontal="center" vertical="center" wrapText="1"/>
    </xf>
    <xf numFmtId="0" fontId="12" fillId="11" borderId="5" xfId="2" applyFont="1" applyFill="1" applyBorder="1" applyAlignment="1">
      <alignment horizontal="center" vertical="center" wrapText="1"/>
    </xf>
    <xf numFmtId="0" fontId="12" fillId="11" borderId="20" xfId="2" applyFont="1" applyFill="1" applyBorder="1" applyAlignment="1">
      <alignment horizontal="center" vertical="center" wrapText="1"/>
    </xf>
    <xf numFmtId="170" fontId="11" fillId="0" borderId="28" xfId="2" applyNumberFormat="1" applyFont="1" applyFill="1" applyBorder="1" applyAlignment="1">
      <alignment horizontal="center" vertical="center"/>
    </xf>
    <xf numFmtId="164" fontId="11" fillId="0" borderId="28" xfId="5" applyFont="1" applyFill="1" applyBorder="1" applyAlignment="1">
      <alignment horizontal="right" vertical="center"/>
    </xf>
    <xf numFmtId="0" fontId="33" fillId="0" borderId="28" xfId="0" applyFont="1" applyBorder="1" applyAlignment="1">
      <alignment horizontal="center" vertical="center" wrapText="1"/>
    </xf>
    <xf numFmtId="0" fontId="34" fillId="0" borderId="28" xfId="0" applyFont="1" applyBorder="1" applyAlignment="1">
      <alignment horizontal="left" vertical="center" wrapText="1"/>
    </xf>
    <xf numFmtId="4" fontId="34" fillId="0" borderId="28" xfId="0" applyNumberFormat="1" applyFont="1" applyBorder="1" applyAlignment="1">
      <alignment horizontal="center" vertical="center" wrapText="1"/>
    </xf>
    <xf numFmtId="0" fontId="34" fillId="0" borderId="28" xfId="0" applyFont="1" applyBorder="1" applyAlignment="1">
      <alignment horizontal="center" vertical="center" wrapText="1"/>
    </xf>
    <xf numFmtId="14" fontId="34" fillId="0" borderId="28" xfId="0" applyNumberFormat="1" applyFont="1" applyBorder="1" applyAlignment="1">
      <alignment horizontal="center" vertical="center" wrapText="1"/>
    </xf>
    <xf numFmtId="4" fontId="35" fillId="0" borderId="28" xfId="0" applyNumberFormat="1" applyFont="1" applyBorder="1" applyAlignment="1">
      <alignment horizontal="center"/>
    </xf>
    <xf numFmtId="14" fontId="35" fillId="0" borderId="28" xfId="0" applyNumberFormat="1" applyFont="1" applyBorder="1" applyAlignment="1">
      <alignment horizontal="center"/>
    </xf>
    <xf numFmtId="14" fontId="35" fillId="9" borderId="28" xfId="0" applyNumberFormat="1" applyFont="1" applyFill="1" applyBorder="1" applyAlignment="1">
      <alignment horizontal="center" wrapText="1"/>
    </xf>
    <xf numFmtId="4" fontId="35" fillId="0" borderId="28" xfId="0" applyNumberFormat="1" applyFont="1" applyFill="1" applyBorder="1" applyAlignment="1">
      <alignment horizontal="center" wrapText="1"/>
    </xf>
    <xf numFmtId="14" fontId="35" fillId="0" borderId="28" xfId="0" applyNumberFormat="1" applyFont="1" applyBorder="1" applyAlignment="1">
      <alignment horizontal="center" vertical="center"/>
    </xf>
    <xf numFmtId="0" fontId="34" fillId="0" borderId="28" xfId="0" applyFont="1" applyBorder="1" applyAlignment="1">
      <alignment horizontal="center" vertical="center"/>
    </xf>
    <xf numFmtId="0" fontId="34" fillId="0" borderId="28" xfId="0" applyFont="1" applyBorder="1" applyAlignment="1">
      <alignment wrapText="1"/>
    </xf>
    <xf numFmtId="0" fontId="35" fillId="0" borderId="28" xfId="0" applyFont="1" applyBorder="1" applyAlignment="1">
      <alignment horizontal="center" vertical="center" wrapText="1"/>
    </xf>
    <xf numFmtId="14" fontId="35" fillId="0" borderId="28" xfId="0" applyNumberFormat="1" applyFont="1" applyBorder="1" applyAlignment="1">
      <alignment horizontal="center" vertical="center" wrapText="1"/>
    </xf>
    <xf numFmtId="14" fontId="35" fillId="9" borderId="28" xfId="0" applyNumberFormat="1" applyFont="1" applyFill="1" applyBorder="1" applyAlignment="1">
      <alignment horizontal="center" vertical="center" wrapText="1"/>
    </xf>
    <xf numFmtId="0" fontId="35" fillId="9" borderId="28" xfId="0" applyFont="1" applyFill="1" applyBorder="1" applyAlignment="1">
      <alignment horizontal="center" vertical="center" wrapText="1"/>
    </xf>
    <xf numFmtId="0" fontId="11" fillId="0" borderId="28" xfId="2" applyFont="1" applyFill="1" applyBorder="1" applyAlignment="1">
      <alignment horizontal="right" vertical="center"/>
    </xf>
    <xf numFmtId="0" fontId="11" fillId="0" borderId="28" xfId="2" applyFont="1" applyFill="1" applyBorder="1" applyAlignment="1">
      <alignment horizontal="center" vertical="center"/>
    </xf>
    <xf numFmtId="4" fontId="11" fillId="0" borderId="28" xfId="2" applyNumberFormat="1" applyFont="1" applyFill="1" applyBorder="1" applyAlignment="1">
      <alignment horizontal="center" vertical="center"/>
    </xf>
    <xf numFmtId="14" fontId="11" fillId="0" borderId="28" xfId="2" applyNumberFormat="1" applyFont="1" applyFill="1" applyBorder="1" applyAlignment="1">
      <alignment horizontal="center" vertical="center"/>
    </xf>
    <xf numFmtId="0" fontId="11" fillId="0" borderId="28" xfId="2" applyFont="1" applyFill="1" applyBorder="1" applyAlignment="1">
      <alignment horizontal="center" vertical="center" wrapText="1"/>
    </xf>
    <xf numFmtId="0" fontId="11" fillId="0" borderId="28" xfId="4" applyFont="1" applyBorder="1" applyAlignment="1" applyProtection="1">
      <alignment vertical="center" wrapText="1"/>
      <protection locked="0"/>
    </xf>
    <xf numFmtId="49" fontId="11" fillId="0" borderId="28" xfId="2" applyNumberFormat="1" applyFont="1" applyFill="1" applyBorder="1" applyAlignment="1">
      <alignment horizontal="center" vertical="center"/>
    </xf>
    <xf numFmtId="4" fontId="11" fillId="0" borderId="28" xfId="4" applyNumberFormat="1" applyFont="1" applyBorder="1" applyAlignment="1" applyProtection="1">
      <alignment horizontal="right" vertical="center"/>
      <protection locked="0"/>
    </xf>
    <xf numFmtId="14" fontId="11" fillId="0" borderId="28" xfId="4" applyNumberFormat="1" applyFont="1" applyBorder="1" applyAlignment="1" applyProtection="1">
      <alignment vertical="center"/>
      <protection locked="0"/>
    </xf>
    <xf numFmtId="0" fontId="11" fillId="0" borderId="28" xfId="4" applyFont="1" applyBorder="1" applyAlignment="1">
      <alignment vertical="center"/>
    </xf>
    <xf numFmtId="4" fontId="11" fillId="0" borderId="28" xfId="4" applyNumberFormat="1" applyFont="1" applyFill="1" applyBorder="1" applyAlignment="1" applyProtection="1">
      <alignment horizontal="right" vertical="center"/>
      <protection locked="0"/>
    </xf>
    <xf numFmtId="0" fontId="11" fillId="0" borderId="28" xfId="4" applyFont="1" applyFill="1" applyBorder="1" applyAlignment="1" applyProtection="1">
      <alignment vertical="center" wrapText="1"/>
      <protection locked="0"/>
    </xf>
    <xf numFmtId="14" fontId="11" fillId="0" borderId="28" xfId="4" applyNumberFormat="1" applyFont="1" applyFill="1" applyBorder="1" applyAlignment="1" applyProtection="1">
      <alignment horizontal="right" vertical="center"/>
      <protection locked="0"/>
    </xf>
    <xf numFmtId="0" fontId="11" fillId="0" borderId="28" xfId="4" applyFont="1" applyFill="1" applyBorder="1" applyAlignment="1">
      <alignment vertical="center"/>
    </xf>
    <xf numFmtId="0" fontId="11" fillId="0" borderId="28" xfId="4" applyFont="1" applyBorder="1" applyAlignment="1">
      <alignment horizontal="center" vertical="center"/>
    </xf>
    <xf numFmtId="49" fontId="11" fillId="0" borderId="28" xfId="4" applyNumberFormat="1" applyFont="1" applyBorder="1" applyAlignment="1">
      <alignment horizontal="center" vertical="center"/>
    </xf>
    <xf numFmtId="4" fontId="11" fillId="0" borderId="28" xfId="2" applyNumberFormat="1" applyFont="1" applyFill="1" applyBorder="1" applyAlignment="1">
      <alignment horizontal="right" vertical="center"/>
    </xf>
    <xf numFmtId="14" fontId="11" fillId="0" borderId="28" xfId="2" applyNumberFormat="1" applyFont="1" applyFill="1" applyBorder="1" applyAlignment="1">
      <alignment horizontal="right" vertical="center"/>
    </xf>
    <xf numFmtId="14" fontId="11" fillId="0" borderId="28" xfId="4" applyNumberFormat="1" applyFont="1" applyBorder="1" applyAlignment="1" applyProtection="1">
      <alignment horizontal="right" vertical="center"/>
      <protection locked="0"/>
    </xf>
    <xf numFmtId="173" fontId="11" fillId="0" borderId="28" xfId="4" applyNumberFormat="1" applyFont="1" applyBorder="1" applyAlignment="1" applyProtection="1">
      <alignment vertical="center"/>
      <protection locked="0"/>
    </xf>
    <xf numFmtId="173" fontId="11" fillId="0" borderId="28" xfId="2" applyNumberFormat="1" applyFont="1" applyFill="1" applyBorder="1" applyAlignment="1">
      <alignment horizontal="right" vertical="center"/>
    </xf>
    <xf numFmtId="49" fontId="11" fillId="0" borderId="28" xfId="2" applyNumberFormat="1" applyFont="1" applyBorder="1" applyAlignment="1">
      <alignment horizontal="center" vertical="center"/>
    </xf>
    <xf numFmtId="0" fontId="12" fillId="7" borderId="12" xfId="0" applyFont="1" applyFill="1" applyBorder="1" applyAlignment="1">
      <alignment horizontal="center" vertical="center" wrapText="1"/>
    </xf>
    <xf numFmtId="0" fontId="12" fillId="7" borderId="21" xfId="0" applyFont="1" applyFill="1" applyBorder="1" applyAlignment="1">
      <alignment horizontal="center" vertical="center" wrapText="1"/>
    </xf>
    <xf numFmtId="164" fontId="11" fillId="0" borderId="28" xfId="8" applyFont="1" applyFill="1" applyBorder="1" applyAlignment="1">
      <alignment horizontal="right" vertical="center"/>
    </xf>
    <xf numFmtId="164" fontId="11" fillId="0" borderId="28" xfId="8" applyFont="1" applyFill="1" applyBorder="1" applyAlignment="1">
      <alignment horizontal="center" vertical="center" wrapText="1"/>
    </xf>
    <xf numFmtId="0" fontId="11" fillId="0" borderId="35" xfId="2" applyFont="1" applyFill="1" applyBorder="1" applyAlignment="1">
      <alignment horizontal="center" vertical="center" wrapText="1"/>
    </xf>
    <xf numFmtId="0" fontId="11" fillId="0" borderId="35" xfId="2" applyFont="1" applyFill="1" applyBorder="1" applyAlignment="1">
      <alignment horizontal="left" vertical="center"/>
    </xf>
    <xf numFmtId="0" fontId="11" fillId="0" borderId="35" xfId="2" applyFont="1" applyFill="1" applyBorder="1" applyAlignment="1">
      <alignment horizontal="center" vertical="center"/>
    </xf>
    <xf numFmtId="14" fontId="11" fillId="0" borderId="35" xfId="2" applyNumberFormat="1" applyFont="1" applyFill="1" applyBorder="1" applyAlignment="1">
      <alignment horizontal="center" vertical="center"/>
    </xf>
    <xf numFmtId="4" fontId="11" fillId="0" borderId="28" xfId="2" applyNumberFormat="1" applyFont="1" applyFill="1" applyBorder="1" applyAlignment="1">
      <alignment horizontal="left" vertical="center"/>
    </xf>
    <xf numFmtId="4" fontId="11" fillId="0" borderId="28" xfId="2" applyNumberFormat="1" applyFont="1" applyBorder="1" applyAlignment="1">
      <alignment horizontal="center" vertical="center"/>
    </xf>
    <xf numFmtId="0" fontId="11" fillId="0" borderId="28" xfId="2" applyFont="1" applyBorder="1" applyAlignment="1">
      <alignment horizontal="left" vertical="center"/>
    </xf>
    <xf numFmtId="14" fontId="11" fillId="0" borderId="28" xfId="2" applyNumberFormat="1" applyFont="1" applyBorder="1" applyAlignment="1">
      <alignment vertical="center"/>
    </xf>
    <xf numFmtId="4" fontId="11" fillId="0" borderId="28" xfId="4" applyNumberFormat="1" applyFont="1" applyBorder="1" applyAlignment="1">
      <alignment horizontal="center"/>
    </xf>
    <xf numFmtId="0" fontId="11" fillId="0" borderId="28" xfId="4" applyFont="1" applyBorder="1" applyAlignment="1">
      <alignment horizontal="left"/>
    </xf>
    <xf numFmtId="14" fontId="11" fillId="0" borderId="28" xfId="4" applyNumberFormat="1" applyFont="1" applyBorder="1"/>
    <xf numFmtId="49" fontId="11" fillId="0" borderId="28" xfId="4" applyNumberFormat="1" applyFont="1" applyBorder="1" applyAlignment="1">
      <alignment horizontal="right"/>
    </xf>
    <xf numFmtId="0" fontId="4" fillId="0" borderId="28" xfId="2" applyFont="1" applyFill="1" applyBorder="1" applyAlignment="1">
      <alignment horizontal="center" vertical="center" wrapText="1"/>
    </xf>
    <xf numFmtId="14" fontId="11" fillId="0" borderId="28" xfId="2" applyNumberFormat="1" applyFont="1" applyFill="1" applyBorder="1" applyAlignment="1">
      <alignment horizontal="center" vertical="center" wrapText="1"/>
    </xf>
    <xf numFmtId="0" fontId="11" fillId="0" borderId="28" xfId="4" applyFont="1" applyBorder="1" applyAlignment="1">
      <alignment wrapText="1"/>
    </xf>
    <xf numFmtId="0" fontId="11" fillId="0" borderId="28" xfId="2" applyFont="1" applyBorder="1" applyAlignment="1">
      <alignment horizontal="center" vertical="center" wrapText="1"/>
    </xf>
    <xf numFmtId="0" fontId="11" fillId="0" borderId="28" xfId="2" applyFont="1" applyBorder="1" applyAlignment="1">
      <alignment vertical="center" wrapText="1"/>
    </xf>
    <xf numFmtId="14" fontId="11" fillId="0" borderId="28" xfId="2" applyNumberFormat="1" applyFont="1" applyBorder="1" applyAlignment="1">
      <alignment vertical="center" wrapText="1"/>
    </xf>
    <xf numFmtId="22" fontId="11" fillId="0" borderId="28" xfId="2" applyNumberFormat="1" applyFont="1" applyBorder="1" applyAlignment="1">
      <alignment vertical="center" wrapText="1"/>
    </xf>
    <xf numFmtId="0" fontId="12" fillId="0" borderId="28" xfId="2" applyFont="1" applyBorder="1" applyAlignment="1">
      <alignment vertical="center" wrapText="1"/>
    </xf>
    <xf numFmtId="0" fontId="11" fillId="0" borderId="28" xfId="2" applyFont="1" applyBorder="1" applyAlignment="1">
      <alignment horizontal="left" vertical="center" wrapText="1"/>
    </xf>
    <xf numFmtId="0" fontId="11" fillId="0" borderId="28" xfId="0" applyFont="1" applyBorder="1" applyAlignment="1">
      <alignment vertical="center"/>
    </xf>
    <xf numFmtId="17" fontId="11" fillId="0" borderId="28" xfId="2" applyNumberFormat="1" applyFont="1" applyFill="1" applyBorder="1" applyAlignment="1">
      <alignment horizontal="left" vertical="center"/>
    </xf>
    <xf numFmtId="175" fontId="11" fillId="0" borderId="28" xfId="11" applyNumberFormat="1" applyFont="1" applyFill="1" applyBorder="1" applyAlignment="1">
      <alignment vertical="center"/>
    </xf>
    <xf numFmtId="0" fontId="11" fillId="0" borderId="28" xfId="0" applyFont="1" applyBorder="1" applyProtection="1">
      <protection locked="0"/>
    </xf>
    <xf numFmtId="0" fontId="11" fillId="5" borderId="28" xfId="0" applyFont="1" applyFill="1" applyBorder="1" applyProtection="1">
      <protection locked="0"/>
    </xf>
    <xf numFmtId="22" fontId="11" fillId="0" borderId="28" xfId="0" applyNumberFormat="1" applyFont="1" applyBorder="1" applyProtection="1">
      <protection locked="0"/>
    </xf>
    <xf numFmtId="0" fontId="11" fillId="0" borderId="23" xfId="2" applyFont="1" applyFill="1" applyBorder="1" applyAlignment="1">
      <alignment horizontal="left" vertical="center"/>
    </xf>
    <xf numFmtId="0" fontId="11" fillId="0" borderId="23" xfId="2" applyFont="1" applyFill="1" applyBorder="1" applyAlignment="1">
      <alignment vertical="center"/>
    </xf>
    <xf numFmtId="0" fontId="12" fillId="11" borderId="28" xfId="2" applyFont="1" applyFill="1" applyBorder="1" applyAlignment="1">
      <alignment horizontal="center" vertical="center" wrapText="1"/>
    </xf>
    <xf numFmtId="0" fontId="35" fillId="0" borderId="28" xfId="0" applyFont="1" applyBorder="1" applyAlignment="1">
      <alignment vertical="center" wrapText="1"/>
    </xf>
    <xf numFmtId="0" fontId="38" fillId="0" borderId="28" xfId="0" applyFont="1" applyBorder="1" applyAlignment="1">
      <alignment vertical="center"/>
    </xf>
    <xf numFmtId="171" fontId="11" fillId="0" borderId="28" xfId="2" applyNumberFormat="1" applyFont="1" applyFill="1" applyBorder="1" applyAlignment="1">
      <alignment horizontal="right" vertical="center" wrapText="1"/>
    </xf>
    <xf numFmtId="14" fontId="11" fillId="0" borderId="28" xfId="2" applyNumberFormat="1" applyFont="1" applyFill="1" applyBorder="1" applyAlignment="1">
      <alignment vertical="center" wrapText="1"/>
    </xf>
    <xf numFmtId="164" fontId="11" fillId="0" borderId="28" xfId="8" applyFont="1" applyFill="1" applyBorder="1" applyAlignment="1">
      <alignment horizontal="center" vertical="center"/>
    </xf>
    <xf numFmtId="0" fontId="11" fillId="5" borderId="28" xfId="2" applyNumberFormat="1" applyFont="1" applyFill="1" applyBorder="1" applyAlignment="1">
      <alignment horizontal="left" vertical="center"/>
    </xf>
    <xf numFmtId="0" fontId="11" fillId="0" borderId="28" xfId="2" applyFont="1" applyFill="1" applyBorder="1" applyAlignment="1">
      <alignment horizontal="left" vertical="top"/>
    </xf>
    <xf numFmtId="0" fontId="11" fillId="0" borderId="28" xfId="2" applyFont="1" applyFill="1" applyBorder="1" applyAlignment="1">
      <alignment horizontal="center" vertical="top" wrapText="1"/>
    </xf>
    <xf numFmtId="14" fontId="11" fillId="0" borderId="28" xfId="0" applyNumberFormat="1" applyFont="1" applyBorder="1"/>
    <xf numFmtId="0" fontId="11" fillId="0" borderId="28" xfId="4" applyFont="1" applyBorder="1" applyProtection="1">
      <protection locked="0"/>
    </xf>
    <xf numFmtId="0" fontId="11" fillId="0" borderId="28" xfId="4" applyFont="1" applyBorder="1" applyAlignment="1" applyProtection="1">
      <alignment horizontal="center"/>
      <protection locked="0"/>
    </xf>
    <xf numFmtId="0" fontId="11" fillId="0" borderId="28" xfId="4" applyFont="1" applyBorder="1" applyAlignment="1" applyProtection="1">
      <alignment wrapText="1"/>
      <protection locked="0"/>
    </xf>
    <xf numFmtId="0" fontId="11" fillId="0" borderId="28" xfId="0" applyFont="1" applyBorder="1" applyAlignment="1" applyProtection="1">
      <alignment horizontal="center"/>
      <protection locked="0"/>
    </xf>
    <xf numFmtId="170" fontId="11" fillId="0" borderId="28" xfId="2" applyNumberFormat="1" applyFont="1" applyFill="1" applyBorder="1" applyAlignment="1">
      <alignment horizontal="right" vertical="center"/>
    </xf>
    <xf numFmtId="0" fontId="11" fillId="0" borderId="35" xfId="2" applyFont="1" applyFill="1" applyBorder="1" applyAlignment="1">
      <alignment vertical="center"/>
    </xf>
    <xf numFmtId="0" fontId="11" fillId="0" borderId="23" xfId="2" applyFont="1" applyFill="1" applyBorder="1" applyAlignment="1">
      <alignment horizontal="center" vertical="center"/>
    </xf>
    <xf numFmtId="4" fontId="11" fillId="0" borderId="23" xfId="2" applyNumberFormat="1" applyFont="1" applyFill="1" applyBorder="1" applyAlignment="1">
      <alignment horizontal="center" vertical="center"/>
    </xf>
    <xf numFmtId="14" fontId="11" fillId="0" borderId="23" xfId="2" applyNumberFormat="1" applyFont="1" applyFill="1" applyBorder="1" applyAlignment="1">
      <alignment horizontal="center" vertical="center"/>
    </xf>
    <xf numFmtId="0" fontId="12" fillId="11" borderId="41" xfId="2" applyFont="1" applyFill="1" applyBorder="1" applyAlignment="1">
      <alignment horizontal="left" vertical="center"/>
    </xf>
    <xf numFmtId="0" fontId="12" fillId="11" borderId="16" xfId="2" applyFont="1" applyFill="1" applyBorder="1" applyAlignment="1">
      <alignment horizontal="center" vertical="center" wrapText="1"/>
    </xf>
    <xf numFmtId="0" fontId="12" fillId="11" borderId="42" xfId="2" applyFont="1" applyFill="1" applyBorder="1" applyAlignment="1">
      <alignment horizontal="center" vertical="center" wrapText="1"/>
    </xf>
    <xf numFmtId="0" fontId="11" fillId="0" borderId="35" xfId="2" applyFont="1" applyBorder="1" applyAlignment="1">
      <alignment horizontal="center" vertical="center"/>
    </xf>
    <xf numFmtId="0" fontId="11" fillId="0" borderId="35" xfId="2" applyFont="1" applyBorder="1" applyAlignment="1">
      <alignment horizontal="left" vertical="center"/>
    </xf>
    <xf numFmtId="0" fontId="11" fillId="0" borderId="35" xfId="2" applyFont="1" applyBorder="1" applyAlignment="1">
      <alignment vertical="center"/>
    </xf>
    <xf numFmtId="0" fontId="11" fillId="0" borderId="35" xfId="0" applyFont="1" applyBorder="1"/>
    <xf numFmtId="4" fontId="11" fillId="0" borderId="35" xfId="2" applyNumberFormat="1" applyFont="1" applyFill="1" applyBorder="1" applyAlignment="1">
      <alignment horizontal="right" vertical="center"/>
    </xf>
    <xf numFmtId="17" fontId="11" fillId="0" borderId="23" xfId="2" applyNumberFormat="1" applyFont="1" applyFill="1" applyBorder="1" applyAlignment="1">
      <alignment horizontal="left" vertical="center"/>
    </xf>
    <xf numFmtId="14" fontId="11" fillId="0" borderId="23" xfId="2" applyNumberFormat="1" applyFont="1" applyFill="1" applyBorder="1" applyAlignment="1">
      <alignment vertical="center"/>
    </xf>
    <xf numFmtId="0" fontId="12" fillId="0" borderId="35" xfId="2" applyFont="1" applyBorder="1" applyAlignment="1">
      <alignment vertical="center" wrapText="1"/>
    </xf>
    <xf numFmtId="14" fontId="11" fillId="0" borderId="35" xfId="2" applyNumberFormat="1" applyFont="1" applyBorder="1" applyAlignment="1">
      <alignment vertical="center" wrapText="1"/>
    </xf>
    <xf numFmtId="0" fontId="11" fillId="0" borderId="23" xfId="0" applyFont="1" applyBorder="1" applyAlignment="1">
      <alignment vertical="center"/>
    </xf>
    <xf numFmtId="4" fontId="11" fillId="0" borderId="23" xfId="2" applyNumberFormat="1" applyFont="1" applyFill="1" applyBorder="1" applyAlignment="1">
      <alignment horizontal="right" vertical="center"/>
    </xf>
    <xf numFmtId="0" fontId="11" fillId="0" borderId="35" xfId="4" applyFont="1" applyBorder="1"/>
    <xf numFmtId="0" fontId="11" fillId="0" borderId="23" xfId="2" applyFont="1" applyBorder="1" applyAlignment="1">
      <alignment vertical="center" wrapText="1"/>
    </xf>
    <xf numFmtId="14" fontId="11" fillId="0" borderId="23" xfId="2" applyNumberFormat="1" applyFont="1" applyBorder="1" applyAlignment="1">
      <alignment vertical="center" wrapText="1"/>
    </xf>
    <xf numFmtId="14" fontId="11" fillId="0" borderId="35" xfId="2" applyNumberFormat="1" applyFont="1" applyFill="1" applyBorder="1" applyAlignment="1">
      <alignment horizontal="center" vertical="center" wrapText="1"/>
    </xf>
    <xf numFmtId="0" fontId="11" fillId="0" borderId="23" xfId="4" applyFont="1" applyBorder="1"/>
    <xf numFmtId="0" fontId="11" fillId="0" borderId="28" xfId="4" applyFont="1" applyBorder="1" applyAlignment="1" applyProtection="1">
      <alignment horizontal="left" wrapText="1"/>
      <protection locked="0"/>
    </xf>
    <xf numFmtId="170" fontId="11" fillId="0" borderId="35" xfId="2" applyNumberFormat="1" applyFont="1" applyFill="1" applyBorder="1" applyAlignment="1">
      <alignment horizontal="right" vertical="center"/>
    </xf>
    <xf numFmtId="14" fontId="11" fillId="0" borderId="35" xfId="2" applyNumberFormat="1" applyFont="1" applyFill="1" applyBorder="1" applyAlignment="1">
      <alignment vertical="center"/>
    </xf>
    <xf numFmtId="14" fontId="11" fillId="0" borderId="23" xfId="2" applyNumberFormat="1" applyFont="1" applyFill="1" applyBorder="1" applyAlignment="1">
      <alignment horizontal="center" vertical="center" wrapText="1"/>
    </xf>
    <xf numFmtId="0" fontId="11" fillId="0" borderId="35" xfId="0" applyFont="1" applyBorder="1" applyAlignment="1" applyProtection="1">
      <alignment horizontal="center"/>
      <protection locked="0"/>
    </xf>
    <xf numFmtId="170" fontId="11" fillId="0" borderId="23" xfId="2" applyNumberFormat="1" applyFont="1" applyFill="1" applyBorder="1" applyAlignment="1">
      <alignment horizontal="right" vertical="center"/>
    </xf>
    <xf numFmtId="4" fontId="11" fillId="0" borderId="35" xfId="2" applyNumberFormat="1" applyFont="1" applyFill="1" applyBorder="1" applyAlignment="1">
      <alignment horizontal="center" vertical="center"/>
    </xf>
    <xf numFmtId="49" fontId="11" fillId="0" borderId="35" xfId="4" applyNumberFormat="1" applyFont="1" applyBorder="1" applyAlignment="1">
      <alignment horizontal="right"/>
    </xf>
    <xf numFmtId="0" fontId="11" fillId="0" borderId="23" xfId="4" applyFont="1" applyBorder="1" applyProtection="1">
      <protection locked="0"/>
    </xf>
    <xf numFmtId="0" fontId="11" fillId="0" borderId="23" xfId="4" applyFont="1" applyBorder="1" applyAlignment="1" applyProtection="1">
      <alignment horizontal="center"/>
      <protection locked="0"/>
    </xf>
    <xf numFmtId="49" fontId="11" fillId="0" borderId="23" xfId="2" applyNumberFormat="1" applyFont="1" applyFill="1" applyBorder="1" applyAlignment="1">
      <alignment horizontal="center" vertical="center"/>
    </xf>
    <xf numFmtId="164" fontId="11" fillId="0" borderId="35" xfId="8" applyFont="1" applyFill="1" applyBorder="1" applyAlignment="1">
      <alignment horizontal="center" vertical="center"/>
    </xf>
    <xf numFmtId="49" fontId="11" fillId="0" borderId="35" xfId="2" applyNumberFormat="1" applyFont="1" applyFill="1" applyBorder="1" applyAlignment="1">
      <alignment horizontal="center" vertical="center"/>
    </xf>
    <xf numFmtId="14" fontId="11" fillId="0" borderId="23" xfId="0" applyNumberFormat="1" applyFont="1" applyBorder="1"/>
    <xf numFmtId="0" fontId="11" fillId="0" borderId="35" xfId="4" applyFont="1" applyBorder="1" applyAlignment="1" applyProtection="1">
      <alignment vertical="center" wrapText="1"/>
      <protection locked="0"/>
    </xf>
    <xf numFmtId="0" fontId="11" fillId="0" borderId="35" xfId="4" applyFont="1" applyBorder="1" applyAlignment="1">
      <alignment vertical="center" wrapText="1"/>
    </xf>
    <xf numFmtId="0" fontId="11" fillId="0" borderId="35" xfId="4" applyFont="1" applyBorder="1" applyAlignment="1">
      <alignment horizontal="center" vertical="center"/>
    </xf>
    <xf numFmtId="49" fontId="11" fillId="0" borderId="35" xfId="4" applyNumberFormat="1" applyFont="1" applyBorder="1" applyAlignment="1">
      <alignment horizontal="center" vertical="center"/>
    </xf>
    <xf numFmtId="4" fontId="11" fillId="0" borderId="35" xfId="4" applyNumberFormat="1" applyFont="1" applyFill="1" applyBorder="1" applyAlignment="1" applyProtection="1">
      <alignment horizontal="right" vertical="center"/>
      <protection locked="0"/>
    </xf>
    <xf numFmtId="173" fontId="11" fillId="0" borderId="35" xfId="4" applyNumberFormat="1" applyFont="1" applyBorder="1" applyAlignment="1">
      <alignment vertical="center"/>
    </xf>
    <xf numFmtId="0" fontId="11" fillId="0" borderId="35" xfId="4" applyFont="1" applyBorder="1" applyAlignment="1">
      <alignment vertical="center"/>
    </xf>
    <xf numFmtId="0" fontId="11" fillId="0" borderId="23" xfId="2" applyFont="1" applyFill="1" applyBorder="1" applyAlignment="1">
      <alignment horizontal="center" vertical="center" wrapText="1"/>
    </xf>
    <xf numFmtId="164" fontId="11" fillId="0" borderId="23" xfId="8" applyFont="1" applyFill="1" applyBorder="1" applyAlignment="1">
      <alignment horizontal="center" vertical="center"/>
    </xf>
    <xf numFmtId="0" fontId="11" fillId="0" borderId="23" xfId="4" applyFont="1" applyBorder="1" applyAlignment="1" applyProtection="1">
      <alignment vertical="center" wrapText="1"/>
      <protection locked="0"/>
    </xf>
    <xf numFmtId="4" fontId="11" fillId="0" borderId="23" xfId="4" applyNumberFormat="1" applyFont="1" applyBorder="1" applyAlignment="1" applyProtection="1">
      <alignment horizontal="right" vertical="center"/>
      <protection locked="0"/>
    </xf>
    <xf numFmtId="14" fontId="11" fillId="0" borderId="23" xfId="4" applyNumberFormat="1" applyFont="1" applyBorder="1" applyAlignment="1" applyProtection="1">
      <alignment vertical="center"/>
      <protection locked="0"/>
    </xf>
    <xf numFmtId="0" fontId="34" fillId="0" borderId="35" xfId="0" applyFont="1" applyBorder="1" applyAlignment="1">
      <alignment horizontal="center" vertical="center" wrapText="1"/>
    </xf>
    <xf numFmtId="0" fontId="35" fillId="0" borderId="35" xfId="0" applyFont="1" applyBorder="1" applyAlignment="1">
      <alignment horizontal="center" vertical="center" wrapText="1"/>
    </xf>
    <xf numFmtId="14" fontId="35" fillId="9" borderId="35" xfId="0" applyNumberFormat="1" applyFont="1" applyFill="1" applyBorder="1" applyAlignment="1">
      <alignment horizontal="center" vertical="center" wrapText="1"/>
    </xf>
    <xf numFmtId="14" fontId="34" fillId="0" borderId="35" xfId="0" applyNumberFormat="1" applyFont="1" applyBorder="1" applyAlignment="1">
      <alignment horizontal="center" vertical="center" wrapText="1"/>
    </xf>
    <xf numFmtId="171" fontId="11" fillId="0" borderId="23" xfId="2" applyNumberFormat="1" applyFont="1" applyFill="1" applyBorder="1" applyAlignment="1">
      <alignment horizontal="right" vertical="center" wrapText="1"/>
    </xf>
    <xf numFmtId="14" fontId="11" fillId="0" borderId="23" xfId="2" applyNumberFormat="1" applyFont="1" applyFill="1" applyBorder="1" applyAlignment="1">
      <alignment vertical="center" wrapText="1"/>
    </xf>
    <xf numFmtId="164" fontId="11" fillId="0" borderId="35" xfId="5" applyFont="1" applyFill="1" applyBorder="1" applyAlignment="1">
      <alignment horizontal="right" vertical="center"/>
    </xf>
    <xf numFmtId="0" fontId="11" fillId="0" borderId="35" xfId="2" applyFont="1" applyFill="1" applyBorder="1" applyAlignment="1">
      <alignment horizontal="left" vertical="center" wrapText="1"/>
    </xf>
    <xf numFmtId="0" fontId="34" fillId="0" borderId="23" xfId="0" applyFont="1" applyBorder="1" applyAlignment="1">
      <alignment horizontal="left" vertical="center" wrapText="1"/>
    </xf>
    <xf numFmtId="0" fontId="34" fillId="0" borderId="23" xfId="0" applyFont="1" applyBorder="1" applyAlignment="1">
      <alignment vertical="center" wrapText="1"/>
    </xf>
    <xf numFmtId="0" fontId="34" fillId="0" borderId="23" xfId="0" applyFont="1" applyBorder="1" applyAlignment="1">
      <alignment horizontal="center" vertical="center" wrapText="1"/>
    </xf>
    <xf numFmtId="4" fontId="34" fillId="0" borderId="23" xfId="0" applyNumberFormat="1" applyFont="1" applyBorder="1" applyAlignment="1">
      <alignment horizontal="center" vertical="center" wrapText="1"/>
    </xf>
    <xf numFmtId="14" fontId="34" fillId="0" borderId="23" xfId="0" applyNumberFormat="1" applyFont="1" applyBorder="1" applyAlignment="1">
      <alignment horizontal="center" vertical="center" wrapText="1"/>
    </xf>
    <xf numFmtId="0" fontId="11" fillId="0" borderId="35" xfId="0" applyFont="1" applyBorder="1" applyAlignment="1">
      <alignment horizontal="center"/>
    </xf>
    <xf numFmtId="170" fontId="11" fillId="0" borderId="23" xfId="2" applyNumberFormat="1" applyFont="1" applyFill="1" applyBorder="1" applyAlignment="1">
      <alignment horizontal="center" vertical="center"/>
    </xf>
    <xf numFmtId="0" fontId="12" fillId="0" borderId="35" xfId="2" applyFont="1" applyFill="1" applyBorder="1" applyAlignment="1">
      <alignment vertical="center" wrapText="1"/>
    </xf>
    <xf numFmtId="0" fontId="11" fillId="0" borderId="23" xfId="0" applyFont="1" applyBorder="1" applyAlignment="1">
      <alignment vertical="center" wrapText="1"/>
    </xf>
    <xf numFmtId="0" fontId="11" fillId="0" borderId="23" xfId="0" applyFont="1" applyBorder="1" applyAlignment="1">
      <alignment horizontal="center"/>
    </xf>
    <xf numFmtId="0" fontId="34" fillId="5" borderId="28" xfId="6" applyFont="1" applyFill="1" applyBorder="1" applyProtection="1">
      <protection locked="0"/>
    </xf>
    <xf numFmtId="0" fontId="11" fillId="0" borderId="28" xfId="0" applyFont="1" applyBorder="1" applyAlignment="1">
      <alignment horizontal="center" vertical="center"/>
    </xf>
    <xf numFmtId="0" fontId="38" fillId="12" borderId="23" xfId="0" applyNumberFormat="1" applyFont="1" applyFill="1" applyBorder="1" applyAlignment="1" applyProtection="1">
      <alignment horizontal="left" vertical="top" wrapText="1"/>
      <protection locked="0"/>
    </xf>
    <xf numFmtId="0" fontId="38" fillId="12" borderId="28" xfId="0" applyNumberFormat="1" applyFont="1" applyFill="1" applyBorder="1" applyAlignment="1" applyProtection="1">
      <alignment horizontal="left" vertical="top" wrapText="1"/>
      <protection locked="0"/>
    </xf>
    <xf numFmtId="0" fontId="38" fillId="12" borderId="28" xfId="0" applyNumberFormat="1" applyFont="1" applyFill="1" applyBorder="1" applyAlignment="1" applyProtection="1">
      <alignment horizontal="left" vertical="top" wrapText="1"/>
    </xf>
    <xf numFmtId="0" fontId="38" fillId="12" borderId="28" xfId="0" applyNumberFormat="1" applyFont="1" applyFill="1" applyBorder="1" applyAlignment="1" applyProtection="1">
      <alignment horizontal="center" vertical="center" wrapText="1"/>
      <protection locked="0"/>
    </xf>
    <xf numFmtId="0" fontId="38" fillId="12" borderId="28" xfId="0" applyNumberFormat="1" applyFont="1" applyFill="1" applyBorder="1" applyAlignment="1" applyProtection="1">
      <alignment horizontal="center" vertical="center"/>
    </xf>
    <xf numFmtId="0" fontId="38" fillId="12" borderId="35" xfId="0" applyNumberFormat="1" applyFont="1" applyFill="1" applyBorder="1" applyAlignment="1" applyProtection="1">
      <alignment horizontal="left" vertical="top" wrapText="1"/>
    </xf>
    <xf numFmtId="0" fontId="11" fillId="0" borderId="23" xfId="0" applyFont="1" applyBorder="1" applyAlignment="1">
      <alignment horizontal="center" vertical="center" wrapText="1"/>
    </xf>
    <xf numFmtId="4" fontId="11" fillId="0" borderId="23" xfId="0" applyNumberFormat="1" applyFont="1" applyBorder="1" applyAlignment="1">
      <alignment horizontal="right" vertical="center" wrapText="1"/>
    </xf>
    <xf numFmtId="0" fontId="11" fillId="0" borderId="28" xfId="0" applyFont="1" applyBorder="1" applyAlignment="1">
      <alignment horizontal="justify" vertical="center" wrapText="1"/>
    </xf>
    <xf numFmtId="0" fontId="11" fillId="0" borderId="28" xfId="0" applyFont="1" applyBorder="1" applyAlignment="1">
      <alignment horizontal="center" vertical="center" wrapText="1"/>
    </xf>
    <xf numFmtId="4" fontId="11" fillId="0" borderId="28" xfId="0" applyNumberFormat="1" applyFont="1" applyBorder="1" applyAlignment="1">
      <alignment horizontal="right" vertical="center" wrapText="1"/>
    </xf>
    <xf numFmtId="0" fontId="11" fillId="0" borderId="35" xfId="0" applyFont="1" applyBorder="1" applyAlignment="1">
      <alignment horizontal="center" vertical="center" wrapText="1"/>
    </xf>
    <xf numFmtId="4" fontId="11" fillId="0" borderId="35" xfId="0" applyNumberFormat="1" applyFont="1" applyBorder="1" applyAlignment="1">
      <alignment horizontal="right" vertical="center" wrapText="1"/>
    </xf>
    <xf numFmtId="0" fontId="11" fillId="0" borderId="35" xfId="0" applyFont="1" applyBorder="1" applyAlignment="1">
      <alignment horizontal="justify" vertical="center" wrapText="1"/>
    </xf>
    <xf numFmtId="22" fontId="11" fillId="0" borderId="35" xfId="0" applyNumberFormat="1" applyFont="1" applyBorder="1" applyProtection="1">
      <protection locked="0"/>
    </xf>
    <xf numFmtId="4" fontId="34" fillId="5" borderId="28" xfId="6" applyNumberFormat="1" applyFont="1" applyFill="1" applyBorder="1" applyAlignment="1">
      <alignment horizontal="center" vertical="center"/>
    </xf>
    <xf numFmtId="4" fontId="34" fillId="5" borderId="35" xfId="6" applyNumberFormat="1" applyFont="1" applyFill="1" applyBorder="1" applyAlignment="1">
      <alignment horizontal="center" vertical="center"/>
    </xf>
    <xf numFmtId="0" fontId="38" fillId="0" borderId="28" xfId="0" applyFont="1" applyBorder="1"/>
    <xf numFmtId="0" fontId="11" fillId="0" borderId="23" xfId="4" applyFont="1" applyBorder="1" applyAlignment="1" applyProtection="1">
      <alignment wrapText="1"/>
      <protection locked="0"/>
    </xf>
    <xf numFmtId="0" fontId="11" fillId="0" borderId="35" xfId="4" applyFont="1" applyBorder="1" applyAlignment="1" applyProtection="1">
      <alignment wrapText="1"/>
      <protection locked="0"/>
    </xf>
    <xf numFmtId="0" fontId="11" fillId="0" borderId="35" xfId="4" applyFont="1" applyBorder="1" applyAlignment="1" applyProtection="1">
      <alignment horizontal="left" wrapText="1"/>
      <protection locked="0"/>
    </xf>
    <xf numFmtId="4" fontId="35" fillId="10" borderId="28" xfId="0" applyNumberFormat="1" applyFont="1" applyFill="1" applyBorder="1" applyAlignment="1">
      <alignment horizontal="center" vertical="center" wrapText="1"/>
    </xf>
    <xf numFmtId="4" fontId="35" fillId="0" borderId="28" xfId="0" applyNumberFormat="1" applyFont="1" applyBorder="1" applyAlignment="1">
      <alignment horizontal="center" vertical="center" wrapText="1"/>
    </xf>
    <xf numFmtId="4" fontId="35" fillId="9" borderId="28" xfId="0" applyNumberFormat="1" applyFont="1" applyFill="1" applyBorder="1" applyAlignment="1">
      <alignment horizontal="center" vertical="center" wrapText="1"/>
    </xf>
    <xf numFmtId="4" fontId="35" fillId="0" borderId="35" xfId="0" applyNumberFormat="1" applyFont="1" applyBorder="1" applyAlignment="1">
      <alignment horizontal="center" vertical="center" wrapText="1"/>
    </xf>
    <xf numFmtId="4" fontId="35" fillId="0" borderId="23" xfId="0" applyNumberFormat="1" applyFont="1" applyBorder="1" applyAlignment="1">
      <alignment vertical="center"/>
    </xf>
    <xf numFmtId="0" fontId="35" fillId="0" borderId="23" xfId="0" applyFont="1" applyBorder="1" applyAlignment="1">
      <alignment vertical="center"/>
    </xf>
    <xf numFmtId="14" fontId="11" fillId="0" borderId="23" xfId="0" quotePrefix="1" applyNumberFormat="1" applyFont="1" applyBorder="1" applyAlignment="1">
      <alignment horizontal="center" vertical="center"/>
    </xf>
    <xf numFmtId="0" fontId="11" fillId="0" borderId="23" xfId="0" quotePrefix="1" applyFont="1" applyBorder="1" applyAlignment="1">
      <alignment horizontal="center" vertical="center"/>
    </xf>
    <xf numFmtId="4" fontId="35" fillId="0" borderId="28" xfId="0" applyNumberFormat="1" applyFont="1" applyBorder="1" applyAlignment="1">
      <alignment vertical="center"/>
    </xf>
    <xf numFmtId="0" fontId="35" fillId="0" borderId="28" xfId="0" applyFont="1" applyBorder="1" applyAlignment="1">
      <alignment vertical="center"/>
    </xf>
    <xf numFmtId="14" fontId="11" fillId="0" borderId="28" xfId="0" applyNumberFormat="1" applyFont="1" applyBorder="1" applyAlignment="1">
      <alignment horizontal="center" vertical="center"/>
    </xf>
    <xf numFmtId="4" fontId="36" fillId="0" borderId="28" xfId="0" applyNumberFormat="1" applyFont="1" applyBorder="1" applyAlignment="1">
      <alignment vertical="center"/>
    </xf>
    <xf numFmtId="0" fontId="11" fillId="0" borderId="28" xfId="0" applyFont="1" applyBorder="1" applyAlignment="1">
      <alignment horizontal="left" vertical="center"/>
    </xf>
    <xf numFmtId="0" fontId="36" fillId="0" borderId="28" xfId="0" applyFont="1" applyBorder="1" applyAlignment="1">
      <alignment vertical="center"/>
    </xf>
    <xf numFmtId="14" fontId="11" fillId="0" borderId="28" xfId="0" quotePrefix="1" applyNumberFormat="1" applyFont="1" applyBorder="1" applyAlignment="1">
      <alignment horizontal="center" vertical="center"/>
    </xf>
    <xf numFmtId="0" fontId="11" fillId="0" borderId="28" xfId="0" quotePrefix="1" applyFont="1" applyBorder="1" applyAlignment="1">
      <alignment horizontal="center" vertical="center"/>
    </xf>
    <xf numFmtId="0" fontId="11" fillId="0" borderId="28" xfId="0" applyFont="1" applyBorder="1" applyAlignment="1">
      <alignment horizontal="right" vertical="center"/>
    </xf>
    <xf numFmtId="0" fontId="11" fillId="5" borderId="28" xfId="0" applyFont="1" applyFill="1" applyBorder="1" applyAlignment="1">
      <alignment horizontal="left" vertical="center"/>
    </xf>
    <xf numFmtId="4" fontId="36" fillId="0" borderId="35" xfId="0" applyNumberFormat="1" applyFont="1" applyBorder="1" applyAlignment="1">
      <alignment vertical="center"/>
    </xf>
    <xf numFmtId="0" fontId="11" fillId="0" borderId="35" xfId="0" applyFont="1" applyBorder="1" applyAlignment="1">
      <alignment horizontal="left" vertical="center"/>
    </xf>
    <xf numFmtId="0" fontId="11" fillId="0" borderId="35" xfId="0" quotePrefix="1" applyFont="1" applyBorder="1" applyAlignment="1">
      <alignment horizontal="center" vertical="center"/>
    </xf>
    <xf numFmtId="0" fontId="11" fillId="0" borderId="27" xfId="2" applyFont="1" applyFill="1" applyBorder="1" applyAlignment="1">
      <alignment horizontal="left" vertical="center"/>
    </xf>
    <xf numFmtId="172" fontId="11" fillId="0" borderId="28" xfId="0" applyNumberFormat="1" applyFont="1" applyBorder="1" applyAlignment="1">
      <alignment vertical="center"/>
    </xf>
    <xf numFmtId="4" fontId="11" fillId="0" borderId="23" xfId="4" applyNumberFormat="1" applyFont="1" applyBorder="1" applyAlignment="1" applyProtection="1">
      <alignment vertical="center"/>
      <protection locked="0"/>
    </xf>
    <xf numFmtId="0" fontId="11" fillId="0" borderId="23" xfId="4" applyFont="1" applyBorder="1" applyAlignment="1" applyProtection="1">
      <alignment vertical="center"/>
      <protection locked="0"/>
    </xf>
    <xf numFmtId="22" fontId="11" fillId="0" borderId="23" xfId="4" applyNumberFormat="1" applyFont="1" applyBorder="1" applyAlignment="1" applyProtection="1">
      <alignment vertical="center"/>
      <protection locked="0"/>
    </xf>
    <xf numFmtId="4" fontId="11" fillId="0" borderId="28" xfId="4" applyNumberFormat="1" applyFont="1" applyBorder="1" applyAlignment="1" applyProtection="1">
      <alignment vertical="center"/>
      <protection locked="0"/>
    </xf>
    <xf numFmtId="0" fontId="11" fillId="0" borderId="28" xfId="4" applyFont="1" applyBorder="1" applyAlignment="1" applyProtection="1">
      <alignment vertical="center"/>
      <protection locked="0"/>
    </xf>
    <xf numFmtId="22" fontId="11" fillId="0" borderId="28" xfId="4" applyNumberFormat="1" applyFont="1" applyBorder="1" applyAlignment="1" applyProtection="1">
      <alignment vertical="center"/>
      <protection locked="0"/>
    </xf>
    <xf numFmtId="4" fontId="11" fillId="0" borderId="28" xfId="11" applyNumberFormat="1" applyFont="1" applyBorder="1" applyAlignment="1">
      <alignment vertical="center"/>
    </xf>
    <xf numFmtId="0" fontId="11" fillId="0" borderId="28" xfId="0" applyFont="1" applyBorder="1" applyAlignment="1" applyProtection="1">
      <alignment vertical="center"/>
      <protection locked="0"/>
    </xf>
    <xf numFmtId="22" fontId="11" fillId="0" borderId="28" xfId="4" applyNumberFormat="1" applyFont="1" applyBorder="1" applyAlignment="1" applyProtection="1">
      <alignment horizontal="right" vertical="center"/>
      <protection locked="0"/>
    </xf>
    <xf numFmtId="4" fontId="11" fillId="0" borderId="28" xfId="11" applyNumberFormat="1" applyFont="1" applyBorder="1" applyAlignment="1" applyProtection="1">
      <alignment vertical="center"/>
      <protection locked="0"/>
    </xf>
    <xf numFmtId="0" fontId="11" fillId="0" borderId="28" xfId="4" applyFont="1" applyBorder="1" applyAlignment="1" applyProtection="1">
      <alignment horizontal="right" vertical="center"/>
      <protection locked="0"/>
    </xf>
    <xf numFmtId="174" fontId="11" fillId="0" borderId="28" xfId="11" applyNumberFormat="1" applyFont="1" applyBorder="1" applyAlignment="1">
      <alignment vertical="center"/>
    </xf>
    <xf numFmtId="174" fontId="11" fillId="0" borderId="28" xfId="11" applyNumberFormat="1" applyFont="1" applyBorder="1" applyAlignment="1" applyProtection="1">
      <alignment vertical="center"/>
      <protection locked="0"/>
    </xf>
    <xf numFmtId="0" fontId="11" fillId="0" borderId="28" xfId="0" applyFont="1" applyBorder="1" applyAlignment="1" applyProtection="1">
      <alignment horizontal="center" vertical="center"/>
      <protection locked="0"/>
    </xf>
    <xf numFmtId="0" fontId="11" fillId="0" borderId="28" xfId="0" applyFont="1" applyBorder="1" applyAlignment="1" applyProtection="1">
      <alignment horizontal="right" vertical="center"/>
      <protection locked="0"/>
    </xf>
    <xf numFmtId="174" fontId="11" fillId="0" borderId="35" xfId="11" applyNumberFormat="1" applyFont="1" applyBorder="1" applyAlignment="1" applyProtection="1">
      <alignment vertical="center"/>
      <protection locked="0"/>
    </xf>
    <xf numFmtId="0" fontId="11" fillId="0" borderId="35" xfId="0" applyFont="1" applyBorder="1" applyAlignment="1" applyProtection="1">
      <alignment horizontal="center" vertical="center"/>
      <protection locked="0"/>
    </xf>
    <xf numFmtId="0" fontId="11" fillId="0" borderId="35" xfId="0" applyFont="1" applyBorder="1" applyAlignment="1" applyProtection="1">
      <alignment horizontal="right" vertical="center"/>
      <protection locked="0"/>
    </xf>
    <xf numFmtId="173" fontId="11" fillId="0" borderId="23" xfId="4" applyNumberFormat="1" applyFont="1" applyBorder="1" applyAlignment="1" applyProtection="1">
      <alignment vertical="center"/>
      <protection locked="0"/>
    </xf>
    <xf numFmtId="4" fontId="34" fillId="0" borderId="28" xfId="6" applyNumberFormat="1" applyFont="1" applyBorder="1" applyAlignment="1" applyProtection="1">
      <alignment vertical="center"/>
      <protection locked="0"/>
    </xf>
    <xf numFmtId="0" fontId="34" fillId="0" borderId="28" xfId="6" applyFont="1" applyBorder="1" applyAlignment="1" applyProtection="1">
      <alignment vertical="center"/>
      <protection locked="0"/>
    </xf>
    <xf numFmtId="173" fontId="34" fillId="0" borderId="28" xfId="6" applyNumberFormat="1" applyFont="1" applyBorder="1" applyAlignment="1" applyProtection="1">
      <alignment vertical="center"/>
      <protection locked="0"/>
    </xf>
    <xf numFmtId="4" fontId="11" fillId="0" borderId="28" xfId="4" applyNumberFormat="1" applyFont="1" applyBorder="1" applyAlignment="1">
      <alignment vertical="center"/>
    </xf>
    <xf numFmtId="4" fontId="11" fillId="0" borderId="35" xfId="4" applyNumberFormat="1" applyFont="1" applyBorder="1" applyAlignment="1">
      <alignment vertical="center"/>
    </xf>
    <xf numFmtId="4" fontId="11" fillId="0" borderId="23" xfId="4" applyNumberFormat="1" applyFont="1" applyBorder="1" applyAlignment="1" applyProtection="1">
      <alignment vertical="center" wrapText="1"/>
      <protection locked="0"/>
    </xf>
    <xf numFmtId="14" fontId="11" fillId="0" borderId="23" xfId="4" applyNumberFormat="1" applyFont="1" applyBorder="1" applyAlignment="1" applyProtection="1">
      <alignment vertical="center" wrapText="1"/>
      <protection locked="0"/>
    </xf>
    <xf numFmtId="4" fontId="11" fillId="0" borderId="28" xfId="4" applyNumberFormat="1" applyFont="1" applyBorder="1" applyAlignment="1" applyProtection="1">
      <alignment vertical="center" wrapText="1"/>
      <protection locked="0"/>
    </xf>
    <xf numFmtId="14" fontId="11" fillId="0" borderId="28" xfId="4" applyNumberFormat="1" applyFont="1" applyBorder="1" applyAlignment="1" applyProtection="1">
      <alignment vertical="center" wrapText="1"/>
      <protection locked="0"/>
    </xf>
    <xf numFmtId="14" fontId="11" fillId="0" borderId="28" xfId="4" applyNumberFormat="1" applyFont="1" applyBorder="1" applyAlignment="1" applyProtection="1">
      <alignment horizontal="right" vertical="center" wrapText="1"/>
      <protection locked="0"/>
    </xf>
    <xf numFmtId="22" fontId="11" fillId="0" borderId="28" xfId="4" applyNumberFormat="1" applyFont="1" applyBorder="1" applyAlignment="1" applyProtection="1">
      <alignment vertical="center" wrapText="1"/>
      <protection locked="0"/>
    </xf>
    <xf numFmtId="4" fontId="11" fillId="0" borderId="35" xfId="4" applyNumberFormat="1" applyFont="1" applyBorder="1" applyAlignment="1" applyProtection="1">
      <alignment vertical="center" wrapText="1"/>
      <protection locked="0"/>
    </xf>
    <xf numFmtId="22" fontId="11" fillId="0" borderId="35" xfId="4" applyNumberFormat="1" applyFont="1" applyBorder="1" applyAlignment="1" applyProtection="1">
      <alignment vertical="center" wrapText="1"/>
      <protection locked="0"/>
    </xf>
    <xf numFmtId="0" fontId="38" fillId="0" borderId="23" xfId="0" applyFont="1" applyBorder="1" applyAlignment="1">
      <alignment vertical="center"/>
    </xf>
    <xf numFmtId="4" fontId="11" fillId="0" borderId="28" xfId="0" applyNumberFormat="1" applyFont="1" applyFill="1" applyBorder="1" applyAlignment="1" applyProtection="1">
      <alignment vertical="center"/>
      <protection locked="0"/>
    </xf>
    <xf numFmtId="0" fontId="11" fillId="0" borderId="28" xfId="0" applyFont="1" applyFill="1" applyBorder="1" applyAlignment="1" applyProtection="1">
      <alignment vertical="center"/>
      <protection locked="0"/>
    </xf>
    <xf numFmtId="14" fontId="11" fillId="0" borderId="28" xfId="0" applyNumberFormat="1" applyFont="1" applyBorder="1" applyAlignment="1" applyProtection="1">
      <alignment vertical="center"/>
      <protection locked="0"/>
    </xf>
    <xf numFmtId="4" fontId="11" fillId="5" borderId="28" xfId="0" applyNumberFormat="1" applyFont="1" applyFill="1" applyBorder="1" applyAlignment="1" applyProtection="1">
      <alignment vertical="center"/>
      <protection locked="0"/>
    </xf>
    <xf numFmtId="0" fontId="11" fillId="5" borderId="28" xfId="0" applyFont="1" applyFill="1" applyBorder="1" applyAlignment="1" applyProtection="1">
      <alignment vertical="center"/>
      <protection locked="0"/>
    </xf>
    <xf numFmtId="22" fontId="11" fillId="0" borderId="28" xfId="0" applyNumberFormat="1" applyFont="1" applyBorder="1" applyAlignment="1" applyProtection="1">
      <alignment vertical="center"/>
      <protection locked="0"/>
    </xf>
    <xf numFmtId="4" fontId="11" fillId="0" borderId="35" xfId="0" applyNumberFormat="1" applyFont="1" applyFill="1" applyBorder="1" applyAlignment="1" applyProtection="1">
      <alignment vertical="center"/>
      <protection locked="0"/>
    </xf>
    <xf numFmtId="0" fontId="11" fillId="0" borderId="35" xfId="0" applyFont="1" applyFill="1" applyBorder="1" applyAlignment="1" applyProtection="1">
      <alignment vertical="center"/>
      <protection locked="0"/>
    </xf>
    <xf numFmtId="0" fontId="12" fillId="11" borderId="56" xfId="2" applyFont="1" applyFill="1" applyBorder="1" applyAlignment="1">
      <alignment horizontal="left" vertical="center"/>
    </xf>
    <xf numFmtId="0" fontId="12" fillId="11" borderId="46" xfId="2" applyFont="1" applyFill="1" applyBorder="1" applyAlignment="1">
      <alignment horizontal="center" vertical="center" wrapText="1"/>
    </xf>
    <xf numFmtId="0" fontId="12" fillId="11" borderId="51" xfId="2" applyFont="1" applyFill="1" applyBorder="1" applyAlignment="1">
      <alignment horizontal="center" vertical="center" wrapText="1"/>
    </xf>
    <xf numFmtId="4" fontId="11" fillId="0" borderId="28" xfId="2" applyNumberFormat="1" applyFont="1" applyFill="1" applyBorder="1" applyAlignment="1">
      <alignment horizontal="left" vertical="center" wrapText="1"/>
    </xf>
    <xf numFmtId="0" fontId="11" fillId="0" borderId="28" xfId="2" quotePrefix="1" applyFont="1" applyFill="1" applyBorder="1" applyAlignment="1">
      <alignment horizontal="center" vertical="center" wrapText="1"/>
    </xf>
    <xf numFmtId="176" fontId="11" fillId="0" borderId="28" xfId="2" applyNumberFormat="1" applyFont="1" applyFill="1" applyBorder="1" applyAlignment="1">
      <alignment horizontal="left" vertical="center" wrapText="1"/>
    </xf>
    <xf numFmtId="176" fontId="11" fillId="0" borderId="28" xfId="2" applyNumberFormat="1" applyFont="1" applyFill="1" applyBorder="1" applyAlignment="1">
      <alignment vertical="center" wrapText="1"/>
    </xf>
    <xf numFmtId="4" fontId="11" fillId="5" borderId="28" xfId="2" applyNumberFormat="1" applyFont="1" applyFill="1" applyBorder="1" applyAlignment="1">
      <alignment vertical="center"/>
    </xf>
    <xf numFmtId="4" fontId="34" fillId="5" borderId="28" xfId="4" applyNumberFormat="1" applyFont="1" applyFill="1" applyBorder="1" applyAlignment="1">
      <alignment horizontal="right" vertical="center"/>
    </xf>
    <xf numFmtId="0" fontId="4" fillId="0" borderId="28" xfId="2" applyFont="1" applyFill="1" applyBorder="1" applyAlignment="1">
      <alignment horizontal="left" vertical="center" wrapText="1"/>
    </xf>
    <xf numFmtId="0" fontId="4" fillId="0" borderId="28" xfId="2" applyFont="1" applyFill="1" applyBorder="1" applyAlignment="1">
      <alignment horizontal="left" vertical="center"/>
    </xf>
    <xf numFmtId="0" fontId="4" fillId="0" borderId="28" xfId="4" applyFont="1" applyBorder="1" applyAlignment="1">
      <alignment horizontal="left" vertical="center" wrapText="1"/>
    </xf>
    <xf numFmtId="4" fontId="4" fillId="0" borderId="28" xfId="2" applyNumberFormat="1" applyFont="1" applyFill="1" applyBorder="1" applyAlignment="1">
      <alignment vertical="center"/>
    </xf>
    <xf numFmtId="0" fontId="4" fillId="0" borderId="28" xfId="2" applyFont="1" applyFill="1" applyBorder="1" applyAlignment="1">
      <alignment vertical="center"/>
    </xf>
    <xf numFmtId="14" fontId="4" fillId="0" borderId="28" xfId="2" applyNumberFormat="1" applyFont="1" applyFill="1" applyBorder="1" applyAlignment="1">
      <alignment horizontal="left" vertical="center"/>
    </xf>
    <xf numFmtId="0" fontId="4" fillId="0" borderId="28" xfId="2" applyFont="1" applyFill="1" applyBorder="1" applyAlignment="1">
      <alignment vertical="center" wrapText="1"/>
    </xf>
    <xf numFmtId="0" fontId="4" fillId="0" borderId="28" xfId="4" applyFont="1" applyBorder="1" applyAlignment="1">
      <alignment vertical="center" wrapText="1"/>
    </xf>
    <xf numFmtId="14" fontId="4" fillId="0" borderId="28" xfId="2" applyNumberFormat="1" applyFont="1" applyFill="1" applyBorder="1" applyAlignment="1">
      <alignment horizontal="left" vertical="center" wrapText="1"/>
    </xf>
    <xf numFmtId="4" fontId="4" fillId="0" borderId="28" xfId="2" applyNumberFormat="1" applyFont="1" applyFill="1" applyBorder="1" applyAlignment="1">
      <alignment horizontal="left" vertical="center" wrapText="1"/>
    </xf>
    <xf numFmtId="0" fontId="11" fillId="0" borderId="0" xfId="2" applyFont="1" applyFill="1" applyBorder="1" applyAlignment="1">
      <alignment horizontal="left" vertical="center"/>
    </xf>
    <xf numFmtId="0" fontId="12" fillId="0" borderId="0" xfId="2" applyFont="1" applyFill="1" applyBorder="1" applyAlignment="1">
      <alignment vertical="center"/>
    </xf>
    <xf numFmtId="49" fontId="11" fillId="0" borderId="0" xfId="3" applyFont="1" applyAlignment="1">
      <alignment vertical="center"/>
    </xf>
    <xf numFmtId="0" fontId="11" fillId="0" borderId="0" xfId="2" applyFont="1" applyAlignment="1">
      <alignment vertical="center"/>
    </xf>
    <xf numFmtId="0" fontId="12" fillId="2" borderId="5" xfId="2" applyFont="1" applyFill="1" applyBorder="1" applyAlignment="1">
      <alignment horizontal="center" vertical="center"/>
    </xf>
    <xf numFmtId="0" fontId="12" fillId="2" borderId="41" xfId="2" applyFont="1" applyFill="1" applyBorder="1" applyAlignment="1">
      <alignment vertical="center"/>
    </xf>
    <xf numFmtId="0" fontId="12" fillId="0" borderId="27" xfId="2" applyFont="1" applyFill="1" applyBorder="1" applyAlignment="1">
      <alignment vertical="center"/>
    </xf>
    <xf numFmtId="0" fontId="11" fillId="0" borderId="44" xfId="2" applyFont="1" applyFill="1" applyBorder="1" applyAlignment="1">
      <alignment horizontal="left" vertical="center"/>
    </xf>
    <xf numFmtId="0" fontId="12" fillId="0" borderId="0" xfId="2" applyFont="1" applyFill="1" applyAlignment="1">
      <alignment vertical="center"/>
    </xf>
    <xf numFmtId="0" fontId="12" fillId="7" borderId="12" xfId="2" applyFont="1" applyFill="1" applyBorder="1" applyAlignment="1">
      <alignment horizontal="center" vertical="center"/>
    </xf>
    <xf numFmtId="0" fontId="12" fillId="7" borderId="12" xfId="2" applyFont="1" applyFill="1" applyBorder="1" applyAlignment="1">
      <alignment horizontal="center" vertical="center" wrapText="1"/>
    </xf>
    <xf numFmtId="0" fontId="12" fillId="7" borderId="21" xfId="2" applyFont="1" applyFill="1" applyBorder="1" applyAlignment="1">
      <alignment horizontal="center" vertical="center" wrapText="1"/>
    </xf>
    <xf numFmtId="0" fontId="12" fillId="7" borderId="57" xfId="2" applyFont="1" applyFill="1" applyBorder="1" applyAlignment="1">
      <alignment horizontal="center" vertical="center" wrapText="1"/>
    </xf>
    <xf numFmtId="0" fontId="12" fillId="7" borderId="31" xfId="2" applyFont="1" applyFill="1" applyBorder="1" applyAlignment="1">
      <alignment horizontal="center" vertical="center" wrapText="1"/>
    </xf>
    <xf numFmtId="0" fontId="12" fillId="8" borderId="5" xfId="4" applyFont="1" applyFill="1" applyBorder="1" applyAlignment="1">
      <alignment horizontal="center"/>
    </xf>
    <xf numFmtId="0" fontId="12" fillId="8" borderId="19" xfId="4" applyFont="1" applyFill="1" applyBorder="1" applyAlignment="1">
      <alignment horizontal="center"/>
    </xf>
    <xf numFmtId="0" fontId="12" fillId="8" borderId="5" xfId="4" applyFont="1" applyFill="1" applyBorder="1" applyAlignment="1">
      <alignment horizontal="center" wrapText="1"/>
    </xf>
    <xf numFmtId="0" fontId="12" fillId="8" borderId="18" xfId="4" applyFont="1" applyFill="1" applyBorder="1" applyAlignment="1">
      <alignment horizontal="center"/>
    </xf>
    <xf numFmtId="164" fontId="11" fillId="0" borderId="28" xfId="12" applyFont="1" applyFill="1" applyBorder="1" applyAlignment="1">
      <alignment horizontal="right" vertical="center" wrapText="1"/>
    </xf>
    <xf numFmtId="14" fontId="11" fillId="0" borderId="28" xfId="2" applyNumberFormat="1" applyFont="1" applyFill="1" applyBorder="1" applyAlignment="1">
      <alignment horizontal="left" vertical="center" wrapText="1"/>
    </xf>
    <xf numFmtId="4" fontId="41" fillId="5" borderId="28" xfId="0" applyNumberFormat="1" applyFont="1" applyFill="1" applyBorder="1" applyAlignment="1">
      <alignment vertical="center" wrapText="1"/>
    </xf>
    <xf numFmtId="14" fontId="39" fillId="9" borderId="28" xfId="0" applyNumberFormat="1" applyFont="1" applyFill="1" applyBorder="1" applyAlignment="1">
      <alignment horizontal="left" vertical="center" wrapText="1"/>
    </xf>
    <xf numFmtId="14" fontId="39" fillId="0" borderId="28" xfId="0" applyNumberFormat="1" applyFont="1" applyBorder="1" applyAlignment="1">
      <alignment horizontal="left" vertical="center" wrapText="1"/>
    </xf>
    <xf numFmtId="4" fontId="41" fillId="5" borderId="28" xfId="0" applyNumberFormat="1" applyFont="1" applyFill="1" applyBorder="1" applyAlignment="1">
      <alignment horizontal="right" vertical="center" wrapText="1"/>
    </xf>
    <xf numFmtId="0" fontId="41" fillId="5" borderId="28" xfId="0" applyFont="1" applyFill="1" applyBorder="1" applyAlignment="1">
      <alignment horizontal="left" vertical="center" wrapText="1"/>
    </xf>
    <xf numFmtId="0" fontId="39" fillId="0" borderId="28" xfId="0" applyFont="1" applyBorder="1" applyAlignment="1">
      <alignment horizontal="left" vertical="center" wrapText="1"/>
    </xf>
    <xf numFmtId="0" fontId="39" fillId="5" borderId="28" xfId="0" applyFont="1" applyFill="1" applyBorder="1" applyAlignment="1">
      <alignment horizontal="left" vertical="center" wrapText="1"/>
    </xf>
    <xf numFmtId="0" fontId="4" fillId="0" borderId="28" xfId="0" applyFont="1" applyBorder="1" applyAlignment="1">
      <alignment horizontal="left" vertical="center" wrapText="1"/>
    </xf>
    <xf numFmtId="0" fontId="41" fillId="5" borderId="28" xfId="2" applyFont="1" applyFill="1" applyBorder="1" applyAlignment="1">
      <alignment horizontal="left" vertical="center" wrapText="1"/>
    </xf>
    <xf numFmtId="4" fontId="4" fillId="0" borderId="28" xfId="0" applyNumberFormat="1" applyFont="1" applyBorder="1" applyAlignment="1" applyProtection="1">
      <alignment vertical="center" wrapText="1"/>
      <protection locked="0"/>
    </xf>
    <xf numFmtId="4" fontId="41" fillId="5" borderId="28" xfId="2" applyNumberFormat="1" applyFont="1" applyFill="1" applyBorder="1" applyAlignment="1">
      <alignment horizontal="right" vertical="center" wrapText="1"/>
    </xf>
    <xf numFmtId="4" fontId="41" fillId="5" borderId="28" xfId="2" applyNumberFormat="1" applyFont="1" applyFill="1" applyBorder="1" applyAlignment="1">
      <alignment vertical="center" wrapText="1"/>
    </xf>
    <xf numFmtId="0" fontId="41" fillId="5" borderId="28" xfId="2" applyFont="1" applyFill="1" applyBorder="1" applyAlignment="1">
      <alignment horizontal="center" vertical="center" wrapText="1"/>
    </xf>
    <xf numFmtId="4" fontId="40" fillId="9" borderId="28" xfId="0" applyNumberFormat="1" applyFont="1" applyFill="1" applyBorder="1" applyAlignment="1">
      <alignment horizontal="right" vertical="center" wrapText="1"/>
    </xf>
    <xf numFmtId="22" fontId="41" fillId="0" borderId="28" xfId="0" quotePrefix="1" applyNumberFormat="1" applyFont="1" applyBorder="1" applyAlignment="1">
      <alignment horizontal="left" vertical="center" wrapText="1"/>
    </xf>
    <xf numFmtId="0" fontId="41" fillId="0" borderId="28" xfId="0" applyFont="1" applyBorder="1" applyAlignment="1">
      <alignment horizontal="left" vertical="center" wrapText="1"/>
    </xf>
    <xf numFmtId="22" fontId="41" fillId="0" borderId="28" xfId="0" applyNumberFormat="1" applyFont="1" applyBorder="1" applyAlignment="1">
      <alignment horizontal="left" vertical="center" wrapText="1"/>
    </xf>
    <xf numFmtId="4" fontId="4" fillId="0" borderId="28" xfId="2" applyNumberFormat="1" applyFont="1" applyFill="1" applyBorder="1" applyAlignment="1">
      <alignment vertical="center" wrapText="1"/>
    </xf>
    <xf numFmtId="4" fontId="4" fillId="0" borderId="28" xfId="2" applyNumberFormat="1" applyFont="1" applyFill="1" applyBorder="1" applyAlignment="1">
      <alignment horizontal="right" vertical="center" wrapText="1"/>
    </xf>
    <xf numFmtId="4" fontId="4" fillId="0" borderId="28" xfId="2" applyNumberFormat="1" applyFont="1" applyBorder="1" applyAlignment="1">
      <alignment horizontal="right" vertical="center" wrapText="1"/>
    </xf>
    <xf numFmtId="0" fontId="4" fillId="0" borderId="28" xfId="2" applyFont="1" applyBorder="1" applyAlignment="1">
      <alignment vertical="center" wrapText="1"/>
    </xf>
    <xf numFmtId="4" fontId="4" fillId="0" borderId="28" xfId="0" applyNumberFormat="1" applyFont="1" applyBorder="1" applyAlignment="1" applyProtection="1">
      <alignment horizontal="right" vertical="center" wrapText="1"/>
      <protection locked="0"/>
    </xf>
    <xf numFmtId="0" fontId="41" fillId="0" borderId="28" xfId="0" quotePrefix="1" applyNumberFormat="1" applyFont="1" applyBorder="1" applyAlignment="1">
      <alignment horizontal="left" vertical="center" wrapText="1"/>
    </xf>
    <xf numFmtId="0" fontId="4" fillId="0" borderId="28" xfId="0" applyNumberFormat="1" applyFont="1" applyBorder="1" applyAlignment="1">
      <alignment horizontal="center" vertical="center" wrapText="1"/>
    </xf>
    <xf numFmtId="0" fontId="41" fillId="0" borderId="28" xfId="0" applyNumberFormat="1" applyFont="1" applyBorder="1" applyAlignment="1">
      <alignment horizontal="center" vertical="center" wrapText="1"/>
    </xf>
    <xf numFmtId="4" fontId="40" fillId="5" borderId="28" xfId="0" applyNumberFormat="1" applyFont="1" applyFill="1" applyBorder="1" applyAlignment="1">
      <alignment vertical="center" wrapText="1"/>
    </xf>
    <xf numFmtId="4" fontId="40" fillId="5" borderId="28" xfId="0" applyNumberFormat="1" applyFont="1" applyFill="1" applyBorder="1" applyAlignment="1">
      <alignment horizontal="right" vertical="center" wrapText="1"/>
    </xf>
    <xf numFmtId="0" fontId="4" fillId="0" borderId="28" xfId="2" applyFont="1" applyBorder="1" applyAlignment="1">
      <alignment horizontal="left" vertical="center" wrapText="1"/>
    </xf>
    <xf numFmtId="4" fontId="41" fillId="5" borderId="28" xfId="0" applyNumberFormat="1" applyFont="1" applyFill="1" applyBorder="1" applyAlignment="1" applyProtection="1">
      <alignment vertical="center" wrapText="1"/>
      <protection locked="0"/>
    </xf>
    <xf numFmtId="0" fontId="40" fillId="9" borderId="28" xfId="0" applyFont="1" applyFill="1" applyBorder="1" applyAlignment="1">
      <alignment horizontal="left" vertical="center" wrapText="1"/>
    </xf>
    <xf numFmtId="4" fontId="41" fillId="0" borderId="28" xfId="0" applyNumberFormat="1" applyFont="1" applyBorder="1" applyAlignment="1">
      <alignment vertical="center" wrapText="1"/>
    </xf>
    <xf numFmtId="0" fontId="41" fillId="0" borderId="28" xfId="0" applyNumberFormat="1" applyFont="1" applyBorder="1" applyAlignment="1">
      <alignment horizontal="left" vertical="center" wrapText="1"/>
    </xf>
    <xf numFmtId="0" fontId="41" fillId="0" borderId="28" xfId="0" applyNumberFormat="1" applyFont="1" applyBorder="1" applyAlignment="1">
      <alignment vertical="center" wrapText="1"/>
    </xf>
    <xf numFmtId="14" fontId="41" fillId="0" borderId="28" xfId="0" applyNumberFormat="1" applyFont="1" applyBorder="1" applyAlignment="1">
      <alignment horizontal="left" vertical="center" wrapText="1"/>
    </xf>
    <xf numFmtId="0" fontId="42" fillId="0" borderId="28" xfId="0" applyFont="1" applyBorder="1" applyAlignment="1">
      <alignment vertical="center" wrapText="1"/>
    </xf>
    <xf numFmtId="0" fontId="4" fillId="0" borderId="28" xfId="2" applyFont="1" applyBorder="1" applyAlignment="1">
      <alignment horizontal="center" vertical="center" wrapText="1"/>
    </xf>
    <xf numFmtId="0" fontId="39" fillId="9" borderId="28" xfId="0" applyFont="1" applyFill="1" applyBorder="1" applyAlignment="1">
      <alignment horizontal="left" vertical="center" wrapText="1"/>
    </xf>
    <xf numFmtId="4" fontId="41" fillId="5" borderId="28" xfId="0" applyNumberFormat="1" applyFont="1" applyFill="1" applyBorder="1" applyAlignment="1" applyProtection="1">
      <alignment horizontal="right" vertical="center" wrapText="1"/>
      <protection locked="0"/>
    </xf>
    <xf numFmtId="4" fontId="41" fillId="0" borderId="28" xfId="0" applyNumberFormat="1" applyFont="1" applyBorder="1" applyAlignment="1">
      <alignment horizontal="right" vertical="center" wrapText="1"/>
    </xf>
    <xf numFmtId="0" fontId="41" fillId="0" borderId="28" xfId="0" applyFont="1" applyBorder="1" applyAlignment="1">
      <alignment horizontal="center" vertical="center" wrapText="1"/>
    </xf>
    <xf numFmtId="4" fontId="4" fillId="0" borderId="28" xfId="0" applyNumberFormat="1" applyFont="1" applyBorder="1" applyAlignment="1">
      <alignment horizontal="right" vertical="center" wrapText="1"/>
    </xf>
    <xf numFmtId="0" fontId="4" fillId="0" borderId="28" xfId="0" quotePrefix="1" applyNumberFormat="1" applyFont="1" applyBorder="1" applyAlignment="1">
      <alignment horizontal="left" vertical="center" wrapText="1"/>
    </xf>
    <xf numFmtId="0" fontId="42" fillId="0" borderId="28" xfId="0" applyFont="1" applyBorder="1" applyAlignment="1">
      <alignment horizontal="left" vertical="center" wrapText="1"/>
    </xf>
    <xf numFmtId="165" fontId="11" fillId="0" borderId="32" xfId="11" applyFont="1" applyFill="1" applyBorder="1" applyAlignment="1">
      <alignment vertical="center"/>
    </xf>
    <xf numFmtId="165" fontId="11" fillId="0" borderId="28" xfId="11" applyFont="1" applyFill="1" applyBorder="1" applyAlignment="1">
      <alignment vertical="center"/>
    </xf>
    <xf numFmtId="165" fontId="34" fillId="9" borderId="28" xfId="11" applyFont="1" applyFill="1" applyBorder="1" applyAlignment="1">
      <alignment horizontal="right" vertical="center" wrapText="1"/>
    </xf>
    <xf numFmtId="0" fontId="12" fillId="13" borderId="45" xfId="2" applyFont="1" applyFill="1" applyBorder="1" applyAlignment="1">
      <alignment horizontal="center" vertical="center"/>
    </xf>
    <xf numFmtId="0" fontId="12" fillId="13" borderId="0" xfId="2" applyFont="1" applyFill="1" applyBorder="1" applyAlignment="1">
      <alignment horizontal="center" vertical="center"/>
    </xf>
    <xf numFmtId="0" fontId="12" fillId="13" borderId="4" xfId="2" applyFont="1" applyFill="1" applyBorder="1" applyAlignment="1">
      <alignment horizontal="center" vertical="center"/>
    </xf>
    <xf numFmtId="49" fontId="11" fillId="0" borderId="26" xfId="4" applyNumberFormat="1" applyFont="1" applyFill="1" applyBorder="1"/>
    <xf numFmtId="49" fontId="11" fillId="0" borderId="28" xfId="4" applyNumberFormat="1" applyFont="1" applyFill="1" applyBorder="1" applyAlignment="1">
      <alignment horizontal="center"/>
    </xf>
    <xf numFmtId="0" fontId="11" fillId="0" borderId="28" xfId="4" applyFont="1" applyFill="1" applyBorder="1" applyAlignment="1">
      <alignment horizontal="center"/>
    </xf>
    <xf numFmtId="4" fontId="11" fillId="0" borderId="1" xfId="4" applyNumberFormat="1" applyFont="1" applyFill="1" applyBorder="1"/>
    <xf numFmtId="4" fontId="11" fillId="0" borderId="29" xfId="4" applyNumberFormat="1" applyFont="1" applyFill="1" applyBorder="1"/>
    <xf numFmtId="49" fontId="11" fillId="0" borderId="28" xfId="7" applyNumberFormat="1" applyFont="1" applyFill="1" applyBorder="1" applyAlignment="1">
      <alignment horizontal="center"/>
    </xf>
    <xf numFmtId="0" fontId="11" fillId="0" borderId="28" xfId="4" applyFont="1" applyFill="1" applyBorder="1"/>
    <xf numFmtId="49" fontId="37" fillId="0" borderId="28" xfId="4" applyNumberFormat="1" applyFont="1" applyFill="1" applyBorder="1" applyAlignment="1">
      <alignment horizontal="center"/>
    </xf>
    <xf numFmtId="0" fontId="37" fillId="0" borderId="28" xfId="4" applyFont="1" applyFill="1" applyBorder="1" applyAlignment="1">
      <alignment horizontal="center"/>
    </xf>
    <xf numFmtId="4" fontId="37" fillId="0" borderId="1" xfId="4" applyNumberFormat="1" applyFont="1" applyFill="1" applyBorder="1"/>
    <xf numFmtId="4" fontId="37" fillId="0" borderId="29" xfId="4" applyNumberFormat="1" applyFont="1" applyFill="1" applyBorder="1"/>
    <xf numFmtId="0" fontId="43" fillId="0" borderId="26" xfId="4" applyFont="1" applyFill="1" applyBorder="1"/>
    <xf numFmtId="0" fontId="3" fillId="0" borderId="28" xfId="4" applyFill="1" applyBorder="1"/>
    <xf numFmtId="0" fontId="3" fillId="0" borderId="28" xfId="4" applyFill="1" applyBorder="1" applyAlignment="1">
      <alignment horizontal="center"/>
    </xf>
    <xf numFmtId="164" fontId="3" fillId="0" borderId="28" xfId="7" applyFont="1" applyFill="1" applyBorder="1" applyAlignment="1">
      <alignment horizontal="center"/>
    </xf>
    <xf numFmtId="164" fontId="3" fillId="0" borderId="28" xfId="7" applyFont="1" applyFill="1" applyBorder="1"/>
    <xf numFmtId="164" fontId="37" fillId="0" borderId="1" xfId="7" applyFont="1" applyFill="1" applyBorder="1"/>
    <xf numFmtId="164" fontId="37" fillId="0" borderId="29" xfId="7" applyFont="1" applyFill="1" applyBorder="1"/>
    <xf numFmtId="0" fontId="37" fillId="0" borderId="26" xfId="4" applyFont="1" applyFill="1" applyBorder="1"/>
    <xf numFmtId="0" fontId="37" fillId="0" borderId="28" xfId="4" quotePrefix="1" applyFont="1" applyFill="1" applyBorder="1" applyAlignment="1">
      <alignment horizontal="center"/>
    </xf>
    <xf numFmtId="4" fontId="37" fillId="0" borderId="1" xfId="4" quotePrefix="1" applyNumberFormat="1" applyFont="1" applyFill="1" applyBorder="1" applyAlignment="1">
      <alignment horizontal="center"/>
    </xf>
    <xf numFmtId="4" fontId="37" fillId="0" borderId="29" xfId="4" quotePrefix="1" applyNumberFormat="1" applyFont="1" applyFill="1" applyBorder="1" applyAlignment="1">
      <alignment horizontal="center"/>
    </xf>
    <xf numFmtId="49" fontId="43" fillId="0" borderId="26" xfId="4" applyNumberFormat="1" applyFont="1" applyFill="1" applyBorder="1" applyAlignment="1">
      <alignment horizontal="left"/>
    </xf>
    <xf numFmtId="49" fontId="43" fillId="0" borderId="26" xfId="4" applyNumberFormat="1" applyFont="1" applyFill="1" applyBorder="1" applyAlignment="1"/>
    <xf numFmtId="0" fontId="43" fillId="0" borderId="30" xfId="4" applyFont="1" applyFill="1" applyBorder="1"/>
    <xf numFmtId="0" fontId="3" fillId="0" borderId="32" xfId="4" applyFill="1" applyBorder="1"/>
    <xf numFmtId="0" fontId="3" fillId="0" borderId="32" xfId="4" applyFill="1" applyBorder="1" applyAlignment="1">
      <alignment horizontal="center"/>
    </xf>
    <xf numFmtId="0" fontId="3" fillId="0" borderId="33" xfId="4" applyFill="1" applyBorder="1"/>
    <xf numFmtId="0" fontId="3" fillId="0" borderId="31" xfId="4" applyFill="1" applyBorder="1"/>
    <xf numFmtId="49" fontId="37" fillId="0" borderId="29" xfId="7" applyNumberFormat="1" applyFont="1" applyFill="1" applyBorder="1" applyAlignment="1">
      <alignment horizontal="center"/>
    </xf>
    <xf numFmtId="0" fontId="11" fillId="0" borderId="28" xfId="4" quotePrefix="1" applyFont="1" applyFill="1" applyBorder="1" applyAlignment="1">
      <alignment horizontal="center"/>
    </xf>
    <xf numFmtId="0" fontId="37" fillId="0" borderId="28" xfId="4" applyFont="1" applyFill="1" applyBorder="1"/>
    <xf numFmtId="164" fontId="11" fillId="0" borderId="28" xfId="7" applyFont="1" applyFill="1" applyBorder="1" applyAlignment="1">
      <alignment horizontal="center"/>
    </xf>
    <xf numFmtId="164" fontId="11" fillId="0" borderId="28" xfId="7" applyFont="1" applyFill="1" applyBorder="1"/>
    <xf numFmtId="164" fontId="11" fillId="0" borderId="1" xfId="7" applyFont="1" applyFill="1" applyBorder="1"/>
    <xf numFmtId="164" fontId="11" fillId="0" borderId="29" xfId="7" applyFont="1" applyFill="1" applyBorder="1"/>
    <xf numFmtId="49" fontId="11" fillId="0" borderId="28" xfId="7" applyNumberFormat="1" applyFont="1" applyFill="1" applyBorder="1" applyAlignment="1">
      <alignment horizontal="right"/>
    </xf>
    <xf numFmtId="4" fontId="11" fillId="0" borderId="28" xfId="7" applyNumberFormat="1" applyFont="1" applyFill="1" applyBorder="1" applyAlignment="1">
      <alignment horizontal="right"/>
    </xf>
    <xf numFmtId="4" fontId="11" fillId="0" borderId="1" xfId="7" applyNumberFormat="1" applyFont="1" applyFill="1" applyBorder="1" applyAlignment="1">
      <alignment horizontal="right"/>
    </xf>
    <xf numFmtId="4" fontId="11" fillId="0" borderId="1" xfId="4" quotePrefix="1" applyNumberFormat="1" applyFont="1" applyFill="1" applyBorder="1" applyAlignment="1">
      <alignment horizontal="right"/>
    </xf>
    <xf numFmtId="4" fontId="11" fillId="0" borderId="29" xfId="4" quotePrefix="1" applyNumberFormat="1" applyFont="1" applyFill="1" applyBorder="1" applyAlignment="1">
      <alignment horizontal="right"/>
    </xf>
    <xf numFmtId="0" fontId="11" fillId="0" borderId="35" xfId="4" applyFont="1" applyFill="1" applyBorder="1" applyAlignment="1">
      <alignment horizontal="center"/>
    </xf>
    <xf numFmtId="0" fontId="11" fillId="0" borderId="35" xfId="4" applyFont="1" applyFill="1" applyBorder="1" applyAlignment="1"/>
    <xf numFmtId="4" fontId="11" fillId="0" borderId="73" xfId="4" applyNumberFormat="1" applyFont="1" applyFill="1" applyBorder="1"/>
    <xf numFmtId="4" fontId="11" fillId="0" borderId="36" xfId="4" applyNumberFormat="1" applyFont="1" applyFill="1" applyBorder="1"/>
    <xf numFmtId="0" fontId="44" fillId="2" borderId="41" xfId="4" applyFont="1" applyFill="1" applyBorder="1" applyAlignment="1">
      <alignment horizontal="center"/>
    </xf>
    <xf numFmtId="0" fontId="3" fillId="2" borderId="16" xfId="4" applyFill="1" applyBorder="1"/>
    <xf numFmtId="0" fontId="3" fillId="2" borderId="16" xfId="4" applyFill="1" applyBorder="1" applyAlignment="1">
      <alignment horizontal="center"/>
    </xf>
    <xf numFmtId="4" fontId="37" fillId="2" borderId="17" xfId="4" applyNumberFormat="1" applyFont="1" applyFill="1" applyBorder="1"/>
    <xf numFmtId="4" fontId="43" fillId="2" borderId="42" xfId="4" applyNumberFormat="1" applyFont="1" applyFill="1" applyBorder="1"/>
    <xf numFmtId="49" fontId="11" fillId="0" borderId="29" xfId="7" applyNumberFormat="1" applyFont="1" applyFill="1" applyBorder="1" applyAlignment="1">
      <alignment horizontal="center"/>
    </xf>
    <xf numFmtId="49" fontId="11" fillId="0" borderId="29" xfId="7" applyNumberFormat="1" applyFont="1" applyFill="1" applyBorder="1" applyAlignment="1">
      <alignment horizontal="right"/>
    </xf>
    <xf numFmtId="0" fontId="34" fillId="0" borderId="0" xfId="0" applyFont="1" applyFill="1" applyBorder="1" applyAlignment="1">
      <alignment horizontal="center"/>
    </xf>
    <xf numFmtId="4" fontId="11" fillId="0" borderId="29" xfId="7" applyNumberFormat="1" applyFont="1" applyFill="1" applyBorder="1" applyAlignment="1">
      <alignment horizontal="right"/>
    </xf>
    <xf numFmtId="49" fontId="11" fillId="0" borderId="37" xfId="4" applyNumberFormat="1" applyFont="1" applyFill="1" applyBorder="1"/>
    <xf numFmtId="49" fontId="11" fillId="0" borderId="39" xfId="4" applyNumberFormat="1" applyFont="1" applyFill="1" applyBorder="1" applyAlignment="1">
      <alignment horizontal="center"/>
    </xf>
    <xf numFmtId="0" fontId="11" fillId="0" borderId="39" xfId="4" applyFont="1" applyFill="1" applyBorder="1" applyAlignment="1">
      <alignment horizontal="center"/>
    </xf>
    <xf numFmtId="4" fontId="11" fillId="0" borderId="40" xfId="4" applyNumberFormat="1" applyFont="1" applyFill="1" applyBorder="1"/>
    <xf numFmtId="4" fontId="11" fillId="0" borderId="38" xfId="4" applyNumberFormat="1" applyFont="1" applyFill="1" applyBorder="1"/>
    <xf numFmtId="177" fontId="12" fillId="0" borderId="0" xfId="2" applyNumberFormat="1" applyFont="1" applyFill="1" applyBorder="1" applyAlignment="1">
      <alignment vertical="center"/>
    </xf>
    <xf numFmtId="177" fontId="11" fillId="0" borderId="0" xfId="2" applyNumberFormat="1" applyFont="1" applyAlignment="1">
      <alignment vertical="center"/>
    </xf>
    <xf numFmtId="0" fontId="45" fillId="0" borderId="74" xfId="2" applyFont="1" applyFill="1" applyBorder="1" applyAlignment="1">
      <alignment horizontal="left" vertical="center" wrapText="1"/>
    </xf>
    <xf numFmtId="0" fontId="11" fillId="0" borderId="75" xfId="2" applyFont="1" applyFill="1" applyBorder="1" applyAlignment="1">
      <alignment horizontal="center" vertical="center" wrapText="1"/>
    </xf>
    <xf numFmtId="177" fontId="11" fillId="0" borderId="76" xfId="2" applyNumberFormat="1" applyFont="1" applyFill="1" applyBorder="1" applyAlignment="1">
      <alignment vertical="center" wrapText="1"/>
    </xf>
    <xf numFmtId="0" fontId="12" fillId="3" borderId="68" xfId="2" applyFont="1" applyFill="1" applyBorder="1" applyAlignment="1">
      <alignment horizontal="left" vertical="center" wrapText="1"/>
    </xf>
    <xf numFmtId="0" fontId="11" fillId="3" borderId="77" xfId="2" applyFont="1" applyFill="1" applyBorder="1" applyAlignment="1">
      <alignment horizontal="center" vertical="center" wrapText="1"/>
    </xf>
    <xf numFmtId="0" fontId="11" fillId="14" borderId="77" xfId="2" applyFont="1" applyFill="1" applyBorder="1" applyAlignment="1">
      <alignment horizontal="center" vertical="center" wrapText="1"/>
    </xf>
    <xf numFmtId="177" fontId="11" fillId="14" borderId="78" xfId="2" applyNumberFormat="1" applyFont="1" applyFill="1" applyBorder="1" applyAlignment="1">
      <alignment vertical="center" wrapText="1"/>
    </xf>
    <xf numFmtId="0" fontId="12" fillId="0" borderId="68" xfId="2" applyFont="1" applyFill="1" applyBorder="1" applyAlignment="1">
      <alignment horizontal="left" vertical="center" wrapText="1"/>
    </xf>
    <xf numFmtId="0" fontId="11" fillId="0" borderId="77" xfId="2" applyFont="1" applyFill="1" applyBorder="1" applyAlignment="1">
      <alignment horizontal="center" vertical="center" wrapText="1"/>
    </xf>
    <xf numFmtId="0" fontId="11" fillId="15" borderId="77" xfId="2" applyFont="1" applyFill="1" applyBorder="1" applyAlignment="1">
      <alignment horizontal="center" vertical="center" wrapText="1"/>
    </xf>
    <xf numFmtId="177" fontId="11" fillId="0" borderId="78" xfId="2" applyNumberFormat="1" applyFont="1" applyFill="1" applyBorder="1" applyAlignment="1">
      <alignment vertical="center" wrapText="1"/>
    </xf>
    <xf numFmtId="177" fontId="11" fillId="3" borderId="78" xfId="2" applyNumberFormat="1" applyFont="1" applyFill="1" applyBorder="1" applyAlignment="1">
      <alignment vertical="center" wrapText="1"/>
    </xf>
    <xf numFmtId="0" fontId="45" fillId="3" borderId="68" xfId="2" applyFont="1" applyFill="1" applyBorder="1" applyAlignment="1">
      <alignment horizontal="left" vertical="center" wrapText="1"/>
    </xf>
    <xf numFmtId="0" fontId="45" fillId="0" borderId="68" xfId="2" applyFont="1" applyFill="1" applyBorder="1" applyAlignment="1">
      <alignment horizontal="left" vertical="center" wrapText="1"/>
    </xf>
    <xf numFmtId="177" fontId="11" fillId="3" borderId="78" xfId="2" applyNumberFormat="1" applyFont="1" applyFill="1" applyBorder="1" applyAlignment="1">
      <alignment horizontal="right" vertical="center" wrapText="1"/>
    </xf>
    <xf numFmtId="0" fontId="12" fillId="0" borderId="71" xfId="2" applyFont="1" applyFill="1" applyBorder="1" applyAlignment="1">
      <alignment horizontal="left" vertical="center" wrapText="1"/>
    </xf>
    <xf numFmtId="0" fontId="11" fillId="0" borderId="79" xfId="2" applyFont="1" applyFill="1" applyBorder="1" applyAlignment="1">
      <alignment horizontal="center" vertical="center" wrapText="1"/>
    </xf>
    <xf numFmtId="0" fontId="11" fillId="15" borderId="79" xfId="2" applyFont="1" applyFill="1" applyBorder="1" applyAlignment="1">
      <alignment horizontal="center" vertical="center" wrapText="1"/>
    </xf>
    <xf numFmtId="177" fontId="11" fillId="0" borderId="80" xfId="2" applyNumberFormat="1" applyFont="1" applyFill="1" applyBorder="1" applyAlignment="1">
      <alignment vertical="center" wrapText="1"/>
    </xf>
    <xf numFmtId="0" fontId="12" fillId="16" borderId="19" xfId="2" applyFont="1" applyFill="1" applyBorder="1" applyAlignment="1">
      <alignment horizontal="left" vertical="center" wrapText="1"/>
    </xf>
    <xf numFmtId="0" fontId="12" fillId="16" borderId="16" xfId="2" applyFont="1" applyFill="1" applyBorder="1" applyAlignment="1">
      <alignment horizontal="center" vertical="center" wrapText="1"/>
    </xf>
    <xf numFmtId="177" fontId="12" fillId="16" borderId="42" xfId="2" applyNumberFormat="1" applyFont="1" applyFill="1" applyBorder="1" applyAlignment="1">
      <alignment vertical="center" wrapText="1"/>
    </xf>
    <xf numFmtId="0" fontId="46" fillId="0" borderId="44" xfId="2" applyFont="1" applyFill="1" applyBorder="1" applyAlignment="1">
      <alignment horizontal="left" vertical="center"/>
    </xf>
    <xf numFmtId="0" fontId="46" fillId="0" borderId="14" xfId="2" applyFont="1" applyFill="1" applyBorder="1" applyAlignment="1">
      <alignment horizontal="left" vertical="center"/>
    </xf>
    <xf numFmtId="177" fontId="12" fillId="2" borderId="18" xfId="2" applyNumberFormat="1" applyFont="1" applyFill="1" applyBorder="1" applyAlignment="1">
      <alignment vertical="center"/>
    </xf>
    <xf numFmtId="177" fontId="11" fillId="0" borderId="58" xfId="2" applyNumberFormat="1" applyFont="1" applyFill="1" applyBorder="1" applyAlignment="1">
      <alignment vertical="center"/>
    </xf>
    <xf numFmtId="0" fontId="11" fillId="0" borderId="26" xfId="2" applyFont="1" applyFill="1" applyBorder="1" applyAlignment="1">
      <alignment vertical="center"/>
    </xf>
    <xf numFmtId="0" fontId="47" fillId="0" borderId="81" xfId="0" applyFont="1" applyFill="1" applyBorder="1" applyAlignment="1">
      <alignment horizontal="left" vertical="center"/>
    </xf>
    <xf numFmtId="0" fontId="47" fillId="0" borderId="85" xfId="0" applyFont="1" applyFill="1" applyBorder="1" applyAlignment="1">
      <alignment horizontal="left" vertical="center"/>
    </xf>
    <xf numFmtId="0" fontId="48" fillId="0" borderId="85" xfId="0" applyFont="1" applyFill="1" applyBorder="1" applyAlignment="1">
      <alignment horizontal="left" vertical="top"/>
    </xf>
    <xf numFmtId="3" fontId="47" fillId="0" borderId="86" xfId="0" applyNumberFormat="1" applyFont="1" applyFill="1" applyBorder="1" applyAlignment="1">
      <alignment horizontal="center" vertical="center"/>
    </xf>
    <xf numFmtId="178" fontId="47" fillId="0" borderId="87" xfId="0" applyNumberFormat="1" applyFont="1" applyFill="1" applyBorder="1" applyAlignment="1">
      <alignment horizontal="left" vertical="center"/>
    </xf>
    <xf numFmtId="178" fontId="47" fillId="0" borderId="88" xfId="0" applyNumberFormat="1" applyFont="1" applyFill="1" applyBorder="1" applyAlignment="1">
      <alignment horizontal="left" vertical="center"/>
    </xf>
    <xf numFmtId="177" fontId="47" fillId="0" borderId="87" xfId="0" applyNumberFormat="1" applyFont="1" applyFill="1" applyBorder="1" applyAlignment="1">
      <alignment horizontal="center" vertical="center"/>
    </xf>
    <xf numFmtId="179" fontId="48" fillId="0" borderId="85" xfId="0" applyNumberFormat="1" applyFont="1" applyFill="1" applyBorder="1" applyAlignment="1">
      <alignment horizontal="left" vertical="top"/>
    </xf>
    <xf numFmtId="0" fontId="47" fillId="0" borderId="85" xfId="0" applyFont="1" applyFill="1" applyBorder="1" applyAlignment="1"/>
    <xf numFmtId="178" fontId="47" fillId="0" borderId="87" xfId="0" applyNumberFormat="1" applyFont="1" applyFill="1" applyBorder="1" applyAlignment="1">
      <alignment vertical="center"/>
    </xf>
    <xf numFmtId="178" fontId="47" fillId="0" borderId="88" xfId="0" applyNumberFormat="1" applyFont="1" applyFill="1" applyBorder="1" applyAlignment="1">
      <alignment vertical="center"/>
    </xf>
    <xf numFmtId="0" fontId="48" fillId="0" borderId="85" xfId="0" applyFont="1" applyFill="1" applyBorder="1" applyAlignment="1">
      <alignment horizontal="left" vertical="center"/>
    </xf>
    <xf numFmtId="3" fontId="48" fillId="0" borderId="86" xfId="0" applyNumberFormat="1" applyFont="1" applyFill="1" applyBorder="1" applyAlignment="1">
      <alignment horizontal="center" vertical="center"/>
    </xf>
    <xf numFmtId="178" fontId="48" fillId="0" borderId="87" xfId="0" applyNumberFormat="1" applyFont="1" applyFill="1" applyBorder="1" applyAlignment="1">
      <alignment vertical="center"/>
    </xf>
    <xf numFmtId="0" fontId="48" fillId="0" borderId="89" xfId="0" applyFont="1" applyFill="1" applyBorder="1" applyAlignment="1">
      <alignment horizontal="left" vertical="center"/>
    </xf>
    <xf numFmtId="3" fontId="48" fillId="0" borderId="90" xfId="0" applyNumberFormat="1" applyFont="1" applyFill="1" applyBorder="1" applyAlignment="1">
      <alignment horizontal="center" vertical="center"/>
    </xf>
    <xf numFmtId="178" fontId="48" fillId="0" borderId="91" xfId="0" applyNumberFormat="1" applyFont="1" applyFill="1" applyBorder="1" applyAlignment="1">
      <alignment vertical="center"/>
    </xf>
    <xf numFmtId="177" fontId="11" fillId="0" borderId="0" xfId="0" applyNumberFormat="1" applyFont="1" applyAlignment="1">
      <alignment horizontal="center"/>
    </xf>
    <xf numFmtId="4" fontId="47" fillId="0" borderId="87" xfId="0" applyNumberFormat="1" applyFont="1" applyFill="1" applyBorder="1" applyAlignment="1">
      <alignment vertical="center"/>
    </xf>
    <xf numFmtId="4" fontId="47" fillId="0" borderId="88" xfId="0" applyNumberFormat="1" applyFont="1" applyFill="1" applyBorder="1" applyAlignment="1">
      <alignment vertical="center"/>
    </xf>
    <xf numFmtId="0" fontId="47" fillId="0" borderId="93" xfId="0" applyFont="1" applyFill="1" applyBorder="1" applyAlignment="1">
      <alignment horizontal="centerContinuous" vertical="center"/>
    </xf>
    <xf numFmtId="3" fontId="47" fillId="0" borderId="94" xfId="0" applyNumberFormat="1" applyFont="1" applyFill="1" applyBorder="1" applyAlignment="1">
      <alignment horizontal="center" vertical="center"/>
    </xf>
    <xf numFmtId="178" fontId="47" fillId="0" borderId="95" xfId="0" applyNumberFormat="1" applyFont="1" applyFill="1" applyBorder="1" applyAlignment="1">
      <alignment vertical="center"/>
    </xf>
    <xf numFmtId="178" fontId="47" fillId="0" borderId="96" xfId="0" applyNumberFormat="1" applyFont="1" applyFill="1" applyBorder="1" applyAlignment="1">
      <alignment vertical="center"/>
    </xf>
    <xf numFmtId="178" fontId="47" fillId="0" borderId="94" xfId="0" applyNumberFormat="1" applyFont="1" applyFill="1" applyBorder="1" applyAlignment="1">
      <alignment vertical="center"/>
    </xf>
    <xf numFmtId="178" fontId="47" fillId="0" borderId="97" xfId="0" applyNumberFormat="1" applyFont="1" applyFill="1" applyBorder="1" applyAlignment="1">
      <alignment vertical="center"/>
    </xf>
    <xf numFmtId="177" fontId="47" fillId="0" borderId="94" xfId="0" applyNumberFormat="1" applyFont="1" applyFill="1" applyBorder="1" applyAlignment="1">
      <alignment horizontal="center" vertical="center"/>
    </xf>
    <xf numFmtId="0" fontId="47" fillId="0" borderId="98" xfId="0" applyFont="1" applyFill="1" applyBorder="1" applyAlignment="1">
      <alignment horizontal="centerContinuous"/>
    </xf>
    <xf numFmtId="3" fontId="47" fillId="0" borderId="99" xfId="0" applyNumberFormat="1" applyFont="1" applyFill="1" applyBorder="1" applyAlignment="1">
      <alignment horizontal="center" vertical="center"/>
    </xf>
    <xf numFmtId="178" fontId="47" fillId="0" borderId="100" xfId="0" applyNumberFormat="1" applyFont="1" applyFill="1" applyBorder="1" applyAlignment="1">
      <alignment vertical="center"/>
    </xf>
    <xf numFmtId="178" fontId="47" fillId="0" borderId="101" xfId="0" applyNumberFormat="1" applyFont="1" applyFill="1" applyBorder="1" applyAlignment="1">
      <alignment vertical="center"/>
    </xf>
    <xf numFmtId="178" fontId="47" fillId="0" borderId="99" xfId="0" applyNumberFormat="1" applyFont="1" applyFill="1" applyBorder="1" applyAlignment="1">
      <alignment vertical="center"/>
    </xf>
    <xf numFmtId="178" fontId="47" fillId="0" borderId="102" xfId="0" applyNumberFormat="1" applyFont="1" applyFill="1" applyBorder="1" applyAlignment="1">
      <alignment vertical="center"/>
    </xf>
    <xf numFmtId="177" fontId="47" fillId="0" borderId="99" xfId="0" applyNumberFormat="1" applyFont="1" applyFill="1" applyBorder="1" applyAlignment="1">
      <alignment horizontal="center" vertical="center"/>
    </xf>
    <xf numFmtId="3" fontId="47" fillId="0" borderId="104" xfId="0" applyNumberFormat="1" applyFont="1" applyFill="1" applyBorder="1" applyAlignment="1">
      <alignment horizontal="center" vertical="center"/>
    </xf>
    <xf numFmtId="178" fontId="47" fillId="0" borderId="105" xfId="0" applyNumberFormat="1" applyFont="1" applyFill="1" applyBorder="1" applyAlignment="1">
      <alignment horizontal="right" vertical="center"/>
    </xf>
    <xf numFmtId="178" fontId="47" fillId="0" borderId="106" xfId="0" applyNumberFormat="1" applyFont="1" applyFill="1" applyBorder="1" applyAlignment="1">
      <alignment horizontal="right" vertical="center"/>
    </xf>
    <xf numFmtId="178" fontId="47" fillId="0" borderId="104" xfId="0" applyNumberFormat="1" applyFont="1" applyFill="1" applyBorder="1" applyAlignment="1">
      <alignment horizontal="right" vertical="center"/>
    </xf>
    <xf numFmtId="178" fontId="47" fillId="0" borderId="107" xfId="0" applyNumberFormat="1" applyFont="1" applyFill="1" applyBorder="1" applyAlignment="1">
      <alignment horizontal="right" vertical="center"/>
    </xf>
    <xf numFmtId="177" fontId="47" fillId="0" borderId="104" xfId="0" applyNumberFormat="1" applyFont="1" applyFill="1" applyBorder="1" applyAlignment="1">
      <alignment horizontal="center" vertical="center"/>
    </xf>
    <xf numFmtId="0" fontId="47" fillId="0" borderId="103" xfId="0" applyFont="1" applyFill="1" applyBorder="1" applyAlignment="1">
      <alignment horizontal="centerContinuous" vertical="center"/>
    </xf>
    <xf numFmtId="3" fontId="48" fillId="0" borderId="82" xfId="0" applyNumberFormat="1" applyFont="1" applyFill="1" applyBorder="1" applyAlignment="1">
      <alignment horizontal="center" vertical="center"/>
    </xf>
    <xf numFmtId="178" fontId="48" fillId="0" borderId="83" xfId="0" applyNumberFormat="1" applyFont="1" applyFill="1" applyBorder="1" applyAlignment="1">
      <alignment vertical="center"/>
    </xf>
    <xf numFmtId="178" fontId="48" fillId="0" borderId="84" xfId="0" applyNumberFormat="1" applyFont="1" applyFill="1" applyBorder="1" applyAlignment="1">
      <alignment vertical="center"/>
    </xf>
    <xf numFmtId="177" fontId="48" fillId="0" borderId="83" xfId="0" applyNumberFormat="1" applyFont="1" applyFill="1" applyBorder="1" applyAlignment="1">
      <alignment horizontal="center" vertical="center"/>
    </xf>
    <xf numFmtId="178" fontId="48" fillId="0" borderId="88" xfId="0" applyNumberFormat="1" applyFont="1" applyFill="1" applyBorder="1" applyAlignment="1">
      <alignment vertical="center"/>
    </xf>
    <xf numFmtId="177" fontId="48" fillId="0" borderId="87" xfId="0" applyNumberFormat="1" applyFont="1" applyFill="1" applyBorder="1" applyAlignment="1">
      <alignment horizontal="center" vertical="center"/>
    </xf>
    <xf numFmtId="0" fontId="48" fillId="0" borderId="86" xfId="0" applyNumberFormat="1" applyFont="1" applyFill="1" applyBorder="1" applyAlignment="1">
      <alignment horizontal="center" vertical="center"/>
    </xf>
    <xf numFmtId="178" fontId="48" fillId="0" borderId="92" xfId="0" applyNumberFormat="1" applyFont="1" applyFill="1" applyBorder="1" applyAlignment="1">
      <alignment vertical="center"/>
    </xf>
    <xf numFmtId="177" fontId="48" fillId="0" borderId="91" xfId="0" applyNumberFormat="1" applyFont="1" applyFill="1" applyBorder="1" applyAlignment="1">
      <alignment horizontal="center" vertical="center"/>
    </xf>
    <xf numFmtId="49" fontId="49" fillId="0" borderId="86" xfId="0" applyNumberFormat="1" applyFont="1" applyBorder="1"/>
    <xf numFmtId="0" fontId="49" fillId="0" borderId="87" xfId="0" applyFont="1" applyBorder="1"/>
    <xf numFmtId="177" fontId="49" fillId="0" borderId="87" xfId="0" applyNumberFormat="1" applyFont="1" applyBorder="1"/>
    <xf numFmtId="177" fontId="49" fillId="0" borderId="88" xfId="0" applyNumberFormat="1" applyFont="1" applyBorder="1"/>
    <xf numFmtId="0" fontId="49" fillId="0" borderId="87" xfId="0" applyFont="1" applyBorder="1" applyAlignment="1">
      <alignment horizontal="center"/>
    </xf>
    <xf numFmtId="0" fontId="49" fillId="0" borderId="87" xfId="0" applyFont="1" applyFill="1" applyBorder="1"/>
    <xf numFmtId="49" fontId="49" fillId="0" borderId="86" xfId="0" applyNumberFormat="1" applyFont="1" applyFill="1" applyBorder="1"/>
    <xf numFmtId="177" fontId="49" fillId="0" borderId="87" xfId="0" applyNumberFormat="1" applyFont="1" applyFill="1" applyBorder="1"/>
    <xf numFmtId="177" fontId="49" fillId="0" borderId="88" xfId="0" applyNumberFormat="1" applyFont="1" applyFill="1" applyBorder="1"/>
    <xf numFmtId="0" fontId="49" fillId="0" borderId="91" xfId="0" applyFont="1" applyBorder="1"/>
    <xf numFmtId="177" fontId="49" fillId="0" borderId="91" xfId="0" applyNumberFormat="1" applyFont="1" applyBorder="1"/>
    <xf numFmtId="177" fontId="49" fillId="0" borderId="92" xfId="0" applyNumberFormat="1" applyFont="1" applyBorder="1"/>
    <xf numFmtId="49" fontId="49" fillId="0" borderId="108" xfId="0" applyNumberFormat="1" applyFont="1" applyBorder="1"/>
    <xf numFmtId="49" fontId="49" fillId="0" borderId="109" xfId="0" applyNumberFormat="1" applyFont="1" applyBorder="1"/>
    <xf numFmtId="0" fontId="49" fillId="0" borderId="109" xfId="0" applyFont="1" applyBorder="1"/>
    <xf numFmtId="177" fontId="49" fillId="0" borderId="109" xfId="0" applyNumberFormat="1" applyFont="1" applyBorder="1"/>
    <xf numFmtId="0" fontId="49" fillId="0" borderId="109" xfId="0" applyFont="1" applyBorder="1" applyAlignment="1">
      <alignment horizontal="center"/>
    </xf>
    <xf numFmtId="49" fontId="11" fillId="0" borderId="0" xfId="0" applyNumberFormat="1" applyFont="1"/>
    <xf numFmtId="49" fontId="49" fillId="0" borderId="0" xfId="0" applyNumberFormat="1" applyFont="1"/>
    <xf numFmtId="0" fontId="49" fillId="0" borderId="0" xfId="0" applyFont="1"/>
    <xf numFmtId="177" fontId="49" fillId="0" borderId="0" xfId="0" applyNumberFormat="1" applyFont="1"/>
    <xf numFmtId="0" fontId="49" fillId="0" borderId="0" xfId="0" applyFont="1" applyAlignment="1">
      <alignment horizontal="center"/>
    </xf>
    <xf numFmtId="0" fontId="49" fillId="0" borderId="87" xfId="0" applyFont="1" applyBorder="1" applyAlignment="1">
      <alignment horizontal="right"/>
    </xf>
    <xf numFmtId="0" fontId="50" fillId="0" borderId="109" xfId="0" applyFont="1" applyBorder="1"/>
    <xf numFmtId="177" fontId="50" fillId="0" borderId="109" xfId="0" applyNumberFormat="1" applyFont="1" applyBorder="1"/>
    <xf numFmtId="177" fontId="50" fillId="0" borderId="110" xfId="0" applyNumberFormat="1" applyFont="1" applyBorder="1"/>
    <xf numFmtId="49" fontId="49" fillId="0" borderId="87" xfId="0" applyNumberFormat="1" applyFont="1" applyBorder="1" applyAlignment="1">
      <alignment horizontal="center"/>
    </xf>
    <xf numFmtId="49" fontId="49" fillId="0" borderId="87" xfId="0" applyNumberFormat="1" applyFont="1" applyFill="1" applyBorder="1" applyAlignment="1">
      <alignment horizontal="center"/>
    </xf>
    <xf numFmtId="49" fontId="49" fillId="0" borderId="91" xfId="0" applyNumberFormat="1" applyFont="1" applyBorder="1" applyAlignment="1">
      <alignment horizontal="center"/>
    </xf>
    <xf numFmtId="168" fontId="11" fillId="0" borderId="13" xfId="2" applyNumberFormat="1" applyFont="1" applyFill="1" applyBorder="1" applyAlignment="1">
      <alignment vertical="center"/>
    </xf>
    <xf numFmtId="2" fontId="11" fillId="0" borderId="53" xfId="2" applyNumberFormat="1" applyFont="1" applyFill="1" applyBorder="1" applyAlignment="1">
      <alignment vertical="center"/>
    </xf>
    <xf numFmtId="0" fontId="12" fillId="0" borderId="53" xfId="2" applyFont="1" applyFill="1" applyBorder="1" applyAlignment="1">
      <alignment vertical="center"/>
    </xf>
    <xf numFmtId="168" fontId="11" fillId="0" borderId="7" xfId="2" applyNumberFormat="1" applyFont="1" applyFill="1" applyBorder="1" applyAlignment="1">
      <alignment vertical="center"/>
    </xf>
    <xf numFmtId="0" fontId="11" fillId="0" borderId="69" xfId="2" applyFont="1" applyBorder="1" applyAlignment="1">
      <alignment vertical="center"/>
    </xf>
    <xf numFmtId="2" fontId="11" fillId="0" borderId="51" xfId="2" applyNumberFormat="1" applyFont="1" applyFill="1" applyBorder="1" applyAlignment="1">
      <alignment vertical="center"/>
    </xf>
    <xf numFmtId="2" fontId="12" fillId="2" borderId="17" xfId="2" applyNumberFormat="1" applyFont="1" applyFill="1" applyBorder="1" applyAlignment="1">
      <alignment vertical="center"/>
    </xf>
    <xf numFmtId="168" fontId="11" fillId="0" borderId="12" xfId="2" applyNumberFormat="1" applyFont="1" applyFill="1" applyBorder="1" applyAlignment="1">
      <alignment vertical="center"/>
    </xf>
    <xf numFmtId="168" fontId="11" fillId="0" borderId="14" xfId="5" applyNumberFormat="1" applyFont="1" applyFill="1" applyBorder="1" applyAlignment="1">
      <alignment vertical="center"/>
    </xf>
    <xf numFmtId="168" fontId="12" fillId="0" borderId="0" xfId="2" applyNumberFormat="1" applyFont="1" applyFill="1" applyBorder="1" applyAlignment="1">
      <alignment vertical="center"/>
    </xf>
    <xf numFmtId="0" fontId="11" fillId="0" borderId="7" xfId="0" applyFont="1" applyBorder="1"/>
    <xf numFmtId="0" fontId="11" fillId="0" borderId="51" xfId="0" applyFont="1" applyBorder="1"/>
    <xf numFmtId="0" fontId="11" fillId="0" borderId="69" xfId="0" applyFont="1" applyBorder="1"/>
    <xf numFmtId="2" fontId="12" fillId="2" borderId="42" xfId="2" applyNumberFormat="1" applyFont="1" applyFill="1" applyBorder="1" applyAlignment="1">
      <alignment vertical="center"/>
    </xf>
    <xf numFmtId="0" fontId="34" fillId="0" borderId="34" xfId="0" applyFont="1" applyBorder="1" applyAlignment="1">
      <alignment vertical="center" wrapText="1"/>
    </xf>
    <xf numFmtId="0" fontId="34" fillId="0" borderId="35" xfId="0" applyFont="1" applyBorder="1" applyAlignment="1">
      <alignment vertical="center" wrapText="1"/>
    </xf>
    <xf numFmtId="165" fontId="11" fillId="0" borderId="35" xfId="11" applyFont="1" applyFill="1" applyBorder="1" applyAlignment="1">
      <alignment vertical="center"/>
    </xf>
    <xf numFmtId="165" fontId="34" fillId="9" borderId="35" xfId="11" applyFont="1" applyFill="1" applyBorder="1" applyAlignment="1">
      <alignment horizontal="right" vertical="center" wrapText="1"/>
    </xf>
    <xf numFmtId="0" fontId="12" fillId="0" borderId="36" xfId="2" applyFont="1" applyFill="1" applyBorder="1" applyAlignment="1">
      <alignment vertical="center"/>
    </xf>
    <xf numFmtId="0" fontId="12" fillId="13" borderId="6" xfId="2" applyFont="1" applyFill="1" applyBorder="1" applyAlignment="1">
      <alignment horizontal="left" vertical="center"/>
    </xf>
    <xf numFmtId="4" fontId="11" fillId="0" borderId="28" xfId="2" applyNumberFormat="1" applyFont="1" applyFill="1" applyBorder="1" applyAlignment="1">
      <alignment vertical="center"/>
    </xf>
    <xf numFmtId="0" fontId="11" fillId="0" borderId="28" xfId="0" applyFont="1" applyBorder="1" applyAlignment="1">
      <alignment horizontal="left" vertical="center" wrapText="1"/>
    </xf>
    <xf numFmtId="0" fontId="11" fillId="0" borderId="28" xfId="0" applyFont="1" applyBorder="1" applyAlignment="1">
      <alignment horizontal="left"/>
    </xf>
    <xf numFmtId="2" fontId="11" fillId="0" borderId="28" xfId="0" applyNumberFormat="1" applyFont="1" applyBorder="1" applyAlignment="1">
      <alignment horizontal="left" vertical="center"/>
    </xf>
    <xf numFmtId="4" fontId="11" fillId="0" borderId="28" xfId="0" applyNumberFormat="1" applyFont="1" applyBorder="1" applyAlignment="1">
      <alignment horizontal="left" vertical="center"/>
    </xf>
    <xf numFmtId="4" fontId="11" fillId="0" borderId="28" xfId="0" applyNumberFormat="1" applyFont="1" applyBorder="1" applyAlignment="1">
      <alignment horizontal="left"/>
    </xf>
    <xf numFmtId="0" fontId="12" fillId="7" borderId="56" xfId="0" applyFont="1" applyFill="1" applyBorder="1" applyAlignment="1">
      <alignment horizontal="center" vertical="center" wrapText="1"/>
    </xf>
    <xf numFmtId="0" fontId="12" fillId="7" borderId="50" xfId="0" applyFont="1" applyFill="1" applyBorder="1" applyAlignment="1">
      <alignment horizontal="center" vertical="center" wrapText="1"/>
    </xf>
    <xf numFmtId="0" fontId="12" fillId="7" borderId="6" xfId="0" applyFont="1" applyFill="1" applyBorder="1" applyAlignment="1">
      <alignment horizontal="center" vertical="center" wrapText="1"/>
    </xf>
    <xf numFmtId="0" fontId="12" fillId="7" borderId="46" xfId="0" applyFont="1" applyFill="1" applyBorder="1" applyAlignment="1">
      <alignment horizontal="center" vertical="center" wrapText="1"/>
    </xf>
    <xf numFmtId="166" fontId="12" fillId="7" borderId="46" xfId="0" applyNumberFormat="1" applyFont="1" applyFill="1" applyBorder="1" applyAlignment="1">
      <alignment horizontal="center" vertical="center" textRotation="90" wrapText="1"/>
    </xf>
    <xf numFmtId="166" fontId="12" fillId="7" borderId="51" xfId="0" applyNumberFormat="1" applyFont="1" applyFill="1" applyBorder="1" applyAlignment="1">
      <alignment horizontal="center" vertical="center" textRotation="90" wrapText="1"/>
    </xf>
    <xf numFmtId="14" fontId="11" fillId="0" borderId="28" xfId="0" applyNumberFormat="1" applyFont="1" applyBorder="1" applyAlignment="1">
      <alignment horizontal="left"/>
    </xf>
    <xf numFmtId="180" fontId="11" fillId="0" borderId="28" xfId="0" applyNumberFormat="1" applyFont="1" applyBorder="1" applyAlignment="1">
      <alignment horizontal="left"/>
    </xf>
    <xf numFmtId="4" fontId="11" fillId="0" borderId="28" xfId="2" applyNumberFormat="1" applyFont="1" applyBorder="1" applyAlignment="1">
      <alignment horizontal="left" vertical="center"/>
    </xf>
    <xf numFmtId="164" fontId="11" fillId="0" borderId="28" xfId="13" applyFont="1" applyBorder="1" applyAlignment="1">
      <alignment horizontal="left"/>
    </xf>
    <xf numFmtId="0" fontId="11" fillId="0" borderId="28" xfId="4" applyFont="1" applyBorder="1" applyAlignment="1" applyProtection="1">
      <alignment horizontal="left"/>
      <protection locked="0"/>
    </xf>
    <xf numFmtId="165" fontId="11" fillId="0" borderId="28" xfId="11" applyFont="1" applyBorder="1" applyAlignment="1" applyProtection="1">
      <alignment horizontal="left"/>
      <protection locked="0"/>
    </xf>
    <xf numFmtId="0" fontId="11" fillId="0" borderId="28" xfId="4" applyFont="1" applyBorder="1" applyAlignment="1">
      <alignment horizontal="left" wrapText="1"/>
    </xf>
    <xf numFmtId="171" fontId="11" fillId="0" borderId="28" xfId="4" applyNumberFormat="1" applyFont="1" applyBorder="1" applyAlignment="1" applyProtection="1">
      <alignment horizontal="left"/>
      <protection locked="0"/>
    </xf>
    <xf numFmtId="165" fontId="11" fillId="0" borderId="28" xfId="11" applyFont="1" applyBorder="1" applyAlignment="1">
      <alignment horizontal="left"/>
    </xf>
    <xf numFmtId="3" fontId="11" fillId="0" borderId="28" xfId="0" applyNumberFormat="1" applyFont="1" applyBorder="1" applyAlignment="1">
      <alignment horizontal="left"/>
    </xf>
    <xf numFmtId="3" fontId="11" fillId="0" borderId="28" xfId="2" applyNumberFormat="1" applyFont="1" applyBorder="1" applyAlignment="1">
      <alignment horizontal="left" vertical="center"/>
    </xf>
    <xf numFmtId="0" fontId="34" fillId="0" borderId="28" xfId="9" applyFont="1" applyBorder="1" applyAlignment="1" applyProtection="1">
      <alignment horizontal="left"/>
      <protection locked="0"/>
    </xf>
    <xf numFmtId="176" fontId="11" fillId="0" borderId="28" xfId="0" applyNumberFormat="1" applyFont="1" applyBorder="1" applyAlignment="1">
      <alignment horizontal="left"/>
    </xf>
    <xf numFmtId="167" fontId="11" fillId="0" borderId="28" xfId="13" applyNumberFormat="1" applyFont="1" applyBorder="1" applyAlignment="1">
      <alignment horizontal="left"/>
    </xf>
    <xf numFmtId="0" fontId="11" fillId="0" borderId="28" xfId="0" quotePrefix="1" applyFont="1" applyBorder="1" applyAlignment="1">
      <alignment horizontal="left"/>
    </xf>
    <xf numFmtId="0" fontId="11" fillId="0" borderId="32" xfId="2" applyFont="1" applyFill="1" applyBorder="1" applyAlignment="1">
      <alignment vertical="center"/>
    </xf>
    <xf numFmtId="49" fontId="11" fillId="0" borderId="28" xfId="2" applyNumberFormat="1" applyFont="1" applyFill="1" applyBorder="1" applyAlignment="1">
      <alignment horizontal="left" vertical="center"/>
    </xf>
    <xf numFmtId="0" fontId="11" fillId="0" borderId="28" xfId="2" applyNumberFormat="1" applyFont="1" applyFill="1" applyBorder="1" applyAlignment="1">
      <alignment horizontal="left" vertical="center"/>
    </xf>
    <xf numFmtId="0" fontId="11" fillId="0" borderId="39" xfId="2" applyFont="1" applyFill="1" applyBorder="1" applyAlignment="1">
      <alignment vertical="center"/>
    </xf>
    <xf numFmtId="0" fontId="4" fillId="0" borderId="28" xfId="4" applyFont="1" applyBorder="1" applyAlignment="1">
      <alignment wrapText="1"/>
    </xf>
    <xf numFmtId="0" fontId="11" fillId="0" borderId="28" xfId="4" applyFont="1" applyBorder="1" applyAlignment="1">
      <alignment vertical="center" wrapText="1"/>
    </xf>
    <xf numFmtId="0" fontId="11" fillId="0" borderId="28" xfId="4" applyFont="1" applyBorder="1" applyAlignment="1">
      <alignment horizontal="center" vertical="center" wrapText="1"/>
    </xf>
    <xf numFmtId="4" fontId="11" fillId="0" borderId="28" xfId="4" applyNumberFormat="1" applyFont="1" applyBorder="1" applyAlignment="1">
      <alignment horizontal="right" vertical="center" wrapText="1"/>
    </xf>
    <xf numFmtId="173" fontId="11" fillId="0" borderId="28" xfId="4" applyNumberFormat="1" applyFont="1" applyBorder="1" applyAlignment="1">
      <alignment vertical="center" wrapText="1"/>
    </xf>
    <xf numFmtId="49" fontId="11" fillId="0" borderId="28" xfId="1" applyNumberFormat="1" applyFont="1" applyFill="1" applyBorder="1" applyAlignment="1">
      <alignment horizontal="left" vertical="center" wrapText="1"/>
    </xf>
    <xf numFmtId="4" fontId="11" fillId="0" borderId="28" xfId="1" applyNumberFormat="1" applyFont="1" applyFill="1" applyBorder="1" applyAlignment="1">
      <alignment horizontal="right" vertical="center" wrapText="1"/>
    </xf>
    <xf numFmtId="173" fontId="11" fillId="0" borderId="28" xfId="4" applyNumberFormat="1" applyFont="1" applyBorder="1" applyAlignment="1">
      <alignment wrapText="1"/>
    </xf>
    <xf numFmtId="4" fontId="11" fillId="0" borderId="28" xfId="4" applyNumberFormat="1" applyFont="1" applyBorder="1" applyAlignment="1">
      <alignment horizontal="right" wrapText="1"/>
    </xf>
    <xf numFmtId="4" fontId="11" fillId="0" borderId="28" xfId="4" applyNumberFormat="1" applyFont="1" applyBorder="1" applyAlignment="1">
      <alignment wrapText="1"/>
    </xf>
    <xf numFmtId="173" fontId="11" fillId="0" borderId="28" xfId="4" applyNumberFormat="1" applyFont="1" applyBorder="1" applyAlignment="1">
      <alignment horizontal="right" wrapText="1"/>
    </xf>
    <xf numFmtId="21" fontId="11" fillId="0" borderId="28" xfId="4" applyNumberFormat="1" applyFont="1" applyBorder="1" applyAlignment="1">
      <alignment wrapText="1"/>
    </xf>
    <xf numFmtId="49" fontId="11" fillId="0" borderId="28" xfId="2" applyNumberFormat="1" applyFont="1" applyFill="1" applyBorder="1" applyAlignment="1">
      <alignment horizontal="left" vertical="top"/>
    </xf>
    <xf numFmtId="17" fontId="11" fillId="0" borderId="28" xfId="2" applyNumberFormat="1" applyFont="1" applyFill="1" applyBorder="1" applyAlignment="1">
      <alignment horizontal="left" vertical="top"/>
    </xf>
    <xf numFmtId="14" fontId="11" fillId="0" borderId="28" xfId="2" applyNumberFormat="1" applyFont="1" applyFill="1" applyBorder="1" applyAlignment="1">
      <alignment horizontal="left" vertical="top"/>
    </xf>
    <xf numFmtId="0" fontId="11" fillId="5" borderId="28" xfId="2" applyFont="1" applyFill="1" applyBorder="1" applyAlignment="1">
      <alignment horizontal="left" vertical="center"/>
    </xf>
    <xf numFmtId="0" fontId="11" fillId="5" borderId="28" xfId="2" applyFont="1" applyFill="1" applyBorder="1" applyAlignment="1">
      <alignment vertical="center"/>
    </xf>
    <xf numFmtId="0" fontId="11" fillId="0" borderId="28" xfId="2" applyFont="1" applyFill="1" applyBorder="1" applyAlignment="1">
      <alignment horizontal="left" vertical="center"/>
    </xf>
    <xf numFmtId="0" fontId="11" fillId="5" borderId="28" xfId="2" applyFont="1" applyFill="1" applyBorder="1" applyAlignment="1">
      <alignment horizontal="center" vertical="center" wrapText="1"/>
    </xf>
    <xf numFmtId="0" fontId="11" fillId="0" borderId="28" xfId="2" applyFont="1" applyFill="1" applyBorder="1" applyAlignment="1">
      <alignment vertical="center"/>
    </xf>
    <xf numFmtId="0" fontId="11" fillId="0" borderId="28" xfId="4" applyFont="1" applyBorder="1" applyAlignment="1">
      <alignment horizontal="center"/>
    </xf>
    <xf numFmtId="14" fontId="11" fillId="0" borderId="28" xfId="2" applyNumberFormat="1" applyFont="1" applyFill="1" applyBorder="1" applyAlignment="1">
      <alignment vertical="center"/>
    </xf>
    <xf numFmtId="4" fontId="11" fillId="5" borderId="28" xfId="2" applyNumberFormat="1" applyFont="1" applyFill="1" applyBorder="1" applyAlignment="1">
      <alignment horizontal="center" vertical="center" wrapText="1"/>
    </xf>
    <xf numFmtId="3" fontId="11" fillId="5" borderId="28" xfId="2" applyNumberFormat="1" applyFont="1" applyFill="1" applyBorder="1" applyAlignment="1">
      <alignment horizontal="center" vertical="center" wrapText="1"/>
    </xf>
    <xf numFmtId="0" fontId="11" fillId="0" borderId="14" xfId="2" applyFont="1" applyFill="1" applyBorder="1" applyAlignment="1">
      <alignment vertical="center" wrapText="1"/>
    </xf>
    <xf numFmtId="4" fontId="11" fillId="0" borderId="28" xfId="2" applyNumberFormat="1" applyFont="1" applyFill="1" applyBorder="1" applyAlignment="1">
      <alignment horizontal="center" vertical="center" wrapText="1"/>
    </xf>
    <xf numFmtId="14" fontId="11" fillId="0" borderId="28" xfId="2" applyNumberFormat="1" applyFont="1" applyFill="1" applyBorder="1" applyAlignment="1">
      <alignment horizontal="center" wrapText="1"/>
    </xf>
    <xf numFmtId="0" fontId="11" fillId="0" borderId="28" xfId="2" applyFont="1" applyFill="1" applyBorder="1" applyAlignment="1">
      <alignment horizontal="center" wrapText="1"/>
    </xf>
    <xf numFmtId="0" fontId="11" fillId="0" borderId="28" xfId="4" applyFont="1" applyBorder="1" applyAlignment="1">
      <alignment horizontal="center" wrapText="1"/>
    </xf>
    <xf numFmtId="4" fontId="11" fillId="0" borderId="28" xfId="4" applyNumberFormat="1" applyFont="1" applyBorder="1" applyAlignment="1">
      <alignment horizontal="center" wrapText="1"/>
    </xf>
    <xf numFmtId="3" fontId="11" fillId="0" borderId="28" xfId="2" applyNumberFormat="1" applyFont="1" applyFill="1" applyBorder="1" applyAlignment="1">
      <alignment horizontal="left" vertical="center" wrapText="1"/>
    </xf>
    <xf numFmtId="0" fontId="11" fillId="0" borderId="28" xfId="2" applyFont="1" applyFill="1" applyBorder="1" applyAlignment="1">
      <alignment horizontal="right" vertical="center" wrapText="1"/>
    </xf>
    <xf numFmtId="164" fontId="11" fillId="0" borderId="28" xfId="2" applyNumberFormat="1" applyFont="1" applyFill="1" applyBorder="1" applyAlignment="1">
      <alignment vertical="center"/>
    </xf>
    <xf numFmtId="164" fontId="11" fillId="0" borderId="28" xfId="2" applyNumberFormat="1" applyFont="1" applyFill="1" applyBorder="1" applyAlignment="1">
      <alignment horizontal="left" vertical="center"/>
    </xf>
    <xf numFmtId="164" fontId="11" fillId="0" borderId="28" xfId="2" applyNumberFormat="1" applyFont="1" applyBorder="1" applyAlignment="1">
      <alignment horizontal="center" vertical="center"/>
    </xf>
    <xf numFmtId="14" fontId="11" fillId="0" borderId="28" xfId="2" applyNumberFormat="1" applyFont="1" applyFill="1" applyBorder="1" applyAlignment="1">
      <alignment horizontal="right" vertical="center" wrapText="1"/>
    </xf>
    <xf numFmtId="0" fontId="11" fillId="0" borderId="28" xfId="2" applyFont="1" applyBorder="1" applyAlignment="1">
      <alignment horizontal="center" vertical="center"/>
    </xf>
    <xf numFmtId="0" fontId="11" fillId="0" borderId="28" xfId="2" applyFont="1" applyBorder="1" applyAlignment="1">
      <alignment vertical="center"/>
    </xf>
    <xf numFmtId="0" fontId="12" fillId="0" borderId="28" xfId="2" applyFont="1" applyFill="1" applyBorder="1" applyAlignment="1">
      <alignment vertical="center" wrapText="1"/>
    </xf>
    <xf numFmtId="0" fontId="34" fillId="0" borderId="28" xfId="17" applyFont="1" applyBorder="1" applyAlignment="1" applyProtection="1">
      <alignment wrapText="1"/>
      <protection locked="0"/>
    </xf>
    <xf numFmtId="0" fontId="12" fillId="2" borderId="28" xfId="2" applyFont="1" applyFill="1" applyBorder="1" applyAlignment="1">
      <alignment vertical="center" wrapText="1"/>
    </xf>
    <xf numFmtId="176" fontId="34" fillId="0" borderId="28" xfId="17" applyNumberFormat="1" applyFont="1" applyBorder="1" applyAlignment="1" applyProtection="1">
      <alignment wrapText="1"/>
      <protection locked="0"/>
    </xf>
    <xf numFmtId="14" fontId="11" fillId="0" borderId="28" xfId="4" applyNumberFormat="1" applyFont="1" applyBorder="1" applyAlignment="1">
      <alignment wrapText="1"/>
    </xf>
    <xf numFmtId="0" fontId="54" fillId="0" borderId="28" xfId="4" applyFont="1" applyBorder="1" applyAlignment="1">
      <alignment wrapText="1"/>
    </xf>
    <xf numFmtId="4" fontId="4" fillId="0" borderId="28" xfId="4" applyNumberFormat="1" applyFont="1" applyBorder="1" applyAlignment="1">
      <alignment horizontal="center"/>
    </xf>
    <xf numFmtId="0" fontId="3" fillId="0" borderId="28" xfId="4" applyFont="1" applyBorder="1"/>
    <xf numFmtId="164" fontId="11" fillId="0" borderId="28" xfId="13" applyFont="1" applyFill="1" applyBorder="1" applyAlignment="1">
      <alignment horizontal="left" vertical="center" wrapText="1"/>
    </xf>
    <xf numFmtId="164" fontId="11" fillId="0" borderId="28" xfId="13" applyFont="1" applyFill="1" applyBorder="1" applyAlignment="1">
      <alignment vertical="center" wrapText="1"/>
    </xf>
    <xf numFmtId="0" fontId="52" fillId="0" borderId="28" xfId="4" applyFont="1" applyFill="1" applyBorder="1" applyAlignment="1">
      <alignment wrapText="1"/>
    </xf>
    <xf numFmtId="0" fontId="53" fillId="0" borderId="28" xfId="4" applyFont="1" applyFill="1" applyBorder="1" applyAlignment="1">
      <alignment vertical="center" wrapText="1"/>
    </xf>
    <xf numFmtId="4" fontId="11" fillId="0" borderId="28" xfId="2" applyNumberFormat="1" applyFont="1" applyFill="1" applyBorder="1" applyAlignment="1">
      <alignment horizontal="right" vertical="center" wrapText="1"/>
    </xf>
    <xf numFmtId="0" fontId="3" fillId="0" borderId="28" xfId="4" applyFont="1" applyBorder="1" applyAlignment="1">
      <alignment wrapText="1"/>
    </xf>
    <xf numFmtId="0" fontId="3" fillId="0" borderId="28" xfId="4" applyFont="1" applyFill="1" applyBorder="1" applyAlignment="1">
      <alignment wrapText="1"/>
    </xf>
    <xf numFmtId="4" fontId="11" fillId="0" borderId="28" xfId="2" applyNumberFormat="1" applyFont="1" applyFill="1" applyBorder="1" applyAlignment="1">
      <alignment vertical="center" wrapText="1"/>
    </xf>
    <xf numFmtId="4" fontId="55" fillId="0" borderId="28" xfId="4" applyNumberFormat="1" applyFont="1" applyFill="1" applyBorder="1" applyAlignment="1">
      <alignment vertical="center" wrapText="1"/>
    </xf>
    <xf numFmtId="0" fontId="3" fillId="0" borderId="28" xfId="4" applyFont="1" applyFill="1" applyBorder="1" applyAlignment="1">
      <alignment horizontal="left" vertical="center" wrapText="1"/>
    </xf>
    <xf numFmtId="0" fontId="3" fillId="0" borderId="28" xfId="4" applyFont="1" applyBorder="1" applyAlignment="1">
      <alignment horizontal="left" wrapText="1"/>
    </xf>
    <xf numFmtId="3" fontId="8" fillId="0" borderId="3" xfId="4" applyNumberFormat="1" applyFont="1" applyBorder="1"/>
    <xf numFmtId="3" fontId="4" fillId="0" borderId="3" xfId="0" applyNumberFormat="1" applyFont="1" applyBorder="1"/>
    <xf numFmtId="3" fontId="8" fillId="0" borderId="3" xfId="0" applyNumberFormat="1" applyFont="1" applyBorder="1"/>
    <xf numFmtId="3" fontId="51" fillId="0" borderId="3" xfId="4" applyNumberFormat="1" applyFont="1" applyBorder="1"/>
    <xf numFmtId="3" fontId="4" fillId="0" borderId="3" xfId="4" applyNumberFormat="1" applyFont="1" applyBorder="1"/>
    <xf numFmtId="3" fontId="51" fillId="0" borderId="3" xfId="0" applyNumberFormat="1" applyFont="1" applyBorder="1"/>
    <xf numFmtId="0" fontId="12" fillId="7" borderId="8" xfId="2" applyFont="1" applyFill="1" applyBorder="1" applyAlignment="1">
      <alignment horizontal="center" vertical="center"/>
    </xf>
    <xf numFmtId="3" fontId="8" fillId="0" borderId="52" xfId="0" applyNumberFormat="1" applyFont="1" applyBorder="1"/>
    <xf numFmtId="3" fontId="4" fillId="0" borderId="52" xfId="0" applyNumberFormat="1" applyFont="1" applyBorder="1"/>
    <xf numFmtId="3" fontId="8" fillId="0" borderId="52" xfId="4" applyNumberFormat="1" applyFont="1" applyBorder="1"/>
    <xf numFmtId="3" fontId="4" fillId="0" borderId="52" xfId="4" applyNumberFormat="1" applyFont="1" applyBorder="1"/>
    <xf numFmtId="3" fontId="51" fillId="0" borderId="52" xfId="4" applyNumberFormat="1" applyFont="1" applyBorder="1"/>
    <xf numFmtId="3" fontId="4" fillId="0" borderId="53" xfId="0" applyNumberFormat="1" applyFont="1" applyBorder="1"/>
    <xf numFmtId="3" fontId="4" fillId="0" borderId="53" xfId="4" applyNumberFormat="1" applyFont="1" applyBorder="1"/>
    <xf numFmtId="3" fontId="8" fillId="0" borderId="53" xfId="4" applyNumberFormat="1" applyFont="1" applyBorder="1"/>
    <xf numFmtId="3" fontId="51" fillId="0" borderId="53" xfId="4" applyNumberFormat="1" applyFont="1" applyBorder="1"/>
    <xf numFmtId="3" fontId="4" fillId="0" borderId="0" xfId="0" applyNumberFormat="1" applyFont="1" applyBorder="1"/>
    <xf numFmtId="3" fontId="8" fillId="0" borderId="0" xfId="0" applyNumberFormat="1" applyFont="1" applyBorder="1"/>
    <xf numFmtId="0" fontId="8" fillId="0" borderId="21" xfId="0" applyFont="1" applyBorder="1" applyAlignment="1">
      <alignment horizontal="center"/>
    </xf>
    <xf numFmtId="3" fontId="4" fillId="0" borderId="9" xfId="0" applyNumberFormat="1" applyFont="1" applyBorder="1"/>
    <xf numFmtId="3" fontId="4" fillId="0" borderId="10" xfId="0" applyNumberFormat="1" applyFont="1" applyBorder="1"/>
    <xf numFmtId="3" fontId="4" fillId="0" borderId="8" xfId="0" applyNumberFormat="1" applyFont="1" applyBorder="1"/>
    <xf numFmtId="3" fontId="8" fillId="0" borderId="9" xfId="0" applyNumberFormat="1" applyFont="1" applyFill="1" applyBorder="1"/>
    <xf numFmtId="3" fontId="8" fillId="0" borderId="10" xfId="0" applyNumberFormat="1" applyFont="1" applyFill="1" applyBorder="1"/>
    <xf numFmtId="3" fontId="8" fillId="0" borderId="8" xfId="0" applyNumberFormat="1" applyFont="1" applyFill="1" applyBorder="1"/>
    <xf numFmtId="0" fontId="8" fillId="0" borderId="46" xfId="0" applyFont="1" applyBorder="1" applyAlignment="1">
      <alignment horizontal="center"/>
    </xf>
    <xf numFmtId="44" fontId="11" fillId="0" borderId="28" xfId="14" applyFont="1" applyFill="1" applyBorder="1" applyAlignment="1">
      <alignment vertical="center"/>
    </xf>
    <xf numFmtId="0" fontId="34" fillId="5" borderId="28" xfId="4" applyFont="1" applyFill="1" applyBorder="1" applyAlignment="1">
      <alignment wrapText="1"/>
    </xf>
    <xf numFmtId="44" fontId="34" fillId="5" borderId="28" xfId="14" applyFont="1" applyFill="1" applyBorder="1" applyAlignment="1">
      <alignment horizontal="left" vertical="center"/>
    </xf>
    <xf numFmtId="0" fontId="11" fillId="5" borderId="28" xfId="2" applyFont="1" applyFill="1" applyBorder="1" applyAlignment="1">
      <alignment horizontal="left" vertical="top"/>
    </xf>
    <xf numFmtId="0" fontId="11" fillId="5" borderId="23" xfId="2" applyFont="1" applyFill="1" applyBorder="1" applyAlignment="1">
      <alignment horizontal="left" vertical="center"/>
    </xf>
    <xf numFmtId="0" fontId="11" fillId="5" borderId="23" xfId="2" applyFont="1" applyFill="1" applyBorder="1" applyAlignment="1">
      <alignment horizontal="left" vertical="top"/>
    </xf>
    <xf numFmtId="44" fontId="34" fillId="5" borderId="23" xfId="14" applyFont="1" applyFill="1" applyBorder="1" applyAlignment="1">
      <alignment horizontal="left" vertical="center"/>
    </xf>
    <xf numFmtId="0" fontId="34" fillId="5" borderId="23" xfId="4" applyFont="1" applyFill="1" applyBorder="1" applyAlignment="1">
      <alignment wrapText="1"/>
    </xf>
    <xf numFmtId="0" fontId="11" fillId="5" borderId="23" xfId="2" applyFont="1" applyFill="1" applyBorder="1" applyAlignment="1">
      <alignment vertical="center"/>
    </xf>
    <xf numFmtId="0" fontId="12" fillId="5" borderId="19" xfId="2" applyFont="1" applyFill="1" applyBorder="1" applyAlignment="1">
      <alignment horizontal="left" vertical="center"/>
    </xf>
    <xf numFmtId="0" fontId="12" fillId="5" borderId="20" xfId="2" applyFont="1" applyFill="1" applyBorder="1" applyAlignment="1">
      <alignment horizontal="center" vertical="center" wrapText="1"/>
    </xf>
    <xf numFmtId="0" fontId="12" fillId="5" borderId="18" xfId="2" applyFont="1" applyFill="1" applyBorder="1" applyAlignment="1">
      <alignment horizontal="center" vertical="center" wrapText="1"/>
    </xf>
    <xf numFmtId="0" fontId="11" fillId="5" borderId="35" xfId="2" applyFont="1" applyFill="1" applyBorder="1" applyAlignment="1">
      <alignment horizontal="left" vertical="center"/>
    </xf>
    <xf numFmtId="0" fontId="11" fillId="5" borderId="35" xfId="2" applyFont="1" applyFill="1" applyBorder="1" applyAlignment="1">
      <alignment horizontal="left" vertical="top"/>
    </xf>
    <xf numFmtId="44" fontId="34" fillId="5" borderId="35" xfId="14" applyFont="1" applyFill="1" applyBorder="1" applyAlignment="1">
      <alignment horizontal="left" vertical="center"/>
    </xf>
    <xf numFmtId="0" fontId="34" fillId="5" borderId="35" xfId="4" applyFont="1" applyFill="1" applyBorder="1" applyAlignment="1">
      <alignment wrapText="1"/>
    </xf>
    <xf numFmtId="0" fontId="11" fillId="5" borderId="35" xfId="2" applyFont="1" applyFill="1" applyBorder="1" applyAlignment="1">
      <alignment vertical="center"/>
    </xf>
    <xf numFmtId="0" fontId="11" fillId="0" borderId="16" xfId="2" applyFont="1" applyFill="1" applyBorder="1" applyAlignment="1">
      <alignment horizontal="left" vertical="center" wrapText="1"/>
    </xf>
    <xf numFmtId="0" fontId="11" fillId="0" borderId="16" xfId="2" applyFont="1" applyFill="1" applyBorder="1" applyAlignment="1">
      <alignment horizontal="left" vertical="top" wrapText="1"/>
    </xf>
    <xf numFmtId="165" fontId="11" fillId="0" borderId="16" xfId="11" applyFont="1" applyFill="1" applyBorder="1" applyAlignment="1">
      <alignment horizontal="left" vertical="center" wrapText="1"/>
    </xf>
    <xf numFmtId="0" fontId="12" fillId="0" borderId="16" xfId="0" applyFont="1" applyBorder="1" applyAlignment="1">
      <alignment wrapText="1"/>
    </xf>
    <xf numFmtId="0" fontId="12" fillId="0" borderId="16" xfId="2" applyFont="1" applyFill="1" applyBorder="1" applyAlignment="1">
      <alignment vertical="center" wrapText="1"/>
    </xf>
    <xf numFmtId="0" fontId="11" fillId="0" borderId="42" xfId="2" applyFont="1" applyFill="1" applyBorder="1" applyAlignment="1">
      <alignment vertical="center" wrapText="1"/>
    </xf>
    <xf numFmtId="0" fontId="12" fillId="0" borderId="41" xfId="2" applyFont="1" applyFill="1" applyBorder="1" applyAlignment="1">
      <alignment vertical="center" wrapText="1"/>
    </xf>
    <xf numFmtId="14" fontId="11" fillId="0" borderId="28" xfId="2" applyNumberFormat="1" applyFont="1" applyFill="1" applyBorder="1" applyAlignment="1">
      <alignment horizontal="left" vertical="center"/>
    </xf>
    <xf numFmtId="44" fontId="11" fillId="0" borderId="28" xfId="14" applyFont="1" applyFill="1" applyBorder="1" applyAlignment="1">
      <alignment horizontal="left" vertical="center"/>
    </xf>
    <xf numFmtId="0" fontId="11" fillId="0" borderId="28" xfId="0" applyFont="1" applyBorder="1" applyAlignment="1">
      <alignment horizontal="left" wrapText="1"/>
    </xf>
    <xf numFmtId="0" fontId="12" fillId="13" borderId="3" xfId="2" applyFont="1" applyFill="1" applyBorder="1" applyAlignment="1">
      <alignment horizontal="center" vertical="center"/>
    </xf>
    <xf numFmtId="0" fontId="12" fillId="7" borderId="12" xfId="2" applyFont="1" applyFill="1" applyBorder="1" applyAlignment="1">
      <alignment horizontal="center" vertical="center" wrapText="1"/>
    </xf>
    <xf numFmtId="15" fontId="12" fillId="7" borderId="12" xfId="2" applyNumberFormat="1" applyFont="1" applyFill="1" applyBorder="1" applyAlignment="1">
      <alignment horizontal="center" vertical="center"/>
    </xf>
    <xf numFmtId="0" fontId="11" fillId="0" borderId="28" xfId="4" applyFont="1" applyBorder="1"/>
    <xf numFmtId="0" fontId="11" fillId="0" borderId="28" xfId="2" applyFont="1" applyBorder="1" applyAlignment="1">
      <alignment horizontal="left" vertical="center"/>
    </xf>
    <xf numFmtId="0" fontId="11" fillId="0" borderId="28" xfId="2" applyFont="1" applyBorder="1" applyAlignment="1">
      <alignment horizontal="right" vertical="center"/>
    </xf>
    <xf numFmtId="44" fontId="11" fillId="0" borderId="28" xfId="14" applyFont="1" applyBorder="1" applyAlignment="1">
      <alignment horizontal="right" vertical="center"/>
    </xf>
    <xf numFmtId="44" fontId="11" fillId="0" borderId="28" xfId="14" applyFont="1" applyBorder="1"/>
    <xf numFmtId="0" fontId="11" fillId="0" borderId="28" xfId="4" applyFont="1" applyBorder="1" applyAlignment="1"/>
    <xf numFmtId="3" fontId="56" fillId="0" borderId="3" xfId="4" applyNumberFormat="1" applyFont="1" applyFill="1" applyBorder="1"/>
    <xf numFmtId="0" fontId="8" fillId="0" borderId="45" xfId="0" applyFont="1" applyBorder="1" applyAlignment="1">
      <alignment horizontal="center"/>
    </xf>
    <xf numFmtId="3" fontId="4" fillId="0" borderId="48" xfId="0" applyNumberFormat="1" applyFont="1" applyBorder="1"/>
    <xf numFmtId="3" fontId="4" fillId="0" borderId="72" xfId="0" applyNumberFormat="1" applyFont="1" applyBorder="1"/>
    <xf numFmtId="3" fontId="8" fillId="0" borderId="11" xfId="0" applyNumberFormat="1" applyFont="1" applyFill="1" applyBorder="1"/>
    <xf numFmtId="0" fontId="12" fillId="7" borderId="19" xfId="2" applyFont="1" applyFill="1" applyBorder="1" applyAlignment="1">
      <alignment horizontal="center" vertical="center"/>
    </xf>
    <xf numFmtId="0" fontId="8" fillId="0" borderId="6" xfId="0" applyFont="1" applyBorder="1" applyAlignment="1">
      <alignment horizontal="center"/>
    </xf>
    <xf numFmtId="181" fontId="4" fillId="0" borderId="53" xfId="4" applyNumberFormat="1" applyFont="1" applyBorder="1"/>
    <xf numFmtId="167" fontId="4" fillId="0" borderId="3" xfId="13" applyNumberFormat="1" applyFont="1" applyBorder="1"/>
    <xf numFmtId="3" fontId="4" fillId="0" borderId="47" xfId="0" applyNumberFormat="1" applyFont="1" applyBorder="1"/>
    <xf numFmtId="3" fontId="4" fillId="0" borderId="13" xfId="0" applyNumberFormat="1" applyFont="1" applyBorder="1"/>
    <xf numFmtId="3" fontId="4" fillId="0" borderId="54" xfId="0" applyNumberFormat="1" applyFont="1" applyBorder="1"/>
    <xf numFmtId="3" fontId="4" fillId="0" borderId="7" xfId="0" applyNumberFormat="1" applyFont="1" applyBorder="1"/>
    <xf numFmtId="3" fontId="56" fillId="0" borderId="52" xfId="4" applyNumberFormat="1" applyFont="1" applyFill="1" applyBorder="1"/>
    <xf numFmtId="3" fontId="8" fillId="0" borderId="53" xfId="0" applyNumberFormat="1" applyFont="1" applyBorder="1"/>
    <xf numFmtId="0" fontId="8" fillId="0" borderId="111" xfId="0" applyFont="1" applyBorder="1" applyAlignment="1">
      <alignment horizontal="center"/>
    </xf>
    <xf numFmtId="3" fontId="51" fillId="0" borderId="52" xfId="0" applyNumberFormat="1" applyFont="1" applyBorder="1"/>
    <xf numFmtId="0" fontId="8" fillId="0" borderId="51" xfId="0" applyFont="1" applyBorder="1" applyAlignment="1">
      <alignment horizontal="center"/>
    </xf>
    <xf numFmtId="3" fontId="56" fillId="0" borderId="53" xfId="4" applyNumberFormat="1" applyFont="1" applyFill="1" applyBorder="1"/>
    <xf numFmtId="3" fontId="51" fillId="0" borderId="53" xfId="0" applyNumberFormat="1" applyFont="1" applyBorder="1"/>
    <xf numFmtId="167" fontId="11" fillId="0" borderId="1" xfId="5" applyNumberFormat="1" applyFont="1" applyBorder="1"/>
    <xf numFmtId="164" fontId="11" fillId="3" borderId="40" xfId="5" applyNumberFormat="1" applyFont="1" applyFill="1" applyBorder="1"/>
    <xf numFmtId="167" fontId="11" fillId="0" borderId="9" xfId="5" applyNumberFormat="1" applyFont="1" applyBorder="1"/>
    <xf numFmtId="167" fontId="11" fillId="0" borderId="48" xfId="5" applyNumberFormat="1" applyFont="1" applyBorder="1"/>
    <xf numFmtId="167" fontId="11" fillId="0" borderId="38" xfId="5" applyNumberFormat="1" applyFont="1" applyBorder="1"/>
    <xf numFmtId="0" fontId="11" fillId="5" borderId="22" xfId="2" applyFont="1" applyFill="1" applyBorder="1" applyAlignment="1">
      <alignment vertical="center" wrapText="1"/>
    </xf>
    <xf numFmtId="0" fontId="11" fillId="0" borderId="25" xfId="2" applyFont="1" applyFill="1" applyBorder="1" applyAlignment="1">
      <alignment vertical="center" wrapText="1"/>
    </xf>
    <xf numFmtId="0" fontId="11" fillId="5" borderId="26" xfId="2" applyFont="1" applyFill="1" applyBorder="1" applyAlignment="1">
      <alignment vertical="center" wrapText="1"/>
    </xf>
    <xf numFmtId="0" fontId="11" fillId="0" borderId="29" xfId="2" applyFont="1" applyFill="1" applyBorder="1" applyAlignment="1">
      <alignment vertical="center" wrapText="1"/>
    </xf>
    <xf numFmtId="0" fontId="11" fillId="5" borderId="34" xfId="2" applyFont="1" applyFill="1" applyBorder="1" applyAlignment="1">
      <alignment vertical="center" wrapText="1"/>
    </xf>
    <xf numFmtId="0" fontId="11" fillId="0" borderId="36" xfId="2" applyFont="1" applyFill="1" applyBorder="1" applyAlignment="1">
      <alignment vertical="center" wrapText="1"/>
    </xf>
    <xf numFmtId="0" fontId="11" fillId="0" borderId="26" xfId="2" applyFont="1" applyFill="1" applyBorder="1" applyAlignment="1">
      <alignment vertical="center" wrapText="1"/>
    </xf>
    <xf numFmtId="0" fontId="11" fillId="0" borderId="29" xfId="2" applyFont="1" applyFill="1" applyBorder="1" applyAlignment="1">
      <alignment vertical="center"/>
    </xf>
    <xf numFmtId="0" fontId="11" fillId="0" borderId="22" xfId="0" applyFont="1" applyBorder="1" applyAlignment="1">
      <alignment vertical="center" wrapText="1"/>
    </xf>
    <xf numFmtId="0" fontId="11" fillId="0" borderId="26" xfId="0" applyFont="1" applyBorder="1" applyAlignment="1">
      <alignment vertical="center" wrapText="1"/>
    </xf>
    <xf numFmtId="0" fontId="36" fillId="0" borderId="26" xfId="0" applyFont="1" applyBorder="1" applyAlignment="1">
      <alignment vertical="center" wrapText="1"/>
    </xf>
    <xf numFmtId="0" fontId="11" fillId="0" borderId="34" xfId="0" applyFont="1" applyBorder="1" applyAlignment="1">
      <alignment vertical="center" wrapText="1"/>
    </xf>
    <xf numFmtId="0" fontId="11" fillId="0" borderId="22" xfId="2" applyFont="1" applyFill="1" applyBorder="1" applyAlignment="1">
      <alignment horizontal="left" vertical="center" wrapText="1"/>
    </xf>
    <xf numFmtId="0" fontId="11" fillId="0" borderId="26" xfId="2" applyFont="1" applyFill="1" applyBorder="1" applyAlignment="1">
      <alignment horizontal="left" vertical="center" wrapText="1"/>
    </xf>
    <xf numFmtId="0" fontId="11" fillId="0" borderId="26" xfId="2" applyFont="1" applyFill="1" applyBorder="1" applyAlignment="1">
      <alignment horizontal="left" vertical="center"/>
    </xf>
    <xf numFmtId="0" fontId="11" fillId="0" borderId="34" xfId="2" applyFont="1" applyFill="1" applyBorder="1" applyAlignment="1">
      <alignment horizontal="left" vertical="center"/>
    </xf>
    <xf numFmtId="0" fontId="11" fillId="0" borderId="26" xfId="0" applyFont="1" applyBorder="1" applyAlignment="1">
      <alignment vertical="center"/>
    </xf>
    <xf numFmtId="0" fontId="12" fillId="11" borderId="26" xfId="2" applyFont="1" applyFill="1" applyBorder="1" applyAlignment="1">
      <alignment horizontal="left" vertical="center"/>
    </xf>
    <xf numFmtId="0" fontId="12" fillId="11" borderId="29" xfId="2" applyFont="1" applyFill="1" applyBorder="1" applyAlignment="1">
      <alignment horizontal="center" vertical="center" wrapText="1"/>
    </xf>
    <xf numFmtId="0" fontId="11" fillId="0" borderId="34" xfId="2" applyFont="1" applyFill="1" applyBorder="1" applyAlignment="1">
      <alignment horizontal="left" vertical="center" wrapText="1"/>
    </xf>
    <xf numFmtId="0" fontId="38" fillId="0" borderId="22" xfId="0" applyFont="1" applyBorder="1" applyAlignment="1">
      <alignment vertical="center" wrapText="1"/>
    </xf>
    <xf numFmtId="0" fontId="38" fillId="0" borderId="26" xfId="0" applyFont="1" applyBorder="1" applyAlignment="1">
      <alignment vertical="center" wrapText="1"/>
    </xf>
    <xf numFmtId="0" fontId="35" fillId="0" borderId="26" xfId="0" applyFont="1" applyBorder="1" applyAlignment="1">
      <alignment vertical="center" wrapText="1"/>
    </xf>
    <xf numFmtId="0" fontId="35" fillId="10" borderId="26" xfId="0" applyFont="1" applyFill="1" applyBorder="1" applyAlignment="1">
      <alignment vertical="center" wrapText="1"/>
    </xf>
    <xf numFmtId="0" fontId="35" fillId="0" borderId="34" xfId="0" applyFont="1" applyBorder="1" applyAlignment="1">
      <alignment vertical="center" wrapText="1"/>
    </xf>
    <xf numFmtId="0" fontId="11" fillId="0" borderId="26" xfId="0" applyFont="1" applyBorder="1" applyAlignment="1">
      <alignment horizontal="justify" vertical="center"/>
    </xf>
    <xf numFmtId="0" fontId="11" fillId="0" borderId="26" xfId="0" applyFont="1" applyBorder="1" applyAlignment="1">
      <alignment wrapText="1"/>
    </xf>
    <xf numFmtId="0" fontId="11" fillId="0" borderId="22" xfId="4" applyFont="1" applyBorder="1" applyAlignment="1" applyProtection="1">
      <alignment vertical="center" wrapText="1"/>
      <protection locked="0"/>
    </xf>
    <xf numFmtId="0" fontId="11" fillId="0" borderId="26" xfId="4" applyFont="1" applyBorder="1" applyAlignment="1" applyProtection="1">
      <alignment vertical="center" wrapText="1"/>
      <protection locked="0"/>
    </xf>
    <xf numFmtId="0" fontId="11" fillId="0" borderId="34" xfId="4" applyFont="1" applyBorder="1" applyAlignment="1" applyProtection="1">
      <alignment vertical="center" wrapText="1"/>
      <protection locked="0"/>
    </xf>
    <xf numFmtId="0" fontId="38" fillId="12" borderId="22" xfId="0" applyNumberFormat="1" applyFont="1" applyFill="1" applyBorder="1" applyAlignment="1" applyProtection="1">
      <alignment horizontal="left" vertical="top" wrapText="1"/>
      <protection locked="0"/>
    </xf>
    <xf numFmtId="0" fontId="38" fillId="12" borderId="26" xfId="0" applyNumberFormat="1" applyFont="1" applyFill="1" applyBorder="1" applyAlignment="1" applyProtection="1">
      <alignment horizontal="left" vertical="top" wrapText="1"/>
      <protection locked="0"/>
    </xf>
    <xf numFmtId="0" fontId="38" fillId="12" borderId="34" xfId="0" applyNumberFormat="1" applyFont="1" applyFill="1" applyBorder="1" applyAlignment="1" applyProtection="1">
      <alignment horizontal="left" vertical="top" wrapText="1"/>
      <protection locked="0"/>
    </xf>
    <xf numFmtId="0" fontId="11" fillId="0" borderId="22" xfId="0" applyFont="1" applyBorder="1" applyAlignment="1">
      <alignment horizontal="justify" vertical="center" wrapText="1"/>
    </xf>
    <xf numFmtId="0" fontId="11" fillId="0" borderId="26" xfId="0" applyFont="1" applyBorder="1" applyAlignment="1">
      <alignment horizontal="justify" vertical="center" wrapText="1"/>
    </xf>
    <xf numFmtId="0" fontId="11" fillId="0" borderId="22" xfId="2" applyFont="1" applyFill="1" applyBorder="1" applyAlignment="1">
      <alignment horizontal="left" vertical="center"/>
    </xf>
    <xf numFmtId="0" fontId="11" fillId="0" borderId="22" xfId="4" applyFont="1" applyBorder="1" applyProtection="1">
      <protection locked="0"/>
    </xf>
    <xf numFmtId="0" fontId="11" fillId="0" borderId="26" xfId="4" applyFont="1" applyBorder="1" applyProtection="1">
      <protection locked="0"/>
    </xf>
    <xf numFmtId="0" fontId="11" fillId="0" borderId="26" xfId="0" applyFont="1" applyBorder="1" applyAlignment="1" applyProtection="1">
      <protection locked="0"/>
    </xf>
    <xf numFmtId="0" fontId="11" fillId="0" borderId="26" xfId="4" applyFont="1" applyBorder="1" applyAlignment="1" applyProtection="1">
      <alignment wrapText="1"/>
      <protection locked="0"/>
    </xf>
    <xf numFmtId="0" fontId="11" fillId="0" borderId="26" xfId="0" applyFont="1" applyBorder="1" applyAlignment="1" applyProtection="1">
      <alignment wrapText="1"/>
      <protection locked="0"/>
    </xf>
    <xf numFmtId="0" fontId="11" fillId="0" borderId="34" xfId="0" applyFont="1" applyBorder="1" applyAlignment="1" applyProtection="1">
      <alignment wrapText="1"/>
      <protection locked="0"/>
    </xf>
    <xf numFmtId="0" fontId="11" fillId="0" borderId="22" xfId="0" applyFont="1" applyBorder="1" applyAlignment="1" applyProtection="1">
      <alignment horizontal="left" vertical="center" wrapText="1"/>
      <protection locked="0"/>
    </xf>
    <xf numFmtId="0" fontId="11" fillId="0" borderId="34" xfId="0" applyFont="1" applyBorder="1" applyAlignment="1" applyProtection="1">
      <alignment horizontal="left" vertical="center" wrapText="1"/>
      <protection locked="0"/>
    </xf>
    <xf numFmtId="0" fontId="11" fillId="0" borderId="22" xfId="4" applyFont="1" applyBorder="1" applyAlignment="1" applyProtection="1">
      <alignment horizontal="left" wrapText="1"/>
      <protection locked="0"/>
    </xf>
    <xf numFmtId="0" fontId="11" fillId="0" borderId="26" xfId="4" applyFont="1" applyBorder="1" applyAlignment="1" applyProtection="1">
      <alignment horizontal="left" wrapText="1"/>
      <protection locked="0"/>
    </xf>
    <xf numFmtId="0" fontId="34" fillId="0" borderId="26" xfId="6" applyFont="1" applyBorder="1" applyAlignment="1" applyProtection="1">
      <alignment wrapText="1"/>
      <protection locked="0"/>
    </xf>
    <xf numFmtId="0" fontId="11" fillId="0" borderId="26" xfId="4" applyFont="1" applyBorder="1" applyAlignment="1">
      <alignment wrapText="1"/>
    </xf>
    <xf numFmtId="0" fontId="11" fillId="0" borderId="34" xfId="4" applyFont="1" applyBorder="1" applyAlignment="1">
      <alignment wrapText="1"/>
    </xf>
    <xf numFmtId="0" fontId="11" fillId="0" borderId="22" xfId="4" applyFont="1" applyBorder="1" applyAlignment="1" applyProtection="1">
      <alignment wrapText="1"/>
      <protection locked="0"/>
    </xf>
    <xf numFmtId="0" fontId="11" fillId="0" borderId="25" xfId="2" applyFont="1" applyBorder="1" applyAlignment="1">
      <alignment vertical="center" wrapText="1"/>
    </xf>
    <xf numFmtId="0" fontId="11" fillId="0" borderId="34" xfId="4" applyFont="1" applyBorder="1" applyAlignment="1" applyProtection="1">
      <alignment wrapText="1"/>
      <protection locked="0"/>
    </xf>
    <xf numFmtId="0" fontId="11" fillId="0" borderId="25" xfId="2" applyFont="1" applyFill="1" applyBorder="1" applyAlignment="1">
      <alignment horizontal="left" vertical="center" wrapText="1"/>
    </xf>
    <xf numFmtId="0" fontId="11" fillId="0" borderId="25" xfId="2" applyFont="1" applyFill="1" applyBorder="1" applyAlignment="1">
      <alignment vertical="center"/>
    </xf>
    <xf numFmtId="0" fontId="11" fillId="0" borderId="26" xfId="2" applyFont="1" applyBorder="1" applyAlignment="1">
      <alignment horizontal="left" vertical="center" wrapText="1"/>
    </xf>
    <xf numFmtId="0" fontId="11" fillId="0" borderId="34" xfId="2" applyFont="1" applyBorder="1" applyAlignment="1">
      <alignment horizontal="left" vertical="center" wrapText="1"/>
    </xf>
    <xf numFmtId="0" fontId="11" fillId="0" borderId="26" xfId="4" applyFont="1" applyBorder="1" applyAlignment="1">
      <alignment vertical="center" wrapText="1"/>
    </xf>
    <xf numFmtId="0" fontId="12" fillId="0" borderId="29" xfId="2" applyFont="1" applyFill="1" applyBorder="1" applyAlignment="1">
      <alignment vertical="center" wrapText="1"/>
    </xf>
    <xf numFmtId="49" fontId="11" fillId="0" borderId="26" xfId="1" applyNumberFormat="1" applyFont="1" applyFill="1" applyBorder="1" applyAlignment="1">
      <alignment horizontal="left" vertical="center" wrapText="1"/>
    </xf>
    <xf numFmtId="21" fontId="12" fillId="0" borderId="29" xfId="2" applyNumberFormat="1" applyFont="1" applyFill="1" applyBorder="1" applyAlignment="1">
      <alignment vertical="center" wrapText="1"/>
    </xf>
    <xf numFmtId="0" fontId="11" fillId="5" borderId="26" xfId="2" applyFont="1" applyFill="1" applyBorder="1" applyAlignment="1">
      <alignment horizontal="left" vertical="center"/>
    </xf>
    <xf numFmtId="0" fontId="16" fillId="5" borderId="26" xfId="4" applyFont="1" applyFill="1" applyBorder="1" applyAlignment="1">
      <alignment horizontal="left" vertical="center" wrapText="1"/>
    </xf>
    <xf numFmtId="0" fontId="11" fillId="5" borderId="26" xfId="2" applyFont="1" applyFill="1" applyBorder="1" applyAlignment="1">
      <alignment horizontal="left" vertical="center" wrapText="1"/>
    </xf>
    <xf numFmtId="0" fontId="11" fillId="0" borderId="0" xfId="4" applyFont="1" applyBorder="1" applyAlignment="1">
      <alignment wrapText="1"/>
    </xf>
    <xf numFmtId="0" fontId="11" fillId="5" borderId="29" xfId="2" applyFont="1" applyFill="1" applyBorder="1" applyAlignment="1">
      <alignment horizontal="center" vertical="center" wrapText="1"/>
    </xf>
    <xf numFmtId="3" fontId="11" fillId="0" borderId="26" xfId="2" applyNumberFormat="1" applyFont="1" applyFill="1" applyBorder="1" applyAlignment="1">
      <alignment horizontal="left" vertical="center" wrapText="1"/>
    </xf>
    <xf numFmtId="0" fontId="11" fillId="0" borderId="26" xfId="2" applyFont="1" applyFill="1" applyBorder="1" applyAlignment="1">
      <alignment horizontal="center" vertical="center" wrapText="1"/>
    </xf>
    <xf numFmtId="0" fontId="4" fillId="0" borderId="26" xfId="2" applyFont="1" applyFill="1" applyBorder="1" applyAlignment="1">
      <alignment horizontal="left" vertical="center" wrapText="1"/>
    </xf>
    <xf numFmtId="0" fontId="4" fillId="0" borderId="29" xfId="2" applyFont="1" applyFill="1" applyBorder="1" applyAlignment="1">
      <alignment vertical="center"/>
    </xf>
    <xf numFmtId="0" fontId="4" fillId="0" borderId="26" xfId="2" applyFont="1" applyFill="1" applyBorder="1" applyAlignment="1">
      <alignment vertical="center" wrapText="1"/>
    </xf>
    <xf numFmtId="0" fontId="4" fillId="0" borderId="29" xfId="2" applyFont="1" applyFill="1" applyBorder="1" applyAlignment="1">
      <alignment vertical="center" wrapText="1"/>
    </xf>
    <xf numFmtId="0" fontId="11" fillId="0" borderId="26" xfId="2" applyFont="1" applyBorder="1" applyAlignment="1">
      <alignment horizontal="left" vertical="center"/>
    </xf>
    <xf numFmtId="0" fontId="4" fillId="0" borderId="26" xfId="0" applyFont="1" applyBorder="1" applyAlignment="1">
      <alignment horizontal="left" vertical="center" wrapText="1"/>
    </xf>
    <xf numFmtId="0" fontId="39" fillId="0" borderId="29" xfId="0" applyFont="1" applyBorder="1" applyAlignment="1">
      <alignment vertical="center" wrapText="1"/>
    </xf>
    <xf numFmtId="0" fontId="40" fillId="9" borderId="26" xfId="0" applyFont="1" applyFill="1" applyBorder="1" applyAlignment="1">
      <alignment horizontal="left" vertical="center" wrapText="1"/>
    </xf>
    <xf numFmtId="0" fontId="4" fillId="0" borderId="26" xfId="2" applyFont="1" applyBorder="1" applyAlignment="1">
      <alignment horizontal="left" vertical="center" wrapText="1"/>
    </xf>
    <xf numFmtId="0" fontId="39" fillId="5" borderId="26" xfId="0" applyFont="1" applyFill="1" applyBorder="1" applyAlignment="1">
      <alignment horizontal="left" vertical="center" wrapText="1"/>
    </xf>
    <xf numFmtId="0" fontId="41" fillId="5" borderId="26" xfId="0" applyFont="1" applyFill="1" applyBorder="1" applyAlignment="1">
      <alignment horizontal="left" vertical="center" wrapText="1"/>
    </xf>
    <xf numFmtId="0" fontId="34" fillId="0" borderId="26" xfId="17" applyFont="1" applyBorder="1" applyAlignment="1" applyProtection="1">
      <alignment wrapText="1"/>
      <protection locked="0"/>
    </xf>
    <xf numFmtId="0" fontId="11" fillId="0" borderId="29" xfId="2" applyFont="1" applyBorder="1" applyAlignment="1">
      <alignment vertical="center" wrapText="1"/>
    </xf>
    <xf numFmtId="0" fontId="12" fillId="2" borderId="29" xfId="2" applyFont="1" applyFill="1" applyBorder="1" applyAlignment="1">
      <alignment vertical="center" wrapText="1"/>
    </xf>
    <xf numFmtId="0" fontId="11" fillId="0" borderId="29" xfId="4" applyFont="1" applyBorder="1" applyAlignment="1">
      <alignment wrapText="1"/>
    </xf>
    <xf numFmtId="0" fontId="11" fillId="0" borderId="26" xfId="4" applyFont="1" applyBorder="1" applyAlignment="1">
      <alignment horizontal="left" wrapText="1"/>
    </xf>
    <xf numFmtId="0" fontId="11" fillId="0" borderId="29" xfId="2" applyFont="1" applyBorder="1" applyAlignment="1">
      <alignment vertical="center"/>
    </xf>
    <xf numFmtId="0" fontId="11" fillId="0" borderId="26" xfId="4" applyFont="1" applyBorder="1" applyAlignment="1">
      <alignment vertical="center"/>
    </xf>
    <xf numFmtId="0" fontId="11" fillId="0" borderId="29" xfId="4" applyFont="1" applyBorder="1"/>
    <xf numFmtId="0" fontId="11" fillId="0" borderId="37" xfId="4" applyFont="1" applyBorder="1" applyAlignment="1">
      <alignment vertical="center"/>
    </xf>
    <xf numFmtId="0" fontId="11" fillId="0" borderId="39" xfId="4" applyFont="1" applyBorder="1" applyAlignment="1">
      <alignment vertical="center"/>
    </xf>
    <xf numFmtId="0" fontId="11" fillId="0" borderId="39" xfId="2" applyFont="1" applyFill="1" applyBorder="1" applyAlignment="1">
      <alignment horizontal="left" vertical="top"/>
    </xf>
    <xf numFmtId="4" fontId="11" fillId="0" borderId="39" xfId="2" applyNumberFormat="1" applyFont="1" applyFill="1" applyBorder="1" applyAlignment="1">
      <alignment horizontal="right" vertical="center"/>
    </xf>
    <xf numFmtId="0" fontId="11" fillId="0" borderId="39" xfId="2" applyFont="1" applyFill="1" applyBorder="1" applyAlignment="1">
      <alignment horizontal="left" vertical="center"/>
    </xf>
    <xf numFmtId="0" fontId="11" fillId="0" borderId="38" xfId="2" applyFont="1" applyFill="1" applyBorder="1" applyAlignment="1">
      <alignment vertical="center"/>
    </xf>
    <xf numFmtId="0" fontId="38" fillId="0" borderId="3" xfId="0" applyFont="1" applyBorder="1" applyAlignment="1">
      <alignment vertical="center" wrapText="1"/>
    </xf>
    <xf numFmtId="0" fontId="3" fillId="5" borderId="1" xfId="0" applyFont="1" applyFill="1" applyBorder="1" applyAlignment="1">
      <alignment horizontal="left" vertical="center" wrapText="1"/>
    </xf>
    <xf numFmtId="0" fontId="3" fillId="5" borderId="66" xfId="0" applyFont="1" applyFill="1" applyBorder="1" applyAlignment="1">
      <alignment horizontal="left" vertical="center" wrapText="1"/>
    </xf>
    <xf numFmtId="0" fontId="3" fillId="5" borderId="27" xfId="0" applyFont="1" applyFill="1" applyBorder="1" applyAlignment="1">
      <alignment horizontal="left" vertical="center" wrapText="1"/>
    </xf>
    <xf numFmtId="0" fontId="29" fillId="0" borderId="28" xfId="4" applyFont="1" applyFill="1" applyBorder="1" applyAlignment="1">
      <alignment horizontal="center" vertical="center" wrapText="1"/>
    </xf>
    <xf numFmtId="0" fontId="29" fillId="0" borderId="28" xfId="4" applyFont="1" applyFill="1" applyBorder="1" applyAlignment="1">
      <alignment horizontal="center" vertical="center"/>
    </xf>
    <xf numFmtId="0" fontId="29" fillId="0" borderId="28" xfId="4" applyFont="1" applyFill="1" applyBorder="1" applyAlignment="1">
      <alignment vertical="center" wrapText="1"/>
    </xf>
    <xf numFmtId="0" fontId="8" fillId="7" borderId="33" xfId="0" applyFont="1" applyFill="1" applyBorder="1" applyAlignment="1">
      <alignment horizontal="center" vertical="center" wrapText="1"/>
    </xf>
    <xf numFmtId="0" fontId="8" fillId="7" borderId="63" xfId="0" applyFont="1" applyFill="1" applyBorder="1" applyAlignment="1">
      <alignment horizontal="center" vertical="center" wrapText="1"/>
    </xf>
    <xf numFmtId="0" fontId="8" fillId="7" borderId="56" xfId="0" applyFont="1" applyFill="1" applyBorder="1" applyAlignment="1">
      <alignment horizontal="center" vertical="center" wrapText="1"/>
    </xf>
    <xf numFmtId="0" fontId="8" fillId="7" borderId="22" xfId="0" applyFont="1" applyFill="1" applyBorder="1" applyAlignment="1">
      <alignment horizontal="center" vertical="center" wrapText="1"/>
    </xf>
    <xf numFmtId="0" fontId="8" fillId="7" borderId="46" xfId="0" applyFont="1" applyFill="1" applyBorder="1" applyAlignment="1">
      <alignment horizontal="center" vertical="center" wrapText="1"/>
    </xf>
    <xf numFmtId="0" fontId="8" fillId="7" borderId="23" xfId="0" applyFont="1" applyFill="1" applyBorder="1" applyAlignment="1">
      <alignment horizontal="center" vertical="center" wrapText="1"/>
    </xf>
    <xf numFmtId="49" fontId="8" fillId="7" borderId="6" xfId="3" applyFont="1" applyFill="1" applyBorder="1" applyAlignment="1">
      <alignment horizontal="center" vertical="center" wrapText="1"/>
    </xf>
    <xf numFmtId="49" fontId="8" fillId="7" borderId="21" xfId="3" applyFont="1" applyFill="1" applyBorder="1" applyAlignment="1">
      <alignment horizontal="center" vertical="center" wrapText="1"/>
    </xf>
    <xf numFmtId="49" fontId="8" fillId="7" borderId="12" xfId="3" applyNumberFormat="1" applyFont="1" applyFill="1" applyBorder="1" applyAlignment="1" applyProtection="1">
      <alignment horizontal="center" vertical="center" wrapText="1"/>
    </xf>
    <xf numFmtId="49" fontId="8" fillId="7" borderId="11" xfId="3" applyNumberFormat="1" applyFont="1" applyFill="1" applyBorder="1" applyAlignment="1" applyProtection="1">
      <alignment horizontal="center" vertical="center" wrapText="1"/>
    </xf>
    <xf numFmtId="49" fontId="8" fillId="7" borderId="45" xfId="3" applyFont="1" applyFill="1" applyBorder="1" applyAlignment="1">
      <alignment horizontal="center" vertical="center" wrapText="1"/>
    </xf>
    <xf numFmtId="0" fontId="8" fillId="7" borderId="19" xfId="0" applyFont="1" applyFill="1" applyBorder="1" applyAlignment="1">
      <alignment horizontal="center" wrapText="1"/>
    </xf>
    <xf numFmtId="0" fontId="8" fillId="7" borderId="20" xfId="0" applyFont="1" applyFill="1" applyBorder="1" applyAlignment="1">
      <alignment horizontal="center" wrapText="1"/>
    </xf>
    <xf numFmtId="0" fontId="8" fillId="7" borderId="18" xfId="0" applyFont="1" applyFill="1" applyBorder="1" applyAlignment="1">
      <alignment horizontal="center" wrapText="1"/>
    </xf>
    <xf numFmtId="0" fontId="8" fillId="7" borderId="6" xfId="0" applyFont="1" applyFill="1" applyBorder="1" applyAlignment="1">
      <alignment horizontal="center" wrapText="1"/>
    </xf>
    <xf numFmtId="0" fontId="8" fillId="7" borderId="45" xfId="0" applyFont="1" applyFill="1" applyBorder="1" applyAlignment="1">
      <alignment horizontal="center" wrapText="1"/>
    </xf>
    <xf numFmtId="0" fontId="8" fillId="7" borderId="12" xfId="0" applyFont="1" applyFill="1" applyBorder="1" applyAlignment="1">
      <alignment horizontal="center" vertical="center"/>
    </xf>
    <xf numFmtId="0" fontId="8" fillId="7" borderId="11" xfId="0" applyFont="1" applyFill="1" applyBorder="1" applyAlignment="1">
      <alignment horizontal="center" vertical="center"/>
    </xf>
    <xf numFmtId="0" fontId="20" fillId="7" borderId="19" xfId="0" applyFont="1" applyFill="1" applyBorder="1" applyAlignment="1">
      <alignment horizontal="center" vertical="center"/>
    </xf>
    <xf numFmtId="0" fontId="20" fillId="7" borderId="18" xfId="0" applyFont="1" applyFill="1" applyBorder="1" applyAlignment="1">
      <alignment horizontal="center" vertical="center"/>
    </xf>
    <xf numFmtId="0" fontId="20" fillId="7" borderId="5" xfId="0" applyFont="1" applyFill="1" applyBorder="1" applyAlignment="1">
      <alignment horizontal="center" vertical="center"/>
    </xf>
    <xf numFmtId="0" fontId="20" fillId="7" borderId="20" xfId="0" applyFont="1" applyFill="1" applyBorder="1" applyAlignment="1">
      <alignment horizontal="center" vertical="center"/>
    </xf>
    <xf numFmtId="0" fontId="20" fillId="7" borderId="11" xfId="0" applyFont="1" applyFill="1" applyBorder="1" applyAlignment="1">
      <alignment horizontal="center" vertical="center"/>
    </xf>
    <xf numFmtId="49" fontId="12" fillId="7" borderId="32" xfId="3" applyFont="1" applyFill="1" applyBorder="1" applyAlignment="1">
      <alignment horizontal="center" vertical="center" wrapText="1"/>
    </xf>
    <xf numFmtId="49" fontId="12" fillId="7" borderId="31" xfId="3" applyFont="1" applyFill="1" applyBorder="1" applyAlignment="1">
      <alignment horizontal="center" vertical="center" wrapText="1"/>
    </xf>
    <xf numFmtId="0" fontId="12" fillId="7" borderId="12" xfId="0" applyFont="1" applyFill="1" applyBorder="1" applyAlignment="1">
      <alignment horizontal="center" vertical="center"/>
    </xf>
    <xf numFmtId="0" fontId="12" fillId="7" borderId="11" xfId="0" applyFont="1" applyFill="1" applyBorder="1" applyAlignment="1">
      <alignment horizontal="center" vertical="center"/>
    </xf>
    <xf numFmtId="49" fontId="12" fillId="7" borderId="30" xfId="3" applyFont="1" applyFill="1" applyBorder="1" applyAlignment="1">
      <alignment horizontal="center" vertical="center"/>
    </xf>
    <xf numFmtId="49" fontId="12" fillId="7" borderId="32" xfId="3" applyFont="1" applyFill="1" applyBorder="1" applyAlignment="1">
      <alignment horizontal="center" vertical="center"/>
    </xf>
    <xf numFmtId="49" fontId="12" fillId="7" borderId="31" xfId="3" applyFont="1" applyFill="1" applyBorder="1" applyAlignment="1">
      <alignment horizontal="center" vertical="center"/>
    </xf>
    <xf numFmtId="49" fontId="12" fillId="7" borderId="30" xfId="3" applyFont="1" applyFill="1" applyBorder="1" applyAlignment="1">
      <alignment horizontal="center" vertical="center" wrapText="1"/>
    </xf>
    <xf numFmtId="49" fontId="12" fillId="7" borderId="63" xfId="3" applyFont="1" applyFill="1" applyBorder="1" applyAlignment="1">
      <alignment horizontal="center" vertical="center" wrapText="1"/>
    </xf>
    <xf numFmtId="0" fontId="12" fillId="7" borderId="12" xfId="0" applyFont="1" applyFill="1" applyBorder="1" applyAlignment="1">
      <alignment horizontal="center" vertical="center" wrapText="1"/>
    </xf>
    <xf numFmtId="0" fontId="12" fillId="7" borderId="11" xfId="0" applyFont="1" applyFill="1" applyBorder="1" applyAlignment="1">
      <alignment horizontal="center" vertical="center" wrapText="1"/>
    </xf>
    <xf numFmtId="0" fontId="8" fillId="7" borderId="60" xfId="2" applyFont="1" applyFill="1" applyBorder="1" applyAlignment="1">
      <alignment horizontal="center" vertical="center"/>
    </xf>
    <xf numFmtId="0" fontId="8" fillId="7" borderId="64" xfId="2" applyFont="1" applyFill="1" applyBorder="1" applyAlignment="1">
      <alignment horizontal="center" vertical="center"/>
    </xf>
    <xf numFmtId="0" fontId="8" fillId="7" borderId="57" xfId="2" applyFont="1" applyFill="1" applyBorder="1" applyAlignment="1">
      <alignment horizontal="center" vertical="center"/>
    </xf>
    <xf numFmtId="0" fontId="12" fillId="7" borderId="45" xfId="2" applyFont="1" applyFill="1" applyBorder="1" applyAlignment="1">
      <alignment horizontal="center" vertical="center"/>
    </xf>
    <xf numFmtId="0" fontId="12" fillId="7" borderId="19" xfId="2" applyFont="1" applyFill="1" applyBorder="1" applyAlignment="1">
      <alignment horizontal="center" vertical="center"/>
    </xf>
    <xf numFmtId="0" fontId="12" fillId="7" borderId="18" xfId="2" applyFont="1" applyFill="1" applyBorder="1" applyAlignment="1">
      <alignment horizontal="center" vertical="center"/>
    </xf>
    <xf numFmtId="0" fontId="12" fillId="7" borderId="20" xfId="2" applyFont="1" applyFill="1" applyBorder="1" applyAlignment="1">
      <alignment horizontal="center" vertical="center"/>
    </xf>
    <xf numFmtId="0" fontId="12" fillId="7" borderId="19" xfId="0" applyFont="1" applyFill="1" applyBorder="1" applyAlignment="1">
      <alignment horizontal="center" wrapText="1"/>
    </xf>
    <xf numFmtId="0" fontId="12" fillId="7" borderId="18" xfId="0" applyFont="1" applyFill="1" applyBorder="1" applyAlignment="1">
      <alignment horizontal="center" wrapText="1"/>
    </xf>
    <xf numFmtId="0" fontId="12" fillId="7" borderId="14" xfId="0" applyFont="1" applyFill="1" applyBorder="1" applyAlignment="1">
      <alignment horizontal="center" vertical="center" wrapText="1"/>
    </xf>
    <xf numFmtId="0" fontId="11" fillId="7" borderId="11" xfId="0" applyFont="1" applyFill="1" applyBorder="1" applyAlignment="1">
      <alignment horizontal="center" vertical="center" wrapText="1"/>
    </xf>
    <xf numFmtId="0" fontId="12" fillId="7" borderId="20" xfId="0" applyFont="1" applyFill="1" applyBorder="1" applyAlignment="1">
      <alignment horizontal="center" vertical="center"/>
    </xf>
    <xf numFmtId="0" fontId="12" fillId="7" borderId="19" xfId="0" applyFont="1" applyFill="1" applyBorder="1" applyAlignment="1">
      <alignment horizontal="center" vertical="center"/>
    </xf>
    <xf numFmtId="0" fontId="12" fillId="7" borderId="18" xfId="0" applyFont="1" applyFill="1" applyBorder="1" applyAlignment="1">
      <alignment horizontal="center" vertical="center"/>
    </xf>
    <xf numFmtId="0" fontId="12" fillId="7" borderId="61" xfId="2" applyFont="1" applyFill="1" applyBorder="1" applyAlignment="1">
      <alignment horizontal="center" vertical="center" wrapText="1"/>
    </xf>
    <xf numFmtId="0" fontId="12" fillId="7" borderId="62" xfId="2" applyFont="1" applyFill="1" applyBorder="1" applyAlignment="1">
      <alignment horizontal="center" vertical="center" wrapText="1"/>
    </xf>
    <xf numFmtId="0" fontId="12" fillId="7" borderId="30" xfId="2" applyFont="1" applyFill="1" applyBorder="1" applyAlignment="1">
      <alignment horizontal="center" vertical="center" wrapText="1"/>
    </xf>
    <xf numFmtId="0" fontId="12" fillId="7" borderId="34" xfId="2" applyFont="1" applyFill="1" applyBorder="1" applyAlignment="1">
      <alignment horizontal="center" vertical="center" wrapText="1"/>
    </xf>
    <xf numFmtId="0" fontId="12" fillId="7" borderId="33" xfId="2" applyFont="1" applyFill="1" applyBorder="1" applyAlignment="1">
      <alignment horizontal="center" vertical="center" wrapText="1"/>
    </xf>
    <xf numFmtId="0" fontId="12" fillId="7" borderId="73" xfId="2" applyFont="1" applyFill="1" applyBorder="1" applyAlignment="1">
      <alignment horizontal="center" vertical="center" wrapText="1"/>
    </xf>
    <xf numFmtId="0" fontId="12" fillId="7" borderId="37" xfId="2" applyFont="1" applyFill="1" applyBorder="1" applyAlignment="1">
      <alignment horizontal="center" vertical="center" wrapText="1"/>
    </xf>
    <xf numFmtId="0" fontId="12" fillId="7" borderId="31" xfId="2" applyFont="1" applyFill="1" applyBorder="1" applyAlignment="1">
      <alignment horizontal="center" vertical="center" wrapText="1"/>
    </xf>
    <xf numFmtId="0" fontId="12" fillId="7" borderId="38" xfId="2" applyFont="1" applyFill="1" applyBorder="1" applyAlignment="1">
      <alignment horizontal="center" vertical="center" wrapText="1"/>
    </xf>
    <xf numFmtId="0" fontId="12" fillId="7" borderId="6" xfId="2" applyFont="1" applyFill="1" applyBorder="1" applyAlignment="1">
      <alignment horizontal="center" vertical="center" wrapText="1"/>
    </xf>
    <xf numFmtId="0" fontId="12" fillId="7" borderId="19" xfId="2" applyFont="1" applyFill="1" applyBorder="1" applyAlignment="1">
      <alignment horizontal="center" vertical="center" wrapText="1"/>
    </xf>
    <xf numFmtId="0" fontId="12" fillId="7" borderId="60" xfId="2" applyFont="1" applyFill="1" applyBorder="1" applyAlignment="1">
      <alignment horizontal="center" vertical="center" wrapText="1"/>
    </xf>
    <xf numFmtId="0" fontId="12" fillId="7" borderId="63" xfId="2" applyFont="1" applyFill="1" applyBorder="1" applyAlignment="1">
      <alignment horizontal="center" vertical="center" wrapText="1"/>
    </xf>
    <xf numFmtId="0" fontId="12" fillId="7" borderId="49" xfId="2" applyFont="1" applyFill="1" applyBorder="1" applyAlignment="1">
      <alignment horizontal="center" vertical="center" wrapText="1"/>
    </xf>
    <xf numFmtId="0" fontId="12" fillId="7" borderId="40" xfId="2" applyFont="1" applyFill="1" applyBorder="1" applyAlignment="1">
      <alignment horizontal="center" vertical="center" wrapText="1"/>
    </xf>
    <xf numFmtId="0" fontId="12" fillId="7" borderId="12" xfId="2" applyFont="1" applyFill="1" applyBorder="1" applyAlignment="1">
      <alignment horizontal="center" vertical="center"/>
    </xf>
    <xf numFmtId="0" fontId="12" fillId="7" borderId="5" xfId="2" applyFont="1" applyFill="1" applyBorder="1" applyAlignment="1">
      <alignment horizontal="center" vertical="center"/>
    </xf>
    <xf numFmtId="0" fontId="12" fillId="7" borderId="11" xfId="2" applyFont="1" applyFill="1" applyBorder="1" applyAlignment="1">
      <alignment horizontal="center" vertical="center"/>
    </xf>
    <xf numFmtId="0" fontId="12" fillId="8" borderId="19" xfId="4" applyFont="1" applyFill="1" applyBorder="1" applyAlignment="1">
      <alignment horizontal="center" vertical="center"/>
    </xf>
    <xf numFmtId="0" fontId="12" fillId="8" borderId="20" xfId="4" applyFont="1" applyFill="1" applyBorder="1" applyAlignment="1">
      <alignment horizontal="center" vertical="center"/>
    </xf>
    <xf numFmtId="0" fontId="12" fillId="8" borderId="18" xfId="4" applyFont="1" applyFill="1" applyBorder="1" applyAlignment="1">
      <alignment horizontal="center" vertical="center"/>
    </xf>
    <xf numFmtId="0" fontId="12" fillId="8" borderId="5" xfId="4" applyFont="1" applyFill="1" applyBorder="1" applyAlignment="1">
      <alignment horizontal="center" vertical="center"/>
    </xf>
    <xf numFmtId="0" fontId="12" fillId="8" borderId="14" xfId="4" applyFont="1" applyFill="1" applyBorder="1" applyAlignment="1">
      <alignment horizontal="center" vertical="center"/>
    </xf>
    <xf numFmtId="4" fontId="11" fillId="0" borderId="35" xfId="4" applyNumberFormat="1" applyFont="1" applyFill="1" applyBorder="1" applyAlignment="1">
      <alignment horizontal="center"/>
    </xf>
    <xf numFmtId="4" fontId="11" fillId="0" borderId="23" xfId="4" applyNumberFormat="1" applyFont="1" applyFill="1" applyBorder="1" applyAlignment="1">
      <alignment horizontal="center"/>
    </xf>
    <xf numFmtId="166" fontId="12" fillId="7" borderId="19" xfId="0" applyNumberFormat="1" applyFont="1" applyFill="1" applyBorder="1" applyAlignment="1">
      <alignment horizontal="center" vertical="center" wrapText="1"/>
    </xf>
    <xf numFmtId="166" fontId="12" fillId="7" borderId="20" xfId="0" applyNumberFormat="1" applyFont="1" applyFill="1" applyBorder="1" applyAlignment="1">
      <alignment horizontal="center" vertical="center" wrapText="1"/>
    </xf>
    <xf numFmtId="166" fontId="12" fillId="7" borderId="18" xfId="0" applyNumberFormat="1" applyFont="1" applyFill="1" applyBorder="1" applyAlignment="1">
      <alignment horizontal="center" vertical="center" wrapText="1"/>
    </xf>
    <xf numFmtId="0" fontId="12" fillId="7" borderId="19" xfId="0" applyFont="1" applyFill="1" applyBorder="1" applyAlignment="1">
      <alignment horizontal="center" vertical="center" wrapText="1"/>
    </xf>
    <xf numFmtId="0" fontId="12" fillId="7" borderId="20" xfId="0" applyFont="1" applyFill="1" applyBorder="1" applyAlignment="1">
      <alignment horizontal="center" vertical="center" wrapText="1"/>
    </xf>
    <xf numFmtId="0" fontId="12" fillId="7" borderId="18" xfId="0" applyFont="1" applyFill="1" applyBorder="1" applyAlignment="1">
      <alignment horizontal="center" vertical="center" wrapText="1"/>
    </xf>
    <xf numFmtId="0" fontId="12" fillId="7" borderId="41" xfId="0" applyFont="1" applyFill="1" applyBorder="1" applyAlignment="1">
      <alignment horizontal="center" vertical="center" wrapText="1"/>
    </xf>
    <xf numFmtId="0" fontId="12" fillId="7" borderId="16" xfId="0" applyFont="1" applyFill="1" applyBorder="1" applyAlignment="1">
      <alignment horizontal="center" vertical="center" wrapText="1"/>
    </xf>
    <xf numFmtId="0" fontId="12" fillId="7" borderId="17" xfId="0" applyFont="1" applyFill="1" applyBorder="1" applyAlignment="1">
      <alignment horizontal="center" vertical="center" wrapText="1"/>
    </xf>
    <xf numFmtId="0" fontId="12" fillId="7" borderId="42" xfId="0" applyFont="1" applyFill="1" applyBorder="1" applyAlignment="1">
      <alignment horizontal="center" vertical="center" wrapText="1"/>
    </xf>
    <xf numFmtId="0" fontId="11" fillId="0" borderId="45" xfId="0" applyFont="1" applyBorder="1" applyAlignment="1">
      <alignment horizontal="left"/>
    </xf>
    <xf numFmtId="0" fontId="12" fillId="7" borderId="21" xfId="0" applyFont="1" applyFill="1" applyBorder="1" applyAlignment="1">
      <alignment horizontal="center" vertical="center" wrapText="1"/>
    </xf>
    <xf numFmtId="0" fontId="12" fillId="7" borderId="4" xfId="0" applyFont="1" applyFill="1" applyBorder="1" applyAlignment="1">
      <alignment horizontal="center" vertical="center" wrapText="1"/>
    </xf>
  </cellXfs>
  <cellStyles count="19">
    <cellStyle name="Millares" xfId="5" builtinId="3"/>
    <cellStyle name="Millares 2" xfId="7"/>
    <cellStyle name="Millares 2 2" xfId="13"/>
    <cellStyle name="Millares 3" xfId="8"/>
    <cellStyle name="Millares 4" xfId="10"/>
    <cellStyle name="Millares 5" xfId="12"/>
    <cellStyle name="Moneda" xfId="11" builtinId="4"/>
    <cellStyle name="Moneda 2" xfId="14"/>
    <cellStyle name="Normal" xfId="0" builtinId="0"/>
    <cellStyle name="Normal 2" xfId="4"/>
    <cellStyle name="Normal 2 2" xfId="15"/>
    <cellStyle name="Normal 2 3" xfId="16"/>
    <cellStyle name="Normal 3" xfId="6"/>
    <cellStyle name="Normal 3 2" xfId="17"/>
    <cellStyle name="Normal 4" xfId="9"/>
    <cellStyle name="Normal 4 2" xfId="18"/>
    <cellStyle name="Normal_ESTR98" xfId="1"/>
    <cellStyle name="Normal_PLAZAS98" xfId="2"/>
    <cellStyle name="Normal_SPGG98"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4</xdr:col>
      <xdr:colOff>0</xdr:colOff>
      <xdr:row>655</xdr:row>
      <xdr:rowOff>0</xdr:rowOff>
    </xdr:from>
    <xdr:to>
      <xdr:col>4</xdr:col>
      <xdr:colOff>47625</xdr:colOff>
      <xdr:row>655</xdr:row>
      <xdr:rowOff>43053</xdr:rowOff>
    </xdr:to>
    <xdr:pic>
      <xdr:nvPicPr>
        <xdr:cNvPr id="2" name="tbFicha:j_idt933" descr="https://prodapp2.seace.gob.pe/seacebus-uiwd-pub/javax.faces.resource/spacer/dot_clear.gif.xhtml?ln=primefaces"/>
        <xdr:cNvPicPr>
          <a:picLocks noChangeAspect="1" noChangeArrowheads="1"/>
        </xdr:cNvPicPr>
      </xdr:nvPicPr>
      <xdr:blipFill>
        <a:blip xmlns:r="http://schemas.openxmlformats.org/officeDocument/2006/relationships" r:embed="rId1"/>
        <a:srcRect/>
        <a:stretch>
          <a:fillRect/>
        </a:stretch>
      </xdr:blipFill>
      <xdr:spPr bwMode="auto">
        <a:xfrm>
          <a:off x="5114925" y="16764000"/>
          <a:ext cx="47625" cy="43053"/>
        </a:xfrm>
        <a:prstGeom prst="rect">
          <a:avLst/>
        </a:prstGeom>
        <a:noFill/>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tabColor rgb="FFFFFF00"/>
  </sheetPr>
  <dimension ref="A1:SR34"/>
  <sheetViews>
    <sheetView tabSelected="1" zoomScaleNormal="100" zoomScaleSheetLayoutView="100" workbookViewId="0">
      <selection activeCell="B5" sqref="B5:E5"/>
    </sheetView>
  </sheetViews>
  <sheetFormatPr baseColWidth="10" defaultColWidth="11.42578125" defaultRowHeight="12.75" x14ac:dyDescent="0.2"/>
  <cols>
    <col min="1" max="1" width="19.85546875" style="74" customWidth="1"/>
    <col min="2" max="2" width="69.85546875" style="75" customWidth="1"/>
    <col min="3" max="5" width="8.7109375" style="74" customWidth="1"/>
    <col min="6" max="16384" width="11.42578125" style="74"/>
  </cols>
  <sheetData>
    <row r="1" spans="1:512" s="73" customFormat="1" ht="15.75" x14ac:dyDescent="0.2">
      <c r="A1" s="71" t="s">
        <v>367</v>
      </c>
      <c r="B1" s="72"/>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c r="BG1" s="78"/>
      <c r="BH1" s="78"/>
      <c r="BI1" s="78"/>
      <c r="BJ1" s="78"/>
      <c r="BK1" s="78"/>
      <c r="BL1" s="78"/>
      <c r="BM1" s="78"/>
      <c r="BN1" s="78"/>
      <c r="BO1" s="78"/>
      <c r="BP1" s="78"/>
      <c r="BQ1" s="78"/>
      <c r="BR1" s="78"/>
      <c r="BS1" s="78"/>
      <c r="BT1" s="78"/>
      <c r="BU1" s="78"/>
      <c r="BV1" s="78"/>
      <c r="BW1" s="78"/>
      <c r="BX1" s="78"/>
      <c r="BY1" s="78"/>
      <c r="BZ1" s="78"/>
      <c r="CA1" s="78"/>
      <c r="CB1" s="78"/>
      <c r="CC1" s="78"/>
      <c r="CD1" s="78"/>
      <c r="CE1" s="78"/>
      <c r="CF1" s="78"/>
      <c r="CG1" s="78"/>
      <c r="CH1" s="78"/>
      <c r="CI1" s="78"/>
      <c r="CJ1" s="78"/>
      <c r="CK1" s="78"/>
      <c r="CL1" s="78"/>
      <c r="CM1" s="78"/>
      <c r="CN1" s="78"/>
      <c r="CO1" s="78"/>
      <c r="CP1" s="78"/>
      <c r="CQ1" s="78"/>
      <c r="CR1" s="78"/>
      <c r="CS1" s="78"/>
      <c r="CT1" s="78"/>
      <c r="CU1" s="78"/>
      <c r="CV1" s="78"/>
      <c r="CW1" s="78"/>
      <c r="CX1" s="78"/>
      <c r="CY1" s="78"/>
      <c r="CZ1" s="78"/>
      <c r="DA1" s="78"/>
      <c r="DB1" s="78"/>
      <c r="DC1" s="78"/>
      <c r="DD1" s="78"/>
      <c r="DE1" s="78"/>
      <c r="DF1" s="78"/>
      <c r="DG1" s="78"/>
      <c r="DH1" s="78"/>
      <c r="DI1" s="78"/>
      <c r="DJ1" s="78"/>
      <c r="DK1" s="78"/>
      <c r="DL1" s="78"/>
      <c r="DM1" s="78"/>
      <c r="DN1" s="78"/>
      <c r="DO1" s="78"/>
      <c r="DP1" s="78"/>
      <c r="DQ1" s="78"/>
      <c r="DR1" s="78"/>
      <c r="DS1" s="78"/>
      <c r="DT1" s="78"/>
      <c r="DU1" s="78"/>
      <c r="DV1" s="78"/>
      <c r="DW1" s="78"/>
      <c r="DX1" s="78"/>
      <c r="DY1" s="78"/>
      <c r="DZ1" s="78"/>
      <c r="EA1" s="78"/>
      <c r="EB1" s="78"/>
      <c r="EC1" s="78"/>
      <c r="ED1" s="78"/>
      <c r="EE1" s="78"/>
      <c r="EF1" s="78"/>
      <c r="EG1" s="78"/>
      <c r="EH1" s="78"/>
      <c r="EI1" s="78"/>
      <c r="EJ1" s="78"/>
      <c r="EK1" s="78"/>
      <c r="EL1" s="78"/>
      <c r="EM1" s="78"/>
      <c r="EN1" s="78"/>
      <c r="EO1" s="78"/>
      <c r="EP1" s="78"/>
      <c r="EQ1" s="78"/>
      <c r="ER1" s="78"/>
      <c r="ES1" s="78"/>
      <c r="ET1" s="78"/>
      <c r="EU1" s="78"/>
      <c r="EV1" s="78"/>
      <c r="EW1" s="78"/>
      <c r="EX1" s="78"/>
      <c r="EY1" s="78"/>
      <c r="EZ1" s="78"/>
      <c r="FA1" s="78"/>
      <c r="FB1" s="78"/>
      <c r="FC1" s="78"/>
      <c r="FD1" s="78"/>
      <c r="FE1" s="78"/>
      <c r="FF1" s="78"/>
      <c r="FG1" s="78"/>
      <c r="FH1" s="78"/>
      <c r="FI1" s="78"/>
      <c r="FJ1" s="78"/>
      <c r="FK1" s="78"/>
      <c r="FL1" s="78"/>
      <c r="FM1" s="78"/>
      <c r="FN1" s="78"/>
      <c r="FO1" s="78"/>
      <c r="FP1" s="78"/>
      <c r="FQ1" s="78"/>
      <c r="FR1" s="78"/>
      <c r="FS1" s="78"/>
      <c r="FT1" s="78"/>
      <c r="FU1" s="78"/>
      <c r="FV1" s="78"/>
      <c r="FW1" s="78"/>
      <c r="FX1" s="78"/>
      <c r="FY1" s="78"/>
      <c r="FZ1" s="78"/>
      <c r="GA1" s="78"/>
      <c r="GB1" s="78"/>
      <c r="GC1" s="78"/>
      <c r="GD1" s="78"/>
      <c r="GE1" s="78"/>
      <c r="GF1" s="78"/>
      <c r="GG1" s="78"/>
      <c r="GH1" s="78"/>
      <c r="GI1" s="78"/>
      <c r="GJ1" s="78"/>
      <c r="GK1" s="78"/>
      <c r="GL1" s="78"/>
      <c r="GM1" s="78"/>
      <c r="GN1" s="78"/>
      <c r="GO1" s="78"/>
      <c r="GP1" s="78"/>
      <c r="GQ1" s="78"/>
      <c r="GR1" s="78"/>
      <c r="GS1" s="78"/>
      <c r="GT1" s="78"/>
      <c r="GU1" s="78"/>
      <c r="GV1" s="78"/>
      <c r="GW1" s="78"/>
      <c r="GX1" s="78"/>
      <c r="GY1" s="78"/>
      <c r="GZ1" s="78"/>
      <c r="HA1" s="78"/>
      <c r="HB1" s="78"/>
      <c r="HC1" s="78"/>
      <c r="HD1" s="78"/>
      <c r="HE1" s="78"/>
      <c r="HF1" s="78"/>
      <c r="HG1" s="78"/>
      <c r="HH1" s="78"/>
      <c r="HI1" s="78"/>
      <c r="HJ1" s="78"/>
      <c r="HK1" s="78"/>
      <c r="HL1" s="78"/>
      <c r="HM1" s="78"/>
      <c r="HN1" s="78"/>
      <c r="HO1" s="78"/>
      <c r="HP1" s="78"/>
      <c r="HQ1" s="78"/>
      <c r="HR1" s="78"/>
      <c r="HS1" s="78"/>
      <c r="HT1" s="78"/>
      <c r="HU1" s="78"/>
      <c r="HV1" s="78"/>
      <c r="HW1" s="78"/>
      <c r="HX1" s="78"/>
      <c r="HY1" s="78"/>
      <c r="HZ1" s="78"/>
      <c r="IA1" s="78"/>
      <c r="IB1" s="78"/>
      <c r="IC1" s="78"/>
      <c r="ID1" s="78"/>
      <c r="IE1" s="78"/>
      <c r="IF1" s="78"/>
      <c r="IG1" s="78"/>
      <c r="IH1" s="78"/>
      <c r="II1" s="78"/>
      <c r="IJ1" s="78"/>
      <c r="IK1" s="78"/>
      <c r="IL1" s="78"/>
      <c r="IM1" s="78"/>
      <c r="IN1" s="78"/>
      <c r="IO1" s="78"/>
      <c r="IP1" s="78"/>
      <c r="IQ1" s="78"/>
      <c r="IR1" s="78"/>
      <c r="IS1" s="78"/>
      <c r="IT1" s="78"/>
      <c r="IU1" s="78"/>
      <c r="IV1" s="78"/>
      <c r="IW1" s="78"/>
      <c r="IX1" s="78"/>
      <c r="IY1" s="78"/>
      <c r="IZ1" s="78"/>
      <c r="JA1" s="78"/>
      <c r="JB1" s="78"/>
      <c r="JC1" s="78"/>
      <c r="JD1" s="78"/>
      <c r="JE1" s="78"/>
      <c r="JF1" s="78"/>
      <c r="JG1" s="78"/>
      <c r="JH1" s="78"/>
      <c r="JI1" s="78"/>
      <c r="JJ1" s="78"/>
      <c r="JK1" s="78"/>
      <c r="JL1" s="78"/>
      <c r="JM1" s="78"/>
      <c r="JN1" s="78"/>
      <c r="JO1" s="78"/>
      <c r="JP1" s="78"/>
      <c r="JQ1" s="78"/>
      <c r="JR1" s="78"/>
      <c r="JS1" s="78"/>
      <c r="JT1" s="78"/>
      <c r="JU1" s="78"/>
      <c r="JV1" s="78"/>
      <c r="JW1" s="78"/>
      <c r="JX1" s="78"/>
      <c r="JY1" s="78"/>
      <c r="JZ1" s="78"/>
      <c r="KA1" s="78"/>
      <c r="KB1" s="78"/>
      <c r="KC1" s="78"/>
      <c r="KD1" s="78"/>
      <c r="KE1" s="78"/>
      <c r="KF1" s="78"/>
      <c r="KG1" s="78"/>
      <c r="KH1" s="78"/>
      <c r="KI1" s="78"/>
      <c r="KJ1" s="78"/>
      <c r="KK1" s="78"/>
      <c r="KL1" s="78"/>
      <c r="KM1" s="78"/>
      <c r="KN1" s="78"/>
      <c r="KO1" s="78"/>
      <c r="KP1" s="78"/>
      <c r="KQ1" s="78"/>
      <c r="KR1" s="78"/>
      <c r="KS1" s="78"/>
      <c r="KT1" s="78"/>
      <c r="KU1" s="78"/>
      <c r="KV1" s="78"/>
      <c r="KW1" s="78"/>
      <c r="KX1" s="78"/>
      <c r="KY1" s="78"/>
      <c r="KZ1" s="78"/>
      <c r="LA1" s="78"/>
      <c r="LB1" s="78"/>
      <c r="LC1" s="78"/>
      <c r="LD1" s="78"/>
      <c r="LE1" s="78"/>
      <c r="LF1" s="78"/>
      <c r="LG1" s="78"/>
      <c r="LH1" s="78"/>
      <c r="LI1" s="78"/>
      <c r="LJ1" s="78"/>
      <c r="LK1" s="78"/>
      <c r="LL1" s="78"/>
      <c r="LM1" s="78"/>
      <c r="LN1" s="78"/>
      <c r="LO1" s="78"/>
      <c r="LP1" s="78"/>
      <c r="LQ1" s="78"/>
      <c r="LR1" s="78"/>
      <c r="LS1" s="78"/>
      <c r="LT1" s="78"/>
      <c r="LU1" s="78"/>
      <c r="LV1" s="78"/>
      <c r="LW1" s="78"/>
      <c r="LX1" s="78"/>
      <c r="LY1" s="78"/>
      <c r="LZ1" s="78"/>
      <c r="MA1" s="78"/>
      <c r="MB1" s="78"/>
      <c r="MC1" s="78"/>
      <c r="MD1" s="78"/>
      <c r="ME1" s="78"/>
      <c r="MF1" s="78"/>
      <c r="MG1" s="78"/>
      <c r="MH1" s="78"/>
      <c r="MI1" s="78"/>
      <c r="MJ1" s="78"/>
      <c r="MK1" s="78"/>
      <c r="ML1" s="78"/>
      <c r="MM1" s="78"/>
      <c r="MN1" s="78"/>
      <c r="MO1" s="78"/>
      <c r="MP1" s="78"/>
      <c r="MQ1" s="78"/>
      <c r="MR1" s="78"/>
      <c r="MS1" s="78"/>
      <c r="MT1" s="78"/>
      <c r="MU1" s="78"/>
      <c r="MV1" s="78"/>
      <c r="MW1" s="78"/>
      <c r="MX1" s="78"/>
      <c r="MY1" s="78"/>
      <c r="MZ1" s="78"/>
      <c r="NA1" s="78"/>
      <c r="NB1" s="78"/>
      <c r="NC1" s="78"/>
      <c r="ND1" s="78"/>
      <c r="NE1" s="78"/>
      <c r="NF1" s="78"/>
      <c r="NG1" s="78"/>
      <c r="NH1" s="78"/>
      <c r="NI1" s="78"/>
      <c r="NJ1" s="78"/>
      <c r="NK1" s="78"/>
      <c r="NL1" s="78"/>
      <c r="NM1" s="78"/>
      <c r="NN1" s="78"/>
      <c r="NO1" s="78"/>
      <c r="NP1" s="78"/>
      <c r="NQ1" s="78"/>
      <c r="NR1" s="78"/>
      <c r="NS1" s="78"/>
      <c r="NT1" s="78"/>
      <c r="NU1" s="78"/>
      <c r="NV1" s="78"/>
      <c r="NW1" s="78"/>
      <c r="NX1" s="78"/>
      <c r="NY1" s="78"/>
      <c r="NZ1" s="78"/>
      <c r="OA1" s="78"/>
      <c r="OB1" s="78"/>
      <c r="OC1" s="78"/>
      <c r="OD1" s="78"/>
      <c r="OE1" s="78"/>
      <c r="OF1" s="78"/>
      <c r="OG1" s="78"/>
      <c r="OH1" s="78"/>
      <c r="OI1" s="78"/>
      <c r="OJ1" s="78"/>
      <c r="OK1" s="78"/>
      <c r="OL1" s="78"/>
      <c r="OM1" s="78"/>
      <c r="ON1" s="78"/>
      <c r="OO1" s="78"/>
      <c r="OP1" s="78"/>
      <c r="OQ1" s="78"/>
      <c r="OR1" s="78"/>
      <c r="OS1" s="78"/>
      <c r="OT1" s="78"/>
      <c r="OU1" s="78"/>
      <c r="OV1" s="78"/>
      <c r="OW1" s="78"/>
      <c r="OX1" s="78"/>
      <c r="OY1" s="78"/>
      <c r="OZ1" s="78"/>
      <c r="PA1" s="78"/>
      <c r="PB1" s="78"/>
      <c r="PC1" s="78"/>
      <c r="PD1" s="78"/>
      <c r="PE1" s="78"/>
      <c r="PF1" s="78"/>
      <c r="PG1" s="78"/>
      <c r="PH1" s="78"/>
      <c r="PI1" s="78"/>
      <c r="PJ1" s="78"/>
      <c r="PK1" s="78"/>
      <c r="PL1" s="78"/>
      <c r="PM1" s="78"/>
      <c r="PN1" s="78"/>
      <c r="PO1" s="78"/>
      <c r="PP1" s="78"/>
      <c r="PQ1" s="78"/>
      <c r="PR1" s="78"/>
      <c r="PS1" s="78"/>
      <c r="PT1" s="78"/>
      <c r="PU1" s="78"/>
      <c r="PV1" s="78"/>
      <c r="PW1" s="78"/>
      <c r="PX1" s="78"/>
      <c r="PY1" s="78"/>
      <c r="PZ1" s="78"/>
      <c r="QA1" s="78"/>
      <c r="QB1" s="78"/>
      <c r="QC1" s="78"/>
      <c r="QD1" s="78"/>
      <c r="QE1" s="78"/>
      <c r="QF1" s="78"/>
      <c r="QG1" s="78"/>
      <c r="QH1" s="78"/>
      <c r="QI1" s="78"/>
      <c r="QJ1" s="78"/>
      <c r="QK1" s="78"/>
      <c r="QL1" s="78"/>
      <c r="QM1" s="78"/>
      <c r="QN1" s="78"/>
      <c r="QO1" s="78"/>
      <c r="QP1" s="78"/>
      <c r="QQ1" s="78"/>
      <c r="QR1" s="78"/>
      <c r="QS1" s="78"/>
      <c r="QT1" s="78"/>
      <c r="QU1" s="78"/>
      <c r="QV1" s="78"/>
      <c r="QW1" s="78"/>
      <c r="QX1" s="78"/>
      <c r="QY1" s="78"/>
      <c r="QZ1" s="78"/>
      <c r="RA1" s="78"/>
      <c r="RB1" s="78"/>
      <c r="RC1" s="78"/>
      <c r="RD1" s="78"/>
      <c r="RE1" s="78"/>
      <c r="RF1" s="78"/>
      <c r="RG1" s="78"/>
      <c r="RH1" s="78"/>
      <c r="RI1" s="78"/>
      <c r="RJ1" s="78"/>
      <c r="RK1" s="78"/>
      <c r="RL1" s="78"/>
      <c r="RM1" s="78"/>
      <c r="RN1" s="78"/>
      <c r="RO1" s="78"/>
      <c r="RP1" s="78"/>
      <c r="RQ1" s="78"/>
      <c r="RR1" s="78"/>
      <c r="RS1" s="78"/>
      <c r="RT1" s="78"/>
      <c r="RU1" s="78"/>
      <c r="RV1" s="78"/>
      <c r="RW1" s="78"/>
      <c r="RX1" s="78"/>
      <c r="RY1" s="78"/>
      <c r="RZ1" s="78"/>
      <c r="SA1" s="78"/>
      <c r="SB1" s="78"/>
      <c r="SC1" s="78"/>
      <c r="SD1" s="78"/>
      <c r="SE1" s="78"/>
      <c r="SF1" s="78"/>
      <c r="SG1" s="78"/>
      <c r="SH1" s="78"/>
      <c r="SI1" s="78"/>
      <c r="SJ1" s="78"/>
      <c r="SK1" s="78"/>
      <c r="SL1" s="78"/>
      <c r="SM1" s="78"/>
      <c r="SN1" s="78"/>
      <c r="SO1" s="78"/>
      <c r="SP1" s="78"/>
      <c r="SQ1" s="78"/>
      <c r="SR1" s="78"/>
    </row>
    <row r="2" spans="1:512" x14ac:dyDescent="0.2">
      <c r="C2" s="76"/>
      <c r="D2" s="76"/>
      <c r="E2" s="80"/>
      <c r="F2" s="79"/>
    </row>
    <row r="3" spans="1:512" x14ac:dyDescent="0.2">
      <c r="A3" s="77" t="s">
        <v>387</v>
      </c>
      <c r="E3" s="79"/>
      <c r="F3" s="79"/>
    </row>
    <row r="4" spans="1:512" x14ac:dyDescent="0.2">
      <c r="E4" s="79"/>
      <c r="F4" s="79"/>
    </row>
    <row r="5" spans="1:512" s="230" customFormat="1" ht="27" customHeight="1" x14ac:dyDescent="0.2">
      <c r="A5" s="233" t="s">
        <v>369</v>
      </c>
      <c r="B5" s="1235" t="s">
        <v>368</v>
      </c>
      <c r="C5" s="1236"/>
      <c r="D5" s="1236"/>
      <c r="E5" s="1237"/>
      <c r="F5" s="231"/>
    </row>
    <row r="6" spans="1:512" x14ac:dyDescent="0.2">
      <c r="A6" s="77"/>
      <c r="B6" s="229"/>
      <c r="C6" s="230"/>
      <c r="D6" s="230"/>
      <c r="E6" s="231"/>
      <c r="F6" s="79"/>
    </row>
    <row r="7" spans="1:512" x14ac:dyDescent="0.2">
      <c r="A7" s="77" t="s">
        <v>388</v>
      </c>
      <c r="B7" s="229"/>
      <c r="C7" s="230"/>
      <c r="D7" s="230"/>
      <c r="E7" s="231"/>
      <c r="F7" s="79"/>
    </row>
    <row r="8" spans="1:512" x14ac:dyDescent="0.2">
      <c r="A8" s="77"/>
      <c r="B8" s="229"/>
      <c r="C8" s="230"/>
      <c r="D8" s="230"/>
      <c r="E8" s="231"/>
      <c r="F8" s="79"/>
    </row>
    <row r="9" spans="1:512" s="230" customFormat="1" ht="27" customHeight="1" x14ac:dyDescent="0.2">
      <c r="A9" s="233" t="s">
        <v>370</v>
      </c>
      <c r="B9" s="1235" t="s">
        <v>436</v>
      </c>
      <c r="C9" s="1236"/>
      <c r="D9" s="1236"/>
      <c r="E9" s="1237"/>
      <c r="F9" s="231"/>
    </row>
    <row r="10" spans="1:512" s="230" customFormat="1" ht="27" customHeight="1" x14ac:dyDescent="0.2">
      <c r="A10" s="233" t="s">
        <v>371</v>
      </c>
      <c r="B10" s="1235" t="s">
        <v>437</v>
      </c>
      <c r="C10" s="1236"/>
      <c r="D10" s="1236"/>
      <c r="E10" s="1237"/>
      <c r="F10" s="231"/>
    </row>
    <row r="11" spans="1:512" s="230" customFormat="1" ht="27" customHeight="1" x14ac:dyDescent="0.2">
      <c r="A11" s="233" t="s">
        <v>372</v>
      </c>
      <c r="B11" s="1235" t="s">
        <v>438</v>
      </c>
      <c r="C11" s="1236"/>
      <c r="D11" s="1236"/>
      <c r="E11" s="1237"/>
      <c r="F11" s="231"/>
    </row>
    <row r="12" spans="1:512" s="230" customFormat="1" ht="27" customHeight="1" x14ac:dyDescent="0.2">
      <c r="A12" s="233" t="s">
        <v>373</v>
      </c>
      <c r="B12" s="1235" t="s">
        <v>439</v>
      </c>
      <c r="C12" s="1236"/>
      <c r="D12" s="1236"/>
      <c r="E12" s="1237"/>
      <c r="F12" s="231"/>
    </row>
    <row r="13" spans="1:512" s="230" customFormat="1" ht="27" customHeight="1" x14ac:dyDescent="0.2">
      <c r="A13" s="233" t="s">
        <v>374</v>
      </c>
      <c r="B13" s="1235" t="s">
        <v>440</v>
      </c>
      <c r="C13" s="1236"/>
      <c r="D13" s="1236"/>
      <c r="E13" s="1237"/>
      <c r="F13" s="231"/>
    </row>
    <row r="14" spans="1:512" s="230" customFormat="1" ht="27" customHeight="1" x14ac:dyDescent="0.2">
      <c r="A14" s="233" t="s">
        <v>375</v>
      </c>
      <c r="B14" s="1235" t="s">
        <v>441</v>
      </c>
      <c r="C14" s="1236"/>
      <c r="D14" s="1236"/>
      <c r="E14" s="1237"/>
      <c r="F14" s="231"/>
    </row>
    <row r="15" spans="1:512" s="230" customFormat="1" ht="27" customHeight="1" x14ac:dyDescent="0.2">
      <c r="A15" s="233" t="s">
        <v>376</v>
      </c>
      <c r="B15" s="1235" t="s">
        <v>442</v>
      </c>
      <c r="C15" s="1236"/>
      <c r="D15" s="1236"/>
      <c r="E15" s="1237"/>
      <c r="F15" s="231"/>
    </row>
    <row r="16" spans="1:512" x14ac:dyDescent="0.2">
      <c r="A16" s="77"/>
      <c r="B16" s="229"/>
      <c r="C16" s="230"/>
      <c r="D16" s="230"/>
      <c r="E16" s="231"/>
      <c r="F16" s="79"/>
    </row>
    <row r="17" spans="1:6" x14ac:dyDescent="0.2">
      <c r="A17" s="77" t="s">
        <v>389</v>
      </c>
      <c r="B17" s="229"/>
      <c r="C17" s="230"/>
      <c r="D17" s="230"/>
      <c r="E17" s="231"/>
      <c r="F17" s="79"/>
    </row>
    <row r="18" spans="1:6" x14ac:dyDescent="0.2">
      <c r="A18" s="77"/>
      <c r="B18" s="229"/>
      <c r="C18" s="230"/>
      <c r="D18" s="230"/>
      <c r="E18" s="231"/>
      <c r="F18" s="79"/>
    </row>
    <row r="19" spans="1:6" s="230" customFormat="1" ht="27" customHeight="1" x14ac:dyDescent="0.2">
      <c r="A19" s="233" t="s">
        <v>377</v>
      </c>
      <c r="B19" s="1235" t="s">
        <v>443</v>
      </c>
      <c r="C19" s="1236"/>
      <c r="D19" s="1236"/>
      <c r="E19" s="1237"/>
      <c r="F19" s="231"/>
    </row>
    <row r="20" spans="1:6" s="230" customFormat="1" ht="27" customHeight="1" x14ac:dyDescent="0.2">
      <c r="A20" s="233" t="s">
        <v>378</v>
      </c>
      <c r="B20" s="1235" t="s">
        <v>444</v>
      </c>
      <c r="C20" s="1236"/>
      <c r="D20" s="1236"/>
      <c r="E20" s="1237"/>
      <c r="F20" s="231"/>
    </row>
    <row r="21" spans="1:6" s="230" customFormat="1" ht="27" customHeight="1" x14ac:dyDescent="0.2">
      <c r="A21" s="233" t="s">
        <v>379</v>
      </c>
      <c r="B21" s="1235" t="s">
        <v>445</v>
      </c>
      <c r="C21" s="1236"/>
      <c r="D21" s="1236"/>
      <c r="E21" s="1237"/>
      <c r="F21" s="231"/>
    </row>
    <row r="22" spans="1:6" x14ac:dyDescent="0.2">
      <c r="A22" s="77"/>
      <c r="B22" s="229"/>
      <c r="C22" s="230"/>
      <c r="D22" s="230"/>
      <c r="E22" s="231"/>
      <c r="F22" s="79"/>
    </row>
    <row r="23" spans="1:6" x14ac:dyDescent="0.2">
      <c r="A23" s="77" t="s">
        <v>390</v>
      </c>
      <c r="B23" s="229"/>
      <c r="C23" s="230"/>
      <c r="D23" s="230"/>
      <c r="E23" s="231"/>
      <c r="F23" s="79"/>
    </row>
    <row r="24" spans="1:6" x14ac:dyDescent="0.2">
      <c r="A24" s="77"/>
      <c r="B24" s="229"/>
      <c r="C24" s="230"/>
      <c r="D24" s="230"/>
      <c r="E24" s="231"/>
      <c r="F24" s="79"/>
    </row>
    <row r="25" spans="1:6" s="230" customFormat="1" ht="27" customHeight="1" x14ac:dyDescent="0.2">
      <c r="A25" s="233" t="s">
        <v>380</v>
      </c>
      <c r="B25" s="1235" t="s">
        <v>446</v>
      </c>
      <c r="C25" s="1236"/>
      <c r="D25" s="1236"/>
      <c r="E25" s="1237"/>
      <c r="F25" s="231"/>
    </row>
    <row r="26" spans="1:6" s="230" customFormat="1" ht="27" customHeight="1" x14ac:dyDescent="0.2">
      <c r="A26" s="233" t="s">
        <v>381</v>
      </c>
      <c r="B26" s="1235" t="s">
        <v>447</v>
      </c>
      <c r="C26" s="1236"/>
      <c r="D26" s="1236"/>
      <c r="E26" s="1237"/>
      <c r="F26" s="231"/>
    </row>
    <row r="27" spans="1:6" s="230" customFormat="1" ht="27" customHeight="1" x14ac:dyDescent="0.2">
      <c r="A27" s="233" t="s">
        <v>382</v>
      </c>
      <c r="B27" s="1235" t="s">
        <v>448</v>
      </c>
      <c r="C27" s="1236"/>
      <c r="D27" s="1236"/>
      <c r="E27" s="1237"/>
      <c r="F27" s="231"/>
    </row>
    <row r="28" spans="1:6" s="230" customFormat="1" ht="27" customHeight="1" x14ac:dyDescent="0.2">
      <c r="A28" s="233" t="s">
        <v>383</v>
      </c>
      <c r="B28" s="1235" t="s">
        <v>449</v>
      </c>
      <c r="C28" s="1236"/>
      <c r="D28" s="1236"/>
      <c r="E28" s="1237"/>
      <c r="F28" s="231"/>
    </row>
    <row r="29" spans="1:6" s="230" customFormat="1" ht="27" customHeight="1" x14ac:dyDescent="0.2">
      <c r="A29" s="233" t="s">
        <v>384</v>
      </c>
      <c r="B29" s="1235" t="s">
        <v>450</v>
      </c>
      <c r="C29" s="1236"/>
      <c r="D29" s="1236"/>
      <c r="E29" s="1237"/>
      <c r="F29" s="231"/>
    </row>
    <row r="30" spans="1:6" x14ac:dyDescent="0.2">
      <c r="A30" s="77"/>
      <c r="B30" s="229"/>
      <c r="C30" s="230"/>
      <c r="D30" s="230"/>
      <c r="E30" s="231"/>
      <c r="F30" s="79"/>
    </row>
    <row r="31" spans="1:6" x14ac:dyDescent="0.2">
      <c r="A31" s="77" t="s">
        <v>12</v>
      </c>
      <c r="B31" s="229"/>
      <c r="C31" s="230"/>
      <c r="D31" s="230"/>
      <c r="E31" s="231"/>
      <c r="F31" s="79"/>
    </row>
    <row r="32" spans="1:6" x14ac:dyDescent="0.2">
      <c r="A32" s="77"/>
      <c r="B32" s="229"/>
      <c r="C32" s="230"/>
      <c r="D32" s="230"/>
      <c r="E32" s="231"/>
      <c r="F32" s="79"/>
    </row>
    <row r="33" spans="1:6" s="230" customFormat="1" ht="27" customHeight="1" x14ac:dyDescent="0.2">
      <c r="A33" s="233" t="s">
        <v>385</v>
      </c>
      <c r="B33" s="1235" t="s">
        <v>451</v>
      </c>
      <c r="C33" s="1236"/>
      <c r="D33" s="1236"/>
      <c r="E33" s="1237"/>
      <c r="F33" s="231"/>
    </row>
    <row r="34" spans="1:6" s="230" customFormat="1" ht="27" customHeight="1" x14ac:dyDescent="0.2">
      <c r="A34" s="233" t="s">
        <v>386</v>
      </c>
      <c r="B34" s="1235" t="s">
        <v>452</v>
      </c>
      <c r="C34" s="1236"/>
      <c r="D34" s="1236"/>
      <c r="E34" s="1237"/>
      <c r="F34" s="231"/>
    </row>
  </sheetData>
  <mergeCells count="18">
    <mergeCell ref="B33:E33"/>
    <mergeCell ref="B34:E34"/>
    <mergeCell ref="B9:E9"/>
    <mergeCell ref="B10:E10"/>
    <mergeCell ref="B11:E11"/>
    <mergeCell ref="B15:E15"/>
    <mergeCell ref="B21:E21"/>
    <mergeCell ref="B25:E25"/>
    <mergeCell ref="B26:E26"/>
    <mergeCell ref="B27:E27"/>
    <mergeCell ref="B28:E28"/>
    <mergeCell ref="B29:E29"/>
    <mergeCell ref="B20:E20"/>
    <mergeCell ref="B5:E5"/>
    <mergeCell ref="B12:E12"/>
    <mergeCell ref="B13:E13"/>
    <mergeCell ref="B14:E14"/>
    <mergeCell ref="B19:E19"/>
  </mergeCells>
  <pageMargins left="0.8203125" right="0.70866141732283472" top="0.74803149606299213" bottom="0.74803149606299213" header="0.31496062992125984" footer="0.31496062992125984"/>
  <pageSetup paperSize="9" scale="75" orientation="portrait" r:id="rId1"/>
  <headerFooter>
    <oddHeader>&amp;C&amp;"Arial,Negrita"&amp;18FORMATOS DEL PROYECTO DE PRESUPUESTO 2021</oddHeader>
    <oddFooter>&amp;L&amp;"Arial,Negrita"&amp;8PROYECTO DE PRESUPUESTO PARA EL AÑO FISCAL 2020
INFORMACIÓN PARA LA COMISIÓN DE PRESUPUESTO Y CUENTA GENERAL DE LA REPÚBLICA DEL CONGRESO DE LA REPÚBLICA</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AA157"/>
  <sheetViews>
    <sheetView view="pageBreakPreview" zoomScale="90" zoomScaleNormal="100" zoomScaleSheetLayoutView="90" zoomScalePageLayoutView="85" workbookViewId="0">
      <selection activeCell="A7" sqref="A7:W152"/>
    </sheetView>
  </sheetViews>
  <sheetFormatPr baseColWidth="10" defaultColWidth="11.42578125" defaultRowHeight="12.75" x14ac:dyDescent="0.2"/>
  <cols>
    <col min="1" max="1" width="41.28515625" style="21" customWidth="1"/>
    <col min="2" max="11" width="7" style="21" customWidth="1"/>
    <col min="12" max="12" width="15.5703125" style="21" customWidth="1"/>
    <col min="13" max="13" width="9" style="21" customWidth="1"/>
    <col min="14" max="22" width="7" style="21" customWidth="1"/>
    <col min="23" max="23" width="13.42578125" style="21" customWidth="1"/>
    <col min="24" max="27" width="10.7109375" customWidth="1"/>
    <col min="28" max="16384" width="11.42578125" style="81"/>
  </cols>
  <sheetData>
    <row r="1" spans="1:27" s="86" customFormat="1" ht="15.75" x14ac:dyDescent="0.2">
      <c r="A1" s="221" t="s">
        <v>415</v>
      </c>
      <c r="B1" s="85"/>
      <c r="C1" s="85"/>
      <c r="D1" s="85"/>
      <c r="E1" s="85"/>
      <c r="F1" s="85"/>
      <c r="G1" s="85"/>
      <c r="H1" s="85"/>
      <c r="I1" s="85"/>
      <c r="J1" s="85"/>
      <c r="K1" s="85"/>
      <c r="L1" s="85"/>
      <c r="M1" s="85"/>
      <c r="N1" s="85"/>
      <c r="O1" s="85"/>
      <c r="P1" s="85"/>
      <c r="Q1" s="85"/>
      <c r="R1" s="85"/>
      <c r="S1" s="85"/>
      <c r="T1" s="85"/>
      <c r="U1" s="85"/>
      <c r="V1" s="85"/>
      <c r="W1" s="85"/>
    </row>
    <row r="2" spans="1:27" s="86" customFormat="1" ht="15.75" x14ac:dyDescent="0.2">
      <c r="A2" s="221" t="s">
        <v>340</v>
      </c>
      <c r="B2" s="85"/>
      <c r="C2" s="85"/>
      <c r="D2" s="85"/>
      <c r="E2" s="85"/>
      <c r="F2" s="85"/>
      <c r="G2" s="85"/>
      <c r="H2" s="85"/>
      <c r="I2" s="85"/>
      <c r="J2" s="85"/>
      <c r="K2" s="85"/>
      <c r="L2" s="85"/>
      <c r="M2" s="85"/>
      <c r="N2" s="85"/>
      <c r="O2" s="85"/>
      <c r="P2" s="85"/>
      <c r="Q2" s="85"/>
      <c r="R2" s="85"/>
      <c r="S2" s="85"/>
      <c r="T2" s="85"/>
      <c r="U2" s="85"/>
      <c r="V2" s="85"/>
      <c r="W2" s="85"/>
    </row>
    <row r="3" spans="1:27" s="65" customFormat="1" ht="15.75" x14ac:dyDescent="0.25">
      <c r="A3" s="222" t="s">
        <v>453</v>
      </c>
    </row>
    <row r="4" spans="1:27" ht="3.75" customHeight="1" thickBot="1" x14ac:dyDescent="0.25">
      <c r="L4" s="22"/>
      <c r="W4" s="22"/>
    </row>
    <row r="5" spans="1:27" s="46" customFormat="1" ht="26.25" customHeight="1" x14ac:dyDescent="0.2">
      <c r="A5" s="139" t="s">
        <v>5</v>
      </c>
      <c r="B5" s="1275" t="s">
        <v>413</v>
      </c>
      <c r="C5" s="1276"/>
      <c r="D5" s="1276"/>
      <c r="E5" s="1276"/>
      <c r="F5" s="1276"/>
      <c r="G5" s="1276"/>
      <c r="H5" s="1276"/>
      <c r="I5" s="1276"/>
      <c r="J5" s="1276"/>
      <c r="K5" s="1276"/>
      <c r="L5" s="1277"/>
      <c r="M5" s="1275" t="s">
        <v>414</v>
      </c>
      <c r="N5" s="1276"/>
      <c r="O5" s="1276"/>
      <c r="P5" s="1276"/>
      <c r="Q5" s="1276"/>
      <c r="R5" s="1276"/>
      <c r="S5" s="1276"/>
      <c r="T5" s="1276"/>
      <c r="U5" s="1276"/>
      <c r="V5" s="1276"/>
      <c r="W5" s="1277"/>
    </row>
    <row r="6" spans="1:27" s="47" customFormat="1" ht="99.95" customHeight="1" thickBot="1" x14ac:dyDescent="0.25">
      <c r="A6" s="140" t="s">
        <v>4</v>
      </c>
      <c r="B6" s="141" t="s">
        <v>341</v>
      </c>
      <c r="C6" s="141" t="s">
        <v>114</v>
      </c>
      <c r="D6" s="142" t="s">
        <v>298</v>
      </c>
      <c r="E6" s="142" t="s">
        <v>292</v>
      </c>
      <c r="F6" s="142" t="s">
        <v>300</v>
      </c>
      <c r="G6" s="142" t="s">
        <v>301</v>
      </c>
      <c r="H6" s="142" t="s">
        <v>302</v>
      </c>
      <c r="I6" s="142" t="s">
        <v>309</v>
      </c>
      <c r="J6" s="143" t="s">
        <v>304</v>
      </c>
      <c r="K6" s="144" t="s">
        <v>306</v>
      </c>
      <c r="L6" s="145" t="s">
        <v>308</v>
      </c>
      <c r="M6" s="141" t="s">
        <v>341</v>
      </c>
      <c r="N6" s="141" t="s">
        <v>114</v>
      </c>
      <c r="O6" s="142" t="s">
        <v>298</v>
      </c>
      <c r="P6" s="142" t="s">
        <v>292</v>
      </c>
      <c r="Q6" s="142" t="s">
        <v>300</v>
      </c>
      <c r="R6" s="142" t="s">
        <v>301</v>
      </c>
      <c r="S6" s="142" t="s">
        <v>302</v>
      </c>
      <c r="T6" s="142" t="s">
        <v>309</v>
      </c>
      <c r="U6" s="143" t="s">
        <v>304</v>
      </c>
      <c r="V6" s="144" t="s">
        <v>306</v>
      </c>
      <c r="W6" s="145" t="s">
        <v>307</v>
      </c>
    </row>
    <row r="7" spans="1:27" x14ac:dyDescent="0.2">
      <c r="A7" s="841" t="s">
        <v>3670</v>
      </c>
      <c r="B7" s="842"/>
      <c r="C7" s="842"/>
      <c r="D7" s="842"/>
      <c r="E7" s="842"/>
      <c r="F7" s="842"/>
      <c r="G7" s="842"/>
      <c r="H7" s="842"/>
      <c r="I7" s="842"/>
      <c r="J7" s="842"/>
      <c r="K7" s="842"/>
      <c r="L7" s="843"/>
      <c r="M7" s="842"/>
      <c r="N7" s="842"/>
      <c r="O7" s="842"/>
      <c r="P7" s="842"/>
      <c r="Q7" s="842"/>
      <c r="R7" s="842"/>
      <c r="S7" s="842"/>
      <c r="T7" s="842"/>
      <c r="U7" s="842"/>
      <c r="V7" s="842"/>
      <c r="W7" s="843"/>
      <c r="Z7" s="81"/>
      <c r="AA7" s="81"/>
    </row>
    <row r="8" spans="1:27" ht="20.100000000000001" customHeight="1" x14ac:dyDescent="0.2">
      <c r="A8" s="844" t="s">
        <v>3671</v>
      </c>
      <c r="B8" s="845">
        <f>SUM(B9:B15)</f>
        <v>246</v>
      </c>
      <c r="C8" s="846">
        <f t="shared" ref="C8:L8" si="0">SUM(C9:C15)</f>
        <v>0</v>
      </c>
      <c r="D8" s="846">
        <f t="shared" si="0"/>
        <v>0</v>
      </c>
      <c r="E8" s="846">
        <f t="shared" si="0"/>
        <v>0</v>
      </c>
      <c r="F8" s="846">
        <f t="shared" si="0"/>
        <v>0</v>
      </c>
      <c r="G8" s="846">
        <f t="shared" si="0"/>
        <v>0</v>
      </c>
      <c r="H8" s="846">
        <f t="shared" si="0"/>
        <v>0</v>
      </c>
      <c r="I8" s="846">
        <f t="shared" si="0"/>
        <v>0</v>
      </c>
      <c r="J8" s="846">
        <f t="shared" si="0"/>
        <v>0</v>
      </c>
      <c r="K8" s="846">
        <f t="shared" si="0"/>
        <v>246</v>
      </c>
      <c r="L8" s="847">
        <f t="shared" si="0"/>
        <v>9784914.959999999</v>
      </c>
      <c r="M8" s="845">
        <f>SUM(M9:M15)</f>
        <v>246</v>
      </c>
      <c r="N8" s="846">
        <f t="shared" ref="N8:W8" si="1">SUM(N9:N15)</f>
        <v>0</v>
      </c>
      <c r="O8" s="846">
        <f t="shared" si="1"/>
        <v>0</v>
      </c>
      <c r="P8" s="846">
        <f t="shared" si="1"/>
        <v>0</v>
      </c>
      <c r="Q8" s="846">
        <f t="shared" si="1"/>
        <v>0</v>
      </c>
      <c r="R8" s="846">
        <f t="shared" si="1"/>
        <v>0</v>
      </c>
      <c r="S8" s="846">
        <f t="shared" si="1"/>
        <v>0</v>
      </c>
      <c r="T8" s="846">
        <f t="shared" si="1"/>
        <v>0</v>
      </c>
      <c r="U8" s="846">
        <f t="shared" si="1"/>
        <v>0</v>
      </c>
      <c r="V8" s="846">
        <f t="shared" si="1"/>
        <v>246</v>
      </c>
      <c r="W8" s="847">
        <f t="shared" si="1"/>
        <v>9784914.959999999</v>
      </c>
      <c r="Z8" s="81"/>
      <c r="AA8" s="81"/>
    </row>
    <row r="9" spans="1:27" ht="20.100000000000001" customHeight="1" x14ac:dyDescent="0.2">
      <c r="A9" s="848" t="s">
        <v>3672</v>
      </c>
      <c r="B9" s="849">
        <v>37</v>
      </c>
      <c r="C9" s="849"/>
      <c r="D9" s="849"/>
      <c r="E9" s="849"/>
      <c r="F9" s="849"/>
      <c r="G9" s="849"/>
      <c r="H9" s="849"/>
      <c r="I9" s="849"/>
      <c r="J9" s="849"/>
      <c r="K9" s="850">
        <f>SUM(B9:J9)</f>
        <v>37</v>
      </c>
      <c r="L9" s="851">
        <v>1242578.08</v>
      </c>
      <c r="M9" s="849">
        <v>37</v>
      </c>
      <c r="N9" s="849"/>
      <c r="O9" s="849"/>
      <c r="P9" s="849"/>
      <c r="Q9" s="849"/>
      <c r="R9" s="849"/>
      <c r="S9" s="849"/>
      <c r="T9" s="849"/>
      <c r="U9" s="849"/>
      <c r="V9" s="850">
        <f>SUM(M9:U9)</f>
        <v>37</v>
      </c>
      <c r="W9" s="851">
        <v>1242578.08</v>
      </c>
      <c r="Z9" s="81"/>
      <c r="AA9" s="81"/>
    </row>
    <row r="10" spans="1:27" ht="20.100000000000001" customHeight="1" x14ac:dyDescent="0.2">
      <c r="A10" s="848" t="s">
        <v>3673</v>
      </c>
      <c r="B10" s="849">
        <v>50</v>
      </c>
      <c r="C10" s="849"/>
      <c r="D10" s="849"/>
      <c r="E10" s="849"/>
      <c r="F10" s="849"/>
      <c r="G10" s="849"/>
      <c r="H10" s="849"/>
      <c r="I10" s="849"/>
      <c r="J10" s="849"/>
      <c r="K10" s="850">
        <f t="shared" ref="K10:K73" si="2">SUM(B10:J10)</f>
        <v>50</v>
      </c>
      <c r="L10" s="851">
        <v>1677511.0399999998</v>
      </c>
      <c r="M10" s="849">
        <v>50</v>
      </c>
      <c r="N10" s="849"/>
      <c r="O10" s="849"/>
      <c r="P10" s="849"/>
      <c r="Q10" s="849"/>
      <c r="R10" s="849"/>
      <c r="S10" s="849"/>
      <c r="T10" s="849"/>
      <c r="U10" s="849"/>
      <c r="V10" s="850">
        <f t="shared" ref="V10:V15" si="3">SUM(M10:U10)</f>
        <v>50</v>
      </c>
      <c r="W10" s="851">
        <v>1677511.0399999998</v>
      </c>
      <c r="Z10" s="81"/>
      <c r="AA10" s="81"/>
    </row>
    <row r="11" spans="1:27" ht="20.100000000000001" customHeight="1" x14ac:dyDescent="0.2">
      <c r="A11" s="848" t="s">
        <v>3674</v>
      </c>
      <c r="B11" s="849">
        <v>75</v>
      </c>
      <c r="C11" s="849"/>
      <c r="D11" s="849"/>
      <c r="E11" s="849"/>
      <c r="F11" s="849"/>
      <c r="G11" s="849"/>
      <c r="H11" s="849"/>
      <c r="I11" s="849"/>
      <c r="J11" s="849"/>
      <c r="K11" s="850">
        <f t="shared" si="2"/>
        <v>75</v>
      </c>
      <c r="L11" s="851">
        <v>3065321.16</v>
      </c>
      <c r="M11" s="849">
        <v>75</v>
      </c>
      <c r="N11" s="849"/>
      <c r="O11" s="849"/>
      <c r="P11" s="849"/>
      <c r="Q11" s="849"/>
      <c r="R11" s="849"/>
      <c r="S11" s="849"/>
      <c r="T11" s="849"/>
      <c r="U11" s="849"/>
      <c r="V11" s="850">
        <f t="shared" si="3"/>
        <v>75</v>
      </c>
      <c r="W11" s="851">
        <v>3065321.16</v>
      </c>
      <c r="Z11" s="81"/>
      <c r="AA11" s="81"/>
    </row>
    <row r="12" spans="1:27" ht="20.100000000000001" customHeight="1" x14ac:dyDescent="0.2">
      <c r="A12" s="848" t="s">
        <v>3675</v>
      </c>
      <c r="B12" s="849">
        <v>62</v>
      </c>
      <c r="C12" s="849"/>
      <c r="D12" s="849"/>
      <c r="E12" s="849"/>
      <c r="F12" s="849"/>
      <c r="G12" s="849"/>
      <c r="H12" s="849"/>
      <c r="I12" s="849"/>
      <c r="J12" s="849"/>
      <c r="K12" s="850">
        <f t="shared" si="2"/>
        <v>62</v>
      </c>
      <c r="L12" s="851">
        <v>2765428.4000000004</v>
      </c>
      <c r="M12" s="849">
        <v>62</v>
      </c>
      <c r="N12" s="849"/>
      <c r="O12" s="849"/>
      <c r="P12" s="849"/>
      <c r="Q12" s="849"/>
      <c r="R12" s="849"/>
      <c r="S12" s="849"/>
      <c r="T12" s="849"/>
      <c r="U12" s="849"/>
      <c r="V12" s="850">
        <f t="shared" si="3"/>
        <v>62</v>
      </c>
      <c r="W12" s="851">
        <v>2765428.4000000004</v>
      </c>
      <c r="Z12" s="81"/>
      <c r="AA12" s="81"/>
    </row>
    <row r="13" spans="1:27" ht="20.100000000000001" customHeight="1" x14ac:dyDescent="0.2">
      <c r="A13" s="848" t="s">
        <v>3676</v>
      </c>
      <c r="B13" s="849">
        <v>19</v>
      </c>
      <c r="C13" s="849"/>
      <c r="D13" s="849"/>
      <c r="E13" s="849"/>
      <c r="F13" s="849"/>
      <c r="G13" s="849"/>
      <c r="H13" s="849"/>
      <c r="I13" s="849"/>
      <c r="J13" s="849"/>
      <c r="K13" s="850">
        <f t="shared" si="2"/>
        <v>19</v>
      </c>
      <c r="L13" s="851">
        <v>956460.04</v>
      </c>
      <c r="M13" s="849">
        <v>19</v>
      </c>
      <c r="N13" s="849"/>
      <c r="O13" s="849"/>
      <c r="P13" s="849"/>
      <c r="Q13" s="849"/>
      <c r="R13" s="849"/>
      <c r="S13" s="849"/>
      <c r="T13" s="849"/>
      <c r="U13" s="849"/>
      <c r="V13" s="850">
        <f t="shared" si="3"/>
        <v>19</v>
      </c>
      <c r="W13" s="851">
        <v>956460.04</v>
      </c>
      <c r="Z13" s="81"/>
      <c r="AA13" s="81"/>
    </row>
    <row r="14" spans="1:27" ht="20.100000000000001" customHeight="1" x14ac:dyDescent="0.2">
      <c r="A14" s="848" t="s">
        <v>3677</v>
      </c>
      <c r="B14" s="849">
        <v>2</v>
      </c>
      <c r="C14" s="849"/>
      <c r="D14" s="849"/>
      <c r="E14" s="849"/>
      <c r="F14" s="849"/>
      <c r="G14" s="849"/>
      <c r="H14" s="849"/>
      <c r="I14" s="849"/>
      <c r="J14" s="849"/>
      <c r="K14" s="850">
        <f t="shared" si="2"/>
        <v>2</v>
      </c>
      <c r="L14" s="851">
        <v>65588.479999999996</v>
      </c>
      <c r="M14" s="849">
        <v>2</v>
      </c>
      <c r="N14" s="849"/>
      <c r="O14" s="849"/>
      <c r="P14" s="849"/>
      <c r="Q14" s="849"/>
      <c r="R14" s="849"/>
      <c r="S14" s="849"/>
      <c r="T14" s="849"/>
      <c r="U14" s="849"/>
      <c r="V14" s="850">
        <f t="shared" si="3"/>
        <v>2</v>
      </c>
      <c r="W14" s="851">
        <v>65588.479999999996</v>
      </c>
      <c r="Z14" s="81"/>
      <c r="AA14" s="81"/>
    </row>
    <row r="15" spans="1:27" ht="20.100000000000001" customHeight="1" x14ac:dyDescent="0.2">
      <c r="A15" s="848" t="s">
        <v>3678</v>
      </c>
      <c r="B15" s="849">
        <v>1</v>
      </c>
      <c r="C15" s="849"/>
      <c r="D15" s="849"/>
      <c r="E15" s="849"/>
      <c r="F15" s="849"/>
      <c r="G15" s="849"/>
      <c r="H15" s="849"/>
      <c r="I15" s="849"/>
      <c r="J15" s="849"/>
      <c r="K15" s="850">
        <f t="shared" si="2"/>
        <v>1</v>
      </c>
      <c r="L15" s="851">
        <v>12027.76</v>
      </c>
      <c r="M15" s="849">
        <v>1</v>
      </c>
      <c r="N15" s="849"/>
      <c r="O15" s="849"/>
      <c r="P15" s="849"/>
      <c r="Q15" s="849"/>
      <c r="R15" s="849"/>
      <c r="S15" s="849"/>
      <c r="T15" s="849"/>
      <c r="U15" s="849"/>
      <c r="V15" s="850">
        <f t="shared" si="3"/>
        <v>1</v>
      </c>
      <c r="W15" s="851">
        <v>12027.76</v>
      </c>
      <c r="Z15" s="81"/>
      <c r="AA15" s="81"/>
    </row>
    <row r="16" spans="1:27" ht="20.100000000000001" customHeight="1" x14ac:dyDescent="0.2">
      <c r="A16" s="844" t="s">
        <v>3679</v>
      </c>
      <c r="B16" s="845">
        <f>SUM(B17:B22)</f>
        <v>349</v>
      </c>
      <c r="C16" s="845">
        <f t="shared" ref="C16:L16" si="4">SUM(C17:C22)</f>
        <v>0</v>
      </c>
      <c r="D16" s="845">
        <f t="shared" si="4"/>
        <v>0</v>
      </c>
      <c r="E16" s="845">
        <f t="shared" si="4"/>
        <v>0</v>
      </c>
      <c r="F16" s="845">
        <f t="shared" si="4"/>
        <v>0</v>
      </c>
      <c r="G16" s="845">
        <f t="shared" si="4"/>
        <v>0</v>
      </c>
      <c r="H16" s="845">
        <f t="shared" si="4"/>
        <v>0</v>
      </c>
      <c r="I16" s="845">
        <f t="shared" si="4"/>
        <v>0</v>
      </c>
      <c r="J16" s="845">
        <f t="shared" si="4"/>
        <v>0</v>
      </c>
      <c r="K16" s="845">
        <f t="shared" si="4"/>
        <v>349</v>
      </c>
      <c r="L16" s="852">
        <f t="shared" si="4"/>
        <v>11309607.039999999</v>
      </c>
      <c r="M16" s="845">
        <f>SUM(M17:M22)</f>
        <v>349</v>
      </c>
      <c r="N16" s="845">
        <f t="shared" ref="N16:W16" si="5">SUM(N17:N22)</f>
        <v>0</v>
      </c>
      <c r="O16" s="845">
        <f t="shared" si="5"/>
        <v>0</v>
      </c>
      <c r="P16" s="845">
        <f t="shared" si="5"/>
        <v>0</v>
      </c>
      <c r="Q16" s="845">
        <f t="shared" si="5"/>
        <v>0</v>
      </c>
      <c r="R16" s="845">
        <f t="shared" si="5"/>
        <v>0</v>
      </c>
      <c r="S16" s="845">
        <f t="shared" si="5"/>
        <v>0</v>
      </c>
      <c r="T16" s="845">
        <f t="shared" si="5"/>
        <v>0</v>
      </c>
      <c r="U16" s="845">
        <f t="shared" si="5"/>
        <v>0</v>
      </c>
      <c r="V16" s="845">
        <f t="shared" si="5"/>
        <v>349</v>
      </c>
      <c r="W16" s="852">
        <f t="shared" si="5"/>
        <v>11309607.039999999</v>
      </c>
      <c r="Z16" s="81"/>
      <c r="AA16" s="81"/>
    </row>
    <row r="17" spans="1:27" ht="20.100000000000001" customHeight="1" x14ac:dyDescent="0.2">
      <c r="A17" s="848" t="s">
        <v>3680</v>
      </c>
      <c r="B17" s="849">
        <v>51</v>
      </c>
      <c r="C17" s="849"/>
      <c r="D17" s="849"/>
      <c r="E17" s="849"/>
      <c r="F17" s="849"/>
      <c r="G17" s="849"/>
      <c r="H17" s="849"/>
      <c r="I17" s="849"/>
      <c r="J17" s="849"/>
      <c r="K17" s="850">
        <f t="shared" si="2"/>
        <v>51</v>
      </c>
      <c r="L17" s="851">
        <v>1884043.4399999997</v>
      </c>
      <c r="M17" s="849">
        <v>51</v>
      </c>
      <c r="N17" s="849"/>
      <c r="O17" s="849"/>
      <c r="P17" s="849"/>
      <c r="Q17" s="849"/>
      <c r="R17" s="849"/>
      <c r="S17" s="849"/>
      <c r="T17" s="849"/>
      <c r="U17" s="849"/>
      <c r="V17" s="850">
        <f t="shared" ref="V17:V22" si="6">SUM(M17:U17)</f>
        <v>51</v>
      </c>
      <c r="W17" s="851">
        <v>1884043.4399999997</v>
      </c>
      <c r="Z17" s="81"/>
      <c r="AA17" s="81"/>
    </row>
    <row r="18" spans="1:27" ht="20.100000000000001" customHeight="1" x14ac:dyDescent="0.2">
      <c r="A18" s="848" t="s">
        <v>3681</v>
      </c>
      <c r="B18" s="849">
        <v>27</v>
      </c>
      <c r="C18" s="849"/>
      <c r="D18" s="849"/>
      <c r="E18" s="849"/>
      <c r="F18" s="849"/>
      <c r="G18" s="849"/>
      <c r="H18" s="849"/>
      <c r="I18" s="849"/>
      <c r="J18" s="849"/>
      <c r="K18" s="850">
        <f t="shared" si="2"/>
        <v>27</v>
      </c>
      <c r="L18" s="851">
        <v>810763.67999999993</v>
      </c>
      <c r="M18" s="849">
        <v>27</v>
      </c>
      <c r="N18" s="849"/>
      <c r="O18" s="849"/>
      <c r="P18" s="849"/>
      <c r="Q18" s="849"/>
      <c r="R18" s="849"/>
      <c r="S18" s="849"/>
      <c r="T18" s="849"/>
      <c r="U18" s="849"/>
      <c r="V18" s="850">
        <f t="shared" si="6"/>
        <v>27</v>
      </c>
      <c r="W18" s="851">
        <v>810763.67999999993</v>
      </c>
      <c r="Z18" s="81"/>
      <c r="AA18" s="81"/>
    </row>
    <row r="19" spans="1:27" ht="20.100000000000001" customHeight="1" x14ac:dyDescent="0.2">
      <c r="A19" s="848" t="s">
        <v>3682</v>
      </c>
      <c r="B19" s="849">
        <v>82</v>
      </c>
      <c r="C19" s="849"/>
      <c r="D19" s="849"/>
      <c r="E19" s="849"/>
      <c r="F19" s="849"/>
      <c r="G19" s="849"/>
      <c r="H19" s="849"/>
      <c r="I19" s="849"/>
      <c r="J19" s="849"/>
      <c r="K19" s="850">
        <f t="shared" si="2"/>
        <v>82</v>
      </c>
      <c r="L19" s="851">
        <v>3003889.84</v>
      </c>
      <c r="M19" s="849">
        <v>82</v>
      </c>
      <c r="N19" s="849"/>
      <c r="O19" s="849"/>
      <c r="P19" s="849"/>
      <c r="Q19" s="849"/>
      <c r="R19" s="849"/>
      <c r="S19" s="849"/>
      <c r="T19" s="849"/>
      <c r="U19" s="849"/>
      <c r="V19" s="850">
        <f t="shared" si="6"/>
        <v>82</v>
      </c>
      <c r="W19" s="851">
        <v>3003889.84</v>
      </c>
      <c r="Z19" s="81"/>
      <c r="AA19" s="81"/>
    </row>
    <row r="20" spans="1:27" ht="20.100000000000001" customHeight="1" x14ac:dyDescent="0.2">
      <c r="A20" s="848" t="s">
        <v>3683</v>
      </c>
      <c r="B20" s="849">
        <v>105</v>
      </c>
      <c r="C20" s="849"/>
      <c r="D20" s="849"/>
      <c r="E20" s="849"/>
      <c r="F20" s="849"/>
      <c r="G20" s="849"/>
      <c r="H20" s="849"/>
      <c r="I20" s="849"/>
      <c r="J20" s="849"/>
      <c r="K20" s="850">
        <f t="shared" si="2"/>
        <v>105</v>
      </c>
      <c r="L20" s="851">
        <v>3135329.64</v>
      </c>
      <c r="M20" s="849">
        <v>105</v>
      </c>
      <c r="N20" s="849"/>
      <c r="O20" s="849"/>
      <c r="P20" s="849"/>
      <c r="Q20" s="849"/>
      <c r="R20" s="849"/>
      <c r="S20" s="849"/>
      <c r="T20" s="849"/>
      <c r="U20" s="849"/>
      <c r="V20" s="850">
        <f t="shared" si="6"/>
        <v>105</v>
      </c>
      <c r="W20" s="851">
        <v>3135329.64</v>
      </c>
      <c r="Z20" s="81"/>
      <c r="AA20" s="81"/>
    </row>
    <row r="21" spans="1:27" ht="20.100000000000001" customHeight="1" x14ac:dyDescent="0.2">
      <c r="A21" s="848" t="s">
        <v>3684</v>
      </c>
      <c r="B21" s="849">
        <v>49</v>
      </c>
      <c r="C21" s="849"/>
      <c r="D21" s="849"/>
      <c r="E21" s="849"/>
      <c r="F21" s="849"/>
      <c r="G21" s="849"/>
      <c r="H21" s="849"/>
      <c r="I21" s="849"/>
      <c r="J21" s="849"/>
      <c r="K21" s="850">
        <f t="shared" si="2"/>
        <v>49</v>
      </c>
      <c r="L21" s="851">
        <v>1448005.2400000002</v>
      </c>
      <c r="M21" s="849">
        <v>49</v>
      </c>
      <c r="N21" s="849"/>
      <c r="O21" s="849"/>
      <c r="P21" s="849"/>
      <c r="Q21" s="849"/>
      <c r="R21" s="849"/>
      <c r="S21" s="849"/>
      <c r="T21" s="849"/>
      <c r="U21" s="849"/>
      <c r="V21" s="850">
        <f t="shared" si="6"/>
        <v>49</v>
      </c>
      <c r="W21" s="851">
        <v>1448005.2400000002</v>
      </c>
      <c r="Z21" s="81"/>
      <c r="AA21" s="81"/>
    </row>
    <row r="22" spans="1:27" ht="20.100000000000001" customHeight="1" x14ac:dyDescent="0.2">
      <c r="A22" s="848" t="s">
        <v>3685</v>
      </c>
      <c r="B22" s="849">
        <v>35</v>
      </c>
      <c r="C22" s="849"/>
      <c r="D22" s="849"/>
      <c r="E22" s="849"/>
      <c r="F22" s="849"/>
      <c r="G22" s="849"/>
      <c r="H22" s="849"/>
      <c r="I22" s="849"/>
      <c r="J22" s="849"/>
      <c r="K22" s="850">
        <f t="shared" si="2"/>
        <v>35</v>
      </c>
      <c r="L22" s="851">
        <v>1027575.2000000001</v>
      </c>
      <c r="M22" s="849">
        <v>35</v>
      </c>
      <c r="N22" s="849"/>
      <c r="O22" s="849"/>
      <c r="P22" s="849"/>
      <c r="Q22" s="849"/>
      <c r="R22" s="849"/>
      <c r="S22" s="849"/>
      <c r="T22" s="849"/>
      <c r="U22" s="849"/>
      <c r="V22" s="850">
        <f t="shared" si="6"/>
        <v>35</v>
      </c>
      <c r="W22" s="851">
        <v>1027575.2000000001</v>
      </c>
      <c r="Z22" s="81"/>
      <c r="AA22" s="81"/>
    </row>
    <row r="23" spans="1:27" ht="20.100000000000001" customHeight="1" x14ac:dyDescent="0.2">
      <c r="A23" s="844" t="s">
        <v>3686</v>
      </c>
      <c r="B23" s="845">
        <f>SUM(B24:B29)</f>
        <v>843</v>
      </c>
      <c r="C23" s="845">
        <f t="shared" ref="C23:L23" si="7">SUM(C24:C29)</f>
        <v>0</v>
      </c>
      <c r="D23" s="845">
        <f t="shared" si="7"/>
        <v>0</v>
      </c>
      <c r="E23" s="845">
        <f t="shared" si="7"/>
        <v>0</v>
      </c>
      <c r="F23" s="845">
        <f t="shared" si="7"/>
        <v>0</v>
      </c>
      <c r="G23" s="845">
        <f t="shared" si="7"/>
        <v>0</v>
      </c>
      <c r="H23" s="845">
        <f t="shared" si="7"/>
        <v>0</v>
      </c>
      <c r="I23" s="845">
        <f t="shared" si="7"/>
        <v>0</v>
      </c>
      <c r="J23" s="845">
        <f t="shared" si="7"/>
        <v>0</v>
      </c>
      <c r="K23" s="845">
        <f t="shared" si="7"/>
        <v>843</v>
      </c>
      <c r="L23" s="852">
        <f t="shared" si="7"/>
        <v>23453755.439999998</v>
      </c>
      <c r="M23" s="845">
        <f>SUM(M24:M29)</f>
        <v>843</v>
      </c>
      <c r="N23" s="845">
        <f t="shared" ref="N23:W23" si="8">SUM(N24:N29)</f>
        <v>0</v>
      </c>
      <c r="O23" s="845">
        <f t="shared" si="8"/>
        <v>0</v>
      </c>
      <c r="P23" s="845">
        <f t="shared" si="8"/>
        <v>0</v>
      </c>
      <c r="Q23" s="845">
        <f t="shared" si="8"/>
        <v>0</v>
      </c>
      <c r="R23" s="845">
        <f t="shared" si="8"/>
        <v>0</v>
      </c>
      <c r="S23" s="845">
        <f t="shared" si="8"/>
        <v>0</v>
      </c>
      <c r="T23" s="845">
        <f t="shared" si="8"/>
        <v>0</v>
      </c>
      <c r="U23" s="845">
        <f t="shared" si="8"/>
        <v>0</v>
      </c>
      <c r="V23" s="845">
        <f t="shared" si="8"/>
        <v>843</v>
      </c>
      <c r="W23" s="852">
        <f t="shared" si="8"/>
        <v>23453755.439999998</v>
      </c>
      <c r="Z23" s="81"/>
      <c r="AA23" s="81"/>
    </row>
    <row r="24" spans="1:27" ht="20.100000000000001" customHeight="1" x14ac:dyDescent="0.2">
      <c r="A24" s="848" t="s">
        <v>3687</v>
      </c>
      <c r="B24" s="849">
        <v>319</v>
      </c>
      <c r="C24" s="849"/>
      <c r="D24" s="849"/>
      <c r="E24" s="849"/>
      <c r="F24" s="849"/>
      <c r="G24" s="849"/>
      <c r="H24" s="849"/>
      <c r="I24" s="849"/>
      <c r="J24" s="849"/>
      <c r="K24" s="850">
        <f t="shared" si="2"/>
        <v>319</v>
      </c>
      <c r="L24" s="851">
        <v>9088853.6799999997</v>
      </c>
      <c r="M24" s="849">
        <v>319</v>
      </c>
      <c r="N24" s="849"/>
      <c r="O24" s="849"/>
      <c r="P24" s="849"/>
      <c r="Q24" s="849"/>
      <c r="R24" s="849"/>
      <c r="S24" s="849"/>
      <c r="T24" s="849"/>
      <c r="U24" s="849"/>
      <c r="V24" s="850">
        <f t="shared" ref="V24:V29" si="9">SUM(M24:U24)</f>
        <v>319</v>
      </c>
      <c r="W24" s="851">
        <v>9088853.6799999997</v>
      </c>
      <c r="Z24" s="81"/>
      <c r="AA24" s="81"/>
    </row>
    <row r="25" spans="1:27" ht="20.100000000000001" customHeight="1" x14ac:dyDescent="0.2">
      <c r="A25" s="848" t="s">
        <v>3688</v>
      </c>
      <c r="B25" s="849">
        <v>126</v>
      </c>
      <c r="C25" s="849"/>
      <c r="D25" s="849"/>
      <c r="E25" s="849"/>
      <c r="F25" s="849"/>
      <c r="G25" s="849"/>
      <c r="H25" s="849"/>
      <c r="I25" s="849"/>
      <c r="J25" s="849"/>
      <c r="K25" s="850">
        <f t="shared" si="2"/>
        <v>126</v>
      </c>
      <c r="L25" s="851">
        <v>3621000.3599999994</v>
      </c>
      <c r="M25" s="849">
        <v>126</v>
      </c>
      <c r="N25" s="849"/>
      <c r="O25" s="849"/>
      <c r="P25" s="849"/>
      <c r="Q25" s="849"/>
      <c r="R25" s="849"/>
      <c r="S25" s="849"/>
      <c r="T25" s="849"/>
      <c r="U25" s="849"/>
      <c r="V25" s="850">
        <f t="shared" si="9"/>
        <v>126</v>
      </c>
      <c r="W25" s="851">
        <v>3621000.3599999994</v>
      </c>
      <c r="Z25" s="81"/>
      <c r="AA25" s="81"/>
    </row>
    <row r="26" spans="1:27" ht="20.100000000000001" customHeight="1" x14ac:dyDescent="0.2">
      <c r="A26" s="848" t="s">
        <v>3689</v>
      </c>
      <c r="B26" s="849">
        <v>188</v>
      </c>
      <c r="C26" s="849"/>
      <c r="D26" s="849"/>
      <c r="E26" s="849"/>
      <c r="F26" s="849"/>
      <c r="G26" s="849"/>
      <c r="H26" s="849"/>
      <c r="I26" s="849"/>
      <c r="J26" s="849"/>
      <c r="K26" s="850">
        <f t="shared" si="2"/>
        <v>188</v>
      </c>
      <c r="L26" s="851">
        <v>4928870.4799999986</v>
      </c>
      <c r="M26" s="849">
        <v>188</v>
      </c>
      <c r="N26" s="849"/>
      <c r="O26" s="849"/>
      <c r="P26" s="849"/>
      <c r="Q26" s="849"/>
      <c r="R26" s="849"/>
      <c r="S26" s="849"/>
      <c r="T26" s="849"/>
      <c r="U26" s="849"/>
      <c r="V26" s="850">
        <f t="shared" si="9"/>
        <v>188</v>
      </c>
      <c r="W26" s="851">
        <v>4928870.4799999986</v>
      </c>
      <c r="Z26" s="81"/>
      <c r="AA26" s="81"/>
    </row>
    <row r="27" spans="1:27" ht="20.100000000000001" customHeight="1" x14ac:dyDescent="0.2">
      <c r="A27" s="848" t="s">
        <v>3690</v>
      </c>
      <c r="B27" s="849">
        <v>137</v>
      </c>
      <c r="C27" s="849"/>
      <c r="D27" s="849"/>
      <c r="E27" s="849"/>
      <c r="F27" s="849"/>
      <c r="G27" s="849"/>
      <c r="H27" s="849"/>
      <c r="I27" s="849"/>
      <c r="J27" s="849"/>
      <c r="K27" s="850">
        <f t="shared" si="2"/>
        <v>137</v>
      </c>
      <c r="L27" s="851">
        <v>3863370.44</v>
      </c>
      <c r="M27" s="849">
        <v>137</v>
      </c>
      <c r="N27" s="849"/>
      <c r="O27" s="849"/>
      <c r="P27" s="849"/>
      <c r="Q27" s="849"/>
      <c r="R27" s="849"/>
      <c r="S27" s="849"/>
      <c r="T27" s="849"/>
      <c r="U27" s="849"/>
      <c r="V27" s="850">
        <f t="shared" si="9"/>
        <v>137</v>
      </c>
      <c r="W27" s="851">
        <v>3863370.44</v>
      </c>
      <c r="Z27" s="81"/>
      <c r="AA27" s="81"/>
    </row>
    <row r="28" spans="1:27" ht="20.100000000000001" customHeight="1" x14ac:dyDescent="0.2">
      <c r="A28" s="848" t="s">
        <v>3691</v>
      </c>
      <c r="B28" s="849">
        <v>63</v>
      </c>
      <c r="C28" s="849"/>
      <c r="D28" s="849"/>
      <c r="E28" s="849"/>
      <c r="F28" s="849"/>
      <c r="G28" s="849"/>
      <c r="H28" s="849"/>
      <c r="I28" s="849"/>
      <c r="J28" s="849"/>
      <c r="K28" s="850">
        <f t="shared" si="2"/>
        <v>63</v>
      </c>
      <c r="L28" s="851">
        <v>1675747.5599999998</v>
      </c>
      <c r="M28" s="849">
        <v>63</v>
      </c>
      <c r="N28" s="849"/>
      <c r="O28" s="849"/>
      <c r="P28" s="849"/>
      <c r="Q28" s="849"/>
      <c r="R28" s="849"/>
      <c r="S28" s="849"/>
      <c r="T28" s="849"/>
      <c r="U28" s="849"/>
      <c r="V28" s="850">
        <f t="shared" si="9"/>
        <v>63</v>
      </c>
      <c r="W28" s="851">
        <v>1675747.5599999998</v>
      </c>
      <c r="Z28" s="81"/>
      <c r="AA28" s="81"/>
    </row>
    <row r="29" spans="1:27" ht="20.100000000000001" customHeight="1" x14ac:dyDescent="0.2">
      <c r="A29" s="848" t="s">
        <v>3692</v>
      </c>
      <c r="B29" s="849">
        <v>10</v>
      </c>
      <c r="C29" s="849"/>
      <c r="D29" s="849"/>
      <c r="E29" s="849"/>
      <c r="F29" s="849"/>
      <c r="G29" s="849"/>
      <c r="H29" s="849"/>
      <c r="I29" s="849"/>
      <c r="J29" s="849"/>
      <c r="K29" s="850">
        <f t="shared" si="2"/>
        <v>10</v>
      </c>
      <c r="L29" s="851">
        <v>275912.92</v>
      </c>
      <c r="M29" s="849">
        <v>10</v>
      </c>
      <c r="N29" s="849"/>
      <c r="O29" s="849"/>
      <c r="P29" s="849"/>
      <c r="Q29" s="849"/>
      <c r="R29" s="849"/>
      <c r="S29" s="849"/>
      <c r="T29" s="849"/>
      <c r="U29" s="849"/>
      <c r="V29" s="850">
        <f t="shared" si="9"/>
        <v>10</v>
      </c>
      <c r="W29" s="851">
        <v>275912.92</v>
      </c>
      <c r="Z29" s="81"/>
      <c r="AA29" s="81"/>
    </row>
    <row r="30" spans="1:27" ht="20.100000000000001" customHeight="1" x14ac:dyDescent="0.2">
      <c r="A30" s="844" t="s">
        <v>3693</v>
      </c>
      <c r="B30" s="845">
        <f>SUM(B31:B36)</f>
        <v>287</v>
      </c>
      <c r="C30" s="845">
        <f t="shared" ref="C30:L30" si="10">SUM(C31:C36)</f>
        <v>0</v>
      </c>
      <c r="D30" s="845">
        <f t="shared" si="10"/>
        <v>0</v>
      </c>
      <c r="E30" s="845">
        <f t="shared" si="10"/>
        <v>0</v>
      </c>
      <c r="F30" s="845">
        <f t="shared" si="10"/>
        <v>0</v>
      </c>
      <c r="G30" s="845">
        <f t="shared" si="10"/>
        <v>0</v>
      </c>
      <c r="H30" s="845">
        <f t="shared" si="10"/>
        <v>0</v>
      </c>
      <c r="I30" s="845">
        <f t="shared" si="10"/>
        <v>0</v>
      </c>
      <c r="J30" s="845">
        <f t="shared" si="10"/>
        <v>0</v>
      </c>
      <c r="K30" s="845">
        <f t="shared" si="10"/>
        <v>287</v>
      </c>
      <c r="L30" s="852">
        <f t="shared" si="10"/>
        <v>7092408.0800000001</v>
      </c>
      <c r="M30" s="845">
        <f>SUM(M31:M36)</f>
        <v>287</v>
      </c>
      <c r="N30" s="845">
        <f t="shared" ref="N30:W30" si="11">SUM(N31:N36)</f>
        <v>0</v>
      </c>
      <c r="O30" s="845">
        <f t="shared" si="11"/>
        <v>0</v>
      </c>
      <c r="P30" s="845">
        <f t="shared" si="11"/>
        <v>0</v>
      </c>
      <c r="Q30" s="845">
        <f t="shared" si="11"/>
        <v>0</v>
      </c>
      <c r="R30" s="845">
        <f t="shared" si="11"/>
        <v>0</v>
      </c>
      <c r="S30" s="845">
        <f t="shared" si="11"/>
        <v>0</v>
      </c>
      <c r="T30" s="845">
        <f t="shared" si="11"/>
        <v>0</v>
      </c>
      <c r="U30" s="845">
        <f t="shared" si="11"/>
        <v>0</v>
      </c>
      <c r="V30" s="845">
        <f t="shared" si="11"/>
        <v>287</v>
      </c>
      <c r="W30" s="852">
        <f t="shared" si="11"/>
        <v>7092408.0800000001</v>
      </c>
      <c r="Z30" s="81"/>
      <c r="AA30" s="81"/>
    </row>
    <row r="31" spans="1:27" ht="20.100000000000001" customHeight="1" x14ac:dyDescent="0.2">
      <c r="A31" s="848" t="s">
        <v>3694</v>
      </c>
      <c r="B31" s="849">
        <v>26</v>
      </c>
      <c r="C31" s="849"/>
      <c r="D31" s="849"/>
      <c r="E31" s="849"/>
      <c r="F31" s="849"/>
      <c r="G31" s="849"/>
      <c r="H31" s="849"/>
      <c r="I31" s="849"/>
      <c r="J31" s="849"/>
      <c r="K31" s="850">
        <f t="shared" si="2"/>
        <v>26</v>
      </c>
      <c r="L31" s="851">
        <v>659356.04</v>
      </c>
      <c r="M31" s="849">
        <v>26</v>
      </c>
      <c r="N31" s="849"/>
      <c r="O31" s="849"/>
      <c r="P31" s="849"/>
      <c r="Q31" s="849"/>
      <c r="R31" s="849"/>
      <c r="S31" s="849"/>
      <c r="T31" s="849"/>
      <c r="U31" s="849"/>
      <c r="V31" s="850">
        <f t="shared" ref="V31:V36" si="12">SUM(M31:U31)</f>
        <v>26</v>
      </c>
      <c r="W31" s="851">
        <v>659356.04</v>
      </c>
      <c r="X31" s="81"/>
      <c r="Y31" s="81"/>
      <c r="Z31" s="81"/>
      <c r="AA31" s="81"/>
    </row>
    <row r="32" spans="1:27" ht="20.100000000000001" customHeight="1" x14ac:dyDescent="0.2">
      <c r="A32" s="848" t="s">
        <v>3695</v>
      </c>
      <c r="B32" s="849">
        <v>5</v>
      </c>
      <c r="C32" s="849"/>
      <c r="D32" s="849"/>
      <c r="E32" s="849"/>
      <c r="F32" s="849"/>
      <c r="G32" s="849"/>
      <c r="H32" s="849"/>
      <c r="I32" s="849"/>
      <c r="J32" s="849"/>
      <c r="K32" s="850">
        <f t="shared" si="2"/>
        <v>5</v>
      </c>
      <c r="L32" s="851">
        <v>119745.8</v>
      </c>
      <c r="M32" s="849">
        <v>5</v>
      </c>
      <c r="N32" s="849"/>
      <c r="O32" s="849"/>
      <c r="P32" s="849"/>
      <c r="Q32" s="849"/>
      <c r="R32" s="849"/>
      <c r="S32" s="849"/>
      <c r="T32" s="849"/>
      <c r="U32" s="849"/>
      <c r="V32" s="850">
        <f t="shared" si="12"/>
        <v>5</v>
      </c>
      <c r="W32" s="851">
        <v>119745.8</v>
      </c>
      <c r="X32" s="81"/>
      <c r="Y32" s="81"/>
      <c r="Z32" s="81"/>
      <c r="AA32" s="81"/>
    </row>
    <row r="33" spans="1:27" ht="20.100000000000001" customHeight="1" x14ac:dyDescent="0.2">
      <c r="A33" s="848" t="s">
        <v>3696</v>
      </c>
      <c r="B33" s="849">
        <v>9</v>
      </c>
      <c r="C33" s="849"/>
      <c r="D33" s="849"/>
      <c r="E33" s="849"/>
      <c r="F33" s="849"/>
      <c r="G33" s="849"/>
      <c r="H33" s="849"/>
      <c r="I33" s="849"/>
      <c r="J33" s="849"/>
      <c r="K33" s="850">
        <f t="shared" si="2"/>
        <v>9</v>
      </c>
      <c r="L33" s="851">
        <v>202868.63999999998</v>
      </c>
      <c r="M33" s="849">
        <v>9</v>
      </c>
      <c r="N33" s="849"/>
      <c r="O33" s="849"/>
      <c r="P33" s="849"/>
      <c r="Q33" s="849"/>
      <c r="R33" s="849"/>
      <c r="S33" s="849"/>
      <c r="T33" s="849"/>
      <c r="U33" s="849"/>
      <c r="V33" s="850">
        <f t="shared" si="12"/>
        <v>9</v>
      </c>
      <c r="W33" s="851">
        <v>202868.63999999998</v>
      </c>
      <c r="X33" s="81"/>
      <c r="Y33" s="81"/>
      <c r="Z33" s="81"/>
      <c r="AA33" s="81"/>
    </row>
    <row r="34" spans="1:27" ht="20.100000000000001" customHeight="1" x14ac:dyDescent="0.2">
      <c r="A34" s="848" t="s">
        <v>3697</v>
      </c>
      <c r="B34" s="849">
        <v>15</v>
      </c>
      <c r="C34" s="849"/>
      <c r="D34" s="849"/>
      <c r="E34" s="849"/>
      <c r="F34" s="849"/>
      <c r="G34" s="849"/>
      <c r="H34" s="849"/>
      <c r="I34" s="849"/>
      <c r="J34" s="849"/>
      <c r="K34" s="850">
        <f t="shared" si="2"/>
        <v>15</v>
      </c>
      <c r="L34" s="851">
        <v>381442.8</v>
      </c>
      <c r="M34" s="849">
        <v>15</v>
      </c>
      <c r="N34" s="849"/>
      <c r="O34" s="849"/>
      <c r="P34" s="849"/>
      <c r="Q34" s="849"/>
      <c r="R34" s="849"/>
      <c r="S34" s="849"/>
      <c r="T34" s="849"/>
      <c r="U34" s="849"/>
      <c r="V34" s="850">
        <f t="shared" si="12"/>
        <v>15</v>
      </c>
      <c r="W34" s="851">
        <v>381442.8</v>
      </c>
    </row>
    <row r="35" spans="1:27" ht="20.100000000000001" customHeight="1" x14ac:dyDescent="0.2">
      <c r="A35" s="848" t="s">
        <v>3698</v>
      </c>
      <c r="B35" s="849">
        <v>228</v>
      </c>
      <c r="C35" s="849"/>
      <c r="D35" s="849"/>
      <c r="E35" s="849"/>
      <c r="F35" s="849"/>
      <c r="G35" s="849"/>
      <c r="H35" s="849"/>
      <c r="I35" s="849"/>
      <c r="J35" s="849"/>
      <c r="K35" s="850">
        <f t="shared" si="2"/>
        <v>228</v>
      </c>
      <c r="L35" s="851">
        <v>5632471.9199999999</v>
      </c>
      <c r="M35" s="849">
        <v>228</v>
      </c>
      <c r="N35" s="849"/>
      <c r="O35" s="849"/>
      <c r="P35" s="849"/>
      <c r="Q35" s="849"/>
      <c r="R35" s="849"/>
      <c r="S35" s="849"/>
      <c r="T35" s="849"/>
      <c r="U35" s="849"/>
      <c r="V35" s="850">
        <f t="shared" si="12"/>
        <v>228</v>
      </c>
      <c r="W35" s="851">
        <v>5632471.9199999999</v>
      </c>
    </row>
    <row r="36" spans="1:27" ht="20.100000000000001" customHeight="1" x14ac:dyDescent="0.2">
      <c r="A36" s="848" t="s">
        <v>3699</v>
      </c>
      <c r="B36" s="849">
        <v>4</v>
      </c>
      <c r="C36" s="849"/>
      <c r="D36" s="849"/>
      <c r="E36" s="849"/>
      <c r="F36" s="849"/>
      <c r="G36" s="849"/>
      <c r="H36" s="849"/>
      <c r="I36" s="849"/>
      <c r="J36" s="849"/>
      <c r="K36" s="850">
        <f t="shared" si="2"/>
        <v>4</v>
      </c>
      <c r="L36" s="851">
        <v>96522.880000000005</v>
      </c>
      <c r="M36" s="849">
        <v>4</v>
      </c>
      <c r="N36" s="849"/>
      <c r="O36" s="849"/>
      <c r="P36" s="849"/>
      <c r="Q36" s="849"/>
      <c r="R36" s="849"/>
      <c r="S36" s="849"/>
      <c r="T36" s="849"/>
      <c r="U36" s="849"/>
      <c r="V36" s="850">
        <f t="shared" si="12"/>
        <v>4</v>
      </c>
      <c r="W36" s="851">
        <v>96522.880000000005</v>
      </c>
    </row>
    <row r="37" spans="1:27" ht="20.100000000000001" customHeight="1" x14ac:dyDescent="0.2">
      <c r="A37" s="853" t="s">
        <v>3700</v>
      </c>
      <c r="B37" s="845">
        <f>SUM(B38)</f>
        <v>0</v>
      </c>
      <c r="C37" s="845">
        <f t="shared" ref="C37:L37" si="13">SUM(C38)</f>
        <v>0</v>
      </c>
      <c r="D37" s="845">
        <f t="shared" si="13"/>
        <v>0</v>
      </c>
      <c r="E37" s="845">
        <f t="shared" si="13"/>
        <v>0</v>
      </c>
      <c r="F37" s="845">
        <f t="shared" si="13"/>
        <v>0</v>
      </c>
      <c r="G37" s="845">
        <f t="shared" si="13"/>
        <v>0</v>
      </c>
      <c r="H37" s="845">
        <f t="shared" si="13"/>
        <v>0</v>
      </c>
      <c r="I37" s="845">
        <f t="shared" si="13"/>
        <v>0</v>
      </c>
      <c r="J37" s="845">
        <f t="shared" si="13"/>
        <v>21</v>
      </c>
      <c r="K37" s="845">
        <f t="shared" si="13"/>
        <v>21</v>
      </c>
      <c r="L37" s="852">
        <f t="shared" si="13"/>
        <v>1081080</v>
      </c>
      <c r="M37" s="845">
        <f>SUM(M38)</f>
        <v>0</v>
      </c>
      <c r="N37" s="845">
        <f t="shared" ref="N37:W37" si="14">SUM(N38)</f>
        <v>0</v>
      </c>
      <c r="O37" s="845">
        <f t="shared" si="14"/>
        <v>0</v>
      </c>
      <c r="P37" s="845">
        <f t="shared" si="14"/>
        <v>0</v>
      </c>
      <c r="Q37" s="845">
        <f t="shared" si="14"/>
        <v>0</v>
      </c>
      <c r="R37" s="845">
        <f t="shared" si="14"/>
        <v>0</v>
      </c>
      <c r="S37" s="845">
        <f t="shared" si="14"/>
        <v>0</v>
      </c>
      <c r="T37" s="845">
        <f t="shared" si="14"/>
        <v>0</v>
      </c>
      <c r="U37" s="845">
        <f t="shared" si="14"/>
        <v>21</v>
      </c>
      <c r="V37" s="845">
        <f t="shared" si="14"/>
        <v>21</v>
      </c>
      <c r="W37" s="852">
        <f t="shared" si="14"/>
        <v>1081080</v>
      </c>
    </row>
    <row r="38" spans="1:27" ht="20.100000000000001" customHeight="1" x14ac:dyDescent="0.2">
      <c r="A38" s="848" t="s">
        <v>3701</v>
      </c>
      <c r="B38" s="849"/>
      <c r="C38" s="849"/>
      <c r="D38" s="849"/>
      <c r="E38" s="849"/>
      <c r="F38" s="849"/>
      <c r="G38" s="849"/>
      <c r="H38" s="849"/>
      <c r="I38" s="849"/>
      <c r="J38" s="849">
        <v>21</v>
      </c>
      <c r="K38" s="850">
        <f t="shared" si="2"/>
        <v>21</v>
      </c>
      <c r="L38" s="851">
        <v>1081080</v>
      </c>
      <c r="M38" s="849"/>
      <c r="N38" s="849"/>
      <c r="O38" s="849"/>
      <c r="P38" s="849"/>
      <c r="Q38" s="849"/>
      <c r="R38" s="849"/>
      <c r="S38" s="849"/>
      <c r="T38" s="849"/>
      <c r="U38" s="849">
        <v>21</v>
      </c>
      <c r="V38" s="850">
        <f t="shared" ref="V38:V39" si="15">SUM(M38:U38)</f>
        <v>21</v>
      </c>
      <c r="W38" s="851">
        <v>1081080</v>
      </c>
    </row>
    <row r="39" spans="1:27" ht="20.100000000000001" customHeight="1" x14ac:dyDescent="0.2">
      <c r="A39" s="854" t="s">
        <v>3702</v>
      </c>
      <c r="B39" s="849"/>
      <c r="C39" s="849"/>
      <c r="D39" s="849"/>
      <c r="E39" s="849"/>
      <c r="F39" s="849"/>
      <c r="G39" s="849"/>
      <c r="H39" s="849"/>
      <c r="I39" s="849"/>
      <c r="J39" s="849"/>
      <c r="K39" s="850">
        <f t="shared" si="2"/>
        <v>0</v>
      </c>
      <c r="L39" s="851"/>
      <c r="M39" s="849"/>
      <c r="N39" s="849"/>
      <c r="O39" s="849"/>
      <c r="P39" s="849"/>
      <c r="Q39" s="849"/>
      <c r="R39" s="849"/>
      <c r="S39" s="849"/>
      <c r="T39" s="849"/>
      <c r="U39" s="849"/>
      <c r="V39" s="850">
        <f t="shared" si="15"/>
        <v>0</v>
      </c>
      <c r="W39" s="851"/>
    </row>
    <row r="40" spans="1:27" ht="20.100000000000001" customHeight="1" x14ac:dyDescent="0.2">
      <c r="A40" s="844" t="s">
        <v>3703</v>
      </c>
      <c r="B40" s="845">
        <f>SUM(B41:B44)</f>
        <v>0</v>
      </c>
      <c r="C40" s="845">
        <f t="shared" ref="C40:L40" si="16">SUM(C41:C44)</f>
        <v>32</v>
      </c>
      <c r="D40" s="845">
        <f t="shared" si="16"/>
        <v>0</v>
      </c>
      <c r="E40" s="845">
        <f t="shared" si="16"/>
        <v>0</v>
      </c>
      <c r="F40" s="845">
        <f t="shared" si="16"/>
        <v>0</v>
      </c>
      <c r="G40" s="845">
        <f t="shared" si="16"/>
        <v>0</v>
      </c>
      <c r="H40" s="845">
        <f t="shared" si="16"/>
        <v>0</v>
      </c>
      <c r="I40" s="845">
        <f t="shared" si="16"/>
        <v>0</v>
      </c>
      <c r="J40" s="845">
        <f t="shared" si="16"/>
        <v>0</v>
      </c>
      <c r="K40" s="845">
        <f t="shared" si="16"/>
        <v>32</v>
      </c>
      <c r="L40" s="852">
        <f t="shared" si="16"/>
        <v>1738573.5599999998</v>
      </c>
      <c r="M40" s="845">
        <f>SUM(M41:M44)</f>
        <v>0</v>
      </c>
      <c r="N40" s="845">
        <f t="shared" ref="N40:W40" si="17">SUM(N41:N44)</f>
        <v>32</v>
      </c>
      <c r="O40" s="845">
        <f t="shared" si="17"/>
        <v>0</v>
      </c>
      <c r="P40" s="845">
        <f t="shared" si="17"/>
        <v>0</v>
      </c>
      <c r="Q40" s="845">
        <f t="shared" si="17"/>
        <v>0</v>
      </c>
      <c r="R40" s="845">
        <f t="shared" si="17"/>
        <v>0</v>
      </c>
      <c r="S40" s="845">
        <f t="shared" si="17"/>
        <v>0</v>
      </c>
      <c r="T40" s="845">
        <f t="shared" si="17"/>
        <v>0</v>
      </c>
      <c r="U40" s="845">
        <f t="shared" si="17"/>
        <v>0</v>
      </c>
      <c r="V40" s="845">
        <f t="shared" si="17"/>
        <v>32</v>
      </c>
      <c r="W40" s="852">
        <f t="shared" si="17"/>
        <v>1738573.5599999998</v>
      </c>
    </row>
    <row r="41" spans="1:27" ht="20.100000000000001" customHeight="1" x14ac:dyDescent="0.2">
      <c r="A41" s="848" t="s">
        <v>3704</v>
      </c>
      <c r="B41" s="849"/>
      <c r="C41" s="849">
        <v>15</v>
      </c>
      <c r="D41" s="849"/>
      <c r="E41" s="849"/>
      <c r="F41" s="849"/>
      <c r="G41" s="849"/>
      <c r="H41" s="849"/>
      <c r="I41" s="849"/>
      <c r="J41" s="849"/>
      <c r="K41" s="850">
        <f t="shared" si="2"/>
        <v>15</v>
      </c>
      <c r="L41" s="851">
        <v>719709.7</v>
      </c>
      <c r="M41" s="849"/>
      <c r="N41" s="849">
        <v>15</v>
      </c>
      <c r="O41" s="849"/>
      <c r="P41" s="849"/>
      <c r="Q41" s="849"/>
      <c r="R41" s="849"/>
      <c r="S41" s="849"/>
      <c r="T41" s="849"/>
      <c r="U41" s="849"/>
      <c r="V41" s="850">
        <f t="shared" ref="V41:V44" si="18">SUM(M41:U41)</f>
        <v>15</v>
      </c>
      <c r="W41" s="851">
        <v>719709.7</v>
      </c>
    </row>
    <row r="42" spans="1:27" ht="20.100000000000001" customHeight="1" x14ac:dyDescent="0.2">
      <c r="A42" s="848" t="s">
        <v>3705</v>
      </c>
      <c r="B42" s="849"/>
      <c r="C42" s="849">
        <v>7</v>
      </c>
      <c r="D42" s="849"/>
      <c r="E42" s="849"/>
      <c r="F42" s="849"/>
      <c r="G42" s="849"/>
      <c r="H42" s="849"/>
      <c r="I42" s="849"/>
      <c r="J42" s="849"/>
      <c r="K42" s="850">
        <f t="shared" si="2"/>
        <v>7</v>
      </c>
      <c r="L42" s="851">
        <v>410926.14</v>
      </c>
      <c r="M42" s="849"/>
      <c r="N42" s="849">
        <v>7</v>
      </c>
      <c r="O42" s="849"/>
      <c r="P42" s="849"/>
      <c r="Q42" s="849"/>
      <c r="R42" s="849"/>
      <c r="S42" s="849"/>
      <c r="T42" s="849"/>
      <c r="U42" s="849"/>
      <c r="V42" s="850">
        <f t="shared" si="18"/>
        <v>7</v>
      </c>
      <c r="W42" s="851">
        <v>410926.14</v>
      </c>
    </row>
    <row r="43" spans="1:27" ht="20.100000000000001" customHeight="1" x14ac:dyDescent="0.2">
      <c r="A43" s="848" t="s">
        <v>3706</v>
      </c>
      <c r="B43" s="849"/>
      <c r="C43" s="849">
        <v>7</v>
      </c>
      <c r="D43" s="849"/>
      <c r="E43" s="849"/>
      <c r="F43" s="849"/>
      <c r="G43" s="849"/>
      <c r="H43" s="849"/>
      <c r="I43" s="849"/>
      <c r="J43" s="849"/>
      <c r="K43" s="850">
        <f t="shared" si="2"/>
        <v>7</v>
      </c>
      <c r="L43" s="851">
        <v>414053.42000000004</v>
      </c>
      <c r="M43" s="849"/>
      <c r="N43" s="849">
        <v>7</v>
      </c>
      <c r="O43" s="849"/>
      <c r="P43" s="849"/>
      <c r="Q43" s="849"/>
      <c r="R43" s="849"/>
      <c r="S43" s="849"/>
      <c r="T43" s="849"/>
      <c r="U43" s="849"/>
      <c r="V43" s="850">
        <f t="shared" si="18"/>
        <v>7</v>
      </c>
      <c r="W43" s="851">
        <v>414053.42000000004</v>
      </c>
    </row>
    <row r="44" spans="1:27" ht="20.100000000000001" customHeight="1" x14ac:dyDescent="0.2">
      <c r="A44" s="848" t="s">
        <v>3707</v>
      </c>
      <c r="B44" s="849"/>
      <c r="C44" s="849">
        <v>3</v>
      </c>
      <c r="D44" s="849"/>
      <c r="E44" s="849"/>
      <c r="F44" s="849"/>
      <c r="G44" s="849"/>
      <c r="H44" s="849"/>
      <c r="I44" s="849"/>
      <c r="J44" s="849"/>
      <c r="K44" s="850">
        <f t="shared" si="2"/>
        <v>3</v>
      </c>
      <c r="L44" s="851">
        <v>193884.30000000002</v>
      </c>
      <c r="M44" s="849"/>
      <c r="N44" s="849">
        <v>3</v>
      </c>
      <c r="O44" s="849"/>
      <c r="P44" s="849"/>
      <c r="Q44" s="849"/>
      <c r="R44" s="849"/>
      <c r="S44" s="849"/>
      <c r="T44" s="849"/>
      <c r="U44" s="849"/>
      <c r="V44" s="850">
        <f t="shared" si="18"/>
        <v>3</v>
      </c>
      <c r="W44" s="851">
        <v>193884.30000000002</v>
      </c>
    </row>
    <row r="45" spans="1:27" ht="20.100000000000001" customHeight="1" x14ac:dyDescent="0.2">
      <c r="A45" s="844" t="s">
        <v>3679</v>
      </c>
      <c r="B45" s="845">
        <f>SUM(B46:B50)</f>
        <v>0</v>
      </c>
      <c r="C45" s="845">
        <f t="shared" ref="C45:L45" si="19">SUM(C46:C50)</f>
        <v>64</v>
      </c>
      <c r="D45" s="845">
        <f t="shared" si="19"/>
        <v>0</v>
      </c>
      <c r="E45" s="845">
        <f t="shared" si="19"/>
        <v>0</v>
      </c>
      <c r="F45" s="845">
        <f t="shared" si="19"/>
        <v>0</v>
      </c>
      <c r="G45" s="845">
        <f t="shared" si="19"/>
        <v>0</v>
      </c>
      <c r="H45" s="845">
        <f t="shared" si="19"/>
        <v>0</v>
      </c>
      <c r="I45" s="845">
        <f t="shared" si="19"/>
        <v>0</v>
      </c>
      <c r="J45" s="845">
        <f t="shared" si="19"/>
        <v>0</v>
      </c>
      <c r="K45" s="845">
        <f t="shared" si="19"/>
        <v>64</v>
      </c>
      <c r="L45" s="852">
        <f t="shared" si="19"/>
        <v>2563508.8199999998</v>
      </c>
      <c r="M45" s="845">
        <f>SUM(M46:M50)</f>
        <v>0</v>
      </c>
      <c r="N45" s="845">
        <f t="shared" ref="N45:W45" si="20">SUM(N46:N50)</f>
        <v>64</v>
      </c>
      <c r="O45" s="845">
        <f t="shared" si="20"/>
        <v>0</v>
      </c>
      <c r="P45" s="845">
        <f t="shared" si="20"/>
        <v>0</v>
      </c>
      <c r="Q45" s="845">
        <f t="shared" si="20"/>
        <v>0</v>
      </c>
      <c r="R45" s="845">
        <f t="shared" si="20"/>
        <v>0</v>
      </c>
      <c r="S45" s="845">
        <f t="shared" si="20"/>
        <v>0</v>
      </c>
      <c r="T45" s="845">
        <f t="shared" si="20"/>
        <v>0</v>
      </c>
      <c r="U45" s="845">
        <f t="shared" si="20"/>
        <v>0</v>
      </c>
      <c r="V45" s="845">
        <f t="shared" si="20"/>
        <v>64</v>
      </c>
      <c r="W45" s="852">
        <f t="shared" si="20"/>
        <v>2563508.8199999998</v>
      </c>
    </row>
    <row r="46" spans="1:27" ht="20.100000000000001" customHeight="1" x14ac:dyDescent="0.2">
      <c r="A46" s="848" t="s">
        <v>3708</v>
      </c>
      <c r="B46" s="849"/>
      <c r="C46" s="849">
        <v>1</v>
      </c>
      <c r="D46" s="849"/>
      <c r="E46" s="849"/>
      <c r="F46" s="849"/>
      <c r="G46" s="849"/>
      <c r="H46" s="849"/>
      <c r="I46" s="849"/>
      <c r="J46" s="849"/>
      <c r="K46" s="850">
        <f t="shared" si="2"/>
        <v>1</v>
      </c>
      <c r="L46" s="851">
        <v>34869.1</v>
      </c>
      <c r="M46" s="849"/>
      <c r="N46" s="849">
        <v>1</v>
      </c>
      <c r="O46" s="849"/>
      <c r="P46" s="849"/>
      <c r="Q46" s="849"/>
      <c r="R46" s="849"/>
      <c r="S46" s="849"/>
      <c r="T46" s="849"/>
      <c r="U46" s="849"/>
      <c r="V46" s="850">
        <f t="shared" ref="V46:V50" si="21">SUM(M46:U46)</f>
        <v>1</v>
      </c>
      <c r="W46" s="851">
        <v>34869.1</v>
      </c>
    </row>
    <row r="47" spans="1:27" ht="20.100000000000001" customHeight="1" x14ac:dyDescent="0.2">
      <c r="A47" s="848" t="s">
        <v>3709</v>
      </c>
      <c r="B47" s="849"/>
      <c r="C47" s="849">
        <v>6</v>
      </c>
      <c r="D47" s="849"/>
      <c r="E47" s="849"/>
      <c r="F47" s="849"/>
      <c r="G47" s="849"/>
      <c r="H47" s="849"/>
      <c r="I47" s="849"/>
      <c r="J47" s="849"/>
      <c r="K47" s="850">
        <f t="shared" si="2"/>
        <v>6</v>
      </c>
      <c r="L47" s="851">
        <v>220947.9</v>
      </c>
      <c r="M47" s="849"/>
      <c r="N47" s="849">
        <v>6</v>
      </c>
      <c r="O47" s="849"/>
      <c r="P47" s="849"/>
      <c r="Q47" s="849"/>
      <c r="R47" s="849"/>
      <c r="S47" s="849"/>
      <c r="T47" s="849"/>
      <c r="U47" s="849"/>
      <c r="V47" s="850">
        <f t="shared" si="21"/>
        <v>6</v>
      </c>
      <c r="W47" s="851">
        <v>220947.9</v>
      </c>
    </row>
    <row r="48" spans="1:27" ht="20.100000000000001" customHeight="1" x14ac:dyDescent="0.2">
      <c r="A48" s="848" t="s">
        <v>3710</v>
      </c>
      <c r="B48" s="849"/>
      <c r="C48" s="849">
        <v>10</v>
      </c>
      <c r="D48" s="849"/>
      <c r="E48" s="849"/>
      <c r="F48" s="849"/>
      <c r="G48" s="849"/>
      <c r="H48" s="849"/>
      <c r="I48" s="849"/>
      <c r="J48" s="849"/>
      <c r="K48" s="850">
        <f t="shared" si="2"/>
        <v>10</v>
      </c>
      <c r="L48" s="851">
        <v>378891</v>
      </c>
      <c r="M48" s="849"/>
      <c r="N48" s="849">
        <v>10</v>
      </c>
      <c r="O48" s="849"/>
      <c r="P48" s="849"/>
      <c r="Q48" s="849"/>
      <c r="R48" s="849"/>
      <c r="S48" s="849"/>
      <c r="T48" s="849"/>
      <c r="U48" s="849"/>
      <c r="V48" s="850">
        <f t="shared" si="21"/>
        <v>10</v>
      </c>
      <c r="W48" s="851">
        <v>378891</v>
      </c>
    </row>
    <row r="49" spans="1:23" ht="20.100000000000001" customHeight="1" x14ac:dyDescent="0.2">
      <c r="A49" s="848" t="s">
        <v>3711</v>
      </c>
      <c r="B49" s="849"/>
      <c r="C49" s="849">
        <v>22</v>
      </c>
      <c r="D49" s="849"/>
      <c r="E49" s="849"/>
      <c r="F49" s="849"/>
      <c r="G49" s="849"/>
      <c r="H49" s="849"/>
      <c r="I49" s="849"/>
      <c r="J49" s="849"/>
      <c r="K49" s="850">
        <f t="shared" si="2"/>
        <v>22</v>
      </c>
      <c r="L49" s="851">
        <v>864338.92</v>
      </c>
      <c r="M49" s="849"/>
      <c r="N49" s="849">
        <v>22</v>
      </c>
      <c r="O49" s="849"/>
      <c r="P49" s="849"/>
      <c r="Q49" s="849"/>
      <c r="R49" s="849"/>
      <c r="S49" s="849"/>
      <c r="T49" s="849"/>
      <c r="U49" s="849"/>
      <c r="V49" s="850">
        <f t="shared" si="21"/>
        <v>22</v>
      </c>
      <c r="W49" s="851">
        <v>864338.92</v>
      </c>
    </row>
    <row r="50" spans="1:23" ht="20.100000000000001" customHeight="1" x14ac:dyDescent="0.2">
      <c r="A50" s="848" t="s">
        <v>3712</v>
      </c>
      <c r="B50" s="849"/>
      <c r="C50" s="849">
        <v>25</v>
      </c>
      <c r="D50" s="849"/>
      <c r="E50" s="849"/>
      <c r="F50" s="849"/>
      <c r="G50" s="849"/>
      <c r="H50" s="849"/>
      <c r="I50" s="849"/>
      <c r="J50" s="849"/>
      <c r="K50" s="850">
        <f t="shared" si="2"/>
        <v>25</v>
      </c>
      <c r="L50" s="851">
        <v>1064461.8999999999</v>
      </c>
      <c r="M50" s="849"/>
      <c r="N50" s="849">
        <v>25</v>
      </c>
      <c r="O50" s="849"/>
      <c r="P50" s="849"/>
      <c r="Q50" s="849"/>
      <c r="R50" s="849"/>
      <c r="S50" s="849"/>
      <c r="T50" s="849"/>
      <c r="U50" s="849"/>
      <c r="V50" s="850">
        <f t="shared" si="21"/>
        <v>25</v>
      </c>
      <c r="W50" s="851">
        <v>1064461.8999999999</v>
      </c>
    </row>
    <row r="51" spans="1:23" ht="20.100000000000001" customHeight="1" x14ac:dyDescent="0.2">
      <c r="A51" s="844" t="s">
        <v>3686</v>
      </c>
      <c r="B51" s="845">
        <f>SUM(B52:B54)</f>
        <v>0</v>
      </c>
      <c r="C51" s="845">
        <f t="shared" ref="C51:L51" si="22">SUM(C52:C54)</f>
        <v>34</v>
      </c>
      <c r="D51" s="845">
        <f t="shared" si="22"/>
        <v>0</v>
      </c>
      <c r="E51" s="845">
        <f t="shared" si="22"/>
        <v>0</v>
      </c>
      <c r="F51" s="845">
        <f t="shared" si="22"/>
        <v>0</v>
      </c>
      <c r="G51" s="845">
        <f t="shared" si="22"/>
        <v>0</v>
      </c>
      <c r="H51" s="845">
        <f t="shared" si="22"/>
        <v>0</v>
      </c>
      <c r="I51" s="845">
        <f t="shared" si="22"/>
        <v>0</v>
      </c>
      <c r="J51" s="845">
        <f t="shared" si="22"/>
        <v>0</v>
      </c>
      <c r="K51" s="845">
        <f t="shared" si="22"/>
        <v>34</v>
      </c>
      <c r="L51" s="852">
        <f t="shared" si="22"/>
        <v>1070209.28</v>
      </c>
      <c r="M51" s="845">
        <f>SUM(M52:M54)</f>
        <v>0</v>
      </c>
      <c r="N51" s="845">
        <f t="shared" ref="N51:W51" si="23">SUM(N52:N54)</f>
        <v>34</v>
      </c>
      <c r="O51" s="845">
        <f t="shared" si="23"/>
        <v>0</v>
      </c>
      <c r="P51" s="845">
        <f t="shared" si="23"/>
        <v>0</v>
      </c>
      <c r="Q51" s="845">
        <f t="shared" si="23"/>
        <v>0</v>
      </c>
      <c r="R51" s="845">
        <f t="shared" si="23"/>
        <v>0</v>
      </c>
      <c r="S51" s="845">
        <f t="shared" si="23"/>
        <v>0</v>
      </c>
      <c r="T51" s="845">
        <f t="shared" si="23"/>
        <v>0</v>
      </c>
      <c r="U51" s="845">
        <f t="shared" si="23"/>
        <v>0</v>
      </c>
      <c r="V51" s="845">
        <f t="shared" si="23"/>
        <v>34</v>
      </c>
      <c r="W51" s="852">
        <f t="shared" si="23"/>
        <v>1070209.28</v>
      </c>
    </row>
    <row r="52" spans="1:23" ht="20.100000000000001" customHeight="1" x14ac:dyDescent="0.2">
      <c r="A52" s="848" t="s">
        <v>3713</v>
      </c>
      <c r="B52" s="849"/>
      <c r="C52" s="849">
        <v>5</v>
      </c>
      <c r="D52" s="849"/>
      <c r="E52" s="849"/>
      <c r="F52" s="849"/>
      <c r="G52" s="849"/>
      <c r="H52" s="849"/>
      <c r="I52" s="849"/>
      <c r="J52" s="849"/>
      <c r="K52" s="850">
        <f t="shared" si="2"/>
        <v>5</v>
      </c>
      <c r="L52" s="851">
        <v>130399.67999999999</v>
      </c>
      <c r="M52" s="849"/>
      <c r="N52" s="849">
        <v>5</v>
      </c>
      <c r="O52" s="849"/>
      <c r="P52" s="849"/>
      <c r="Q52" s="849"/>
      <c r="R52" s="849"/>
      <c r="S52" s="849"/>
      <c r="T52" s="849"/>
      <c r="U52" s="849"/>
      <c r="V52" s="850">
        <f t="shared" ref="V52:V54" si="24">SUM(M52:U52)</f>
        <v>5</v>
      </c>
      <c r="W52" s="851">
        <v>130399.67999999999</v>
      </c>
    </row>
    <row r="53" spans="1:23" ht="20.100000000000001" customHeight="1" x14ac:dyDescent="0.2">
      <c r="A53" s="848" t="s">
        <v>3714</v>
      </c>
      <c r="B53" s="849"/>
      <c r="C53" s="849">
        <v>11</v>
      </c>
      <c r="D53" s="849"/>
      <c r="E53" s="849"/>
      <c r="F53" s="849"/>
      <c r="G53" s="849"/>
      <c r="H53" s="849"/>
      <c r="I53" s="849"/>
      <c r="J53" s="849"/>
      <c r="K53" s="850">
        <f t="shared" si="2"/>
        <v>11</v>
      </c>
      <c r="L53" s="851">
        <v>335685.45999999996</v>
      </c>
      <c r="M53" s="849"/>
      <c r="N53" s="849">
        <v>11</v>
      </c>
      <c r="O53" s="849"/>
      <c r="P53" s="849"/>
      <c r="Q53" s="849"/>
      <c r="R53" s="849"/>
      <c r="S53" s="849"/>
      <c r="T53" s="849"/>
      <c r="U53" s="849"/>
      <c r="V53" s="850">
        <f t="shared" si="24"/>
        <v>11</v>
      </c>
      <c r="W53" s="851">
        <v>335685.45999999996</v>
      </c>
    </row>
    <row r="54" spans="1:23" ht="20.100000000000001" customHeight="1" x14ac:dyDescent="0.2">
      <c r="A54" s="848" t="s">
        <v>3715</v>
      </c>
      <c r="B54" s="849"/>
      <c r="C54" s="849">
        <v>18</v>
      </c>
      <c r="D54" s="849"/>
      <c r="E54" s="849"/>
      <c r="F54" s="849"/>
      <c r="G54" s="849"/>
      <c r="H54" s="849"/>
      <c r="I54" s="849"/>
      <c r="J54" s="849"/>
      <c r="K54" s="850">
        <f t="shared" si="2"/>
        <v>18</v>
      </c>
      <c r="L54" s="851">
        <v>604124.14</v>
      </c>
      <c r="M54" s="849"/>
      <c r="N54" s="849">
        <v>18</v>
      </c>
      <c r="O54" s="849"/>
      <c r="P54" s="849"/>
      <c r="Q54" s="849"/>
      <c r="R54" s="849"/>
      <c r="S54" s="849"/>
      <c r="T54" s="849"/>
      <c r="U54" s="849"/>
      <c r="V54" s="850">
        <f t="shared" si="24"/>
        <v>18</v>
      </c>
      <c r="W54" s="851">
        <v>604124.14</v>
      </c>
    </row>
    <row r="55" spans="1:23" ht="20.100000000000001" customHeight="1" x14ac:dyDescent="0.2">
      <c r="A55" s="844" t="s">
        <v>3693</v>
      </c>
      <c r="B55" s="845">
        <f>SUM(B56:B58)</f>
        <v>0</v>
      </c>
      <c r="C55" s="845">
        <f t="shared" ref="C55:L55" si="25">SUM(C56:C58)</f>
        <v>6</v>
      </c>
      <c r="D55" s="845">
        <f t="shared" si="25"/>
        <v>0</v>
      </c>
      <c r="E55" s="845">
        <f t="shared" si="25"/>
        <v>0</v>
      </c>
      <c r="F55" s="845">
        <f t="shared" si="25"/>
        <v>0</v>
      </c>
      <c r="G55" s="845">
        <f t="shared" si="25"/>
        <v>0</v>
      </c>
      <c r="H55" s="845">
        <f t="shared" si="25"/>
        <v>0</v>
      </c>
      <c r="I55" s="845">
        <f t="shared" si="25"/>
        <v>0</v>
      </c>
      <c r="J55" s="845">
        <f t="shared" si="25"/>
        <v>0</v>
      </c>
      <c r="K55" s="845">
        <f t="shared" si="25"/>
        <v>6</v>
      </c>
      <c r="L55" s="852">
        <f t="shared" si="25"/>
        <v>139225</v>
      </c>
      <c r="M55" s="845">
        <f>SUM(M56:M58)</f>
        <v>0</v>
      </c>
      <c r="N55" s="845">
        <f t="shared" ref="N55:W55" si="26">SUM(N56:N58)</f>
        <v>6</v>
      </c>
      <c r="O55" s="845">
        <f t="shared" si="26"/>
        <v>0</v>
      </c>
      <c r="P55" s="845">
        <f t="shared" si="26"/>
        <v>0</v>
      </c>
      <c r="Q55" s="845">
        <f t="shared" si="26"/>
        <v>0</v>
      </c>
      <c r="R55" s="845">
        <f t="shared" si="26"/>
        <v>0</v>
      </c>
      <c r="S55" s="845">
        <f t="shared" si="26"/>
        <v>0</v>
      </c>
      <c r="T55" s="845">
        <f t="shared" si="26"/>
        <v>0</v>
      </c>
      <c r="U55" s="845">
        <f t="shared" si="26"/>
        <v>0</v>
      </c>
      <c r="V55" s="845">
        <f t="shared" si="26"/>
        <v>6</v>
      </c>
      <c r="W55" s="852">
        <f t="shared" si="26"/>
        <v>139225</v>
      </c>
    </row>
    <row r="56" spans="1:23" ht="20.100000000000001" customHeight="1" x14ac:dyDescent="0.2">
      <c r="A56" s="848" t="s">
        <v>3716</v>
      </c>
      <c r="B56" s="849"/>
      <c r="C56" s="849">
        <v>3</v>
      </c>
      <c r="D56" s="849"/>
      <c r="E56" s="849"/>
      <c r="F56" s="849"/>
      <c r="G56" s="849"/>
      <c r="H56" s="849"/>
      <c r="I56" s="849"/>
      <c r="J56" s="849"/>
      <c r="K56" s="850">
        <f t="shared" si="2"/>
        <v>3</v>
      </c>
      <c r="L56" s="851">
        <v>65680.5</v>
      </c>
      <c r="M56" s="849"/>
      <c r="N56" s="849">
        <v>3</v>
      </c>
      <c r="O56" s="849"/>
      <c r="P56" s="849"/>
      <c r="Q56" s="849"/>
      <c r="R56" s="849"/>
      <c r="S56" s="849"/>
      <c r="T56" s="849"/>
      <c r="U56" s="849"/>
      <c r="V56" s="850">
        <f t="shared" ref="V56:V59" si="27">SUM(M56:U56)</f>
        <v>3</v>
      </c>
      <c r="W56" s="851">
        <v>65680.5</v>
      </c>
    </row>
    <row r="57" spans="1:23" ht="20.100000000000001" customHeight="1" x14ac:dyDescent="0.2">
      <c r="A57" s="848" t="s">
        <v>3717</v>
      </c>
      <c r="B57" s="849"/>
      <c r="C57" s="849">
        <v>1</v>
      </c>
      <c r="D57" s="849"/>
      <c r="E57" s="849"/>
      <c r="F57" s="849"/>
      <c r="G57" s="849"/>
      <c r="H57" s="849"/>
      <c r="I57" s="849"/>
      <c r="J57" s="849"/>
      <c r="K57" s="850">
        <f t="shared" si="2"/>
        <v>1</v>
      </c>
      <c r="L57" s="851">
        <v>23466.3</v>
      </c>
      <c r="M57" s="849"/>
      <c r="N57" s="849">
        <v>1</v>
      </c>
      <c r="O57" s="849"/>
      <c r="P57" s="849"/>
      <c r="Q57" s="849"/>
      <c r="R57" s="849"/>
      <c r="S57" s="849"/>
      <c r="T57" s="849"/>
      <c r="U57" s="849"/>
      <c r="V57" s="850">
        <f t="shared" si="27"/>
        <v>1</v>
      </c>
      <c r="W57" s="851">
        <v>23466.3</v>
      </c>
    </row>
    <row r="58" spans="1:23" ht="20.100000000000001" customHeight="1" x14ac:dyDescent="0.2">
      <c r="A58" s="848" t="s">
        <v>3718</v>
      </c>
      <c r="B58" s="849"/>
      <c r="C58" s="849">
        <v>2</v>
      </c>
      <c r="D58" s="849"/>
      <c r="E58" s="849"/>
      <c r="F58" s="849"/>
      <c r="G58" s="849"/>
      <c r="H58" s="849"/>
      <c r="I58" s="849"/>
      <c r="J58" s="849"/>
      <c r="K58" s="850">
        <f t="shared" si="2"/>
        <v>2</v>
      </c>
      <c r="L58" s="851">
        <v>50078.2</v>
      </c>
      <c r="M58" s="849"/>
      <c r="N58" s="849">
        <v>2</v>
      </c>
      <c r="O58" s="849"/>
      <c r="P58" s="849"/>
      <c r="Q58" s="849"/>
      <c r="R58" s="849"/>
      <c r="S58" s="849"/>
      <c r="T58" s="849"/>
      <c r="U58" s="849"/>
      <c r="V58" s="850">
        <f t="shared" si="27"/>
        <v>2</v>
      </c>
      <c r="W58" s="851">
        <v>50078.2</v>
      </c>
    </row>
    <row r="59" spans="1:23" ht="20.100000000000001" customHeight="1" x14ac:dyDescent="0.2">
      <c r="A59" s="854" t="s">
        <v>3719</v>
      </c>
      <c r="B59" s="849"/>
      <c r="C59" s="849"/>
      <c r="D59" s="849"/>
      <c r="E59" s="849"/>
      <c r="F59" s="849"/>
      <c r="G59" s="849"/>
      <c r="H59" s="849"/>
      <c r="I59" s="849"/>
      <c r="J59" s="849"/>
      <c r="K59" s="850">
        <f t="shared" si="2"/>
        <v>0</v>
      </c>
      <c r="L59" s="851"/>
      <c r="M59" s="849"/>
      <c r="N59" s="849"/>
      <c r="O59" s="849"/>
      <c r="P59" s="849"/>
      <c r="Q59" s="849"/>
      <c r="R59" s="849"/>
      <c r="S59" s="849"/>
      <c r="T59" s="849"/>
      <c r="U59" s="849"/>
      <c r="V59" s="850">
        <f t="shared" si="27"/>
        <v>0</v>
      </c>
      <c r="W59" s="851"/>
    </row>
    <row r="60" spans="1:23" ht="20.100000000000001" customHeight="1" x14ac:dyDescent="0.2">
      <c r="A60" s="844" t="s">
        <v>3720</v>
      </c>
      <c r="B60" s="845">
        <f>SUM(B61:B64)</f>
        <v>224</v>
      </c>
      <c r="C60" s="845">
        <f t="shared" ref="C60:L60" si="28">SUM(C61:C64)</f>
        <v>0</v>
      </c>
      <c r="D60" s="845">
        <f t="shared" si="28"/>
        <v>0</v>
      </c>
      <c r="E60" s="845">
        <f t="shared" si="28"/>
        <v>0</v>
      </c>
      <c r="F60" s="845">
        <f t="shared" si="28"/>
        <v>0</v>
      </c>
      <c r="G60" s="845">
        <f t="shared" si="28"/>
        <v>0</v>
      </c>
      <c r="H60" s="845">
        <f t="shared" si="28"/>
        <v>0</v>
      </c>
      <c r="I60" s="845">
        <f t="shared" si="28"/>
        <v>0</v>
      </c>
      <c r="J60" s="845">
        <f t="shared" si="28"/>
        <v>0</v>
      </c>
      <c r="K60" s="845">
        <f t="shared" si="28"/>
        <v>224</v>
      </c>
      <c r="L60" s="852">
        <f t="shared" si="28"/>
        <v>8795044.6400000006</v>
      </c>
      <c r="M60" s="845">
        <f>SUM(M61:M64)</f>
        <v>224</v>
      </c>
      <c r="N60" s="845">
        <f t="shared" ref="N60:W60" si="29">SUM(N61:N64)</f>
        <v>0</v>
      </c>
      <c r="O60" s="845">
        <f t="shared" si="29"/>
        <v>0</v>
      </c>
      <c r="P60" s="845">
        <f t="shared" si="29"/>
        <v>0</v>
      </c>
      <c r="Q60" s="845">
        <f t="shared" si="29"/>
        <v>0</v>
      </c>
      <c r="R60" s="845">
        <f t="shared" si="29"/>
        <v>0</v>
      </c>
      <c r="S60" s="845">
        <f t="shared" si="29"/>
        <v>0</v>
      </c>
      <c r="T60" s="845">
        <f t="shared" si="29"/>
        <v>0</v>
      </c>
      <c r="U60" s="845">
        <f t="shared" si="29"/>
        <v>0</v>
      </c>
      <c r="V60" s="845">
        <f t="shared" si="29"/>
        <v>224</v>
      </c>
      <c r="W60" s="852">
        <f t="shared" si="29"/>
        <v>8795044.6400000006</v>
      </c>
    </row>
    <row r="61" spans="1:23" ht="20.100000000000001" customHeight="1" x14ac:dyDescent="0.2">
      <c r="A61" s="848" t="s">
        <v>3680</v>
      </c>
      <c r="B61" s="849">
        <v>1</v>
      </c>
      <c r="C61" s="849"/>
      <c r="D61" s="849"/>
      <c r="E61" s="849"/>
      <c r="F61" s="849"/>
      <c r="G61" s="849"/>
      <c r="H61" s="849"/>
      <c r="I61" s="849"/>
      <c r="J61" s="849"/>
      <c r="K61" s="850">
        <f t="shared" si="2"/>
        <v>1</v>
      </c>
      <c r="L61" s="851">
        <v>37432.36</v>
      </c>
      <c r="M61" s="849">
        <v>1</v>
      </c>
      <c r="N61" s="849"/>
      <c r="O61" s="849"/>
      <c r="P61" s="849"/>
      <c r="Q61" s="849"/>
      <c r="R61" s="849"/>
      <c r="S61" s="849"/>
      <c r="T61" s="849"/>
      <c r="U61" s="849"/>
      <c r="V61" s="850">
        <f t="shared" ref="V61:V64" si="30">SUM(M61:U61)</f>
        <v>1</v>
      </c>
      <c r="W61" s="851">
        <v>37432.36</v>
      </c>
    </row>
    <row r="62" spans="1:23" ht="20.100000000000001" customHeight="1" x14ac:dyDescent="0.2">
      <c r="A62" s="848" t="s">
        <v>3683</v>
      </c>
      <c r="B62" s="849">
        <v>9</v>
      </c>
      <c r="C62" s="849"/>
      <c r="D62" s="849"/>
      <c r="E62" s="849"/>
      <c r="F62" s="849"/>
      <c r="G62" s="849"/>
      <c r="H62" s="849"/>
      <c r="I62" s="849"/>
      <c r="J62" s="849"/>
      <c r="K62" s="850">
        <f t="shared" si="2"/>
        <v>9</v>
      </c>
      <c r="L62" s="851">
        <v>340959</v>
      </c>
      <c r="M62" s="849">
        <v>9</v>
      </c>
      <c r="N62" s="849"/>
      <c r="O62" s="849"/>
      <c r="P62" s="849"/>
      <c r="Q62" s="849"/>
      <c r="R62" s="849"/>
      <c r="S62" s="849"/>
      <c r="T62" s="849"/>
      <c r="U62" s="849"/>
      <c r="V62" s="850">
        <f t="shared" si="30"/>
        <v>9</v>
      </c>
      <c r="W62" s="851">
        <v>340959</v>
      </c>
    </row>
    <row r="63" spans="1:23" ht="20.100000000000001" customHeight="1" x14ac:dyDescent="0.2">
      <c r="A63" s="848" t="s">
        <v>3684</v>
      </c>
      <c r="B63" s="849">
        <v>153</v>
      </c>
      <c r="C63" s="849"/>
      <c r="D63" s="849"/>
      <c r="E63" s="849"/>
      <c r="F63" s="849"/>
      <c r="G63" s="849"/>
      <c r="H63" s="849"/>
      <c r="I63" s="849"/>
      <c r="J63" s="849"/>
      <c r="K63" s="850">
        <f t="shared" si="2"/>
        <v>153</v>
      </c>
      <c r="L63" s="851">
        <v>5988050.7599999998</v>
      </c>
      <c r="M63" s="849">
        <v>153</v>
      </c>
      <c r="N63" s="849"/>
      <c r="O63" s="849"/>
      <c r="P63" s="849"/>
      <c r="Q63" s="849"/>
      <c r="R63" s="849"/>
      <c r="S63" s="849"/>
      <c r="T63" s="849"/>
      <c r="U63" s="849"/>
      <c r="V63" s="850">
        <f t="shared" si="30"/>
        <v>153</v>
      </c>
      <c r="W63" s="851">
        <v>5988050.7599999998</v>
      </c>
    </row>
    <row r="64" spans="1:23" ht="20.100000000000001" customHeight="1" x14ac:dyDescent="0.2">
      <c r="A64" s="848" t="s">
        <v>3685</v>
      </c>
      <c r="B64" s="849">
        <v>61</v>
      </c>
      <c r="C64" s="849"/>
      <c r="D64" s="849"/>
      <c r="E64" s="849"/>
      <c r="F64" s="849"/>
      <c r="G64" s="849"/>
      <c r="H64" s="849"/>
      <c r="I64" s="849"/>
      <c r="J64" s="849"/>
      <c r="K64" s="850">
        <f t="shared" si="2"/>
        <v>61</v>
      </c>
      <c r="L64" s="851">
        <v>2428602.52</v>
      </c>
      <c r="M64" s="849">
        <v>61</v>
      </c>
      <c r="N64" s="849"/>
      <c r="O64" s="849"/>
      <c r="P64" s="849"/>
      <c r="Q64" s="849"/>
      <c r="R64" s="849"/>
      <c r="S64" s="849"/>
      <c r="T64" s="849"/>
      <c r="U64" s="849"/>
      <c r="V64" s="850">
        <f t="shared" si="30"/>
        <v>61</v>
      </c>
      <c r="W64" s="851">
        <v>2428602.52</v>
      </c>
    </row>
    <row r="65" spans="1:23" ht="20.100000000000001" customHeight="1" x14ac:dyDescent="0.2">
      <c r="A65" s="844" t="s">
        <v>3721</v>
      </c>
      <c r="B65" s="845">
        <f>SUM(B66:B71)</f>
        <v>1665</v>
      </c>
      <c r="C65" s="845">
        <f t="shared" ref="C65:L65" si="31">SUM(C66:C71)</f>
        <v>0</v>
      </c>
      <c r="D65" s="845">
        <f t="shared" si="31"/>
        <v>0</v>
      </c>
      <c r="E65" s="845">
        <f t="shared" si="31"/>
        <v>0</v>
      </c>
      <c r="F65" s="845">
        <f t="shared" si="31"/>
        <v>0</v>
      </c>
      <c r="G65" s="845">
        <f t="shared" si="31"/>
        <v>0</v>
      </c>
      <c r="H65" s="845">
        <f t="shared" si="31"/>
        <v>0</v>
      </c>
      <c r="I65" s="845">
        <f t="shared" si="31"/>
        <v>0</v>
      </c>
      <c r="J65" s="845">
        <f t="shared" si="31"/>
        <v>0</v>
      </c>
      <c r="K65" s="845">
        <f t="shared" si="31"/>
        <v>1665</v>
      </c>
      <c r="L65" s="852">
        <f t="shared" si="31"/>
        <v>65251803.960000001</v>
      </c>
      <c r="M65" s="845">
        <f>SUM(M66:M71)</f>
        <v>1665</v>
      </c>
      <c r="N65" s="845">
        <f t="shared" ref="N65:W65" si="32">SUM(N66:N71)</f>
        <v>0</v>
      </c>
      <c r="O65" s="845">
        <f t="shared" si="32"/>
        <v>0</v>
      </c>
      <c r="P65" s="845">
        <f t="shared" si="32"/>
        <v>0</v>
      </c>
      <c r="Q65" s="845">
        <f t="shared" si="32"/>
        <v>0</v>
      </c>
      <c r="R65" s="845">
        <f t="shared" si="32"/>
        <v>0</v>
      </c>
      <c r="S65" s="845">
        <f t="shared" si="32"/>
        <v>0</v>
      </c>
      <c r="T65" s="845">
        <f t="shared" si="32"/>
        <v>0</v>
      </c>
      <c r="U65" s="845">
        <f t="shared" si="32"/>
        <v>0</v>
      </c>
      <c r="V65" s="845">
        <f t="shared" si="32"/>
        <v>1665</v>
      </c>
      <c r="W65" s="852">
        <f t="shared" si="32"/>
        <v>65251803.960000001</v>
      </c>
    </row>
    <row r="66" spans="1:23" ht="20.100000000000001" customHeight="1" x14ac:dyDescent="0.2">
      <c r="A66" s="848" t="s">
        <v>3687</v>
      </c>
      <c r="B66" s="849">
        <v>110</v>
      </c>
      <c r="C66" s="849"/>
      <c r="D66" s="849"/>
      <c r="E66" s="849"/>
      <c r="F66" s="849"/>
      <c r="G66" s="849"/>
      <c r="H66" s="849"/>
      <c r="I66" s="849"/>
      <c r="J66" s="849"/>
      <c r="K66" s="850">
        <f t="shared" si="2"/>
        <v>110</v>
      </c>
      <c r="L66" s="851">
        <v>3948639.8</v>
      </c>
      <c r="M66" s="849">
        <v>110</v>
      </c>
      <c r="N66" s="849"/>
      <c r="O66" s="849"/>
      <c r="P66" s="849"/>
      <c r="Q66" s="849"/>
      <c r="R66" s="849"/>
      <c r="S66" s="849"/>
      <c r="T66" s="849"/>
      <c r="U66" s="849"/>
      <c r="V66" s="850">
        <f t="shared" ref="V66:V71" si="33">SUM(M66:U66)</f>
        <v>110</v>
      </c>
      <c r="W66" s="851">
        <v>3948639.8</v>
      </c>
    </row>
    <row r="67" spans="1:23" ht="20.100000000000001" customHeight="1" x14ac:dyDescent="0.2">
      <c r="A67" s="848" t="s">
        <v>3688</v>
      </c>
      <c r="B67" s="849">
        <v>286</v>
      </c>
      <c r="C67" s="849"/>
      <c r="D67" s="849"/>
      <c r="E67" s="849"/>
      <c r="F67" s="849"/>
      <c r="G67" s="849"/>
      <c r="H67" s="849"/>
      <c r="I67" s="849"/>
      <c r="J67" s="849"/>
      <c r="K67" s="850">
        <f t="shared" si="2"/>
        <v>286</v>
      </c>
      <c r="L67" s="851">
        <v>10888997.680000002</v>
      </c>
      <c r="M67" s="849">
        <v>286</v>
      </c>
      <c r="N67" s="849"/>
      <c r="O67" s="849"/>
      <c r="P67" s="849"/>
      <c r="Q67" s="849"/>
      <c r="R67" s="849"/>
      <c r="S67" s="849"/>
      <c r="T67" s="849"/>
      <c r="U67" s="849"/>
      <c r="V67" s="850">
        <f t="shared" si="33"/>
        <v>286</v>
      </c>
      <c r="W67" s="851">
        <v>10888997.680000002</v>
      </c>
    </row>
    <row r="68" spans="1:23" ht="20.100000000000001" customHeight="1" x14ac:dyDescent="0.2">
      <c r="A68" s="848" t="s">
        <v>3689</v>
      </c>
      <c r="B68" s="849">
        <v>453</v>
      </c>
      <c r="C68" s="849"/>
      <c r="D68" s="849"/>
      <c r="E68" s="849"/>
      <c r="F68" s="849"/>
      <c r="G68" s="849"/>
      <c r="H68" s="849"/>
      <c r="I68" s="849"/>
      <c r="J68" s="849"/>
      <c r="K68" s="850">
        <f t="shared" si="2"/>
        <v>453</v>
      </c>
      <c r="L68" s="851">
        <v>18065334.479999997</v>
      </c>
      <c r="M68" s="849">
        <v>453</v>
      </c>
      <c r="N68" s="849"/>
      <c r="O68" s="849"/>
      <c r="P68" s="849"/>
      <c r="Q68" s="849"/>
      <c r="R68" s="849"/>
      <c r="S68" s="849"/>
      <c r="T68" s="849"/>
      <c r="U68" s="849"/>
      <c r="V68" s="850">
        <f t="shared" si="33"/>
        <v>453</v>
      </c>
      <c r="W68" s="851">
        <v>18065334.479999997</v>
      </c>
    </row>
    <row r="69" spans="1:23" ht="20.100000000000001" customHeight="1" x14ac:dyDescent="0.2">
      <c r="A69" s="848" t="s">
        <v>3690</v>
      </c>
      <c r="B69" s="849">
        <v>66</v>
      </c>
      <c r="C69" s="849"/>
      <c r="D69" s="849"/>
      <c r="E69" s="849"/>
      <c r="F69" s="849"/>
      <c r="G69" s="849"/>
      <c r="H69" s="849"/>
      <c r="I69" s="849"/>
      <c r="J69" s="849"/>
      <c r="K69" s="850">
        <f t="shared" si="2"/>
        <v>66</v>
      </c>
      <c r="L69" s="851">
        <v>2292555.7199999997</v>
      </c>
      <c r="M69" s="849">
        <v>66</v>
      </c>
      <c r="N69" s="849"/>
      <c r="O69" s="849"/>
      <c r="P69" s="849"/>
      <c r="Q69" s="849"/>
      <c r="R69" s="849"/>
      <c r="S69" s="849"/>
      <c r="T69" s="849"/>
      <c r="U69" s="849"/>
      <c r="V69" s="850">
        <f t="shared" si="33"/>
        <v>66</v>
      </c>
      <c r="W69" s="851">
        <v>2292555.7199999997</v>
      </c>
    </row>
    <row r="70" spans="1:23" ht="20.100000000000001" customHeight="1" x14ac:dyDescent="0.2">
      <c r="A70" s="848" t="s">
        <v>3691</v>
      </c>
      <c r="B70" s="849">
        <v>137</v>
      </c>
      <c r="C70" s="849"/>
      <c r="D70" s="849"/>
      <c r="E70" s="849"/>
      <c r="F70" s="849"/>
      <c r="G70" s="849"/>
      <c r="H70" s="849"/>
      <c r="I70" s="849"/>
      <c r="J70" s="849"/>
      <c r="K70" s="850">
        <f t="shared" si="2"/>
        <v>137</v>
      </c>
      <c r="L70" s="851">
        <v>4612605.2000000011</v>
      </c>
      <c r="M70" s="849">
        <v>137</v>
      </c>
      <c r="N70" s="849"/>
      <c r="O70" s="849"/>
      <c r="P70" s="849"/>
      <c r="Q70" s="849"/>
      <c r="R70" s="849"/>
      <c r="S70" s="849"/>
      <c r="T70" s="849"/>
      <c r="U70" s="849"/>
      <c r="V70" s="850">
        <f t="shared" si="33"/>
        <v>137</v>
      </c>
      <c r="W70" s="851">
        <v>4612605.2000000011</v>
      </c>
    </row>
    <row r="71" spans="1:23" ht="20.100000000000001" customHeight="1" x14ac:dyDescent="0.2">
      <c r="A71" s="848" t="s">
        <v>3692</v>
      </c>
      <c r="B71" s="849">
        <v>613</v>
      </c>
      <c r="C71" s="849"/>
      <c r="D71" s="849"/>
      <c r="E71" s="849"/>
      <c r="F71" s="849"/>
      <c r="G71" s="849"/>
      <c r="H71" s="849"/>
      <c r="I71" s="849"/>
      <c r="J71" s="849"/>
      <c r="K71" s="850">
        <f t="shared" si="2"/>
        <v>613</v>
      </c>
      <c r="L71" s="851">
        <v>25443671.079999998</v>
      </c>
      <c r="M71" s="849">
        <v>613</v>
      </c>
      <c r="N71" s="849"/>
      <c r="O71" s="849"/>
      <c r="P71" s="849"/>
      <c r="Q71" s="849"/>
      <c r="R71" s="849"/>
      <c r="S71" s="849"/>
      <c r="T71" s="849"/>
      <c r="U71" s="849"/>
      <c r="V71" s="850">
        <f t="shared" si="33"/>
        <v>613</v>
      </c>
      <c r="W71" s="851">
        <v>25443671.079999998</v>
      </c>
    </row>
    <row r="72" spans="1:23" ht="20.100000000000001" customHeight="1" x14ac:dyDescent="0.2">
      <c r="A72" s="844" t="s">
        <v>3722</v>
      </c>
      <c r="B72" s="845">
        <f>SUM(B73:B77)</f>
        <v>35</v>
      </c>
      <c r="C72" s="845">
        <f t="shared" ref="C72:L72" si="34">SUM(C73:C77)</f>
        <v>0</v>
      </c>
      <c r="D72" s="845">
        <f t="shared" si="34"/>
        <v>0</v>
      </c>
      <c r="E72" s="845">
        <f t="shared" si="34"/>
        <v>0</v>
      </c>
      <c r="F72" s="845">
        <f t="shared" si="34"/>
        <v>0</v>
      </c>
      <c r="G72" s="845">
        <f t="shared" si="34"/>
        <v>0</v>
      </c>
      <c r="H72" s="845">
        <f t="shared" si="34"/>
        <v>0</v>
      </c>
      <c r="I72" s="845">
        <f t="shared" si="34"/>
        <v>0</v>
      </c>
      <c r="J72" s="845">
        <f t="shared" si="34"/>
        <v>0</v>
      </c>
      <c r="K72" s="845">
        <f t="shared" si="34"/>
        <v>35</v>
      </c>
      <c r="L72" s="852">
        <f t="shared" si="34"/>
        <v>1174083.44</v>
      </c>
      <c r="M72" s="845">
        <f>SUM(M73:M77)</f>
        <v>35</v>
      </c>
      <c r="N72" s="845">
        <f t="shared" ref="N72:W72" si="35">SUM(N73:N77)</f>
        <v>0</v>
      </c>
      <c r="O72" s="845">
        <f t="shared" si="35"/>
        <v>0</v>
      </c>
      <c r="P72" s="845">
        <f t="shared" si="35"/>
        <v>0</v>
      </c>
      <c r="Q72" s="845">
        <f t="shared" si="35"/>
        <v>0</v>
      </c>
      <c r="R72" s="845">
        <f t="shared" si="35"/>
        <v>0</v>
      </c>
      <c r="S72" s="845">
        <f t="shared" si="35"/>
        <v>0</v>
      </c>
      <c r="T72" s="845">
        <f t="shared" si="35"/>
        <v>0</v>
      </c>
      <c r="U72" s="845">
        <f t="shared" si="35"/>
        <v>0</v>
      </c>
      <c r="V72" s="845">
        <f t="shared" si="35"/>
        <v>35</v>
      </c>
      <c r="W72" s="852">
        <f t="shared" si="35"/>
        <v>1174083.44</v>
      </c>
    </row>
    <row r="73" spans="1:23" ht="20.100000000000001" customHeight="1" x14ac:dyDescent="0.2">
      <c r="A73" s="848" t="s">
        <v>3694</v>
      </c>
      <c r="B73" s="849">
        <v>2</v>
      </c>
      <c r="C73" s="849"/>
      <c r="D73" s="849"/>
      <c r="E73" s="849"/>
      <c r="F73" s="849"/>
      <c r="G73" s="849"/>
      <c r="H73" s="849"/>
      <c r="I73" s="849"/>
      <c r="J73" s="849"/>
      <c r="K73" s="850">
        <f t="shared" si="2"/>
        <v>2</v>
      </c>
      <c r="L73" s="851">
        <v>58784.72</v>
      </c>
      <c r="M73" s="849">
        <v>2</v>
      </c>
      <c r="N73" s="849"/>
      <c r="O73" s="849"/>
      <c r="P73" s="849"/>
      <c r="Q73" s="849"/>
      <c r="R73" s="849"/>
      <c r="S73" s="849"/>
      <c r="T73" s="849"/>
      <c r="U73" s="849"/>
      <c r="V73" s="850">
        <f t="shared" ref="V73:V79" si="36">SUM(M73:U73)</f>
        <v>2</v>
      </c>
      <c r="W73" s="851">
        <v>58784.72</v>
      </c>
    </row>
    <row r="74" spans="1:23" ht="20.100000000000001" customHeight="1" x14ac:dyDescent="0.2">
      <c r="A74" s="848" t="s">
        <v>3695</v>
      </c>
      <c r="B74" s="849">
        <v>3</v>
      </c>
      <c r="C74" s="849"/>
      <c r="D74" s="849"/>
      <c r="E74" s="849"/>
      <c r="F74" s="849"/>
      <c r="G74" s="849"/>
      <c r="H74" s="849"/>
      <c r="I74" s="849"/>
      <c r="J74" s="849"/>
      <c r="K74" s="850">
        <f t="shared" ref="K74:K138" si="37">SUM(B74:J74)</f>
        <v>3</v>
      </c>
      <c r="L74" s="851">
        <v>116082.36</v>
      </c>
      <c r="M74" s="849">
        <v>3</v>
      </c>
      <c r="N74" s="849"/>
      <c r="O74" s="849"/>
      <c r="P74" s="849"/>
      <c r="Q74" s="849"/>
      <c r="R74" s="849"/>
      <c r="S74" s="849"/>
      <c r="T74" s="849"/>
      <c r="U74" s="849"/>
      <c r="V74" s="850">
        <f t="shared" si="36"/>
        <v>3</v>
      </c>
      <c r="W74" s="851">
        <v>116082.36</v>
      </c>
    </row>
    <row r="75" spans="1:23" ht="20.100000000000001" customHeight="1" x14ac:dyDescent="0.2">
      <c r="A75" s="848" t="s">
        <v>3696</v>
      </c>
      <c r="B75" s="849">
        <v>3</v>
      </c>
      <c r="C75" s="849"/>
      <c r="D75" s="849"/>
      <c r="E75" s="849"/>
      <c r="F75" s="849"/>
      <c r="G75" s="849"/>
      <c r="H75" s="849"/>
      <c r="I75" s="849"/>
      <c r="J75" s="849"/>
      <c r="K75" s="850">
        <f t="shared" si="37"/>
        <v>3</v>
      </c>
      <c r="L75" s="851">
        <v>99188.52</v>
      </c>
      <c r="M75" s="849">
        <v>3</v>
      </c>
      <c r="N75" s="849"/>
      <c r="O75" s="849"/>
      <c r="P75" s="849"/>
      <c r="Q75" s="849"/>
      <c r="R75" s="849"/>
      <c r="S75" s="849"/>
      <c r="T75" s="849"/>
      <c r="U75" s="849"/>
      <c r="V75" s="850">
        <f t="shared" si="36"/>
        <v>3</v>
      </c>
      <c r="W75" s="851">
        <v>99188.52</v>
      </c>
    </row>
    <row r="76" spans="1:23" ht="20.100000000000001" customHeight="1" x14ac:dyDescent="0.2">
      <c r="A76" s="848" t="s">
        <v>3697</v>
      </c>
      <c r="B76" s="849">
        <v>18</v>
      </c>
      <c r="C76" s="849"/>
      <c r="D76" s="849"/>
      <c r="E76" s="849"/>
      <c r="F76" s="849"/>
      <c r="G76" s="849"/>
      <c r="H76" s="849"/>
      <c r="I76" s="849"/>
      <c r="J76" s="849"/>
      <c r="K76" s="850">
        <f t="shared" si="37"/>
        <v>18</v>
      </c>
      <c r="L76" s="851">
        <v>591228.72</v>
      </c>
      <c r="M76" s="849">
        <v>18</v>
      </c>
      <c r="N76" s="849"/>
      <c r="O76" s="849"/>
      <c r="P76" s="849"/>
      <c r="Q76" s="849"/>
      <c r="R76" s="849"/>
      <c r="S76" s="849"/>
      <c r="T76" s="849"/>
      <c r="U76" s="849"/>
      <c r="V76" s="850">
        <f t="shared" si="36"/>
        <v>18</v>
      </c>
      <c r="W76" s="851">
        <v>591228.72</v>
      </c>
    </row>
    <row r="77" spans="1:23" ht="20.100000000000001" customHeight="1" x14ac:dyDescent="0.2">
      <c r="A77" s="848" t="s">
        <v>3699</v>
      </c>
      <c r="B77" s="849">
        <v>9</v>
      </c>
      <c r="C77" s="849"/>
      <c r="D77" s="849"/>
      <c r="E77" s="849"/>
      <c r="F77" s="849"/>
      <c r="G77" s="849"/>
      <c r="H77" s="849"/>
      <c r="I77" s="849"/>
      <c r="J77" s="849"/>
      <c r="K77" s="850">
        <f t="shared" si="37"/>
        <v>9</v>
      </c>
      <c r="L77" s="851">
        <v>308799.12</v>
      </c>
      <c r="M77" s="849">
        <v>9</v>
      </c>
      <c r="N77" s="849"/>
      <c r="O77" s="849"/>
      <c r="P77" s="849"/>
      <c r="Q77" s="849"/>
      <c r="R77" s="849"/>
      <c r="S77" s="849"/>
      <c r="T77" s="849"/>
      <c r="U77" s="849"/>
      <c r="V77" s="850">
        <f t="shared" si="36"/>
        <v>9</v>
      </c>
      <c r="W77" s="851">
        <v>308799.12</v>
      </c>
    </row>
    <row r="78" spans="1:23" ht="20.100000000000001" customHeight="1" x14ac:dyDescent="0.2">
      <c r="A78" s="848" t="s">
        <v>3723</v>
      </c>
      <c r="B78" s="849"/>
      <c r="C78" s="849"/>
      <c r="D78" s="849"/>
      <c r="E78" s="849"/>
      <c r="F78" s="849"/>
      <c r="G78" s="849"/>
      <c r="H78" s="849"/>
      <c r="I78" s="849"/>
      <c r="J78" s="849"/>
      <c r="K78" s="850">
        <f t="shared" si="37"/>
        <v>0</v>
      </c>
      <c r="L78" s="851"/>
      <c r="M78" s="849"/>
      <c r="N78" s="849"/>
      <c r="O78" s="849"/>
      <c r="P78" s="849"/>
      <c r="Q78" s="849"/>
      <c r="R78" s="849"/>
      <c r="S78" s="849"/>
      <c r="T78" s="849"/>
      <c r="U78" s="849"/>
      <c r="V78" s="850">
        <f t="shared" si="36"/>
        <v>0</v>
      </c>
      <c r="W78" s="851"/>
    </row>
    <row r="79" spans="1:23" ht="20.100000000000001" customHeight="1" x14ac:dyDescent="0.2">
      <c r="A79" s="854" t="s">
        <v>3724</v>
      </c>
      <c r="B79" s="849"/>
      <c r="C79" s="849"/>
      <c r="D79" s="849"/>
      <c r="E79" s="849"/>
      <c r="F79" s="849"/>
      <c r="G79" s="849"/>
      <c r="H79" s="849"/>
      <c r="I79" s="849"/>
      <c r="J79" s="849"/>
      <c r="K79" s="850">
        <f t="shared" si="37"/>
        <v>0</v>
      </c>
      <c r="L79" s="851"/>
      <c r="M79" s="849"/>
      <c r="N79" s="849"/>
      <c r="O79" s="849"/>
      <c r="P79" s="849"/>
      <c r="Q79" s="849"/>
      <c r="R79" s="849"/>
      <c r="S79" s="849"/>
      <c r="T79" s="849"/>
      <c r="U79" s="849"/>
      <c r="V79" s="850">
        <f t="shared" si="36"/>
        <v>0</v>
      </c>
      <c r="W79" s="851"/>
    </row>
    <row r="80" spans="1:23" ht="20.100000000000001" customHeight="1" x14ac:dyDescent="0.2">
      <c r="A80" s="844" t="s">
        <v>3725</v>
      </c>
      <c r="B80" s="845">
        <f>SUM(B81:B85)</f>
        <v>642</v>
      </c>
      <c r="C80" s="845">
        <f t="shared" ref="C80:L80" si="38">SUM(C81:C85)</f>
        <v>0</v>
      </c>
      <c r="D80" s="845">
        <f t="shared" si="38"/>
        <v>0</v>
      </c>
      <c r="E80" s="845">
        <f t="shared" si="38"/>
        <v>0</v>
      </c>
      <c r="F80" s="845">
        <f t="shared" si="38"/>
        <v>0</v>
      </c>
      <c r="G80" s="845">
        <f t="shared" si="38"/>
        <v>0</v>
      </c>
      <c r="H80" s="845">
        <f t="shared" si="38"/>
        <v>0</v>
      </c>
      <c r="I80" s="845">
        <f t="shared" si="38"/>
        <v>0</v>
      </c>
      <c r="J80" s="845">
        <f t="shared" si="38"/>
        <v>0</v>
      </c>
      <c r="K80" s="845">
        <f t="shared" si="38"/>
        <v>642</v>
      </c>
      <c r="L80" s="852">
        <f t="shared" si="38"/>
        <v>63846185.280000001</v>
      </c>
      <c r="M80" s="845">
        <f>SUM(M81:M85)</f>
        <v>642</v>
      </c>
      <c r="N80" s="845">
        <f t="shared" ref="N80:W80" si="39">SUM(N81:N85)</f>
        <v>0</v>
      </c>
      <c r="O80" s="845">
        <f t="shared" si="39"/>
        <v>0</v>
      </c>
      <c r="P80" s="845">
        <f t="shared" si="39"/>
        <v>0</v>
      </c>
      <c r="Q80" s="845">
        <f t="shared" si="39"/>
        <v>0</v>
      </c>
      <c r="R80" s="845">
        <f t="shared" si="39"/>
        <v>0</v>
      </c>
      <c r="S80" s="845">
        <f t="shared" si="39"/>
        <v>0</v>
      </c>
      <c r="T80" s="845">
        <f t="shared" si="39"/>
        <v>0</v>
      </c>
      <c r="U80" s="845">
        <f t="shared" si="39"/>
        <v>0</v>
      </c>
      <c r="V80" s="845">
        <f t="shared" si="39"/>
        <v>642</v>
      </c>
      <c r="W80" s="852">
        <f t="shared" si="39"/>
        <v>63846185.280000001</v>
      </c>
    </row>
    <row r="81" spans="1:23" ht="20.100000000000001" customHeight="1" x14ac:dyDescent="0.2">
      <c r="A81" s="848" t="s">
        <v>3726</v>
      </c>
      <c r="B81" s="849">
        <v>118</v>
      </c>
      <c r="C81" s="849"/>
      <c r="D81" s="849"/>
      <c r="E81" s="849"/>
      <c r="F81" s="849"/>
      <c r="G81" s="849"/>
      <c r="H81" s="849"/>
      <c r="I81" s="849"/>
      <c r="J81" s="849"/>
      <c r="K81" s="850">
        <f t="shared" si="37"/>
        <v>118</v>
      </c>
      <c r="L81" s="851">
        <v>14251743.16</v>
      </c>
      <c r="M81" s="849">
        <v>118</v>
      </c>
      <c r="N81" s="849"/>
      <c r="O81" s="849"/>
      <c r="P81" s="849"/>
      <c r="Q81" s="849"/>
      <c r="R81" s="849"/>
      <c r="S81" s="849"/>
      <c r="T81" s="849"/>
      <c r="U81" s="849"/>
      <c r="V81" s="850">
        <f t="shared" ref="V81:V85" si="40">SUM(M81:U81)</f>
        <v>118</v>
      </c>
      <c r="W81" s="851">
        <v>14251743.16</v>
      </c>
    </row>
    <row r="82" spans="1:23" ht="20.100000000000001" customHeight="1" x14ac:dyDescent="0.2">
      <c r="A82" s="848" t="s">
        <v>3727</v>
      </c>
      <c r="B82" s="849">
        <v>12</v>
      </c>
      <c r="C82" s="849"/>
      <c r="D82" s="849"/>
      <c r="E82" s="849"/>
      <c r="F82" s="849"/>
      <c r="G82" s="849"/>
      <c r="H82" s="849"/>
      <c r="I82" s="849"/>
      <c r="J82" s="849"/>
      <c r="K82" s="850">
        <f t="shared" si="37"/>
        <v>12</v>
      </c>
      <c r="L82" s="851">
        <v>1299578.28</v>
      </c>
      <c r="M82" s="849">
        <v>12</v>
      </c>
      <c r="N82" s="849"/>
      <c r="O82" s="849"/>
      <c r="P82" s="849"/>
      <c r="Q82" s="849"/>
      <c r="R82" s="849"/>
      <c r="S82" s="849"/>
      <c r="T82" s="849"/>
      <c r="U82" s="849"/>
      <c r="V82" s="850">
        <f t="shared" si="40"/>
        <v>12</v>
      </c>
      <c r="W82" s="851">
        <v>1299578.28</v>
      </c>
    </row>
    <row r="83" spans="1:23" ht="20.100000000000001" customHeight="1" x14ac:dyDescent="0.2">
      <c r="A83" s="848" t="s">
        <v>3728</v>
      </c>
      <c r="B83" s="849">
        <v>39</v>
      </c>
      <c r="C83" s="849"/>
      <c r="D83" s="849"/>
      <c r="E83" s="849"/>
      <c r="F83" s="849"/>
      <c r="G83" s="849"/>
      <c r="H83" s="849"/>
      <c r="I83" s="849"/>
      <c r="J83" s="849"/>
      <c r="K83" s="850">
        <f t="shared" si="37"/>
        <v>39</v>
      </c>
      <c r="L83" s="851">
        <v>4241753.16</v>
      </c>
      <c r="M83" s="849">
        <v>39</v>
      </c>
      <c r="N83" s="849"/>
      <c r="O83" s="849"/>
      <c r="P83" s="849"/>
      <c r="Q83" s="849"/>
      <c r="R83" s="849"/>
      <c r="S83" s="849"/>
      <c r="T83" s="849"/>
      <c r="U83" s="849"/>
      <c r="V83" s="850">
        <f t="shared" si="40"/>
        <v>39</v>
      </c>
      <c r="W83" s="851">
        <v>4241753.16</v>
      </c>
    </row>
    <row r="84" spans="1:23" ht="20.100000000000001" customHeight="1" x14ac:dyDescent="0.2">
      <c r="A84" s="848" t="s">
        <v>3729</v>
      </c>
      <c r="B84" s="849">
        <v>83</v>
      </c>
      <c r="C84" s="849"/>
      <c r="D84" s="849"/>
      <c r="E84" s="849"/>
      <c r="F84" s="849"/>
      <c r="G84" s="849"/>
      <c r="H84" s="849"/>
      <c r="I84" s="849"/>
      <c r="J84" s="849"/>
      <c r="K84" s="850">
        <f t="shared" si="37"/>
        <v>83</v>
      </c>
      <c r="L84" s="851">
        <v>8047184.96</v>
      </c>
      <c r="M84" s="849">
        <v>83</v>
      </c>
      <c r="N84" s="849"/>
      <c r="O84" s="849"/>
      <c r="P84" s="849"/>
      <c r="Q84" s="849"/>
      <c r="R84" s="849"/>
      <c r="S84" s="849"/>
      <c r="T84" s="849"/>
      <c r="U84" s="849"/>
      <c r="V84" s="850">
        <f t="shared" si="40"/>
        <v>83</v>
      </c>
      <c r="W84" s="851">
        <v>8047184.96</v>
      </c>
    </row>
    <row r="85" spans="1:23" ht="20.100000000000001" customHeight="1" x14ac:dyDescent="0.2">
      <c r="A85" s="848" t="s">
        <v>3730</v>
      </c>
      <c r="B85" s="849">
        <v>390</v>
      </c>
      <c r="C85" s="849"/>
      <c r="D85" s="849"/>
      <c r="E85" s="849"/>
      <c r="F85" s="849"/>
      <c r="G85" s="849"/>
      <c r="H85" s="849"/>
      <c r="I85" s="849"/>
      <c r="J85" s="849"/>
      <c r="K85" s="850">
        <f t="shared" si="37"/>
        <v>390</v>
      </c>
      <c r="L85" s="851">
        <v>36005925.719999999</v>
      </c>
      <c r="M85" s="849">
        <v>390</v>
      </c>
      <c r="N85" s="849"/>
      <c r="O85" s="849"/>
      <c r="P85" s="849"/>
      <c r="Q85" s="849"/>
      <c r="R85" s="849"/>
      <c r="S85" s="849"/>
      <c r="T85" s="849"/>
      <c r="U85" s="849"/>
      <c r="V85" s="850">
        <f t="shared" si="40"/>
        <v>390</v>
      </c>
      <c r="W85" s="851">
        <v>36005925.719999999</v>
      </c>
    </row>
    <row r="86" spans="1:23" ht="20.100000000000001" customHeight="1" x14ac:dyDescent="0.2">
      <c r="A86" s="844" t="s">
        <v>3731</v>
      </c>
      <c r="B86" s="845">
        <f>SUM(B87:B91)</f>
        <v>149</v>
      </c>
      <c r="C86" s="845">
        <f t="shared" ref="C86:L86" si="41">SUM(C87:C91)</f>
        <v>0</v>
      </c>
      <c r="D86" s="845">
        <f t="shared" si="41"/>
        <v>0</v>
      </c>
      <c r="E86" s="845">
        <f t="shared" si="41"/>
        <v>0</v>
      </c>
      <c r="F86" s="845">
        <f t="shared" si="41"/>
        <v>0</v>
      </c>
      <c r="G86" s="845">
        <f t="shared" si="41"/>
        <v>0</v>
      </c>
      <c r="H86" s="845">
        <f t="shared" si="41"/>
        <v>0</v>
      </c>
      <c r="I86" s="845">
        <f t="shared" si="41"/>
        <v>0</v>
      </c>
      <c r="J86" s="845">
        <f t="shared" si="41"/>
        <v>0</v>
      </c>
      <c r="K86" s="845">
        <f t="shared" si="41"/>
        <v>149</v>
      </c>
      <c r="L86" s="852">
        <f t="shared" si="41"/>
        <v>9530116.2800000012</v>
      </c>
      <c r="M86" s="845">
        <f>SUM(M87:M91)</f>
        <v>149</v>
      </c>
      <c r="N86" s="845">
        <f t="shared" ref="N86:W86" si="42">SUM(N87:N91)</f>
        <v>0</v>
      </c>
      <c r="O86" s="845">
        <f t="shared" si="42"/>
        <v>0</v>
      </c>
      <c r="P86" s="845">
        <f t="shared" si="42"/>
        <v>0</v>
      </c>
      <c r="Q86" s="845">
        <f t="shared" si="42"/>
        <v>0</v>
      </c>
      <c r="R86" s="845">
        <f t="shared" si="42"/>
        <v>0</v>
      </c>
      <c r="S86" s="845">
        <f t="shared" si="42"/>
        <v>0</v>
      </c>
      <c r="T86" s="845">
        <f t="shared" si="42"/>
        <v>0</v>
      </c>
      <c r="U86" s="845">
        <f t="shared" si="42"/>
        <v>0</v>
      </c>
      <c r="V86" s="845">
        <f t="shared" si="42"/>
        <v>149</v>
      </c>
      <c r="W86" s="852">
        <f t="shared" si="42"/>
        <v>9530116.2800000012</v>
      </c>
    </row>
    <row r="87" spans="1:23" ht="20.100000000000001" customHeight="1" x14ac:dyDescent="0.2">
      <c r="A87" s="848" t="s">
        <v>3732</v>
      </c>
      <c r="B87" s="849">
        <v>120</v>
      </c>
      <c r="C87" s="849"/>
      <c r="D87" s="849"/>
      <c r="E87" s="849"/>
      <c r="F87" s="849"/>
      <c r="G87" s="849"/>
      <c r="H87" s="849"/>
      <c r="I87" s="849"/>
      <c r="J87" s="849"/>
      <c r="K87" s="850">
        <f t="shared" si="37"/>
        <v>120</v>
      </c>
      <c r="L87" s="851">
        <v>7517813.2800000003</v>
      </c>
      <c r="M87" s="849">
        <v>120</v>
      </c>
      <c r="N87" s="849"/>
      <c r="O87" s="849"/>
      <c r="P87" s="849"/>
      <c r="Q87" s="849"/>
      <c r="R87" s="849"/>
      <c r="S87" s="849"/>
      <c r="T87" s="849"/>
      <c r="U87" s="849"/>
      <c r="V87" s="850">
        <f t="shared" ref="V87:V91" si="43">SUM(M87:U87)</f>
        <v>120</v>
      </c>
      <c r="W87" s="851">
        <v>7517813.2800000003</v>
      </c>
    </row>
    <row r="88" spans="1:23" ht="20.100000000000001" customHeight="1" x14ac:dyDescent="0.2">
      <c r="A88" s="848" t="s">
        <v>3733</v>
      </c>
      <c r="B88" s="849">
        <v>5</v>
      </c>
      <c r="C88" s="849"/>
      <c r="D88" s="849"/>
      <c r="E88" s="849"/>
      <c r="F88" s="849"/>
      <c r="G88" s="849"/>
      <c r="H88" s="849"/>
      <c r="I88" s="849"/>
      <c r="J88" s="849"/>
      <c r="K88" s="850">
        <f t="shared" si="37"/>
        <v>5</v>
      </c>
      <c r="L88" s="851">
        <v>334724.59999999998</v>
      </c>
      <c r="M88" s="849">
        <v>5</v>
      </c>
      <c r="N88" s="849"/>
      <c r="O88" s="849"/>
      <c r="P88" s="849"/>
      <c r="Q88" s="849"/>
      <c r="R88" s="849"/>
      <c r="S88" s="849"/>
      <c r="T88" s="849"/>
      <c r="U88" s="849"/>
      <c r="V88" s="850">
        <f t="shared" si="43"/>
        <v>5</v>
      </c>
      <c r="W88" s="851">
        <v>334724.59999999998</v>
      </c>
    </row>
    <row r="89" spans="1:23" ht="20.100000000000001" customHeight="1" x14ac:dyDescent="0.2">
      <c r="A89" s="848" t="s">
        <v>3734</v>
      </c>
      <c r="B89" s="849">
        <v>3</v>
      </c>
      <c r="C89" s="849"/>
      <c r="D89" s="849"/>
      <c r="E89" s="849"/>
      <c r="F89" s="849"/>
      <c r="G89" s="849"/>
      <c r="H89" s="849"/>
      <c r="I89" s="849"/>
      <c r="J89" s="849"/>
      <c r="K89" s="850">
        <f t="shared" si="37"/>
        <v>3</v>
      </c>
      <c r="L89" s="851">
        <v>169397.40000000002</v>
      </c>
      <c r="M89" s="849">
        <v>3</v>
      </c>
      <c r="N89" s="849"/>
      <c r="O89" s="849"/>
      <c r="P89" s="849"/>
      <c r="Q89" s="849"/>
      <c r="R89" s="849"/>
      <c r="S89" s="849"/>
      <c r="T89" s="849"/>
      <c r="U89" s="849"/>
      <c r="V89" s="850">
        <f t="shared" si="43"/>
        <v>3</v>
      </c>
      <c r="W89" s="851">
        <v>169397.40000000002</v>
      </c>
    </row>
    <row r="90" spans="1:23" ht="20.100000000000001" customHeight="1" x14ac:dyDescent="0.2">
      <c r="A90" s="848" t="s">
        <v>3735</v>
      </c>
      <c r="B90" s="849">
        <v>1</v>
      </c>
      <c r="C90" s="849"/>
      <c r="D90" s="849"/>
      <c r="E90" s="849"/>
      <c r="F90" s="849"/>
      <c r="G90" s="849"/>
      <c r="H90" s="849"/>
      <c r="I90" s="849"/>
      <c r="J90" s="849"/>
      <c r="K90" s="850">
        <f t="shared" si="37"/>
        <v>1</v>
      </c>
      <c r="L90" s="851">
        <v>69376.479999999996</v>
      </c>
      <c r="M90" s="849">
        <v>1</v>
      </c>
      <c r="N90" s="849"/>
      <c r="O90" s="849"/>
      <c r="P90" s="849"/>
      <c r="Q90" s="849"/>
      <c r="R90" s="849"/>
      <c r="S90" s="849"/>
      <c r="T90" s="849"/>
      <c r="U90" s="849"/>
      <c r="V90" s="850">
        <f t="shared" si="43"/>
        <v>1</v>
      </c>
      <c r="W90" s="851">
        <v>69376.479999999996</v>
      </c>
    </row>
    <row r="91" spans="1:23" ht="20.100000000000001" customHeight="1" x14ac:dyDescent="0.2">
      <c r="A91" s="848" t="s">
        <v>3736</v>
      </c>
      <c r="B91" s="849">
        <v>20</v>
      </c>
      <c r="C91" s="849"/>
      <c r="D91" s="849"/>
      <c r="E91" s="849"/>
      <c r="F91" s="849"/>
      <c r="G91" s="849"/>
      <c r="H91" s="849"/>
      <c r="I91" s="849"/>
      <c r="J91" s="849"/>
      <c r="K91" s="850">
        <f t="shared" si="37"/>
        <v>20</v>
      </c>
      <c r="L91" s="851">
        <v>1438804.52</v>
      </c>
      <c r="M91" s="849">
        <v>20</v>
      </c>
      <c r="N91" s="849"/>
      <c r="O91" s="849"/>
      <c r="P91" s="849"/>
      <c r="Q91" s="849"/>
      <c r="R91" s="849"/>
      <c r="S91" s="849"/>
      <c r="T91" s="849"/>
      <c r="U91" s="849"/>
      <c r="V91" s="850">
        <f t="shared" si="43"/>
        <v>20</v>
      </c>
      <c r="W91" s="851">
        <v>1438804.52</v>
      </c>
    </row>
    <row r="92" spans="1:23" ht="20.100000000000001" customHeight="1" x14ac:dyDescent="0.2">
      <c r="A92" s="844" t="s">
        <v>3737</v>
      </c>
      <c r="B92" s="845">
        <f>SUM(B93:B97)</f>
        <v>1093</v>
      </c>
      <c r="C92" s="845">
        <f t="shared" ref="C92:L92" si="44">SUM(C93:C97)</f>
        <v>0</v>
      </c>
      <c r="D92" s="845">
        <f t="shared" si="44"/>
        <v>0</v>
      </c>
      <c r="E92" s="845">
        <f t="shared" si="44"/>
        <v>0</v>
      </c>
      <c r="F92" s="845">
        <f t="shared" si="44"/>
        <v>0</v>
      </c>
      <c r="G92" s="845">
        <f t="shared" si="44"/>
        <v>0</v>
      </c>
      <c r="H92" s="845">
        <f t="shared" si="44"/>
        <v>0</v>
      </c>
      <c r="I92" s="845">
        <f t="shared" si="44"/>
        <v>0</v>
      </c>
      <c r="J92" s="845">
        <f t="shared" si="44"/>
        <v>0</v>
      </c>
      <c r="K92" s="845">
        <f t="shared" si="44"/>
        <v>1093</v>
      </c>
      <c r="L92" s="852">
        <f t="shared" si="44"/>
        <v>72628998.879999995</v>
      </c>
      <c r="M92" s="845">
        <f>SUM(M93:M97)</f>
        <v>1093</v>
      </c>
      <c r="N92" s="845">
        <f t="shared" ref="N92:W92" si="45">SUM(N93:N97)</f>
        <v>0</v>
      </c>
      <c r="O92" s="845">
        <f t="shared" si="45"/>
        <v>0</v>
      </c>
      <c r="P92" s="845">
        <f t="shared" si="45"/>
        <v>0</v>
      </c>
      <c r="Q92" s="845">
        <f t="shared" si="45"/>
        <v>0</v>
      </c>
      <c r="R92" s="845">
        <f t="shared" si="45"/>
        <v>0</v>
      </c>
      <c r="S92" s="845">
        <f t="shared" si="45"/>
        <v>0</v>
      </c>
      <c r="T92" s="845">
        <f t="shared" si="45"/>
        <v>0</v>
      </c>
      <c r="U92" s="845">
        <f t="shared" si="45"/>
        <v>0</v>
      </c>
      <c r="V92" s="845">
        <f t="shared" si="45"/>
        <v>1093</v>
      </c>
      <c r="W92" s="852">
        <f t="shared" si="45"/>
        <v>72628998.879999995</v>
      </c>
    </row>
    <row r="93" spans="1:23" ht="20.100000000000001" customHeight="1" x14ac:dyDescent="0.2">
      <c r="A93" s="848" t="s">
        <v>3738</v>
      </c>
      <c r="B93" s="849">
        <v>730</v>
      </c>
      <c r="C93" s="849"/>
      <c r="D93" s="849"/>
      <c r="E93" s="849"/>
      <c r="F93" s="849"/>
      <c r="G93" s="849"/>
      <c r="H93" s="849"/>
      <c r="I93" s="849"/>
      <c r="J93" s="849"/>
      <c r="K93" s="850">
        <f t="shared" si="37"/>
        <v>730</v>
      </c>
      <c r="L93" s="851">
        <v>45593437.359999992</v>
      </c>
      <c r="M93" s="849">
        <v>730</v>
      </c>
      <c r="N93" s="849"/>
      <c r="O93" s="849"/>
      <c r="P93" s="849"/>
      <c r="Q93" s="849"/>
      <c r="R93" s="849"/>
      <c r="S93" s="849"/>
      <c r="T93" s="849"/>
      <c r="U93" s="849"/>
      <c r="V93" s="850">
        <f t="shared" ref="V93:V97" si="46">SUM(M93:U93)</f>
        <v>730</v>
      </c>
      <c r="W93" s="851">
        <v>45593437.359999992</v>
      </c>
    </row>
    <row r="94" spans="1:23" ht="20.100000000000001" customHeight="1" x14ac:dyDescent="0.2">
      <c r="A94" s="848" t="s">
        <v>3739</v>
      </c>
      <c r="B94" s="849">
        <v>57</v>
      </c>
      <c r="C94" s="849"/>
      <c r="D94" s="849"/>
      <c r="E94" s="849"/>
      <c r="F94" s="849"/>
      <c r="G94" s="849"/>
      <c r="H94" s="849"/>
      <c r="I94" s="849"/>
      <c r="J94" s="849"/>
      <c r="K94" s="850">
        <f t="shared" si="37"/>
        <v>57</v>
      </c>
      <c r="L94" s="851">
        <v>3809808.3599999994</v>
      </c>
      <c r="M94" s="849">
        <v>57</v>
      </c>
      <c r="N94" s="849"/>
      <c r="O94" s="849"/>
      <c r="P94" s="849"/>
      <c r="Q94" s="849"/>
      <c r="R94" s="849"/>
      <c r="S94" s="849"/>
      <c r="T94" s="849"/>
      <c r="U94" s="849"/>
      <c r="V94" s="850">
        <f t="shared" si="46"/>
        <v>57</v>
      </c>
      <c r="W94" s="851">
        <v>3809808.3599999994</v>
      </c>
    </row>
    <row r="95" spans="1:23" ht="20.100000000000001" customHeight="1" x14ac:dyDescent="0.2">
      <c r="A95" s="848" t="s">
        <v>3740</v>
      </c>
      <c r="B95" s="849">
        <v>24</v>
      </c>
      <c r="C95" s="849"/>
      <c r="D95" s="849"/>
      <c r="E95" s="849"/>
      <c r="F95" s="849"/>
      <c r="G95" s="849"/>
      <c r="H95" s="849"/>
      <c r="I95" s="849"/>
      <c r="J95" s="849"/>
      <c r="K95" s="850">
        <f t="shared" si="37"/>
        <v>24</v>
      </c>
      <c r="L95" s="851">
        <v>1657715.28</v>
      </c>
      <c r="M95" s="849">
        <v>24</v>
      </c>
      <c r="N95" s="849"/>
      <c r="O95" s="849"/>
      <c r="P95" s="849"/>
      <c r="Q95" s="849"/>
      <c r="R95" s="849"/>
      <c r="S95" s="849"/>
      <c r="T95" s="849"/>
      <c r="U95" s="849"/>
      <c r="V95" s="850">
        <f t="shared" si="46"/>
        <v>24</v>
      </c>
      <c r="W95" s="851">
        <v>1657715.28</v>
      </c>
    </row>
    <row r="96" spans="1:23" ht="20.100000000000001" customHeight="1" x14ac:dyDescent="0.2">
      <c r="A96" s="848" t="s">
        <v>3741</v>
      </c>
      <c r="B96" s="849">
        <v>13</v>
      </c>
      <c r="C96" s="849"/>
      <c r="D96" s="849"/>
      <c r="E96" s="849"/>
      <c r="F96" s="849"/>
      <c r="G96" s="849"/>
      <c r="H96" s="849"/>
      <c r="I96" s="849"/>
      <c r="J96" s="849"/>
      <c r="K96" s="850">
        <f t="shared" si="37"/>
        <v>13</v>
      </c>
      <c r="L96" s="851">
        <v>930377.44000000006</v>
      </c>
      <c r="M96" s="849">
        <v>13</v>
      </c>
      <c r="N96" s="849"/>
      <c r="O96" s="849"/>
      <c r="P96" s="849"/>
      <c r="Q96" s="849"/>
      <c r="R96" s="849"/>
      <c r="S96" s="849"/>
      <c r="T96" s="849"/>
      <c r="U96" s="849"/>
      <c r="V96" s="850">
        <f t="shared" si="46"/>
        <v>13</v>
      </c>
      <c r="W96" s="851">
        <v>930377.44000000006</v>
      </c>
    </row>
    <row r="97" spans="1:23" ht="20.100000000000001" customHeight="1" x14ac:dyDescent="0.2">
      <c r="A97" s="848" t="s">
        <v>3742</v>
      </c>
      <c r="B97" s="849">
        <v>269</v>
      </c>
      <c r="C97" s="849"/>
      <c r="D97" s="849"/>
      <c r="E97" s="849"/>
      <c r="F97" s="849"/>
      <c r="G97" s="849"/>
      <c r="H97" s="849"/>
      <c r="I97" s="849"/>
      <c r="J97" s="849"/>
      <c r="K97" s="850">
        <f t="shared" si="37"/>
        <v>269</v>
      </c>
      <c r="L97" s="851">
        <v>20637660.439999998</v>
      </c>
      <c r="M97" s="849">
        <v>269</v>
      </c>
      <c r="N97" s="849"/>
      <c r="O97" s="849"/>
      <c r="P97" s="849"/>
      <c r="Q97" s="849"/>
      <c r="R97" s="849"/>
      <c r="S97" s="849"/>
      <c r="T97" s="849"/>
      <c r="U97" s="849"/>
      <c r="V97" s="850">
        <f t="shared" si="46"/>
        <v>269</v>
      </c>
      <c r="W97" s="851">
        <v>20637660.439999998</v>
      </c>
    </row>
    <row r="98" spans="1:23" ht="20.100000000000001" customHeight="1" x14ac:dyDescent="0.2">
      <c r="A98" s="844" t="s">
        <v>3743</v>
      </c>
      <c r="B98" s="845">
        <f>SUM(B99:B102)</f>
        <v>557</v>
      </c>
      <c r="C98" s="845">
        <f t="shared" ref="C98:L98" si="47">SUM(C99:C102)</f>
        <v>0</v>
      </c>
      <c r="D98" s="845">
        <f t="shared" si="47"/>
        <v>0</v>
      </c>
      <c r="E98" s="845">
        <f t="shared" si="47"/>
        <v>0</v>
      </c>
      <c r="F98" s="845">
        <f t="shared" si="47"/>
        <v>0</v>
      </c>
      <c r="G98" s="845">
        <f t="shared" si="47"/>
        <v>0</v>
      </c>
      <c r="H98" s="845">
        <f t="shared" si="47"/>
        <v>0</v>
      </c>
      <c r="I98" s="845">
        <f t="shared" si="47"/>
        <v>0</v>
      </c>
      <c r="J98" s="845">
        <f t="shared" si="47"/>
        <v>0</v>
      </c>
      <c r="K98" s="845">
        <f t="shared" si="47"/>
        <v>557</v>
      </c>
      <c r="L98" s="852">
        <f t="shared" si="47"/>
        <v>36415720.640000001</v>
      </c>
      <c r="M98" s="845">
        <f>SUM(M99:M102)</f>
        <v>557</v>
      </c>
      <c r="N98" s="845">
        <f t="shared" ref="N98:W98" si="48">SUM(N99:N102)</f>
        <v>0</v>
      </c>
      <c r="O98" s="845">
        <f t="shared" si="48"/>
        <v>0</v>
      </c>
      <c r="P98" s="845">
        <f t="shared" si="48"/>
        <v>0</v>
      </c>
      <c r="Q98" s="845">
        <f t="shared" si="48"/>
        <v>0</v>
      </c>
      <c r="R98" s="845">
        <f t="shared" si="48"/>
        <v>0</v>
      </c>
      <c r="S98" s="845">
        <f t="shared" si="48"/>
        <v>0</v>
      </c>
      <c r="T98" s="845">
        <f t="shared" si="48"/>
        <v>0</v>
      </c>
      <c r="U98" s="845">
        <f t="shared" si="48"/>
        <v>0</v>
      </c>
      <c r="V98" s="845">
        <f t="shared" si="48"/>
        <v>557</v>
      </c>
      <c r="W98" s="852">
        <f t="shared" si="48"/>
        <v>36415720.640000001</v>
      </c>
    </row>
    <row r="99" spans="1:23" ht="20.100000000000001" customHeight="1" x14ac:dyDescent="0.2">
      <c r="A99" s="848" t="s">
        <v>3744</v>
      </c>
      <c r="B99" s="849">
        <v>456</v>
      </c>
      <c r="C99" s="849"/>
      <c r="D99" s="849"/>
      <c r="E99" s="849"/>
      <c r="F99" s="849"/>
      <c r="G99" s="849"/>
      <c r="H99" s="849"/>
      <c r="I99" s="849"/>
      <c r="J99" s="849"/>
      <c r="K99" s="850">
        <f t="shared" si="37"/>
        <v>456</v>
      </c>
      <c r="L99" s="851">
        <v>29093287.799999997</v>
      </c>
      <c r="M99" s="849">
        <v>456</v>
      </c>
      <c r="N99" s="849"/>
      <c r="O99" s="849"/>
      <c r="P99" s="849"/>
      <c r="Q99" s="849"/>
      <c r="R99" s="849"/>
      <c r="S99" s="849"/>
      <c r="T99" s="849"/>
      <c r="U99" s="849"/>
      <c r="V99" s="850">
        <f t="shared" ref="V99:V102" si="49">SUM(M99:U99)</f>
        <v>456</v>
      </c>
      <c r="W99" s="851">
        <v>29093287.799999997</v>
      </c>
    </row>
    <row r="100" spans="1:23" ht="20.100000000000001" customHeight="1" x14ac:dyDescent="0.2">
      <c r="A100" s="848" t="s">
        <v>3745</v>
      </c>
      <c r="B100" s="849">
        <v>29</v>
      </c>
      <c r="C100" s="849"/>
      <c r="D100" s="849"/>
      <c r="E100" s="849"/>
      <c r="F100" s="849"/>
      <c r="G100" s="849"/>
      <c r="H100" s="849"/>
      <c r="I100" s="849"/>
      <c r="J100" s="849"/>
      <c r="K100" s="850">
        <f t="shared" si="37"/>
        <v>29</v>
      </c>
      <c r="L100" s="851">
        <v>1990305.8</v>
      </c>
      <c r="M100" s="849">
        <v>29</v>
      </c>
      <c r="N100" s="849"/>
      <c r="O100" s="849"/>
      <c r="P100" s="849"/>
      <c r="Q100" s="849"/>
      <c r="R100" s="849"/>
      <c r="S100" s="849"/>
      <c r="T100" s="849"/>
      <c r="U100" s="849"/>
      <c r="V100" s="850">
        <f t="shared" si="49"/>
        <v>29</v>
      </c>
      <c r="W100" s="851">
        <v>1990305.8</v>
      </c>
    </row>
    <row r="101" spans="1:23" ht="20.100000000000001" customHeight="1" x14ac:dyDescent="0.2">
      <c r="A101" s="848" t="s">
        <v>3746</v>
      </c>
      <c r="B101" s="849">
        <v>5</v>
      </c>
      <c r="C101" s="849"/>
      <c r="D101" s="849"/>
      <c r="E101" s="849"/>
      <c r="F101" s="849"/>
      <c r="G101" s="849"/>
      <c r="H101" s="849"/>
      <c r="I101" s="849"/>
      <c r="J101" s="849"/>
      <c r="K101" s="850">
        <f t="shared" si="37"/>
        <v>5</v>
      </c>
      <c r="L101" s="851">
        <v>358478.36</v>
      </c>
      <c r="M101" s="849">
        <v>5</v>
      </c>
      <c r="N101" s="849"/>
      <c r="O101" s="849"/>
      <c r="P101" s="849"/>
      <c r="Q101" s="849"/>
      <c r="R101" s="849"/>
      <c r="S101" s="849"/>
      <c r="T101" s="849"/>
      <c r="U101" s="849"/>
      <c r="V101" s="850">
        <f t="shared" si="49"/>
        <v>5</v>
      </c>
      <c r="W101" s="851">
        <v>358478.36</v>
      </c>
    </row>
    <row r="102" spans="1:23" ht="20.100000000000001" customHeight="1" x14ac:dyDescent="0.2">
      <c r="A102" s="848" t="s">
        <v>3747</v>
      </c>
      <c r="B102" s="849">
        <v>67</v>
      </c>
      <c r="C102" s="849"/>
      <c r="D102" s="849"/>
      <c r="E102" s="849"/>
      <c r="F102" s="849"/>
      <c r="G102" s="849"/>
      <c r="H102" s="849"/>
      <c r="I102" s="849"/>
      <c r="J102" s="849"/>
      <c r="K102" s="850">
        <f t="shared" si="37"/>
        <v>67</v>
      </c>
      <c r="L102" s="851">
        <v>4973648.6800000006</v>
      </c>
      <c r="M102" s="849">
        <v>67</v>
      </c>
      <c r="N102" s="849"/>
      <c r="O102" s="849"/>
      <c r="P102" s="849"/>
      <c r="Q102" s="849"/>
      <c r="R102" s="849"/>
      <c r="S102" s="849"/>
      <c r="T102" s="849"/>
      <c r="U102" s="849"/>
      <c r="V102" s="850">
        <f t="shared" si="49"/>
        <v>67</v>
      </c>
      <c r="W102" s="851">
        <v>4973648.6800000006</v>
      </c>
    </row>
    <row r="103" spans="1:23" ht="20.100000000000001" customHeight="1" x14ac:dyDescent="0.2">
      <c r="A103" s="844" t="s">
        <v>3748</v>
      </c>
      <c r="B103" s="845">
        <f>SUM(B104:B105)</f>
        <v>38</v>
      </c>
      <c r="C103" s="845">
        <f t="shared" ref="C103:L103" si="50">SUM(C104:C105)</f>
        <v>0</v>
      </c>
      <c r="D103" s="845">
        <f t="shared" si="50"/>
        <v>0</v>
      </c>
      <c r="E103" s="845">
        <f t="shared" si="50"/>
        <v>0</v>
      </c>
      <c r="F103" s="845">
        <f t="shared" si="50"/>
        <v>0</v>
      </c>
      <c r="G103" s="845">
        <f t="shared" si="50"/>
        <v>0</v>
      </c>
      <c r="H103" s="845">
        <f t="shared" si="50"/>
        <v>0</v>
      </c>
      <c r="I103" s="845">
        <f t="shared" si="50"/>
        <v>0</v>
      </c>
      <c r="J103" s="845">
        <f t="shared" si="50"/>
        <v>0</v>
      </c>
      <c r="K103" s="845">
        <f t="shared" si="50"/>
        <v>38</v>
      </c>
      <c r="L103" s="852">
        <f t="shared" si="50"/>
        <v>2300249.1199999996</v>
      </c>
      <c r="M103" s="845">
        <f>SUM(M104:M105)</f>
        <v>38</v>
      </c>
      <c r="N103" s="845">
        <f t="shared" ref="N103:W103" si="51">SUM(N104:N105)</f>
        <v>0</v>
      </c>
      <c r="O103" s="845">
        <f t="shared" si="51"/>
        <v>0</v>
      </c>
      <c r="P103" s="845">
        <f t="shared" si="51"/>
        <v>0</v>
      </c>
      <c r="Q103" s="845">
        <f t="shared" si="51"/>
        <v>0</v>
      </c>
      <c r="R103" s="845">
        <f t="shared" si="51"/>
        <v>0</v>
      </c>
      <c r="S103" s="845">
        <f t="shared" si="51"/>
        <v>0</v>
      </c>
      <c r="T103" s="845">
        <f t="shared" si="51"/>
        <v>0</v>
      </c>
      <c r="U103" s="845">
        <f t="shared" si="51"/>
        <v>0</v>
      </c>
      <c r="V103" s="845">
        <f t="shared" si="51"/>
        <v>38</v>
      </c>
      <c r="W103" s="852">
        <f t="shared" si="51"/>
        <v>2300249.1199999996</v>
      </c>
    </row>
    <row r="104" spans="1:23" ht="20.100000000000001" customHeight="1" x14ac:dyDescent="0.2">
      <c r="A104" s="848" t="s">
        <v>3749</v>
      </c>
      <c r="B104" s="849">
        <v>37</v>
      </c>
      <c r="C104" s="849"/>
      <c r="D104" s="849"/>
      <c r="E104" s="849"/>
      <c r="F104" s="849"/>
      <c r="G104" s="849"/>
      <c r="H104" s="849"/>
      <c r="I104" s="849"/>
      <c r="J104" s="849"/>
      <c r="K104" s="850">
        <f t="shared" si="37"/>
        <v>37</v>
      </c>
      <c r="L104" s="851">
        <v>2242763.7999999998</v>
      </c>
      <c r="M104" s="849">
        <v>37</v>
      </c>
      <c r="N104" s="849"/>
      <c r="O104" s="849"/>
      <c r="P104" s="849"/>
      <c r="Q104" s="849"/>
      <c r="R104" s="849"/>
      <c r="S104" s="849"/>
      <c r="T104" s="849"/>
      <c r="U104" s="849"/>
      <c r="V104" s="850">
        <f t="shared" ref="V104:V105" si="52">SUM(M104:U104)</f>
        <v>37</v>
      </c>
      <c r="W104" s="851">
        <v>2242763.7999999998</v>
      </c>
    </row>
    <row r="105" spans="1:23" ht="20.100000000000001" customHeight="1" x14ac:dyDescent="0.2">
      <c r="A105" s="848" t="s">
        <v>3750</v>
      </c>
      <c r="B105" s="849">
        <v>1</v>
      </c>
      <c r="C105" s="849"/>
      <c r="D105" s="849"/>
      <c r="E105" s="849"/>
      <c r="F105" s="849"/>
      <c r="G105" s="849"/>
      <c r="H105" s="849"/>
      <c r="I105" s="849"/>
      <c r="J105" s="849"/>
      <c r="K105" s="850">
        <f t="shared" si="37"/>
        <v>1</v>
      </c>
      <c r="L105" s="851">
        <v>57485.32</v>
      </c>
      <c r="M105" s="849">
        <v>1</v>
      </c>
      <c r="N105" s="849"/>
      <c r="O105" s="849"/>
      <c r="P105" s="849"/>
      <c r="Q105" s="849"/>
      <c r="R105" s="849"/>
      <c r="S105" s="849"/>
      <c r="T105" s="849"/>
      <c r="U105" s="849"/>
      <c r="V105" s="850">
        <f t="shared" si="52"/>
        <v>1</v>
      </c>
      <c r="W105" s="851">
        <v>57485.32</v>
      </c>
    </row>
    <row r="106" spans="1:23" ht="20.100000000000001" customHeight="1" x14ac:dyDescent="0.2">
      <c r="A106" s="844" t="s">
        <v>3751</v>
      </c>
      <c r="B106" s="845">
        <f>SUM(B107:B113)</f>
        <v>241</v>
      </c>
      <c r="C106" s="845">
        <f t="shared" ref="C106:L106" si="53">SUM(C107:C113)</f>
        <v>0</v>
      </c>
      <c r="D106" s="845">
        <f t="shared" si="53"/>
        <v>0</v>
      </c>
      <c r="E106" s="845">
        <f t="shared" si="53"/>
        <v>0</v>
      </c>
      <c r="F106" s="845">
        <f t="shared" si="53"/>
        <v>0</v>
      </c>
      <c r="G106" s="845">
        <f t="shared" si="53"/>
        <v>0</v>
      </c>
      <c r="H106" s="845">
        <f t="shared" si="53"/>
        <v>0</v>
      </c>
      <c r="I106" s="845">
        <f t="shared" si="53"/>
        <v>0</v>
      </c>
      <c r="J106" s="845">
        <f t="shared" si="53"/>
        <v>0</v>
      </c>
      <c r="K106" s="845">
        <f t="shared" si="53"/>
        <v>241</v>
      </c>
      <c r="L106" s="852">
        <f t="shared" si="53"/>
        <v>14962557.279999999</v>
      </c>
      <c r="M106" s="845">
        <f>SUM(M107:M113)</f>
        <v>241</v>
      </c>
      <c r="N106" s="845">
        <f t="shared" ref="N106:W106" si="54">SUM(N107:N113)</f>
        <v>0</v>
      </c>
      <c r="O106" s="845">
        <f t="shared" si="54"/>
        <v>0</v>
      </c>
      <c r="P106" s="845">
        <f t="shared" si="54"/>
        <v>0</v>
      </c>
      <c r="Q106" s="845">
        <f t="shared" si="54"/>
        <v>0</v>
      </c>
      <c r="R106" s="845">
        <f t="shared" si="54"/>
        <v>0</v>
      </c>
      <c r="S106" s="845">
        <f t="shared" si="54"/>
        <v>0</v>
      </c>
      <c r="T106" s="845">
        <f t="shared" si="54"/>
        <v>0</v>
      </c>
      <c r="U106" s="845">
        <f t="shared" si="54"/>
        <v>0</v>
      </c>
      <c r="V106" s="845">
        <f t="shared" si="54"/>
        <v>241</v>
      </c>
      <c r="W106" s="852">
        <f t="shared" si="54"/>
        <v>14962557.279999999</v>
      </c>
    </row>
    <row r="107" spans="1:23" ht="20.100000000000001" customHeight="1" x14ac:dyDescent="0.2">
      <c r="A107" s="848" t="s">
        <v>3752</v>
      </c>
      <c r="B107" s="849">
        <v>188</v>
      </c>
      <c r="C107" s="849"/>
      <c r="D107" s="849"/>
      <c r="E107" s="849"/>
      <c r="F107" s="849"/>
      <c r="G107" s="849"/>
      <c r="H107" s="849"/>
      <c r="I107" s="849"/>
      <c r="J107" s="849"/>
      <c r="K107" s="850">
        <f t="shared" si="37"/>
        <v>188</v>
      </c>
      <c r="L107" s="851">
        <v>11667632.720000001</v>
      </c>
      <c r="M107" s="849">
        <v>188</v>
      </c>
      <c r="N107" s="849"/>
      <c r="O107" s="849"/>
      <c r="P107" s="849"/>
      <c r="Q107" s="849"/>
      <c r="R107" s="849"/>
      <c r="S107" s="849"/>
      <c r="T107" s="849"/>
      <c r="U107" s="849"/>
      <c r="V107" s="850">
        <f t="shared" ref="V107:V113" si="55">SUM(M107:U107)</f>
        <v>188</v>
      </c>
      <c r="W107" s="851">
        <v>11667632.720000001</v>
      </c>
    </row>
    <row r="108" spans="1:23" ht="20.100000000000001" customHeight="1" x14ac:dyDescent="0.2">
      <c r="A108" s="848" t="s">
        <v>3753</v>
      </c>
      <c r="B108" s="849">
        <v>16</v>
      </c>
      <c r="C108" s="849"/>
      <c r="D108" s="849"/>
      <c r="E108" s="849"/>
      <c r="F108" s="849"/>
      <c r="G108" s="849"/>
      <c r="H108" s="849"/>
      <c r="I108" s="849"/>
      <c r="J108" s="849"/>
      <c r="K108" s="850">
        <f t="shared" si="37"/>
        <v>16</v>
      </c>
      <c r="L108" s="851">
        <v>973949.31999999983</v>
      </c>
      <c r="M108" s="849">
        <v>16</v>
      </c>
      <c r="N108" s="849"/>
      <c r="O108" s="849"/>
      <c r="P108" s="849"/>
      <c r="Q108" s="849"/>
      <c r="R108" s="849"/>
      <c r="S108" s="849"/>
      <c r="T108" s="849"/>
      <c r="U108" s="849"/>
      <c r="V108" s="850">
        <f t="shared" si="55"/>
        <v>16</v>
      </c>
      <c r="W108" s="851">
        <v>973949.31999999983</v>
      </c>
    </row>
    <row r="109" spans="1:23" ht="20.100000000000001" customHeight="1" x14ac:dyDescent="0.2">
      <c r="A109" s="848" t="s">
        <v>3754</v>
      </c>
      <c r="B109" s="849">
        <v>11</v>
      </c>
      <c r="C109" s="849"/>
      <c r="D109" s="849"/>
      <c r="E109" s="849"/>
      <c r="F109" s="849"/>
      <c r="G109" s="849"/>
      <c r="H109" s="849"/>
      <c r="I109" s="849"/>
      <c r="J109" s="849"/>
      <c r="K109" s="850">
        <f t="shared" si="37"/>
        <v>11</v>
      </c>
      <c r="L109" s="851">
        <v>750717.2</v>
      </c>
      <c r="M109" s="849">
        <v>11</v>
      </c>
      <c r="N109" s="849"/>
      <c r="O109" s="849"/>
      <c r="P109" s="849"/>
      <c r="Q109" s="849"/>
      <c r="R109" s="849"/>
      <c r="S109" s="849"/>
      <c r="T109" s="849"/>
      <c r="U109" s="849"/>
      <c r="V109" s="850">
        <f t="shared" si="55"/>
        <v>11</v>
      </c>
      <c r="W109" s="851">
        <v>750717.2</v>
      </c>
    </row>
    <row r="110" spans="1:23" ht="20.100000000000001" customHeight="1" x14ac:dyDescent="0.2">
      <c r="A110" s="848" t="s">
        <v>3755</v>
      </c>
      <c r="B110" s="849">
        <v>3</v>
      </c>
      <c r="C110" s="849"/>
      <c r="D110" s="849"/>
      <c r="E110" s="849"/>
      <c r="F110" s="849"/>
      <c r="G110" s="849"/>
      <c r="H110" s="849"/>
      <c r="I110" s="849"/>
      <c r="J110" s="849"/>
      <c r="K110" s="850">
        <f t="shared" si="37"/>
        <v>3</v>
      </c>
      <c r="L110" s="851">
        <v>192661.44</v>
      </c>
      <c r="M110" s="849">
        <v>3</v>
      </c>
      <c r="N110" s="849"/>
      <c r="O110" s="849"/>
      <c r="P110" s="849"/>
      <c r="Q110" s="849"/>
      <c r="R110" s="849"/>
      <c r="S110" s="849"/>
      <c r="T110" s="849"/>
      <c r="U110" s="849"/>
      <c r="V110" s="850">
        <f t="shared" si="55"/>
        <v>3</v>
      </c>
      <c r="W110" s="851">
        <v>192661.44</v>
      </c>
    </row>
    <row r="111" spans="1:23" ht="20.100000000000001" customHeight="1" x14ac:dyDescent="0.2">
      <c r="A111" s="848" t="s">
        <v>3756</v>
      </c>
      <c r="B111" s="849">
        <v>14</v>
      </c>
      <c r="C111" s="849"/>
      <c r="D111" s="849"/>
      <c r="E111" s="849"/>
      <c r="F111" s="849"/>
      <c r="G111" s="849"/>
      <c r="H111" s="849"/>
      <c r="I111" s="849"/>
      <c r="J111" s="849"/>
      <c r="K111" s="850">
        <f t="shared" si="37"/>
        <v>14</v>
      </c>
      <c r="L111" s="851">
        <v>1022427.2</v>
      </c>
      <c r="M111" s="849">
        <v>14</v>
      </c>
      <c r="N111" s="849"/>
      <c r="O111" s="849"/>
      <c r="P111" s="849"/>
      <c r="Q111" s="849"/>
      <c r="R111" s="849"/>
      <c r="S111" s="849"/>
      <c r="T111" s="849"/>
      <c r="U111" s="849"/>
      <c r="V111" s="850">
        <f t="shared" si="55"/>
        <v>14</v>
      </c>
      <c r="W111" s="851">
        <v>1022427.2</v>
      </c>
    </row>
    <row r="112" spans="1:23" ht="20.100000000000001" customHeight="1" x14ac:dyDescent="0.2">
      <c r="A112" s="848" t="s">
        <v>3757</v>
      </c>
      <c r="B112" s="849">
        <v>8</v>
      </c>
      <c r="C112" s="849"/>
      <c r="D112" s="849"/>
      <c r="E112" s="849"/>
      <c r="F112" s="849"/>
      <c r="G112" s="849"/>
      <c r="H112" s="849"/>
      <c r="I112" s="849"/>
      <c r="J112" s="849"/>
      <c r="K112" s="850">
        <f t="shared" si="37"/>
        <v>8</v>
      </c>
      <c r="L112" s="851">
        <v>321180.80000000005</v>
      </c>
      <c r="M112" s="849">
        <v>8</v>
      </c>
      <c r="N112" s="849"/>
      <c r="O112" s="849"/>
      <c r="P112" s="849"/>
      <c r="Q112" s="849"/>
      <c r="R112" s="849"/>
      <c r="S112" s="849"/>
      <c r="T112" s="849"/>
      <c r="U112" s="849"/>
      <c r="V112" s="850">
        <f t="shared" si="55"/>
        <v>8</v>
      </c>
      <c r="W112" s="851">
        <v>321180.80000000005</v>
      </c>
    </row>
    <row r="113" spans="1:23" ht="20.100000000000001" customHeight="1" x14ac:dyDescent="0.2">
      <c r="A113" s="848" t="s">
        <v>3758</v>
      </c>
      <c r="B113" s="849">
        <v>1</v>
      </c>
      <c r="C113" s="849"/>
      <c r="D113" s="849"/>
      <c r="E113" s="849"/>
      <c r="F113" s="849"/>
      <c r="G113" s="849"/>
      <c r="H113" s="849"/>
      <c r="I113" s="849"/>
      <c r="J113" s="849"/>
      <c r="K113" s="850">
        <f t="shared" si="37"/>
        <v>1</v>
      </c>
      <c r="L113" s="851">
        <v>33988.6</v>
      </c>
      <c r="M113" s="849">
        <v>1</v>
      </c>
      <c r="N113" s="849"/>
      <c r="O113" s="849"/>
      <c r="P113" s="849"/>
      <c r="Q113" s="849"/>
      <c r="R113" s="849"/>
      <c r="S113" s="849"/>
      <c r="T113" s="849"/>
      <c r="U113" s="849"/>
      <c r="V113" s="850">
        <f t="shared" si="55"/>
        <v>1</v>
      </c>
      <c r="W113" s="851">
        <v>33988.6</v>
      </c>
    </row>
    <row r="114" spans="1:23" ht="20.100000000000001" customHeight="1" x14ac:dyDescent="0.2">
      <c r="A114" s="844" t="s">
        <v>3759</v>
      </c>
      <c r="B114" s="845">
        <f>SUM(B115:B118)</f>
        <v>11</v>
      </c>
      <c r="C114" s="845">
        <f t="shared" ref="C114:L114" si="56">SUM(C115:C118)</f>
        <v>0</v>
      </c>
      <c r="D114" s="845">
        <f t="shared" si="56"/>
        <v>0</v>
      </c>
      <c r="E114" s="845">
        <f t="shared" si="56"/>
        <v>0</v>
      </c>
      <c r="F114" s="845">
        <f t="shared" si="56"/>
        <v>0</v>
      </c>
      <c r="G114" s="845">
        <f t="shared" si="56"/>
        <v>0</v>
      </c>
      <c r="H114" s="845">
        <f t="shared" si="56"/>
        <v>0</v>
      </c>
      <c r="I114" s="845">
        <f t="shared" si="56"/>
        <v>0</v>
      </c>
      <c r="J114" s="845">
        <f t="shared" si="56"/>
        <v>0</v>
      </c>
      <c r="K114" s="845">
        <f t="shared" si="56"/>
        <v>11</v>
      </c>
      <c r="L114" s="855">
        <f t="shared" si="56"/>
        <v>620195.96</v>
      </c>
      <c r="M114" s="845">
        <f>SUM(M115:M118)</f>
        <v>11</v>
      </c>
      <c r="N114" s="845">
        <f t="shared" ref="N114:W114" si="57">SUM(N115:N118)</f>
        <v>0</v>
      </c>
      <c r="O114" s="845">
        <f t="shared" si="57"/>
        <v>0</v>
      </c>
      <c r="P114" s="845">
        <f t="shared" si="57"/>
        <v>0</v>
      </c>
      <c r="Q114" s="845">
        <f t="shared" si="57"/>
        <v>0</v>
      </c>
      <c r="R114" s="845">
        <f t="shared" si="57"/>
        <v>0</v>
      </c>
      <c r="S114" s="845">
        <f t="shared" si="57"/>
        <v>0</v>
      </c>
      <c r="T114" s="845">
        <f t="shared" si="57"/>
        <v>0</v>
      </c>
      <c r="U114" s="845">
        <f t="shared" si="57"/>
        <v>0</v>
      </c>
      <c r="V114" s="845">
        <f t="shared" si="57"/>
        <v>11</v>
      </c>
      <c r="W114" s="855">
        <f t="shared" si="57"/>
        <v>620195.96</v>
      </c>
    </row>
    <row r="115" spans="1:23" ht="20.100000000000001" customHeight="1" x14ac:dyDescent="0.2">
      <c r="A115" s="848" t="s">
        <v>3760</v>
      </c>
      <c r="B115" s="849">
        <v>7</v>
      </c>
      <c r="C115" s="849"/>
      <c r="D115" s="849"/>
      <c r="E115" s="849"/>
      <c r="F115" s="849"/>
      <c r="G115" s="849"/>
      <c r="H115" s="849"/>
      <c r="I115" s="849"/>
      <c r="J115" s="849"/>
      <c r="K115" s="850">
        <f t="shared" si="37"/>
        <v>7</v>
      </c>
      <c r="L115" s="851">
        <v>353763.76</v>
      </c>
      <c r="M115" s="849">
        <v>7</v>
      </c>
      <c r="N115" s="849"/>
      <c r="O115" s="849"/>
      <c r="P115" s="849"/>
      <c r="Q115" s="849"/>
      <c r="R115" s="849"/>
      <c r="S115" s="849"/>
      <c r="T115" s="849"/>
      <c r="U115" s="849"/>
      <c r="V115" s="850">
        <f t="shared" ref="V115:V118" si="58">SUM(M115:U115)</f>
        <v>7</v>
      </c>
      <c r="W115" s="851">
        <v>353763.76</v>
      </c>
    </row>
    <row r="116" spans="1:23" ht="20.100000000000001" customHeight="1" x14ac:dyDescent="0.2">
      <c r="A116" s="848" t="s">
        <v>3761</v>
      </c>
      <c r="B116" s="849">
        <v>1</v>
      </c>
      <c r="C116" s="849"/>
      <c r="D116" s="849"/>
      <c r="E116" s="849"/>
      <c r="F116" s="849"/>
      <c r="G116" s="849"/>
      <c r="H116" s="849"/>
      <c r="I116" s="849"/>
      <c r="J116" s="849"/>
      <c r="K116" s="850">
        <f t="shared" si="37"/>
        <v>1</v>
      </c>
      <c r="L116" s="851">
        <v>62753.8</v>
      </c>
      <c r="M116" s="849">
        <v>1</v>
      </c>
      <c r="N116" s="849"/>
      <c r="O116" s="849"/>
      <c r="P116" s="849"/>
      <c r="Q116" s="849"/>
      <c r="R116" s="849"/>
      <c r="S116" s="849"/>
      <c r="T116" s="849"/>
      <c r="U116" s="849"/>
      <c r="V116" s="850">
        <f t="shared" si="58"/>
        <v>1</v>
      </c>
      <c r="W116" s="851">
        <v>62753.8</v>
      </c>
    </row>
    <row r="117" spans="1:23" ht="20.100000000000001" customHeight="1" x14ac:dyDescent="0.2">
      <c r="A117" s="848" t="s">
        <v>3762</v>
      </c>
      <c r="B117" s="849">
        <v>1</v>
      </c>
      <c r="C117" s="849"/>
      <c r="D117" s="849"/>
      <c r="E117" s="849"/>
      <c r="F117" s="849"/>
      <c r="G117" s="849"/>
      <c r="H117" s="849"/>
      <c r="I117" s="849"/>
      <c r="J117" s="849"/>
      <c r="K117" s="850">
        <f t="shared" si="37"/>
        <v>1</v>
      </c>
      <c r="L117" s="851">
        <v>58457.2</v>
      </c>
      <c r="M117" s="849">
        <v>1</v>
      </c>
      <c r="N117" s="849"/>
      <c r="O117" s="849"/>
      <c r="P117" s="849"/>
      <c r="Q117" s="849"/>
      <c r="R117" s="849"/>
      <c r="S117" s="849"/>
      <c r="T117" s="849"/>
      <c r="U117" s="849"/>
      <c r="V117" s="850">
        <f t="shared" si="58"/>
        <v>1</v>
      </c>
      <c r="W117" s="851">
        <v>58457.2</v>
      </c>
    </row>
    <row r="118" spans="1:23" ht="20.100000000000001" customHeight="1" x14ac:dyDescent="0.2">
      <c r="A118" s="848" t="s">
        <v>3763</v>
      </c>
      <c r="B118" s="849">
        <v>2</v>
      </c>
      <c r="C118" s="849"/>
      <c r="D118" s="849"/>
      <c r="E118" s="849"/>
      <c r="F118" s="849"/>
      <c r="G118" s="849"/>
      <c r="H118" s="849"/>
      <c r="I118" s="849"/>
      <c r="J118" s="849"/>
      <c r="K118" s="850">
        <f t="shared" si="37"/>
        <v>2</v>
      </c>
      <c r="L118" s="851">
        <v>145221.20000000001</v>
      </c>
      <c r="M118" s="849">
        <v>2</v>
      </c>
      <c r="N118" s="849"/>
      <c r="O118" s="849"/>
      <c r="P118" s="849"/>
      <c r="Q118" s="849"/>
      <c r="R118" s="849"/>
      <c r="S118" s="849"/>
      <c r="T118" s="849"/>
      <c r="U118" s="849"/>
      <c r="V118" s="850">
        <f t="shared" si="58"/>
        <v>2</v>
      </c>
      <c r="W118" s="851">
        <v>145221.20000000001</v>
      </c>
    </row>
    <row r="119" spans="1:23" ht="20.100000000000001" customHeight="1" x14ac:dyDescent="0.2">
      <c r="A119" s="844" t="s">
        <v>3764</v>
      </c>
      <c r="B119" s="845">
        <f>SUM(B120:B121)</f>
        <v>108</v>
      </c>
      <c r="C119" s="845">
        <f t="shared" ref="C119:L119" si="59">SUM(C120:C121)</f>
        <v>0</v>
      </c>
      <c r="D119" s="845">
        <f t="shared" si="59"/>
        <v>0</v>
      </c>
      <c r="E119" s="845">
        <f t="shared" si="59"/>
        <v>0</v>
      </c>
      <c r="F119" s="845">
        <f t="shared" si="59"/>
        <v>0</v>
      </c>
      <c r="G119" s="845">
        <f t="shared" si="59"/>
        <v>0</v>
      </c>
      <c r="H119" s="845">
        <f t="shared" si="59"/>
        <v>0</v>
      </c>
      <c r="I119" s="845">
        <f t="shared" si="59"/>
        <v>0</v>
      </c>
      <c r="J119" s="845">
        <f t="shared" si="59"/>
        <v>0</v>
      </c>
      <c r="K119" s="845">
        <f t="shared" si="59"/>
        <v>108</v>
      </c>
      <c r="L119" s="852">
        <f t="shared" si="59"/>
        <v>5808419.5999999996</v>
      </c>
      <c r="M119" s="845">
        <f>SUM(M120:M121)</f>
        <v>108</v>
      </c>
      <c r="N119" s="845">
        <f t="shared" ref="N119:W119" si="60">SUM(N120:N121)</f>
        <v>0</v>
      </c>
      <c r="O119" s="845">
        <f t="shared" si="60"/>
        <v>0</v>
      </c>
      <c r="P119" s="845">
        <f t="shared" si="60"/>
        <v>0</v>
      </c>
      <c r="Q119" s="845">
        <f t="shared" si="60"/>
        <v>0</v>
      </c>
      <c r="R119" s="845">
        <f t="shared" si="60"/>
        <v>0</v>
      </c>
      <c r="S119" s="845">
        <f t="shared" si="60"/>
        <v>0</v>
      </c>
      <c r="T119" s="845">
        <f t="shared" si="60"/>
        <v>0</v>
      </c>
      <c r="U119" s="845">
        <f t="shared" si="60"/>
        <v>0</v>
      </c>
      <c r="V119" s="845">
        <f t="shared" si="60"/>
        <v>108</v>
      </c>
      <c r="W119" s="852">
        <f t="shared" si="60"/>
        <v>5808419.5999999996</v>
      </c>
    </row>
    <row r="120" spans="1:23" ht="20.100000000000001" customHeight="1" x14ac:dyDescent="0.2">
      <c r="A120" s="848" t="s">
        <v>3765</v>
      </c>
      <c r="B120" s="849">
        <v>37</v>
      </c>
      <c r="C120" s="849"/>
      <c r="D120" s="849"/>
      <c r="E120" s="849"/>
      <c r="F120" s="849"/>
      <c r="G120" s="849"/>
      <c r="H120" s="849"/>
      <c r="I120" s="849"/>
      <c r="J120" s="849"/>
      <c r="K120" s="850">
        <f t="shared" si="37"/>
        <v>37</v>
      </c>
      <c r="L120" s="851">
        <v>609119.64</v>
      </c>
      <c r="M120" s="849">
        <v>37</v>
      </c>
      <c r="N120" s="849"/>
      <c r="O120" s="849"/>
      <c r="P120" s="849"/>
      <c r="Q120" s="849"/>
      <c r="R120" s="849"/>
      <c r="S120" s="849"/>
      <c r="T120" s="849"/>
      <c r="U120" s="849"/>
      <c r="V120" s="850">
        <f t="shared" ref="V120:V121" si="61">SUM(M120:U120)</f>
        <v>37</v>
      </c>
      <c r="W120" s="851">
        <v>609119.64</v>
      </c>
    </row>
    <row r="121" spans="1:23" ht="20.100000000000001" customHeight="1" x14ac:dyDescent="0.2">
      <c r="A121" s="848" t="s">
        <v>3766</v>
      </c>
      <c r="B121" s="849">
        <v>71</v>
      </c>
      <c r="C121" s="849"/>
      <c r="D121" s="849"/>
      <c r="E121" s="849"/>
      <c r="F121" s="849"/>
      <c r="G121" s="849"/>
      <c r="H121" s="849"/>
      <c r="I121" s="849"/>
      <c r="J121" s="849"/>
      <c r="K121" s="850">
        <f t="shared" si="37"/>
        <v>71</v>
      </c>
      <c r="L121" s="851">
        <v>5199299.96</v>
      </c>
      <c r="M121" s="849">
        <v>71</v>
      </c>
      <c r="N121" s="849"/>
      <c r="O121" s="849"/>
      <c r="P121" s="849"/>
      <c r="Q121" s="849"/>
      <c r="R121" s="849"/>
      <c r="S121" s="849"/>
      <c r="T121" s="849"/>
      <c r="U121" s="849"/>
      <c r="V121" s="850">
        <f t="shared" si="61"/>
        <v>71</v>
      </c>
      <c r="W121" s="851">
        <v>5199299.96</v>
      </c>
    </row>
    <row r="122" spans="1:23" ht="20.100000000000001" customHeight="1" x14ac:dyDescent="0.2">
      <c r="A122" s="854" t="s">
        <v>3767</v>
      </c>
      <c r="B122" s="849"/>
      <c r="C122" s="849"/>
      <c r="D122" s="849"/>
      <c r="E122" s="849"/>
      <c r="F122" s="849"/>
      <c r="G122" s="849"/>
      <c r="H122" s="849"/>
      <c r="I122" s="849"/>
      <c r="J122" s="849"/>
      <c r="K122" s="850"/>
      <c r="L122" s="851"/>
      <c r="M122" s="849"/>
      <c r="N122" s="849"/>
      <c r="O122" s="849"/>
      <c r="P122" s="849"/>
      <c r="Q122" s="849"/>
      <c r="R122" s="849"/>
      <c r="S122" s="849"/>
      <c r="T122" s="849"/>
      <c r="U122" s="849"/>
      <c r="V122" s="850"/>
      <c r="W122" s="851"/>
    </row>
    <row r="123" spans="1:23" ht="20.100000000000001" customHeight="1" x14ac:dyDescent="0.2">
      <c r="A123" s="844" t="s">
        <v>3768</v>
      </c>
      <c r="B123" s="845">
        <f>SUM(B124:B141)</f>
        <v>4622</v>
      </c>
      <c r="C123" s="845">
        <f t="shared" ref="C123:L123" si="62">SUM(C124:C141)</f>
        <v>0</v>
      </c>
      <c r="D123" s="845">
        <f t="shared" si="62"/>
        <v>0</v>
      </c>
      <c r="E123" s="845">
        <f t="shared" si="62"/>
        <v>0</v>
      </c>
      <c r="F123" s="845">
        <f t="shared" si="62"/>
        <v>0</v>
      </c>
      <c r="G123" s="845">
        <f t="shared" si="62"/>
        <v>0</v>
      </c>
      <c r="H123" s="845">
        <f t="shared" si="62"/>
        <v>0</v>
      </c>
      <c r="I123" s="845">
        <f t="shared" si="62"/>
        <v>0</v>
      </c>
      <c r="J123" s="845">
        <f t="shared" si="62"/>
        <v>0</v>
      </c>
      <c r="K123" s="845">
        <f t="shared" si="62"/>
        <v>4622</v>
      </c>
      <c r="L123" s="852">
        <f t="shared" si="62"/>
        <v>186851368.56</v>
      </c>
      <c r="M123" s="845">
        <f>SUM(M124:M141)</f>
        <v>4622</v>
      </c>
      <c r="N123" s="845">
        <f t="shared" ref="N123:W123" si="63">SUM(N124:N141)</f>
        <v>0</v>
      </c>
      <c r="O123" s="845">
        <f t="shared" si="63"/>
        <v>0</v>
      </c>
      <c r="P123" s="845">
        <f t="shared" si="63"/>
        <v>0</v>
      </c>
      <c r="Q123" s="845">
        <f t="shared" si="63"/>
        <v>0</v>
      </c>
      <c r="R123" s="845">
        <f t="shared" si="63"/>
        <v>0</v>
      </c>
      <c r="S123" s="845">
        <f t="shared" si="63"/>
        <v>0</v>
      </c>
      <c r="T123" s="845">
        <f t="shared" si="63"/>
        <v>0</v>
      </c>
      <c r="U123" s="845">
        <f t="shared" si="63"/>
        <v>0</v>
      </c>
      <c r="V123" s="845">
        <f t="shared" si="63"/>
        <v>4622</v>
      </c>
      <c r="W123" s="852">
        <f t="shared" si="63"/>
        <v>186851368.56</v>
      </c>
    </row>
    <row r="124" spans="1:23" ht="20.100000000000001" customHeight="1" x14ac:dyDescent="0.2">
      <c r="A124" s="848" t="s">
        <v>3769</v>
      </c>
      <c r="B124" s="849">
        <v>19</v>
      </c>
      <c r="C124" s="849"/>
      <c r="D124" s="849"/>
      <c r="E124" s="849"/>
      <c r="F124" s="849"/>
      <c r="G124" s="849"/>
      <c r="H124" s="849"/>
      <c r="I124" s="849"/>
      <c r="J124" s="849"/>
      <c r="K124" s="850">
        <f t="shared" si="37"/>
        <v>19</v>
      </c>
      <c r="L124" s="851">
        <v>1582556.08</v>
      </c>
      <c r="M124" s="849">
        <v>19</v>
      </c>
      <c r="N124" s="849"/>
      <c r="O124" s="849"/>
      <c r="P124" s="849"/>
      <c r="Q124" s="849"/>
      <c r="R124" s="849"/>
      <c r="S124" s="849"/>
      <c r="T124" s="849"/>
      <c r="U124" s="849"/>
      <c r="V124" s="850">
        <f t="shared" ref="V124:V141" si="64">SUM(M124:U124)</f>
        <v>19</v>
      </c>
      <c r="W124" s="851">
        <v>1582556.08</v>
      </c>
    </row>
    <row r="125" spans="1:23" ht="20.100000000000001" customHeight="1" x14ac:dyDescent="0.2">
      <c r="A125" s="848" t="s">
        <v>3770</v>
      </c>
      <c r="B125" s="849">
        <v>93</v>
      </c>
      <c r="C125" s="849"/>
      <c r="D125" s="849"/>
      <c r="E125" s="849"/>
      <c r="F125" s="849"/>
      <c r="G125" s="849"/>
      <c r="H125" s="849"/>
      <c r="I125" s="849"/>
      <c r="J125" s="849"/>
      <c r="K125" s="850">
        <f t="shared" si="37"/>
        <v>93</v>
      </c>
      <c r="L125" s="851">
        <v>6412115.4000000004</v>
      </c>
      <c r="M125" s="849">
        <v>93</v>
      </c>
      <c r="N125" s="849"/>
      <c r="O125" s="849"/>
      <c r="P125" s="849"/>
      <c r="Q125" s="849"/>
      <c r="R125" s="849"/>
      <c r="S125" s="849"/>
      <c r="T125" s="849"/>
      <c r="U125" s="849"/>
      <c r="V125" s="850">
        <f t="shared" si="64"/>
        <v>93</v>
      </c>
      <c r="W125" s="851">
        <v>6412115.4000000004</v>
      </c>
    </row>
    <row r="126" spans="1:23" ht="20.100000000000001" customHeight="1" x14ac:dyDescent="0.2">
      <c r="A126" s="848" t="s">
        <v>3771</v>
      </c>
      <c r="B126" s="849">
        <v>133</v>
      </c>
      <c r="C126" s="849"/>
      <c r="D126" s="849"/>
      <c r="E126" s="849"/>
      <c r="F126" s="849"/>
      <c r="G126" s="849"/>
      <c r="H126" s="849"/>
      <c r="I126" s="849"/>
      <c r="J126" s="849"/>
      <c r="K126" s="850">
        <f t="shared" si="37"/>
        <v>133</v>
      </c>
      <c r="L126" s="851">
        <v>7973360.9199999999</v>
      </c>
      <c r="M126" s="849">
        <v>133</v>
      </c>
      <c r="N126" s="849"/>
      <c r="O126" s="849"/>
      <c r="P126" s="849"/>
      <c r="Q126" s="849"/>
      <c r="R126" s="849"/>
      <c r="S126" s="849"/>
      <c r="T126" s="849"/>
      <c r="U126" s="849"/>
      <c r="V126" s="850">
        <f t="shared" si="64"/>
        <v>133</v>
      </c>
      <c r="W126" s="851">
        <v>7973360.9199999999</v>
      </c>
    </row>
    <row r="127" spans="1:23" ht="20.100000000000001" customHeight="1" x14ac:dyDescent="0.2">
      <c r="A127" s="848" t="s">
        <v>3772</v>
      </c>
      <c r="B127" s="849">
        <v>288</v>
      </c>
      <c r="C127" s="849"/>
      <c r="D127" s="849"/>
      <c r="E127" s="849"/>
      <c r="F127" s="849"/>
      <c r="G127" s="849"/>
      <c r="H127" s="849"/>
      <c r="I127" s="849"/>
      <c r="J127" s="849"/>
      <c r="K127" s="850">
        <f t="shared" si="37"/>
        <v>288</v>
      </c>
      <c r="L127" s="851">
        <v>16612488</v>
      </c>
      <c r="M127" s="849">
        <v>288</v>
      </c>
      <c r="N127" s="849"/>
      <c r="O127" s="849"/>
      <c r="P127" s="849"/>
      <c r="Q127" s="849"/>
      <c r="R127" s="849"/>
      <c r="S127" s="849"/>
      <c r="T127" s="849"/>
      <c r="U127" s="849"/>
      <c r="V127" s="850">
        <f t="shared" si="64"/>
        <v>288</v>
      </c>
      <c r="W127" s="851">
        <v>16612488</v>
      </c>
    </row>
    <row r="128" spans="1:23" ht="20.100000000000001" customHeight="1" x14ac:dyDescent="0.2">
      <c r="A128" s="848" t="s">
        <v>3773</v>
      </c>
      <c r="B128" s="849">
        <v>108</v>
      </c>
      <c r="C128" s="849"/>
      <c r="D128" s="849"/>
      <c r="E128" s="849"/>
      <c r="F128" s="849"/>
      <c r="G128" s="849"/>
      <c r="H128" s="849"/>
      <c r="I128" s="849"/>
      <c r="J128" s="849"/>
      <c r="K128" s="850">
        <f t="shared" si="37"/>
        <v>108</v>
      </c>
      <c r="L128" s="851">
        <v>5549084.8799999999</v>
      </c>
      <c r="M128" s="849">
        <v>108</v>
      </c>
      <c r="N128" s="849"/>
      <c r="O128" s="849"/>
      <c r="P128" s="849"/>
      <c r="Q128" s="849"/>
      <c r="R128" s="849"/>
      <c r="S128" s="849"/>
      <c r="T128" s="849"/>
      <c r="U128" s="849"/>
      <c r="V128" s="850">
        <f t="shared" si="64"/>
        <v>108</v>
      </c>
      <c r="W128" s="851">
        <v>5549084.8799999999</v>
      </c>
    </row>
    <row r="129" spans="1:23" ht="20.100000000000001" customHeight="1" x14ac:dyDescent="0.2">
      <c r="A129" s="848" t="s">
        <v>3774</v>
      </c>
      <c r="B129" s="849">
        <v>403</v>
      </c>
      <c r="C129" s="849"/>
      <c r="D129" s="849"/>
      <c r="E129" s="849"/>
      <c r="F129" s="849"/>
      <c r="G129" s="849"/>
      <c r="H129" s="849"/>
      <c r="I129" s="849"/>
      <c r="J129" s="849"/>
      <c r="K129" s="850">
        <f t="shared" si="37"/>
        <v>403</v>
      </c>
      <c r="L129" s="851">
        <v>16175977.640000001</v>
      </c>
      <c r="M129" s="849">
        <v>403</v>
      </c>
      <c r="N129" s="849"/>
      <c r="O129" s="849"/>
      <c r="P129" s="849"/>
      <c r="Q129" s="849"/>
      <c r="R129" s="849"/>
      <c r="S129" s="849"/>
      <c r="T129" s="849"/>
      <c r="U129" s="849"/>
      <c r="V129" s="850">
        <f t="shared" si="64"/>
        <v>403</v>
      </c>
      <c r="W129" s="851">
        <v>16175977.640000001</v>
      </c>
    </row>
    <row r="130" spans="1:23" ht="20.100000000000001" customHeight="1" x14ac:dyDescent="0.2">
      <c r="A130" s="848" t="s">
        <v>3775</v>
      </c>
      <c r="B130" s="849">
        <v>45</v>
      </c>
      <c r="C130" s="849"/>
      <c r="D130" s="849"/>
      <c r="E130" s="849"/>
      <c r="F130" s="849"/>
      <c r="G130" s="849"/>
      <c r="H130" s="849"/>
      <c r="I130" s="849"/>
      <c r="J130" s="849"/>
      <c r="K130" s="850">
        <f t="shared" si="37"/>
        <v>45</v>
      </c>
      <c r="L130" s="851">
        <v>1927947</v>
      </c>
      <c r="M130" s="849">
        <v>45</v>
      </c>
      <c r="N130" s="849"/>
      <c r="O130" s="849"/>
      <c r="P130" s="849"/>
      <c r="Q130" s="849"/>
      <c r="R130" s="849"/>
      <c r="S130" s="849"/>
      <c r="T130" s="849"/>
      <c r="U130" s="849"/>
      <c r="V130" s="850">
        <f t="shared" si="64"/>
        <v>45</v>
      </c>
      <c r="W130" s="851">
        <v>1927947</v>
      </c>
    </row>
    <row r="131" spans="1:23" ht="20.100000000000001" customHeight="1" x14ac:dyDescent="0.2">
      <c r="A131" s="848" t="s">
        <v>3776</v>
      </c>
      <c r="B131" s="849">
        <v>99</v>
      </c>
      <c r="C131" s="849"/>
      <c r="D131" s="849"/>
      <c r="E131" s="849"/>
      <c r="F131" s="849"/>
      <c r="G131" s="849"/>
      <c r="H131" s="849"/>
      <c r="I131" s="849"/>
      <c r="J131" s="849"/>
      <c r="K131" s="850">
        <f t="shared" si="37"/>
        <v>99</v>
      </c>
      <c r="L131" s="851">
        <v>3933835.6800000006</v>
      </c>
      <c r="M131" s="849">
        <v>99</v>
      </c>
      <c r="N131" s="849"/>
      <c r="O131" s="849"/>
      <c r="P131" s="849"/>
      <c r="Q131" s="849"/>
      <c r="R131" s="849"/>
      <c r="S131" s="849"/>
      <c r="T131" s="849"/>
      <c r="U131" s="849"/>
      <c r="V131" s="850">
        <f t="shared" si="64"/>
        <v>99</v>
      </c>
      <c r="W131" s="851">
        <v>3933835.6800000006</v>
      </c>
    </row>
    <row r="132" spans="1:23" ht="20.100000000000001" customHeight="1" x14ac:dyDescent="0.2">
      <c r="A132" s="848" t="s">
        <v>3777</v>
      </c>
      <c r="B132" s="849">
        <v>173</v>
      </c>
      <c r="C132" s="849"/>
      <c r="D132" s="849"/>
      <c r="E132" s="849"/>
      <c r="F132" s="849"/>
      <c r="G132" s="849"/>
      <c r="H132" s="849"/>
      <c r="I132" s="849"/>
      <c r="J132" s="849"/>
      <c r="K132" s="850">
        <f t="shared" si="37"/>
        <v>173</v>
      </c>
      <c r="L132" s="851">
        <v>6320626.1600000001</v>
      </c>
      <c r="M132" s="849">
        <v>173</v>
      </c>
      <c r="N132" s="849"/>
      <c r="O132" s="849"/>
      <c r="P132" s="849"/>
      <c r="Q132" s="849"/>
      <c r="R132" s="849"/>
      <c r="S132" s="849"/>
      <c r="T132" s="849"/>
      <c r="U132" s="849"/>
      <c r="V132" s="850">
        <f t="shared" si="64"/>
        <v>173</v>
      </c>
      <c r="W132" s="851">
        <v>6320626.1600000001</v>
      </c>
    </row>
    <row r="133" spans="1:23" ht="20.100000000000001" customHeight="1" x14ac:dyDescent="0.2">
      <c r="A133" s="848" t="s">
        <v>3778</v>
      </c>
      <c r="B133" s="849">
        <v>310</v>
      </c>
      <c r="C133" s="849"/>
      <c r="D133" s="849"/>
      <c r="E133" s="849"/>
      <c r="F133" s="849"/>
      <c r="G133" s="849"/>
      <c r="H133" s="849"/>
      <c r="I133" s="849"/>
      <c r="J133" s="849"/>
      <c r="K133" s="850">
        <f t="shared" si="37"/>
        <v>310</v>
      </c>
      <c r="L133" s="851">
        <v>10409328.4</v>
      </c>
      <c r="M133" s="849">
        <v>310</v>
      </c>
      <c r="N133" s="849"/>
      <c r="O133" s="849"/>
      <c r="P133" s="849"/>
      <c r="Q133" s="849"/>
      <c r="R133" s="849"/>
      <c r="S133" s="849"/>
      <c r="T133" s="849"/>
      <c r="U133" s="849"/>
      <c r="V133" s="850">
        <f t="shared" si="64"/>
        <v>310</v>
      </c>
      <c r="W133" s="851">
        <v>10409328.4</v>
      </c>
    </row>
    <row r="134" spans="1:23" ht="20.100000000000001" customHeight="1" x14ac:dyDescent="0.2">
      <c r="A134" s="848" t="s">
        <v>3779</v>
      </c>
      <c r="B134" s="849">
        <v>25</v>
      </c>
      <c r="C134" s="849"/>
      <c r="D134" s="849"/>
      <c r="E134" s="849"/>
      <c r="F134" s="849"/>
      <c r="G134" s="849"/>
      <c r="H134" s="849"/>
      <c r="I134" s="849"/>
      <c r="J134" s="849"/>
      <c r="K134" s="850">
        <f t="shared" si="37"/>
        <v>25</v>
      </c>
      <c r="L134" s="851">
        <v>1366597.6</v>
      </c>
      <c r="M134" s="849">
        <v>25</v>
      </c>
      <c r="N134" s="849"/>
      <c r="O134" s="849"/>
      <c r="P134" s="849"/>
      <c r="Q134" s="849"/>
      <c r="R134" s="849"/>
      <c r="S134" s="849"/>
      <c r="T134" s="849"/>
      <c r="U134" s="849"/>
      <c r="V134" s="850">
        <f t="shared" si="64"/>
        <v>25</v>
      </c>
      <c r="W134" s="851">
        <v>1366597.6</v>
      </c>
    </row>
    <row r="135" spans="1:23" ht="20.100000000000001" customHeight="1" x14ac:dyDescent="0.2">
      <c r="A135" s="848" t="s">
        <v>3780</v>
      </c>
      <c r="B135" s="849">
        <v>73</v>
      </c>
      <c r="C135" s="849"/>
      <c r="D135" s="849"/>
      <c r="E135" s="849"/>
      <c r="F135" s="849"/>
      <c r="G135" s="849"/>
      <c r="H135" s="849"/>
      <c r="I135" s="849"/>
      <c r="J135" s="849"/>
      <c r="K135" s="850">
        <f t="shared" si="37"/>
        <v>73</v>
      </c>
      <c r="L135" s="851">
        <v>3517104.64</v>
      </c>
      <c r="M135" s="849">
        <v>73</v>
      </c>
      <c r="N135" s="849"/>
      <c r="O135" s="849"/>
      <c r="P135" s="849"/>
      <c r="Q135" s="849"/>
      <c r="R135" s="849"/>
      <c r="S135" s="849"/>
      <c r="T135" s="849"/>
      <c r="U135" s="849"/>
      <c r="V135" s="850">
        <f t="shared" si="64"/>
        <v>73</v>
      </c>
      <c r="W135" s="851">
        <v>3517104.64</v>
      </c>
    </row>
    <row r="136" spans="1:23" ht="20.100000000000001" customHeight="1" x14ac:dyDescent="0.2">
      <c r="A136" s="848" t="s">
        <v>3781</v>
      </c>
      <c r="B136" s="849">
        <v>189</v>
      </c>
      <c r="C136" s="849"/>
      <c r="D136" s="849"/>
      <c r="E136" s="849"/>
      <c r="F136" s="849"/>
      <c r="G136" s="849"/>
      <c r="H136" s="849"/>
      <c r="I136" s="849"/>
      <c r="J136" s="849"/>
      <c r="K136" s="850">
        <f t="shared" si="37"/>
        <v>189</v>
      </c>
      <c r="L136" s="851">
        <v>7825468.2000000011</v>
      </c>
      <c r="M136" s="849">
        <v>189</v>
      </c>
      <c r="N136" s="849"/>
      <c r="O136" s="849"/>
      <c r="P136" s="849"/>
      <c r="Q136" s="849"/>
      <c r="R136" s="849"/>
      <c r="S136" s="849"/>
      <c r="T136" s="849"/>
      <c r="U136" s="849"/>
      <c r="V136" s="850">
        <f t="shared" si="64"/>
        <v>189</v>
      </c>
      <c r="W136" s="851">
        <v>7825468.2000000011</v>
      </c>
    </row>
    <row r="137" spans="1:23" ht="20.100000000000001" customHeight="1" x14ac:dyDescent="0.2">
      <c r="A137" s="848" t="s">
        <v>3782</v>
      </c>
      <c r="B137" s="849">
        <v>520</v>
      </c>
      <c r="C137" s="849"/>
      <c r="D137" s="849"/>
      <c r="E137" s="849"/>
      <c r="F137" s="849"/>
      <c r="G137" s="849"/>
      <c r="H137" s="849"/>
      <c r="I137" s="849"/>
      <c r="J137" s="849"/>
      <c r="K137" s="850">
        <f t="shared" si="37"/>
        <v>520</v>
      </c>
      <c r="L137" s="851">
        <v>20708130.399999999</v>
      </c>
      <c r="M137" s="849">
        <v>520</v>
      </c>
      <c r="N137" s="849"/>
      <c r="O137" s="849"/>
      <c r="P137" s="849"/>
      <c r="Q137" s="849"/>
      <c r="R137" s="849"/>
      <c r="S137" s="849"/>
      <c r="T137" s="849"/>
      <c r="U137" s="849"/>
      <c r="V137" s="850">
        <f t="shared" si="64"/>
        <v>520</v>
      </c>
      <c r="W137" s="851">
        <v>20708130.399999999</v>
      </c>
    </row>
    <row r="138" spans="1:23" ht="20.100000000000001" customHeight="1" x14ac:dyDescent="0.2">
      <c r="A138" s="848" t="s">
        <v>3783</v>
      </c>
      <c r="B138" s="849">
        <v>737</v>
      </c>
      <c r="C138" s="849"/>
      <c r="D138" s="849"/>
      <c r="E138" s="849"/>
      <c r="F138" s="849"/>
      <c r="G138" s="849"/>
      <c r="H138" s="849"/>
      <c r="I138" s="849"/>
      <c r="J138" s="849"/>
      <c r="K138" s="850">
        <f t="shared" si="37"/>
        <v>737</v>
      </c>
      <c r="L138" s="851">
        <v>27896624.48</v>
      </c>
      <c r="M138" s="849">
        <v>737</v>
      </c>
      <c r="N138" s="849"/>
      <c r="O138" s="849"/>
      <c r="P138" s="849"/>
      <c r="Q138" s="849"/>
      <c r="R138" s="849"/>
      <c r="S138" s="849"/>
      <c r="T138" s="849"/>
      <c r="U138" s="849"/>
      <c r="V138" s="850">
        <f t="shared" si="64"/>
        <v>737</v>
      </c>
      <c r="W138" s="851">
        <v>27896624.48</v>
      </c>
    </row>
    <row r="139" spans="1:23" ht="20.100000000000001" customHeight="1" x14ac:dyDescent="0.2">
      <c r="A139" s="848" t="s">
        <v>3784</v>
      </c>
      <c r="B139" s="849">
        <v>1404</v>
      </c>
      <c r="C139" s="849"/>
      <c r="D139" s="849"/>
      <c r="E139" s="849"/>
      <c r="F139" s="849"/>
      <c r="G139" s="849"/>
      <c r="H139" s="849"/>
      <c r="I139" s="849"/>
      <c r="J139" s="849"/>
      <c r="K139" s="850">
        <f t="shared" ref="K139:K151" si="65">SUM(B139:J139)</f>
        <v>1404</v>
      </c>
      <c r="L139" s="851">
        <v>48433849.079999998</v>
      </c>
      <c r="M139" s="849">
        <v>1404</v>
      </c>
      <c r="N139" s="849"/>
      <c r="O139" s="849"/>
      <c r="P139" s="849"/>
      <c r="Q139" s="849"/>
      <c r="R139" s="849"/>
      <c r="S139" s="849"/>
      <c r="T139" s="849"/>
      <c r="U139" s="849"/>
      <c r="V139" s="850">
        <f t="shared" si="64"/>
        <v>1404</v>
      </c>
      <c r="W139" s="851">
        <v>48433849.079999998</v>
      </c>
    </row>
    <row r="140" spans="1:23" ht="20.100000000000001" customHeight="1" x14ac:dyDescent="0.2">
      <c r="A140" s="848" t="s">
        <v>3785</v>
      </c>
      <c r="B140" s="849">
        <v>2</v>
      </c>
      <c r="C140" s="849"/>
      <c r="D140" s="849"/>
      <c r="E140" s="849"/>
      <c r="F140" s="849"/>
      <c r="G140" s="849"/>
      <c r="H140" s="849"/>
      <c r="I140" s="849"/>
      <c r="J140" s="849"/>
      <c r="K140" s="850">
        <f t="shared" si="65"/>
        <v>2</v>
      </c>
      <c r="L140" s="851">
        <v>127780.4</v>
      </c>
      <c r="M140" s="849">
        <v>2</v>
      </c>
      <c r="N140" s="849"/>
      <c r="O140" s="849"/>
      <c r="P140" s="849"/>
      <c r="Q140" s="849"/>
      <c r="R140" s="849"/>
      <c r="S140" s="849"/>
      <c r="T140" s="849"/>
      <c r="U140" s="849"/>
      <c r="V140" s="850">
        <f t="shared" si="64"/>
        <v>2</v>
      </c>
      <c r="W140" s="851">
        <v>127780.4</v>
      </c>
    </row>
    <row r="141" spans="1:23" ht="20.100000000000001" customHeight="1" x14ac:dyDescent="0.2">
      <c r="A141" s="848" t="s">
        <v>3786</v>
      </c>
      <c r="B141" s="849">
        <v>1</v>
      </c>
      <c r="C141" s="849"/>
      <c r="D141" s="849"/>
      <c r="E141" s="849"/>
      <c r="F141" s="849"/>
      <c r="G141" s="849"/>
      <c r="H141" s="849"/>
      <c r="I141" s="849"/>
      <c r="J141" s="849"/>
      <c r="K141" s="850">
        <f t="shared" si="65"/>
        <v>1</v>
      </c>
      <c r="L141" s="851">
        <v>78493.600000000006</v>
      </c>
      <c r="M141" s="849">
        <v>1</v>
      </c>
      <c r="N141" s="849"/>
      <c r="O141" s="849"/>
      <c r="P141" s="849"/>
      <c r="Q141" s="849"/>
      <c r="R141" s="849"/>
      <c r="S141" s="849"/>
      <c r="T141" s="849"/>
      <c r="U141" s="849"/>
      <c r="V141" s="850">
        <f t="shared" si="64"/>
        <v>1</v>
      </c>
      <c r="W141" s="851">
        <v>78493.600000000006</v>
      </c>
    </row>
    <row r="142" spans="1:23" ht="20.100000000000001" customHeight="1" x14ac:dyDescent="0.2">
      <c r="A142" s="844" t="s">
        <v>3787</v>
      </c>
      <c r="B142" s="845">
        <f>SUM(B143:B144)</f>
        <v>1209</v>
      </c>
      <c r="C142" s="845">
        <f t="shared" ref="C142:L142" si="66">SUM(C143:C144)</f>
        <v>0</v>
      </c>
      <c r="D142" s="845">
        <f t="shared" si="66"/>
        <v>0</v>
      </c>
      <c r="E142" s="845">
        <f t="shared" si="66"/>
        <v>0</v>
      </c>
      <c r="F142" s="845">
        <f t="shared" si="66"/>
        <v>0</v>
      </c>
      <c r="G142" s="845">
        <f t="shared" si="66"/>
        <v>0</v>
      </c>
      <c r="H142" s="845">
        <f t="shared" si="66"/>
        <v>0</v>
      </c>
      <c r="I142" s="845">
        <f t="shared" si="66"/>
        <v>0</v>
      </c>
      <c r="J142" s="845">
        <f t="shared" si="66"/>
        <v>0</v>
      </c>
      <c r="K142" s="845">
        <f t="shared" si="66"/>
        <v>1209</v>
      </c>
      <c r="L142" s="852">
        <f t="shared" si="66"/>
        <v>40353309.479999997</v>
      </c>
      <c r="M142" s="845">
        <f>SUM(M143:M144)</f>
        <v>1209</v>
      </c>
      <c r="N142" s="845">
        <f t="shared" ref="N142:W142" si="67">SUM(N143:N144)</f>
        <v>0</v>
      </c>
      <c r="O142" s="845">
        <f t="shared" si="67"/>
        <v>0</v>
      </c>
      <c r="P142" s="845">
        <f t="shared" si="67"/>
        <v>0</v>
      </c>
      <c r="Q142" s="845">
        <f t="shared" si="67"/>
        <v>0</v>
      </c>
      <c r="R142" s="845">
        <f t="shared" si="67"/>
        <v>0</v>
      </c>
      <c r="S142" s="845">
        <f t="shared" si="67"/>
        <v>0</v>
      </c>
      <c r="T142" s="845">
        <f t="shared" si="67"/>
        <v>0</v>
      </c>
      <c r="U142" s="845">
        <f t="shared" si="67"/>
        <v>0</v>
      </c>
      <c r="V142" s="845">
        <f t="shared" si="67"/>
        <v>1209</v>
      </c>
      <c r="W142" s="852">
        <f t="shared" si="67"/>
        <v>40353309.479999997</v>
      </c>
    </row>
    <row r="143" spans="1:23" ht="20.100000000000001" customHeight="1" x14ac:dyDescent="0.2">
      <c r="A143" s="848" t="s">
        <v>3788</v>
      </c>
      <c r="B143" s="849">
        <v>27</v>
      </c>
      <c r="C143" s="849"/>
      <c r="D143" s="849"/>
      <c r="E143" s="849"/>
      <c r="F143" s="849"/>
      <c r="G143" s="849"/>
      <c r="H143" s="849"/>
      <c r="I143" s="849"/>
      <c r="J143" s="849"/>
      <c r="K143" s="850">
        <f t="shared" si="65"/>
        <v>27</v>
      </c>
      <c r="L143" s="851">
        <v>1067972.0399999998</v>
      </c>
      <c r="M143" s="849">
        <v>27</v>
      </c>
      <c r="N143" s="849"/>
      <c r="O143" s="849"/>
      <c r="P143" s="849"/>
      <c r="Q143" s="849"/>
      <c r="R143" s="849"/>
      <c r="S143" s="849"/>
      <c r="T143" s="849"/>
      <c r="U143" s="849"/>
      <c r="V143" s="850">
        <f t="shared" ref="V143:V144" si="68">SUM(M143:U143)</f>
        <v>27</v>
      </c>
      <c r="W143" s="851">
        <v>1067972.0399999998</v>
      </c>
    </row>
    <row r="144" spans="1:23" ht="20.100000000000001" customHeight="1" x14ac:dyDescent="0.2">
      <c r="A144" s="848" t="s">
        <v>3789</v>
      </c>
      <c r="B144" s="849">
        <v>1182</v>
      </c>
      <c r="C144" s="849"/>
      <c r="D144" s="849"/>
      <c r="E144" s="849"/>
      <c r="F144" s="849"/>
      <c r="G144" s="849"/>
      <c r="H144" s="849"/>
      <c r="I144" s="849"/>
      <c r="J144" s="849"/>
      <c r="K144" s="850">
        <f t="shared" si="65"/>
        <v>1182</v>
      </c>
      <c r="L144" s="851">
        <v>39285337.439999998</v>
      </c>
      <c r="M144" s="849">
        <v>1182</v>
      </c>
      <c r="N144" s="849"/>
      <c r="O144" s="849"/>
      <c r="P144" s="849"/>
      <c r="Q144" s="849"/>
      <c r="R144" s="849"/>
      <c r="S144" s="849"/>
      <c r="T144" s="849"/>
      <c r="U144" s="849"/>
      <c r="V144" s="850">
        <f t="shared" si="68"/>
        <v>1182</v>
      </c>
      <c r="W144" s="851">
        <v>39285337.439999998</v>
      </c>
    </row>
    <row r="145" spans="1:23" ht="20.100000000000001" customHeight="1" x14ac:dyDescent="0.2">
      <c r="A145" s="844" t="s">
        <v>3790</v>
      </c>
      <c r="B145" s="845">
        <f>SUM(B146:B148)</f>
        <v>263</v>
      </c>
      <c r="C145" s="845">
        <f t="shared" ref="C145:L145" si="69">SUM(C146:C148)</f>
        <v>0</v>
      </c>
      <c r="D145" s="845">
        <f t="shared" si="69"/>
        <v>0</v>
      </c>
      <c r="E145" s="845">
        <f t="shared" si="69"/>
        <v>0</v>
      </c>
      <c r="F145" s="845">
        <f t="shared" si="69"/>
        <v>0</v>
      </c>
      <c r="G145" s="845">
        <f t="shared" si="69"/>
        <v>0</v>
      </c>
      <c r="H145" s="845">
        <f t="shared" si="69"/>
        <v>0</v>
      </c>
      <c r="I145" s="845">
        <f t="shared" si="69"/>
        <v>0</v>
      </c>
      <c r="J145" s="845">
        <f t="shared" si="69"/>
        <v>0</v>
      </c>
      <c r="K145" s="845">
        <f t="shared" si="69"/>
        <v>263</v>
      </c>
      <c r="L145" s="852">
        <f t="shared" si="69"/>
        <v>5452815.080000001</v>
      </c>
      <c r="M145" s="845">
        <f>SUM(M146:M148)</f>
        <v>263</v>
      </c>
      <c r="N145" s="845">
        <f t="shared" ref="N145:W145" si="70">SUM(N146:N148)</f>
        <v>0</v>
      </c>
      <c r="O145" s="845">
        <f t="shared" si="70"/>
        <v>0</v>
      </c>
      <c r="P145" s="845">
        <f t="shared" si="70"/>
        <v>0</v>
      </c>
      <c r="Q145" s="845">
        <f t="shared" si="70"/>
        <v>0</v>
      </c>
      <c r="R145" s="845">
        <f t="shared" si="70"/>
        <v>0</v>
      </c>
      <c r="S145" s="845">
        <f t="shared" si="70"/>
        <v>0</v>
      </c>
      <c r="T145" s="845">
        <f t="shared" si="70"/>
        <v>0</v>
      </c>
      <c r="U145" s="845">
        <f t="shared" si="70"/>
        <v>0</v>
      </c>
      <c r="V145" s="845">
        <f t="shared" si="70"/>
        <v>263</v>
      </c>
      <c r="W145" s="852">
        <f t="shared" si="70"/>
        <v>5452815.080000001</v>
      </c>
    </row>
    <row r="146" spans="1:23" ht="20.100000000000001" customHeight="1" x14ac:dyDescent="0.2">
      <c r="A146" s="848" t="s">
        <v>3791</v>
      </c>
      <c r="B146" s="849">
        <v>256</v>
      </c>
      <c r="C146" s="849"/>
      <c r="D146" s="849"/>
      <c r="E146" s="849"/>
      <c r="F146" s="849"/>
      <c r="G146" s="849"/>
      <c r="H146" s="849"/>
      <c r="I146" s="849"/>
      <c r="J146" s="849"/>
      <c r="K146" s="850">
        <f t="shared" si="65"/>
        <v>256</v>
      </c>
      <c r="L146" s="851">
        <v>5108286.4000000004</v>
      </c>
      <c r="M146" s="849">
        <v>256</v>
      </c>
      <c r="N146" s="849"/>
      <c r="O146" s="849"/>
      <c r="P146" s="849"/>
      <c r="Q146" s="849"/>
      <c r="R146" s="849"/>
      <c r="S146" s="849"/>
      <c r="T146" s="849"/>
      <c r="U146" s="849"/>
      <c r="V146" s="850">
        <f t="shared" ref="V146:V148" si="71">SUM(M146:U146)</f>
        <v>256</v>
      </c>
      <c r="W146" s="851">
        <v>5108286.4000000004</v>
      </c>
    </row>
    <row r="147" spans="1:23" ht="20.100000000000001" customHeight="1" x14ac:dyDescent="0.2">
      <c r="A147" s="848" t="s">
        <v>3792</v>
      </c>
      <c r="B147" s="849">
        <v>1</v>
      </c>
      <c r="C147" s="849"/>
      <c r="D147" s="849"/>
      <c r="E147" s="849"/>
      <c r="F147" s="849"/>
      <c r="G147" s="849"/>
      <c r="H147" s="849"/>
      <c r="I147" s="849"/>
      <c r="J147" s="849"/>
      <c r="K147" s="850">
        <f t="shared" si="65"/>
        <v>1</v>
      </c>
      <c r="L147" s="851">
        <v>55536.28</v>
      </c>
      <c r="M147" s="849">
        <v>1</v>
      </c>
      <c r="N147" s="849"/>
      <c r="O147" s="849"/>
      <c r="P147" s="849"/>
      <c r="Q147" s="849"/>
      <c r="R147" s="849"/>
      <c r="S147" s="849"/>
      <c r="T147" s="849"/>
      <c r="U147" s="849"/>
      <c r="V147" s="850">
        <f t="shared" si="71"/>
        <v>1</v>
      </c>
      <c r="W147" s="851">
        <v>55536.28</v>
      </c>
    </row>
    <row r="148" spans="1:23" ht="20.100000000000001" customHeight="1" x14ac:dyDescent="0.2">
      <c r="A148" s="848" t="s">
        <v>3793</v>
      </c>
      <c r="B148" s="849">
        <v>6</v>
      </c>
      <c r="C148" s="849"/>
      <c r="D148" s="849"/>
      <c r="E148" s="849"/>
      <c r="F148" s="849"/>
      <c r="G148" s="849"/>
      <c r="H148" s="849"/>
      <c r="I148" s="849"/>
      <c r="J148" s="849"/>
      <c r="K148" s="850">
        <f t="shared" si="65"/>
        <v>6</v>
      </c>
      <c r="L148" s="851">
        <v>288992.40000000002</v>
      </c>
      <c r="M148" s="849">
        <v>6</v>
      </c>
      <c r="N148" s="849"/>
      <c r="O148" s="849"/>
      <c r="P148" s="849"/>
      <c r="Q148" s="849"/>
      <c r="R148" s="849"/>
      <c r="S148" s="849"/>
      <c r="T148" s="849"/>
      <c r="U148" s="849"/>
      <c r="V148" s="850">
        <f t="shared" si="71"/>
        <v>6</v>
      </c>
      <c r="W148" s="851">
        <v>288992.40000000002</v>
      </c>
    </row>
    <row r="149" spans="1:23" ht="20.100000000000001" customHeight="1" x14ac:dyDescent="0.2">
      <c r="A149" s="844" t="s">
        <v>3794</v>
      </c>
      <c r="B149" s="845">
        <f>SUM(B150:B151)</f>
        <v>778</v>
      </c>
      <c r="C149" s="845">
        <f t="shared" ref="C149:L149" si="72">SUM(C150:C151)</f>
        <v>0</v>
      </c>
      <c r="D149" s="845">
        <f t="shared" si="72"/>
        <v>0</v>
      </c>
      <c r="E149" s="845">
        <f t="shared" si="72"/>
        <v>0</v>
      </c>
      <c r="F149" s="845">
        <f t="shared" si="72"/>
        <v>0</v>
      </c>
      <c r="G149" s="845">
        <f t="shared" si="72"/>
        <v>0</v>
      </c>
      <c r="H149" s="845">
        <f t="shared" si="72"/>
        <v>0</v>
      </c>
      <c r="I149" s="845">
        <f t="shared" si="72"/>
        <v>0</v>
      </c>
      <c r="J149" s="845">
        <f t="shared" si="72"/>
        <v>0</v>
      </c>
      <c r="K149" s="845">
        <f t="shared" si="72"/>
        <v>778</v>
      </c>
      <c r="L149" s="852">
        <f t="shared" si="72"/>
        <v>25956439.440000001</v>
      </c>
      <c r="M149" s="845">
        <f>SUM(M150:M151)</f>
        <v>778</v>
      </c>
      <c r="N149" s="845">
        <f t="shared" ref="N149:W149" si="73">SUM(N150:N151)</f>
        <v>0</v>
      </c>
      <c r="O149" s="845">
        <f t="shared" si="73"/>
        <v>0</v>
      </c>
      <c r="P149" s="845">
        <f t="shared" si="73"/>
        <v>0</v>
      </c>
      <c r="Q149" s="845">
        <f t="shared" si="73"/>
        <v>0</v>
      </c>
      <c r="R149" s="845">
        <f t="shared" si="73"/>
        <v>0</v>
      </c>
      <c r="S149" s="845">
        <f t="shared" si="73"/>
        <v>0</v>
      </c>
      <c r="T149" s="845">
        <f t="shared" si="73"/>
        <v>0</v>
      </c>
      <c r="U149" s="845">
        <f t="shared" si="73"/>
        <v>0</v>
      </c>
      <c r="V149" s="845">
        <f t="shared" si="73"/>
        <v>778</v>
      </c>
      <c r="W149" s="852">
        <f t="shared" si="73"/>
        <v>25956439.440000001</v>
      </c>
    </row>
    <row r="150" spans="1:23" ht="20.100000000000001" customHeight="1" x14ac:dyDescent="0.2">
      <c r="A150" s="848" t="s">
        <v>3795</v>
      </c>
      <c r="B150" s="849">
        <v>632</v>
      </c>
      <c r="C150" s="849"/>
      <c r="D150" s="849"/>
      <c r="E150" s="849"/>
      <c r="F150" s="849"/>
      <c r="G150" s="849"/>
      <c r="H150" s="849"/>
      <c r="I150" s="849"/>
      <c r="J150" s="849"/>
      <c r="K150" s="850">
        <f t="shared" si="65"/>
        <v>632</v>
      </c>
      <c r="L150" s="851">
        <v>22924437.920000002</v>
      </c>
      <c r="M150" s="849">
        <v>632</v>
      </c>
      <c r="N150" s="849"/>
      <c r="O150" s="849"/>
      <c r="P150" s="849"/>
      <c r="Q150" s="849"/>
      <c r="R150" s="849"/>
      <c r="S150" s="849"/>
      <c r="T150" s="849"/>
      <c r="U150" s="849"/>
      <c r="V150" s="850">
        <f t="shared" ref="V150:V151" si="74">SUM(M150:U150)</f>
        <v>632</v>
      </c>
      <c r="W150" s="851">
        <v>22924437.920000002</v>
      </c>
    </row>
    <row r="151" spans="1:23" ht="20.100000000000001" customHeight="1" thickBot="1" x14ac:dyDescent="0.25">
      <c r="A151" s="856" t="s">
        <v>3796</v>
      </c>
      <c r="B151" s="857">
        <v>146</v>
      </c>
      <c r="C151" s="857"/>
      <c r="D151" s="857"/>
      <c r="E151" s="857"/>
      <c r="F151" s="857"/>
      <c r="G151" s="857"/>
      <c r="H151" s="857"/>
      <c r="I151" s="857"/>
      <c r="J151" s="857"/>
      <c r="K151" s="858">
        <f t="shared" si="65"/>
        <v>146</v>
      </c>
      <c r="L151" s="859">
        <v>3032001.52</v>
      </c>
      <c r="M151" s="857">
        <v>146</v>
      </c>
      <c r="N151" s="857"/>
      <c r="O151" s="857"/>
      <c r="P151" s="857"/>
      <c r="Q151" s="857"/>
      <c r="R151" s="857"/>
      <c r="S151" s="857"/>
      <c r="T151" s="857"/>
      <c r="U151" s="857"/>
      <c r="V151" s="858">
        <f t="shared" si="74"/>
        <v>146</v>
      </c>
      <c r="W151" s="859">
        <v>3032001.52</v>
      </c>
    </row>
    <row r="152" spans="1:23" ht="25.5" customHeight="1" thickBot="1" x14ac:dyDescent="0.25">
      <c r="A152" s="860" t="s">
        <v>3797</v>
      </c>
      <c r="B152" s="861">
        <f>SUM(B8+B16+B23+B30+B37+B40+B45+B51+B55+B60+B65+B72+B80+B86+B92+B98+B103+B106+B114+B119+B123+B142+B145+B149)</f>
        <v>13360</v>
      </c>
      <c r="C152" s="861">
        <f t="shared" ref="C152:L152" si="75">SUM(C8+C16+C23+C30+C37+C40+C45+C51+C55+C60+C65+C72+C80+C86+C92+C98+C103+C106+C114+C119+C123+C142+C145+C149)</f>
        <v>136</v>
      </c>
      <c r="D152" s="861">
        <f t="shared" si="75"/>
        <v>0</v>
      </c>
      <c r="E152" s="861">
        <f t="shared" si="75"/>
        <v>0</v>
      </c>
      <c r="F152" s="861">
        <f t="shared" si="75"/>
        <v>0</v>
      </c>
      <c r="G152" s="861">
        <f t="shared" si="75"/>
        <v>0</v>
      </c>
      <c r="H152" s="861">
        <f t="shared" si="75"/>
        <v>0</v>
      </c>
      <c r="I152" s="861">
        <f t="shared" si="75"/>
        <v>0</v>
      </c>
      <c r="J152" s="861">
        <f t="shared" si="75"/>
        <v>21</v>
      </c>
      <c r="K152" s="861">
        <f t="shared" si="75"/>
        <v>13517</v>
      </c>
      <c r="L152" s="862">
        <f t="shared" si="75"/>
        <v>598180589.82000005</v>
      </c>
      <c r="M152" s="861">
        <f>SUM(M8+M16+M23+M30+M37+M40+M45+M51+M55+M60+M65+M72+M80+M86+M92+M98+M103+M106+M114+M119+M123+M142+M145+M149)</f>
        <v>13360</v>
      </c>
      <c r="N152" s="861">
        <f t="shared" ref="N152:W152" si="76">SUM(N8+N16+N23+N30+N37+N40+N45+N51+N55+N60+N65+N72+N80+N86+N92+N98+N103+N106+N114+N119+N123+N142+N145+N149)</f>
        <v>136</v>
      </c>
      <c r="O152" s="861">
        <f t="shared" si="76"/>
        <v>0</v>
      </c>
      <c r="P152" s="861">
        <f t="shared" si="76"/>
        <v>0</v>
      </c>
      <c r="Q152" s="861">
        <f t="shared" si="76"/>
        <v>0</v>
      </c>
      <c r="R152" s="861">
        <f t="shared" si="76"/>
        <v>0</v>
      </c>
      <c r="S152" s="861">
        <f t="shared" si="76"/>
        <v>0</v>
      </c>
      <c r="T152" s="861">
        <f t="shared" si="76"/>
        <v>0</v>
      </c>
      <c r="U152" s="861">
        <f t="shared" si="76"/>
        <v>21</v>
      </c>
      <c r="V152" s="861">
        <f t="shared" si="76"/>
        <v>13517</v>
      </c>
      <c r="W152" s="862">
        <f t="shared" si="76"/>
        <v>598180589.82000005</v>
      </c>
    </row>
    <row r="153" spans="1:23" x14ac:dyDescent="0.2">
      <c r="A153" s="711" t="s">
        <v>305</v>
      </c>
      <c r="B153" s="712"/>
      <c r="C153" s="712"/>
      <c r="D153" s="712"/>
      <c r="E153" s="712"/>
      <c r="F153" s="712"/>
      <c r="G153" s="712"/>
      <c r="H153" s="712"/>
      <c r="I153" s="712"/>
      <c r="J153" s="712"/>
      <c r="K153" s="712"/>
      <c r="L153" s="839"/>
      <c r="M153" s="712"/>
      <c r="N153" s="712"/>
      <c r="O153" s="712"/>
      <c r="P153" s="7"/>
      <c r="Q153" s="64"/>
      <c r="R153"/>
      <c r="S153"/>
      <c r="T153" s="81"/>
      <c r="U153" s="81"/>
      <c r="V153" s="81"/>
      <c r="W153" s="81"/>
    </row>
    <row r="154" spans="1:23" x14ac:dyDescent="0.2">
      <c r="A154" s="714" t="s">
        <v>299</v>
      </c>
      <c r="B154" s="714"/>
      <c r="C154" s="714"/>
      <c r="D154" s="714"/>
      <c r="E154" s="714"/>
      <c r="F154" s="714"/>
      <c r="G154" s="714"/>
      <c r="H154" s="714"/>
      <c r="I154" s="714"/>
      <c r="J154" s="714"/>
      <c r="K154" s="714"/>
      <c r="L154" s="840"/>
      <c r="M154" s="714"/>
      <c r="N154" s="714"/>
      <c r="O154" s="714"/>
      <c r="P154" s="81"/>
      <c r="Q154" s="64"/>
      <c r="R154"/>
      <c r="S154"/>
      <c r="T154"/>
      <c r="U154"/>
      <c r="V154" s="81"/>
      <c r="W154" s="81"/>
    </row>
    <row r="155" spans="1:23" x14ac:dyDescent="0.2">
      <c r="A155" s="714" t="s">
        <v>303</v>
      </c>
      <c r="B155" s="714"/>
      <c r="C155" s="714"/>
      <c r="D155" s="714"/>
      <c r="E155" s="714"/>
      <c r="F155" s="714"/>
      <c r="G155" s="714"/>
      <c r="H155" s="714"/>
      <c r="I155" s="714"/>
      <c r="J155" s="714"/>
      <c r="K155" s="714"/>
      <c r="L155" s="840"/>
      <c r="M155" s="714"/>
      <c r="N155" s="714"/>
      <c r="O155" s="714"/>
      <c r="P155" s="81"/>
      <c r="Q155" s="64"/>
      <c r="R155"/>
      <c r="S155"/>
      <c r="T155"/>
      <c r="U155"/>
      <c r="V155" s="81"/>
      <c r="W155" s="81"/>
    </row>
    <row r="156" spans="1:23" x14ac:dyDescent="0.2">
      <c r="A156" s="714" t="s">
        <v>310</v>
      </c>
      <c r="B156" s="714"/>
      <c r="C156" s="714"/>
      <c r="D156" s="714"/>
      <c r="E156" s="714"/>
      <c r="F156" s="714"/>
      <c r="G156" s="714"/>
      <c r="H156" s="714"/>
      <c r="I156" s="714"/>
      <c r="J156" s="714"/>
      <c r="K156" s="714"/>
      <c r="L156" s="840"/>
      <c r="M156" s="714"/>
      <c r="N156" s="714"/>
      <c r="O156" s="714"/>
      <c r="P156" s="714"/>
      <c r="Q156" s="714"/>
      <c r="R156" s="714"/>
      <c r="S156" s="714"/>
      <c r="T156" s="714"/>
      <c r="U156" s="714"/>
      <c r="V156" s="714"/>
      <c r="W156" s="714"/>
    </row>
    <row r="157" spans="1:23" x14ac:dyDescent="0.2">
      <c r="A157" s="714"/>
      <c r="B157" s="714"/>
      <c r="C157" s="714"/>
      <c r="D157" s="714"/>
      <c r="E157" s="714"/>
      <c r="F157" s="714"/>
      <c r="G157" s="714"/>
      <c r="H157" s="714"/>
      <c r="I157" s="714"/>
      <c r="J157" s="714"/>
      <c r="K157" s="714"/>
      <c r="L157" s="840"/>
      <c r="M157" s="714"/>
      <c r="N157" s="714"/>
      <c r="O157" s="714"/>
      <c r="P157" s="714"/>
      <c r="Q157" s="714"/>
      <c r="R157" s="714"/>
      <c r="S157" s="714"/>
      <c r="T157" s="714"/>
      <c r="U157" s="714"/>
      <c r="V157" s="714"/>
      <c r="W157" s="714"/>
    </row>
  </sheetData>
  <mergeCells count="2">
    <mergeCell ref="B5:L5"/>
    <mergeCell ref="M5:W5"/>
  </mergeCells>
  <printOptions horizontalCentered="1"/>
  <pageMargins left="0.23622047244094491" right="0.23622047244094491" top="0.74803149606299213" bottom="0.74803149606299213" header="0.31496062992125984" footer="0.31496062992125984"/>
  <pageSetup paperSize="9" scale="64" orientation="landscape" r:id="rId1"/>
  <headerFooter alignWithMargins="0">
    <oddHeader>&amp;C&amp;"Arial,Negrita"&amp;18PROYECTO DE PRESUPUESTO 2021</oddHeader>
    <oddFooter>&amp;L&amp;"Arial,Negrita"&amp;8PROYECTO DE PRESUPUESTO PARA EL AÑO FISCAL 2020
INFORMACIÓN PARA LA COMISIÓN DE PRESUPUESTO Y CUENTA GENERAL DE LA REPÚBLICA DEL CONGRESO DE LA REPÚBLICA</oddFooter>
  </headerFooter>
  <rowBreaks count="1" manualBreakCount="1">
    <brk id="125" max="22"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2">
    <tabColor theme="9" tint="-0.249977111117893"/>
    <pageSetUpPr fitToPage="1"/>
  </sheetPr>
  <dimension ref="A1:V25"/>
  <sheetViews>
    <sheetView zoomScaleNormal="100" zoomScaleSheetLayoutView="100" zoomScalePageLayoutView="90" workbookViewId="0">
      <selection activeCell="A3" sqref="A3"/>
    </sheetView>
  </sheetViews>
  <sheetFormatPr baseColWidth="10" defaultColWidth="11.42578125" defaultRowHeight="12" x14ac:dyDescent="0.2"/>
  <cols>
    <col min="1" max="1" width="62" style="3" customWidth="1"/>
    <col min="2" max="9" width="14.7109375" style="3" customWidth="1"/>
    <col min="10" max="16384" width="11.42578125" style="3"/>
  </cols>
  <sheetData>
    <row r="1" spans="1:22" s="84" customFormat="1" ht="15.75" x14ac:dyDescent="0.25">
      <c r="A1" s="63"/>
      <c r="B1" s="88"/>
      <c r="C1" s="87"/>
      <c r="D1" s="87"/>
      <c r="E1" s="87"/>
      <c r="F1" s="87"/>
      <c r="H1" s="85"/>
      <c r="I1" s="85"/>
    </row>
    <row r="2" spans="1:22" s="86" customFormat="1" ht="15.75" x14ac:dyDescent="0.2">
      <c r="A2" s="82" t="s">
        <v>14246</v>
      </c>
      <c r="B2" s="85"/>
      <c r="C2" s="85"/>
      <c r="D2" s="85"/>
      <c r="E2" s="85"/>
      <c r="F2" s="85"/>
      <c r="G2" s="85"/>
      <c r="H2" s="85"/>
      <c r="I2" s="85"/>
      <c r="J2" s="85"/>
      <c r="K2" s="85"/>
      <c r="L2" s="85"/>
      <c r="M2" s="85"/>
      <c r="N2" s="85"/>
      <c r="O2" s="85"/>
      <c r="P2" s="85"/>
      <c r="Q2" s="85"/>
      <c r="R2" s="85"/>
      <c r="S2" s="85"/>
      <c r="T2" s="85"/>
      <c r="U2" s="85"/>
      <c r="V2" s="85"/>
    </row>
    <row r="3" spans="1:22" s="48" customFormat="1" ht="12.75" thickBot="1" x14ac:dyDescent="0.25">
      <c r="A3" s="9" t="s">
        <v>453</v>
      </c>
      <c r="B3" s="10"/>
      <c r="E3" s="10"/>
    </row>
    <row r="4" spans="1:22" ht="27" customHeight="1" thickBot="1" x14ac:dyDescent="0.25">
      <c r="A4" s="720" t="s">
        <v>5</v>
      </c>
      <c r="B4" s="1278" t="s">
        <v>343</v>
      </c>
      <c r="C4" s="1278"/>
      <c r="D4" s="1279" t="s">
        <v>416</v>
      </c>
      <c r="E4" s="1281"/>
      <c r="F4" s="1279" t="s">
        <v>417</v>
      </c>
      <c r="G4" s="1280"/>
      <c r="H4" s="1279" t="s">
        <v>342</v>
      </c>
      <c r="I4" s="1280"/>
    </row>
    <row r="5" spans="1:22" s="38" customFormat="1" ht="24" customHeight="1" x14ac:dyDescent="0.2">
      <c r="A5" s="721" t="s">
        <v>4</v>
      </c>
      <c r="B5" s="722" t="s">
        <v>132</v>
      </c>
      <c r="C5" s="723" t="s">
        <v>13</v>
      </c>
      <c r="D5" s="721" t="s">
        <v>132</v>
      </c>
      <c r="E5" s="724" t="s">
        <v>13</v>
      </c>
      <c r="F5" s="721" t="s">
        <v>132</v>
      </c>
      <c r="G5" s="724" t="s">
        <v>13</v>
      </c>
      <c r="H5" s="721" t="s">
        <v>132</v>
      </c>
      <c r="I5" s="724" t="s">
        <v>13</v>
      </c>
    </row>
    <row r="6" spans="1:22" ht="24.95" customHeight="1" x14ac:dyDescent="0.2">
      <c r="A6" s="863" t="s">
        <v>129</v>
      </c>
      <c r="B6" s="717"/>
      <c r="C6" s="866">
        <f>43840748+589246685+399000+116391400+48894566</f>
        <v>798772399</v>
      </c>
      <c r="D6" s="867"/>
      <c r="E6" s="866">
        <f>41830607+598971891+2832716+126616834+49414214</f>
        <v>819666262</v>
      </c>
      <c r="F6" s="867"/>
      <c r="G6" s="866">
        <f>41830607+598971891+2832716+126616834+49414214</f>
        <v>819666262</v>
      </c>
      <c r="H6" s="867">
        <f>B6-D6</f>
        <v>0</v>
      </c>
      <c r="I6" s="866">
        <f>C6-E6</f>
        <v>-20893863</v>
      </c>
    </row>
    <row r="7" spans="1:22" ht="24.95" customHeight="1" x14ac:dyDescent="0.2">
      <c r="A7" s="718" t="s">
        <v>160</v>
      </c>
      <c r="B7" s="717"/>
      <c r="C7" s="866"/>
      <c r="D7" s="867"/>
      <c r="E7" s="866"/>
      <c r="F7" s="867"/>
      <c r="G7" s="866"/>
      <c r="H7" s="867">
        <f>B7-D7</f>
        <v>0</v>
      </c>
      <c r="I7" s="866">
        <f>C7-E7</f>
        <v>0</v>
      </c>
    </row>
    <row r="8" spans="1:22" ht="24.95" customHeight="1" x14ac:dyDescent="0.2">
      <c r="A8" s="718" t="s">
        <v>158</v>
      </c>
      <c r="B8" s="717"/>
      <c r="C8" s="866"/>
      <c r="D8" s="867"/>
      <c r="E8" s="866"/>
      <c r="F8" s="867"/>
      <c r="G8" s="866"/>
      <c r="H8" s="867">
        <f t="shared" ref="H8:I20" si="0">B8-D8</f>
        <v>0</v>
      </c>
      <c r="I8" s="866">
        <f t="shared" si="0"/>
        <v>0</v>
      </c>
    </row>
    <row r="9" spans="1:22" s="59" customFormat="1" ht="24.95" customHeight="1" x14ac:dyDescent="0.2">
      <c r="A9" s="864" t="s">
        <v>167</v>
      </c>
      <c r="B9" s="717"/>
      <c r="C9" s="866"/>
      <c r="D9" s="867"/>
      <c r="E9" s="866"/>
      <c r="F9" s="867"/>
      <c r="G9" s="866"/>
      <c r="H9" s="867">
        <f t="shared" si="0"/>
        <v>0</v>
      </c>
      <c r="I9" s="866">
        <f t="shared" si="0"/>
        <v>0</v>
      </c>
    </row>
    <row r="10" spans="1:22" s="59" customFormat="1" ht="24.95" customHeight="1" x14ac:dyDescent="0.2">
      <c r="A10" s="718" t="s">
        <v>161</v>
      </c>
      <c r="B10" s="717">
        <v>21</v>
      </c>
      <c r="C10" s="866">
        <v>1081080</v>
      </c>
      <c r="D10" s="867">
        <v>21</v>
      </c>
      <c r="E10" s="866">
        <v>1081080</v>
      </c>
      <c r="F10" s="867">
        <v>21</v>
      </c>
      <c r="G10" s="866">
        <v>1081080</v>
      </c>
      <c r="H10" s="867">
        <f t="shared" si="0"/>
        <v>0</v>
      </c>
      <c r="I10" s="866">
        <f t="shared" si="0"/>
        <v>0</v>
      </c>
    </row>
    <row r="11" spans="1:22" s="59" customFormat="1" ht="24.95" customHeight="1" x14ac:dyDescent="0.2">
      <c r="A11" s="864" t="s">
        <v>159</v>
      </c>
      <c r="B11" s="717"/>
      <c r="C11" s="866"/>
      <c r="D11" s="867"/>
      <c r="E11" s="866">
        <v>26925843</v>
      </c>
      <c r="F11" s="867"/>
      <c r="G11" s="866">
        <v>26925843</v>
      </c>
      <c r="H11" s="867">
        <f t="shared" si="0"/>
        <v>0</v>
      </c>
      <c r="I11" s="866">
        <f t="shared" si="0"/>
        <v>-26925843</v>
      </c>
    </row>
    <row r="12" spans="1:22" s="59" customFormat="1" ht="24.95" customHeight="1" x14ac:dyDescent="0.2">
      <c r="A12" s="718" t="s">
        <v>166</v>
      </c>
      <c r="B12" s="717"/>
      <c r="C12" s="866"/>
      <c r="D12" s="867"/>
      <c r="E12" s="866"/>
      <c r="F12" s="867"/>
      <c r="G12" s="866"/>
      <c r="H12" s="867">
        <f t="shared" si="0"/>
        <v>0</v>
      </c>
      <c r="I12" s="866">
        <f t="shared" si="0"/>
        <v>0</v>
      </c>
    </row>
    <row r="13" spans="1:22" s="59" customFormat="1" ht="24.95" customHeight="1" x14ac:dyDescent="0.2">
      <c r="A13" s="863" t="s">
        <v>15</v>
      </c>
      <c r="B13" s="717"/>
      <c r="C13" s="866">
        <v>77747749</v>
      </c>
      <c r="D13" s="867"/>
      <c r="E13" s="866">
        <f>34285039+1603162</f>
        <v>35888201</v>
      </c>
      <c r="F13" s="867"/>
      <c r="G13" s="866">
        <f>34285039+1603162</f>
        <v>35888201</v>
      </c>
      <c r="H13" s="867">
        <f t="shared" si="0"/>
        <v>0</v>
      </c>
      <c r="I13" s="866">
        <f t="shared" si="0"/>
        <v>41859548</v>
      </c>
    </row>
    <row r="14" spans="1:22" s="59" customFormat="1" ht="24.95" customHeight="1" x14ac:dyDescent="0.2">
      <c r="A14" s="718" t="s">
        <v>163</v>
      </c>
      <c r="B14" s="717"/>
      <c r="C14" s="866"/>
      <c r="D14" s="867"/>
      <c r="E14" s="866"/>
      <c r="F14" s="867"/>
      <c r="G14" s="866"/>
      <c r="H14" s="867">
        <f t="shared" si="0"/>
        <v>0</v>
      </c>
      <c r="I14" s="866">
        <f t="shared" si="0"/>
        <v>0</v>
      </c>
    </row>
    <row r="15" spans="1:22" s="59" customFormat="1" ht="24.95" customHeight="1" x14ac:dyDescent="0.2">
      <c r="A15" s="863" t="s">
        <v>14</v>
      </c>
      <c r="B15" s="717"/>
      <c r="C15" s="866">
        <v>51876647</v>
      </c>
      <c r="D15" s="867"/>
      <c r="E15" s="866">
        <v>56233508</v>
      </c>
      <c r="F15" s="867"/>
      <c r="G15" s="866">
        <v>56233508</v>
      </c>
      <c r="H15" s="867">
        <f t="shared" si="0"/>
        <v>0</v>
      </c>
      <c r="I15" s="866">
        <f t="shared" si="0"/>
        <v>-4356861</v>
      </c>
    </row>
    <row r="16" spans="1:22" s="59" customFormat="1" ht="24.95" customHeight="1" x14ac:dyDescent="0.2">
      <c r="A16" s="863" t="s">
        <v>164</v>
      </c>
      <c r="B16" s="717"/>
      <c r="C16" s="866"/>
      <c r="D16" s="867"/>
      <c r="E16" s="866"/>
      <c r="F16" s="867"/>
      <c r="G16" s="866"/>
      <c r="H16" s="867">
        <f t="shared" si="0"/>
        <v>0</v>
      </c>
      <c r="I16" s="866">
        <f t="shared" si="0"/>
        <v>0</v>
      </c>
    </row>
    <row r="17" spans="1:9" s="59" customFormat="1" ht="24.95" customHeight="1" x14ac:dyDescent="0.2">
      <c r="A17" s="718" t="s">
        <v>162</v>
      </c>
      <c r="B17" s="717"/>
      <c r="C17" s="866"/>
      <c r="D17" s="867"/>
      <c r="E17" s="866"/>
      <c r="F17" s="867"/>
      <c r="G17" s="866"/>
      <c r="H17" s="867">
        <f t="shared" si="0"/>
        <v>0</v>
      </c>
      <c r="I17" s="866">
        <f t="shared" si="0"/>
        <v>0</v>
      </c>
    </row>
    <row r="18" spans="1:9" s="59" customFormat="1" ht="24.95" customHeight="1" x14ac:dyDescent="0.2">
      <c r="A18" s="718" t="s">
        <v>165</v>
      </c>
      <c r="B18" s="717"/>
      <c r="C18" s="866"/>
      <c r="D18" s="867"/>
      <c r="E18" s="866"/>
      <c r="F18" s="867"/>
      <c r="G18" s="866"/>
      <c r="H18" s="867">
        <f t="shared" si="0"/>
        <v>0</v>
      </c>
      <c r="I18" s="866">
        <f t="shared" si="0"/>
        <v>0</v>
      </c>
    </row>
    <row r="19" spans="1:9" s="59" customFormat="1" ht="24.95" customHeight="1" x14ac:dyDescent="0.2">
      <c r="A19" s="863" t="s">
        <v>22</v>
      </c>
      <c r="B19" s="717"/>
      <c r="C19" s="866">
        <v>48519413</v>
      </c>
      <c r="D19" s="867"/>
      <c r="E19" s="866">
        <v>56222664</v>
      </c>
      <c r="F19" s="867"/>
      <c r="G19" s="866">
        <v>56222664</v>
      </c>
      <c r="H19" s="867">
        <f t="shared" si="0"/>
        <v>0</v>
      </c>
      <c r="I19" s="866">
        <f t="shared" si="0"/>
        <v>-7703251</v>
      </c>
    </row>
    <row r="20" spans="1:9" s="59" customFormat="1" ht="24.95" customHeight="1" x14ac:dyDescent="0.2">
      <c r="A20" s="863" t="s">
        <v>157</v>
      </c>
      <c r="B20" s="717"/>
      <c r="C20" s="866">
        <v>167000</v>
      </c>
      <c r="D20" s="867"/>
      <c r="E20" s="866">
        <v>162052</v>
      </c>
      <c r="F20" s="867"/>
      <c r="G20" s="866">
        <v>162052</v>
      </c>
      <c r="H20" s="867">
        <f t="shared" si="0"/>
        <v>0</v>
      </c>
      <c r="I20" s="866">
        <f t="shared" si="0"/>
        <v>4948</v>
      </c>
    </row>
    <row r="21" spans="1:9" ht="24.95" customHeight="1" thickBot="1" x14ac:dyDescent="0.25">
      <c r="A21" s="718" t="s">
        <v>3798</v>
      </c>
      <c r="B21" s="717"/>
      <c r="C21" s="866">
        <f>8125388+38096082+1786</f>
        <v>46223256</v>
      </c>
      <c r="D21" s="867"/>
      <c r="E21" s="866">
        <f>55181490+55898206</f>
        <v>111079696</v>
      </c>
      <c r="F21" s="867"/>
      <c r="G21" s="866">
        <f>55181490+55898206</f>
        <v>111079696</v>
      </c>
      <c r="H21" s="867">
        <f>B21-D21</f>
        <v>0</v>
      </c>
      <c r="I21" s="866">
        <f>C21-E21</f>
        <v>-64856440</v>
      </c>
    </row>
    <row r="22" spans="1:9" ht="27.75" customHeight="1" thickBot="1" x14ac:dyDescent="0.25">
      <c r="A22" s="715" t="s">
        <v>45</v>
      </c>
      <c r="B22" s="716">
        <f t="shared" ref="B22:I22" si="1">SUM(B6:B21)</f>
        <v>21</v>
      </c>
      <c r="C22" s="865">
        <f t="shared" si="1"/>
        <v>1024387544</v>
      </c>
      <c r="D22" s="716">
        <f t="shared" si="1"/>
        <v>21</v>
      </c>
      <c r="E22" s="865">
        <f t="shared" si="1"/>
        <v>1107259306</v>
      </c>
      <c r="F22" s="716">
        <f t="shared" si="1"/>
        <v>21</v>
      </c>
      <c r="G22" s="865">
        <f t="shared" si="1"/>
        <v>1107259306</v>
      </c>
      <c r="H22" s="716">
        <f t="shared" si="1"/>
        <v>0</v>
      </c>
      <c r="I22" s="865">
        <f t="shared" si="1"/>
        <v>-82871762</v>
      </c>
    </row>
    <row r="23" spans="1:9" x14ac:dyDescent="0.2">
      <c r="A23" s="711" t="s">
        <v>344</v>
      </c>
      <c r="B23" s="712"/>
      <c r="C23" s="712"/>
      <c r="D23" s="712"/>
      <c r="E23" s="712"/>
      <c r="F23" s="712"/>
      <c r="G23" s="712"/>
      <c r="H23" s="712"/>
      <c r="I23" s="712" t="s">
        <v>83</v>
      </c>
    </row>
    <row r="24" spans="1:9" x14ac:dyDescent="0.2">
      <c r="A24" s="711" t="s">
        <v>82</v>
      </c>
      <c r="B24" s="712"/>
      <c r="C24" s="712"/>
      <c r="D24" s="712"/>
      <c r="E24" s="712"/>
      <c r="F24" s="712"/>
      <c r="G24" s="712"/>
      <c r="H24" s="712"/>
      <c r="I24" s="712"/>
    </row>
    <row r="25" spans="1:9" x14ac:dyDescent="0.2">
      <c r="A25" s="711"/>
      <c r="B25" s="712"/>
      <c r="C25" s="712"/>
      <c r="D25" s="712"/>
      <c r="E25" s="712"/>
      <c r="F25" s="712"/>
      <c r="G25" s="712"/>
      <c r="H25" s="712"/>
      <c r="I25" s="712"/>
    </row>
  </sheetData>
  <sortState ref="A9:A24">
    <sortCondition ref="A9:A24"/>
  </sortState>
  <mergeCells count="4">
    <mergeCell ref="B4:C4"/>
    <mergeCell ref="F4:G4"/>
    <mergeCell ref="H4:I4"/>
    <mergeCell ref="D4:E4"/>
  </mergeCells>
  <phoneticPr fontId="0" type="noConversion"/>
  <printOptions horizontalCentered="1"/>
  <pageMargins left="0.25" right="0.25" top="0.75" bottom="0.75" header="0.3" footer="0.3"/>
  <pageSetup paperSize="9" scale="81" orientation="landscape" r:id="rId1"/>
  <headerFooter alignWithMargins="0">
    <oddHeader>&amp;C&amp;"Arial,Negrita"&amp;18PROYECTO DE PRESUPUESTO 2021</oddHeader>
    <oddFooter>&amp;L&amp;"Arial,Negrita"&amp;8PROYECTO DE PRESUPUESTO PARA EL AÑO FISCAL 2020
INFORMACIÓN PARA LA COMISIÓN DE PRESUPUESTO Y CUENTA GENERAL DE LA REPÚBLICA DEL CONGRESO DE LA REPÚBLICA</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
    <tabColor theme="9" tint="-0.249977111117893"/>
  </sheetPr>
  <dimension ref="A1:AI244"/>
  <sheetViews>
    <sheetView view="pageBreakPreview" zoomScale="80" zoomScaleNormal="100" zoomScaleSheetLayoutView="80" zoomScalePageLayoutView="85" workbookViewId="0">
      <selection activeCell="D11" sqref="D11"/>
    </sheetView>
  </sheetViews>
  <sheetFormatPr baseColWidth="10" defaultColWidth="11.42578125" defaultRowHeight="12" x14ac:dyDescent="0.2"/>
  <cols>
    <col min="1" max="1" width="18.5703125" style="3" customWidth="1"/>
    <col min="2" max="2" width="8.7109375" style="3" customWidth="1"/>
    <col min="3" max="3" width="11.140625" style="48" customWidth="1"/>
    <col min="4" max="4" width="10.140625" style="3" customWidth="1"/>
    <col min="5" max="5" width="9.7109375" style="3" customWidth="1"/>
    <col min="6" max="6" width="6.140625" style="59" customWidth="1"/>
    <col min="7" max="7" width="5.85546875" style="59" customWidth="1"/>
    <col min="8" max="8" width="5.42578125" style="59" customWidth="1"/>
    <col min="9" max="9" width="6.28515625" style="59" customWidth="1"/>
    <col min="10" max="10" width="9.85546875" style="3" customWidth="1"/>
    <col min="11" max="11" width="11" style="3" customWidth="1"/>
    <col min="12" max="12" width="10.7109375" style="48" customWidth="1"/>
    <col min="13" max="13" width="10.42578125" style="3" customWidth="1"/>
    <col min="14" max="14" width="11.5703125" style="3" customWidth="1"/>
    <col min="15" max="15" width="12.42578125" style="3" customWidth="1"/>
    <col min="16" max="16" width="15.140625" style="48" customWidth="1"/>
    <col min="17" max="17" width="7.140625" style="3" customWidth="1"/>
    <col min="18" max="18" width="11.42578125" style="3" customWidth="1"/>
    <col min="19" max="19" width="10.140625" style="3" customWidth="1"/>
    <col min="20" max="20" width="10" style="3" customWidth="1"/>
    <col min="21" max="24" width="8.7109375" style="59" customWidth="1"/>
    <col min="25" max="25" width="8.7109375" style="3" customWidth="1"/>
    <col min="26" max="26" width="11" style="3" customWidth="1"/>
    <col min="27" max="27" width="10.7109375" style="48" customWidth="1"/>
    <col min="28" max="28" width="10.28515625" style="3" customWidth="1"/>
    <col min="29" max="29" width="10.7109375" style="3" customWidth="1"/>
    <col min="30" max="30" width="13.140625" style="3" customWidth="1"/>
    <col min="31" max="31" width="16.28515625" style="48" customWidth="1"/>
    <col min="32" max="32" width="12.85546875" style="81" customWidth="1"/>
    <col min="33" max="33" width="14.85546875" style="81" customWidth="1"/>
    <col min="34" max="34" width="8.7109375" style="48" customWidth="1"/>
    <col min="35" max="35" width="14.42578125" style="48" customWidth="1"/>
    <col min="36" max="16384" width="11.42578125" style="3"/>
  </cols>
  <sheetData>
    <row r="1" spans="1:35" s="70" customFormat="1" x14ac:dyDescent="0.2">
      <c r="A1" s="67" t="s">
        <v>432</v>
      </c>
    </row>
    <row r="2" spans="1:35" s="70" customFormat="1" x14ac:dyDescent="0.2">
      <c r="A2" s="68" t="s">
        <v>340</v>
      </c>
      <c r="B2" s="68"/>
      <c r="C2" s="68"/>
      <c r="D2" s="68"/>
      <c r="E2" s="68"/>
      <c r="F2" s="68"/>
      <c r="G2" s="68"/>
      <c r="H2" s="68"/>
      <c r="I2" s="68"/>
      <c r="J2" s="68"/>
      <c r="K2" s="68"/>
      <c r="L2" s="68"/>
      <c r="M2" s="68"/>
      <c r="N2" s="68"/>
      <c r="O2" s="68"/>
      <c r="P2" s="68"/>
      <c r="Q2" s="68"/>
      <c r="R2" s="68"/>
      <c r="S2" s="68"/>
      <c r="T2" s="68"/>
      <c r="U2" s="68"/>
      <c r="V2" s="68"/>
      <c r="W2" s="68"/>
      <c r="X2" s="68"/>
      <c r="Y2" s="68"/>
      <c r="Z2" s="68"/>
      <c r="AA2" s="68"/>
      <c r="AB2" s="68"/>
      <c r="AC2" s="68"/>
      <c r="AD2" s="68"/>
    </row>
    <row r="3" spans="1:35" s="67" customFormat="1" ht="12.75" thickBot="1" x14ac:dyDescent="0.25">
      <c r="A3" s="67" t="s">
        <v>613</v>
      </c>
      <c r="T3" s="69"/>
    </row>
    <row r="4" spans="1:35" ht="56.25" customHeight="1" thickBot="1" x14ac:dyDescent="0.25">
      <c r="A4" s="1273" t="s">
        <v>48</v>
      </c>
      <c r="B4" s="1286" t="s">
        <v>345</v>
      </c>
      <c r="C4" s="1286"/>
      <c r="D4" s="1286"/>
      <c r="E4" s="1286"/>
      <c r="F4" s="1286"/>
      <c r="G4" s="1286"/>
      <c r="H4" s="1286"/>
      <c r="I4" s="1286"/>
      <c r="J4" s="1286"/>
      <c r="K4" s="1286"/>
      <c r="L4" s="1286"/>
      <c r="M4" s="1286"/>
      <c r="N4" s="1286"/>
      <c r="O4" s="1286"/>
      <c r="P4" s="1286"/>
      <c r="Q4" s="1287" t="s">
        <v>433</v>
      </c>
      <c r="R4" s="1286"/>
      <c r="S4" s="1286"/>
      <c r="T4" s="1286"/>
      <c r="U4" s="1286"/>
      <c r="V4" s="1286"/>
      <c r="W4" s="1286"/>
      <c r="X4" s="1286"/>
      <c r="Y4" s="1286"/>
      <c r="Z4" s="1286"/>
      <c r="AA4" s="1286"/>
      <c r="AB4" s="1286"/>
      <c r="AC4" s="1286"/>
      <c r="AD4" s="1286"/>
      <c r="AE4" s="1288"/>
      <c r="AF4" s="1282" t="s">
        <v>435</v>
      </c>
      <c r="AG4" s="1283"/>
      <c r="AH4" s="1282" t="s">
        <v>434</v>
      </c>
      <c r="AI4" s="1283"/>
    </row>
    <row r="5" spans="1:35" ht="172.5" customHeight="1" x14ac:dyDescent="0.2">
      <c r="A5" s="1284"/>
      <c r="B5" s="146" t="s">
        <v>6</v>
      </c>
      <c r="C5" s="147" t="s">
        <v>133</v>
      </c>
      <c r="D5" s="148" t="s">
        <v>270</v>
      </c>
      <c r="E5" s="148" t="s">
        <v>135</v>
      </c>
      <c r="F5" s="148" t="s">
        <v>169</v>
      </c>
      <c r="G5" s="148" t="s">
        <v>170</v>
      </c>
      <c r="H5" s="148" t="s">
        <v>171</v>
      </c>
      <c r="I5" s="148" t="s">
        <v>172</v>
      </c>
      <c r="J5" s="148" t="s">
        <v>136</v>
      </c>
      <c r="K5" s="148" t="s">
        <v>137</v>
      </c>
      <c r="L5" s="148" t="s">
        <v>138</v>
      </c>
      <c r="M5" s="148" t="s">
        <v>168</v>
      </c>
      <c r="N5" s="149" t="s">
        <v>106</v>
      </c>
      <c r="O5" s="150" t="s">
        <v>143</v>
      </c>
      <c r="P5" s="151" t="s">
        <v>142</v>
      </c>
      <c r="Q5" s="146" t="s">
        <v>6</v>
      </c>
      <c r="R5" s="147" t="s">
        <v>133</v>
      </c>
      <c r="S5" s="148" t="s">
        <v>134</v>
      </c>
      <c r="T5" s="148" t="s">
        <v>135</v>
      </c>
      <c r="U5" s="148" t="s">
        <v>169</v>
      </c>
      <c r="V5" s="148" t="s">
        <v>170</v>
      </c>
      <c r="W5" s="148" t="s">
        <v>171</v>
      </c>
      <c r="X5" s="148" t="s">
        <v>172</v>
      </c>
      <c r="Y5" s="148" t="s">
        <v>136</v>
      </c>
      <c r="Z5" s="148" t="s">
        <v>137</v>
      </c>
      <c r="AA5" s="148" t="s">
        <v>138</v>
      </c>
      <c r="AB5" s="148" t="s">
        <v>168</v>
      </c>
      <c r="AC5" s="149" t="s">
        <v>106</v>
      </c>
      <c r="AD5" s="150" t="s">
        <v>143</v>
      </c>
      <c r="AE5" s="151" t="s">
        <v>346</v>
      </c>
      <c r="AF5" s="152" t="s">
        <v>147</v>
      </c>
      <c r="AG5" s="152" t="s">
        <v>146</v>
      </c>
      <c r="AH5" s="152" t="s">
        <v>6</v>
      </c>
      <c r="AI5" s="151" t="s">
        <v>347</v>
      </c>
    </row>
    <row r="6" spans="1:35" ht="15.75" customHeight="1" thickBot="1" x14ac:dyDescent="0.25">
      <c r="A6" s="1285"/>
      <c r="B6" s="153" t="s">
        <v>49</v>
      </c>
      <c r="C6" s="154" t="s">
        <v>50</v>
      </c>
      <c r="D6" s="155" t="s">
        <v>51</v>
      </c>
      <c r="E6" s="155" t="s">
        <v>52</v>
      </c>
      <c r="F6" s="156" t="s">
        <v>53</v>
      </c>
      <c r="G6" s="156" t="s">
        <v>54</v>
      </c>
      <c r="H6" s="156" t="s">
        <v>68</v>
      </c>
      <c r="I6" s="156" t="s">
        <v>105</v>
      </c>
      <c r="J6" s="156" t="s">
        <v>141</v>
      </c>
      <c r="K6" s="156" t="s">
        <v>145</v>
      </c>
      <c r="L6" s="156" t="s">
        <v>177</v>
      </c>
      <c r="M6" s="156" t="s">
        <v>178</v>
      </c>
      <c r="N6" s="157" t="s">
        <v>179</v>
      </c>
      <c r="O6" s="158" t="s">
        <v>180</v>
      </c>
      <c r="P6" s="159" t="s">
        <v>181</v>
      </c>
      <c r="Q6" s="153" t="s">
        <v>49</v>
      </c>
      <c r="R6" s="154" t="s">
        <v>50</v>
      </c>
      <c r="S6" s="155" t="s">
        <v>51</v>
      </c>
      <c r="T6" s="155" t="s">
        <v>52</v>
      </c>
      <c r="U6" s="156" t="s">
        <v>53</v>
      </c>
      <c r="V6" s="156" t="s">
        <v>54</v>
      </c>
      <c r="W6" s="156" t="s">
        <v>68</v>
      </c>
      <c r="X6" s="156" t="s">
        <v>105</v>
      </c>
      <c r="Y6" s="156" t="s">
        <v>141</v>
      </c>
      <c r="Z6" s="156" t="s">
        <v>145</v>
      </c>
      <c r="AA6" s="156" t="s">
        <v>177</v>
      </c>
      <c r="AB6" s="156" t="s">
        <v>178</v>
      </c>
      <c r="AC6" s="157" t="s">
        <v>179</v>
      </c>
      <c r="AD6" s="158" t="s">
        <v>180</v>
      </c>
      <c r="AE6" s="159" t="s">
        <v>181</v>
      </c>
      <c r="AF6" s="160"/>
      <c r="AG6" s="153"/>
      <c r="AH6" s="160"/>
      <c r="AI6" s="153"/>
    </row>
    <row r="7" spans="1:35" ht="24.95" customHeight="1" x14ac:dyDescent="0.2">
      <c r="A7" s="868" t="s">
        <v>3799</v>
      </c>
      <c r="B7" s="909"/>
      <c r="C7" s="910"/>
      <c r="D7" s="910"/>
      <c r="E7" s="910"/>
      <c r="F7" s="910"/>
      <c r="G7" s="910"/>
      <c r="H7" s="910"/>
      <c r="I7" s="910"/>
      <c r="J7" s="910"/>
      <c r="K7" s="910"/>
      <c r="L7" s="910"/>
      <c r="M7" s="910"/>
      <c r="N7" s="910"/>
      <c r="O7" s="910"/>
      <c r="P7" s="911"/>
      <c r="Q7" s="909"/>
      <c r="R7" s="910"/>
      <c r="S7" s="910"/>
      <c r="T7" s="910"/>
      <c r="U7" s="910"/>
      <c r="V7" s="910"/>
      <c r="W7" s="910"/>
      <c r="X7" s="910"/>
      <c r="Y7" s="910"/>
      <c r="Z7" s="910"/>
      <c r="AA7" s="910"/>
      <c r="AB7" s="910"/>
      <c r="AC7" s="910"/>
      <c r="AD7" s="910"/>
      <c r="AE7" s="910"/>
      <c r="AF7" s="910"/>
      <c r="AG7" s="910"/>
      <c r="AH7" s="912"/>
      <c r="AI7" s="911"/>
    </row>
    <row r="8" spans="1:35" ht="24.95" customHeight="1" x14ac:dyDescent="0.2">
      <c r="A8" s="869" t="s">
        <v>3670</v>
      </c>
      <c r="B8" s="880"/>
      <c r="C8" s="881"/>
      <c r="D8" s="881"/>
      <c r="E8" s="881"/>
      <c r="F8" s="881"/>
      <c r="G8" s="881"/>
      <c r="H8" s="881"/>
      <c r="I8" s="881"/>
      <c r="J8" s="881"/>
      <c r="K8" s="881"/>
      <c r="L8" s="881"/>
      <c r="M8" s="881"/>
      <c r="N8" s="881"/>
      <c r="O8" s="881"/>
      <c r="P8" s="913"/>
      <c r="Q8" s="880"/>
      <c r="R8" s="881"/>
      <c r="S8" s="881"/>
      <c r="T8" s="881"/>
      <c r="U8" s="881"/>
      <c r="V8" s="881"/>
      <c r="W8" s="881"/>
      <c r="X8" s="881"/>
      <c r="Y8" s="881"/>
      <c r="Z8" s="881"/>
      <c r="AA8" s="881"/>
      <c r="AB8" s="881"/>
      <c r="AC8" s="881"/>
      <c r="AD8" s="881"/>
      <c r="AE8" s="881"/>
      <c r="AF8" s="881"/>
      <c r="AG8" s="881"/>
      <c r="AH8" s="914"/>
      <c r="AI8" s="913"/>
    </row>
    <row r="9" spans="1:35" ht="24.95" customHeight="1" x14ac:dyDescent="0.2">
      <c r="A9" s="869" t="s">
        <v>3671</v>
      </c>
      <c r="B9" s="880"/>
      <c r="C9" s="881"/>
      <c r="D9" s="881"/>
      <c r="E9" s="881"/>
      <c r="F9" s="881"/>
      <c r="G9" s="881"/>
      <c r="H9" s="881"/>
      <c r="I9" s="881"/>
      <c r="J9" s="881"/>
      <c r="K9" s="881"/>
      <c r="L9" s="881"/>
      <c r="M9" s="881"/>
      <c r="N9" s="881"/>
      <c r="O9" s="881"/>
      <c r="P9" s="913"/>
      <c r="Q9" s="880"/>
      <c r="R9" s="881"/>
      <c r="S9" s="881"/>
      <c r="T9" s="881"/>
      <c r="U9" s="881"/>
      <c r="V9" s="881"/>
      <c r="W9" s="881"/>
      <c r="X9" s="881"/>
      <c r="Y9" s="881"/>
      <c r="Z9" s="881"/>
      <c r="AA9" s="881"/>
      <c r="AB9" s="881"/>
      <c r="AC9" s="881"/>
      <c r="AD9" s="881"/>
      <c r="AE9" s="881"/>
      <c r="AF9" s="881"/>
      <c r="AG9" s="881"/>
      <c r="AH9" s="914"/>
      <c r="AI9" s="913"/>
    </row>
    <row r="10" spans="1:35" ht="24.95" customHeight="1" x14ac:dyDescent="0.2">
      <c r="A10" s="870" t="s">
        <v>3672</v>
      </c>
      <c r="B10" s="880">
        <v>45</v>
      </c>
      <c r="C10" s="881">
        <f>(44164.09+13779.06)/B10</f>
        <v>1287.6255555555554</v>
      </c>
      <c r="D10" s="881">
        <f>73584.86/B10</f>
        <v>1635.219111111111</v>
      </c>
      <c r="E10" s="881"/>
      <c r="F10" s="881"/>
      <c r="G10" s="881"/>
      <c r="H10" s="881"/>
      <c r="I10" s="881"/>
      <c r="J10" s="881">
        <v>0</v>
      </c>
      <c r="K10" s="881">
        <f>SUM(C10:J10)</f>
        <v>2922.8446666666664</v>
      </c>
      <c r="L10" s="881">
        <v>1054</v>
      </c>
      <c r="M10" s="881"/>
      <c r="N10" s="881">
        <f>SUM(L10:M10)</f>
        <v>1054</v>
      </c>
      <c r="O10" s="881">
        <f>(K10*12)+N10</f>
        <v>36128.135999999999</v>
      </c>
      <c r="P10" s="913">
        <f>(O10*B10)</f>
        <v>1625766.1199999999</v>
      </c>
      <c r="Q10" s="880">
        <v>37</v>
      </c>
      <c r="R10" s="881">
        <f>54616.29/Q10</f>
        <v>1476.1159459459459</v>
      </c>
      <c r="S10" s="881">
        <f>42751.65/Q10</f>
        <v>1155.45</v>
      </c>
      <c r="T10" s="881"/>
      <c r="U10" s="881"/>
      <c r="V10" s="881"/>
      <c r="W10" s="881"/>
      <c r="X10" s="881"/>
      <c r="Y10" s="881">
        <v>0</v>
      </c>
      <c r="Z10" s="881">
        <f>SUM(R10:Y10)</f>
        <v>2631.5659459459457</v>
      </c>
      <c r="AA10" s="881">
        <v>1054</v>
      </c>
      <c r="AB10" s="881"/>
      <c r="AC10" s="881">
        <f>SUM(AA10:AB10)</f>
        <v>1054</v>
      </c>
      <c r="AD10" s="881">
        <f>(Z10*12)+AC10</f>
        <v>32632.791351351349</v>
      </c>
      <c r="AE10" s="881">
        <f>(AD10*Q10)</f>
        <v>1207413.2799999998</v>
      </c>
      <c r="AF10" s="881">
        <f>O10-AD10</f>
        <v>3495.34464864865</v>
      </c>
      <c r="AG10" s="881">
        <f>P10-AE10</f>
        <v>418352.84000000008</v>
      </c>
      <c r="AH10" s="914">
        <f>Q10</f>
        <v>37</v>
      </c>
      <c r="AI10" s="913">
        <f>AE10</f>
        <v>1207413.2799999998</v>
      </c>
    </row>
    <row r="11" spans="1:35" ht="24.95" customHeight="1" x14ac:dyDescent="0.2">
      <c r="A11" s="870" t="s">
        <v>3673</v>
      </c>
      <c r="B11" s="880">
        <v>112</v>
      </c>
      <c r="C11" s="881">
        <f>(117423.77+30449.77)/B11</f>
        <v>1320.2994642857143</v>
      </c>
      <c r="D11" s="881">
        <f>169064.17/B11</f>
        <v>1509.501517857143</v>
      </c>
      <c r="E11" s="881"/>
      <c r="F11" s="881"/>
      <c r="G11" s="881"/>
      <c r="H11" s="881"/>
      <c r="I11" s="881"/>
      <c r="J11" s="881">
        <v>0</v>
      </c>
      <c r="K11" s="881">
        <f t="shared" ref="K11:K16" si="0">SUM(C11:J11)</f>
        <v>2829.8009821428573</v>
      </c>
      <c r="L11" s="881">
        <v>1054</v>
      </c>
      <c r="M11" s="881"/>
      <c r="N11" s="881">
        <f t="shared" ref="N11:N16" si="1">SUM(L11:M11)</f>
        <v>1054</v>
      </c>
      <c r="O11" s="881">
        <f t="shared" ref="O11:O16" si="2">(K11*12)+N11</f>
        <v>35011.611785714289</v>
      </c>
      <c r="P11" s="913">
        <f t="shared" ref="P11:P16" si="3">(O11*B11)</f>
        <v>3921300.5200000005</v>
      </c>
      <c r="Q11" s="880">
        <v>50</v>
      </c>
      <c r="R11" s="881">
        <f>51558.96/Q11</f>
        <v>1031.1792</v>
      </c>
      <c r="S11" s="881">
        <f>79881.96/Q11</f>
        <v>1597.6392000000001</v>
      </c>
      <c r="T11" s="881"/>
      <c r="U11" s="881"/>
      <c r="V11" s="881"/>
      <c r="W11" s="881"/>
      <c r="X11" s="881"/>
      <c r="Y11" s="881">
        <v>0</v>
      </c>
      <c r="Z11" s="881">
        <f t="shared" ref="Z11:Z16" si="4">SUM(R11:Y11)</f>
        <v>2628.8184000000001</v>
      </c>
      <c r="AA11" s="881">
        <v>1054</v>
      </c>
      <c r="AB11" s="881"/>
      <c r="AC11" s="881">
        <f t="shared" ref="AC11:AC16" si="5">SUM(AA11:AB11)</f>
        <v>1054</v>
      </c>
      <c r="AD11" s="881">
        <f>(Z11*12)+AC11</f>
        <v>32599.820800000001</v>
      </c>
      <c r="AE11" s="881">
        <f t="shared" ref="AE11:AE16" si="6">(AD11*Q11)</f>
        <v>1629991.04</v>
      </c>
      <c r="AF11" s="881">
        <f t="shared" ref="AF11:AG16" si="7">O11-AD11</f>
        <v>2411.7909857142877</v>
      </c>
      <c r="AG11" s="881">
        <f t="shared" si="7"/>
        <v>2291309.4800000004</v>
      </c>
      <c r="AH11" s="914">
        <f t="shared" ref="AH11:AH16" si="8">Q11</f>
        <v>50</v>
      </c>
      <c r="AI11" s="913">
        <f t="shared" ref="AI11:AI16" si="9">AE11</f>
        <v>1629991.04</v>
      </c>
    </row>
    <row r="12" spans="1:35" ht="24.95" customHeight="1" x14ac:dyDescent="0.2">
      <c r="A12" s="870" t="s">
        <v>3674</v>
      </c>
      <c r="B12" s="880">
        <v>105</v>
      </c>
      <c r="C12" s="881">
        <f>(118585.4+28767.73)/B12</f>
        <v>1403.363142857143</v>
      </c>
      <c r="D12" s="881">
        <f>199990.46/B12</f>
        <v>1904.6710476190476</v>
      </c>
      <c r="E12" s="881"/>
      <c r="F12" s="881"/>
      <c r="G12" s="881"/>
      <c r="H12" s="881"/>
      <c r="I12" s="881"/>
      <c r="J12" s="881">
        <v>0</v>
      </c>
      <c r="K12" s="881">
        <f t="shared" si="0"/>
        <v>3308.0341904761908</v>
      </c>
      <c r="L12" s="881">
        <v>1054</v>
      </c>
      <c r="M12" s="881"/>
      <c r="N12" s="881">
        <f t="shared" si="1"/>
        <v>1054</v>
      </c>
      <c r="O12" s="881">
        <f t="shared" si="2"/>
        <v>40750.410285714286</v>
      </c>
      <c r="P12" s="913">
        <f t="shared" si="3"/>
        <v>4278793.08</v>
      </c>
      <c r="Q12" s="880">
        <v>75</v>
      </c>
      <c r="R12" s="881">
        <f>132787.78/Q12</f>
        <v>1770.5037333333332</v>
      </c>
      <c r="S12" s="881">
        <f>110128.15/Q12</f>
        <v>1468.3753333333332</v>
      </c>
      <c r="T12" s="881"/>
      <c r="U12" s="881"/>
      <c r="V12" s="881"/>
      <c r="W12" s="881"/>
      <c r="X12" s="881"/>
      <c r="Y12" s="881">
        <v>0</v>
      </c>
      <c r="Z12" s="881">
        <f t="shared" si="4"/>
        <v>3238.8790666666664</v>
      </c>
      <c r="AA12" s="881">
        <v>1054</v>
      </c>
      <c r="AB12" s="881"/>
      <c r="AC12" s="881">
        <f t="shared" si="5"/>
        <v>1054</v>
      </c>
      <c r="AD12" s="881">
        <f t="shared" ref="AD12:AD16" si="10">(Z12*12)+AC12</f>
        <v>39920.548799999997</v>
      </c>
      <c r="AE12" s="881">
        <f t="shared" si="6"/>
        <v>2994041.1599999997</v>
      </c>
      <c r="AF12" s="881">
        <f t="shared" si="7"/>
        <v>829.8614857142893</v>
      </c>
      <c r="AG12" s="881">
        <f t="shared" si="7"/>
        <v>1284751.9200000004</v>
      </c>
      <c r="AH12" s="914">
        <f t="shared" si="8"/>
        <v>75</v>
      </c>
      <c r="AI12" s="913">
        <f t="shared" si="9"/>
        <v>2994041.1599999997</v>
      </c>
    </row>
    <row r="13" spans="1:35" ht="24.95" customHeight="1" x14ac:dyDescent="0.2">
      <c r="A13" s="870" t="s">
        <v>3675</v>
      </c>
      <c r="B13" s="880">
        <v>71</v>
      </c>
      <c r="C13" s="881">
        <f>(94512.38+16312.48)/B13</f>
        <v>1560.9135211267605</v>
      </c>
      <c r="D13" s="881">
        <f>168699.51/B13</f>
        <v>2376.0494366197186</v>
      </c>
      <c r="E13" s="881"/>
      <c r="F13" s="881"/>
      <c r="G13" s="881"/>
      <c r="H13" s="881"/>
      <c r="I13" s="881"/>
      <c r="J13" s="881">
        <v>0</v>
      </c>
      <c r="K13" s="881">
        <f t="shared" si="0"/>
        <v>3936.9629577464793</v>
      </c>
      <c r="L13" s="881">
        <v>1054</v>
      </c>
      <c r="M13" s="881"/>
      <c r="N13" s="881">
        <f t="shared" si="1"/>
        <v>1054</v>
      </c>
      <c r="O13" s="881">
        <f t="shared" si="2"/>
        <v>48297.555492957748</v>
      </c>
      <c r="P13" s="913">
        <f t="shared" si="3"/>
        <v>3429126.44</v>
      </c>
      <c r="Q13" s="880">
        <v>62</v>
      </c>
      <c r="R13" s="881">
        <f>143381.32/Q13</f>
        <v>2312.6019354838709</v>
      </c>
      <c r="S13" s="881">
        <f>76714.98/Q13</f>
        <v>1237.3383870967741</v>
      </c>
      <c r="T13" s="881"/>
      <c r="U13" s="881"/>
      <c r="V13" s="881"/>
      <c r="W13" s="881"/>
      <c r="X13" s="881"/>
      <c r="Y13" s="881">
        <v>0</v>
      </c>
      <c r="Z13" s="881">
        <f t="shared" si="4"/>
        <v>3549.940322580645</v>
      </c>
      <c r="AA13" s="881">
        <v>1054</v>
      </c>
      <c r="AB13" s="881"/>
      <c r="AC13" s="881">
        <f t="shared" si="5"/>
        <v>1054</v>
      </c>
      <c r="AD13" s="881">
        <f t="shared" si="10"/>
        <v>43653.283870967738</v>
      </c>
      <c r="AE13" s="881">
        <f t="shared" si="6"/>
        <v>2706503.5999999996</v>
      </c>
      <c r="AF13" s="881">
        <f t="shared" si="7"/>
        <v>4644.2716219900103</v>
      </c>
      <c r="AG13" s="881">
        <f t="shared" si="7"/>
        <v>722622.84000000032</v>
      </c>
      <c r="AH13" s="914">
        <f t="shared" si="8"/>
        <v>62</v>
      </c>
      <c r="AI13" s="913">
        <f t="shared" si="9"/>
        <v>2706503.5999999996</v>
      </c>
    </row>
    <row r="14" spans="1:35" ht="24.95" customHeight="1" x14ac:dyDescent="0.2">
      <c r="A14" s="870" t="s">
        <v>3676</v>
      </c>
      <c r="B14" s="880">
        <v>22</v>
      </c>
      <c r="C14" s="881">
        <f>(28111.84+2584.05)/B14</f>
        <v>1395.2677272727271</v>
      </c>
      <c r="D14" s="881">
        <f>60867.37/B14</f>
        <v>2766.6986363636365</v>
      </c>
      <c r="E14" s="881"/>
      <c r="F14" s="881"/>
      <c r="G14" s="881"/>
      <c r="H14" s="881"/>
      <c r="I14" s="881"/>
      <c r="J14" s="881">
        <v>0</v>
      </c>
      <c r="K14" s="881">
        <f t="shared" si="0"/>
        <v>4161.9663636363639</v>
      </c>
      <c r="L14" s="881">
        <v>1054</v>
      </c>
      <c r="M14" s="881"/>
      <c r="N14" s="881">
        <f t="shared" si="1"/>
        <v>1054</v>
      </c>
      <c r="O14" s="881">
        <f t="shared" si="2"/>
        <v>50997.596363636367</v>
      </c>
      <c r="P14" s="913">
        <f t="shared" si="3"/>
        <v>1121947.1200000001</v>
      </c>
      <c r="Q14" s="880">
        <v>19</v>
      </c>
      <c r="R14" s="881">
        <f>51983.01/Q14</f>
        <v>2735.947894736842</v>
      </c>
      <c r="S14" s="881">
        <f>24548.36/Q14</f>
        <v>1292.0189473684211</v>
      </c>
      <c r="T14" s="881"/>
      <c r="U14" s="881"/>
      <c r="V14" s="881"/>
      <c r="W14" s="881"/>
      <c r="X14" s="881"/>
      <c r="Y14" s="881">
        <v>0</v>
      </c>
      <c r="Z14" s="881">
        <f t="shared" si="4"/>
        <v>4027.9668421052629</v>
      </c>
      <c r="AA14" s="881">
        <v>1054</v>
      </c>
      <c r="AB14" s="881"/>
      <c r="AC14" s="881">
        <f t="shared" si="5"/>
        <v>1054</v>
      </c>
      <c r="AD14" s="881">
        <f t="shared" si="10"/>
        <v>49389.602105263155</v>
      </c>
      <c r="AE14" s="881">
        <f t="shared" si="6"/>
        <v>938402.44</v>
      </c>
      <c r="AF14" s="881">
        <f t="shared" si="7"/>
        <v>1607.9942583732118</v>
      </c>
      <c r="AG14" s="881">
        <f t="shared" si="7"/>
        <v>183544.68000000017</v>
      </c>
      <c r="AH14" s="914">
        <f t="shared" si="8"/>
        <v>19</v>
      </c>
      <c r="AI14" s="913">
        <f t="shared" si="9"/>
        <v>938402.44</v>
      </c>
    </row>
    <row r="15" spans="1:35" ht="24.95" customHeight="1" x14ac:dyDescent="0.2">
      <c r="A15" s="870" t="s">
        <v>3677</v>
      </c>
      <c r="B15" s="915">
        <v>2</v>
      </c>
      <c r="C15" s="881">
        <f>(12099.41+60)/B15</f>
        <v>6079.7049999999999</v>
      </c>
      <c r="D15" s="881">
        <f>3500/1</f>
        <v>3500</v>
      </c>
      <c r="E15" s="881"/>
      <c r="F15" s="881"/>
      <c r="G15" s="881"/>
      <c r="H15" s="881"/>
      <c r="I15" s="881"/>
      <c r="J15" s="881">
        <v>0</v>
      </c>
      <c r="K15" s="881">
        <f t="shared" si="0"/>
        <v>9579.7049999999999</v>
      </c>
      <c r="L15" s="881">
        <v>1054</v>
      </c>
      <c r="M15" s="881"/>
      <c r="N15" s="881">
        <f t="shared" si="1"/>
        <v>1054</v>
      </c>
      <c r="O15" s="881">
        <f t="shared" si="2"/>
        <v>116010.45999999999</v>
      </c>
      <c r="P15" s="913">
        <f t="shared" si="3"/>
        <v>232020.91999999998</v>
      </c>
      <c r="Q15" s="915">
        <v>2</v>
      </c>
      <c r="R15" s="881">
        <f>1631.64/Q15</f>
        <v>815.82</v>
      </c>
      <c r="S15" s="881">
        <f>3500/1</f>
        <v>3500</v>
      </c>
      <c r="T15" s="881"/>
      <c r="U15" s="881"/>
      <c r="V15" s="881"/>
      <c r="W15" s="881"/>
      <c r="X15" s="881"/>
      <c r="Y15" s="881">
        <v>0</v>
      </c>
      <c r="Z15" s="881">
        <f t="shared" si="4"/>
        <v>4315.82</v>
      </c>
      <c r="AA15" s="881">
        <v>1054</v>
      </c>
      <c r="AB15" s="881"/>
      <c r="AC15" s="881">
        <f t="shared" si="5"/>
        <v>1054</v>
      </c>
      <c r="AD15" s="881">
        <f t="shared" si="10"/>
        <v>52843.839999999997</v>
      </c>
      <c r="AE15" s="881">
        <f t="shared" si="6"/>
        <v>105687.67999999999</v>
      </c>
      <c r="AF15" s="881">
        <f t="shared" si="7"/>
        <v>63166.619999999995</v>
      </c>
      <c r="AG15" s="881">
        <f t="shared" si="7"/>
        <v>126333.23999999999</v>
      </c>
      <c r="AH15" s="914">
        <f t="shared" si="8"/>
        <v>2</v>
      </c>
      <c r="AI15" s="913">
        <f t="shared" si="9"/>
        <v>105687.67999999999</v>
      </c>
    </row>
    <row r="16" spans="1:35" ht="24.95" customHeight="1" x14ac:dyDescent="0.2">
      <c r="A16" s="870" t="s">
        <v>3678</v>
      </c>
      <c r="B16" s="880">
        <v>1</v>
      </c>
      <c r="C16" s="881">
        <f>(14270+30)/B16</f>
        <v>14300</v>
      </c>
      <c r="D16" s="881">
        <v>0</v>
      </c>
      <c r="E16" s="881"/>
      <c r="F16" s="881"/>
      <c r="G16" s="881"/>
      <c r="H16" s="881"/>
      <c r="I16" s="881"/>
      <c r="J16" s="881">
        <v>0</v>
      </c>
      <c r="K16" s="881">
        <f t="shared" si="0"/>
        <v>14300</v>
      </c>
      <c r="L16" s="881">
        <v>1054</v>
      </c>
      <c r="M16" s="881"/>
      <c r="N16" s="881">
        <f t="shared" si="1"/>
        <v>1054</v>
      </c>
      <c r="O16" s="881">
        <f t="shared" si="2"/>
        <v>172654</v>
      </c>
      <c r="P16" s="913">
        <f t="shared" si="3"/>
        <v>172654</v>
      </c>
      <c r="Q16" s="880">
        <v>1</v>
      </c>
      <c r="R16" s="881">
        <f>835.28/Q16</f>
        <v>835.28</v>
      </c>
      <c r="S16" s="881">
        <f>0/Q16</f>
        <v>0</v>
      </c>
      <c r="T16" s="881"/>
      <c r="U16" s="881"/>
      <c r="V16" s="881"/>
      <c r="W16" s="881"/>
      <c r="X16" s="881"/>
      <c r="Y16" s="881">
        <v>0</v>
      </c>
      <c r="Z16" s="881">
        <f t="shared" si="4"/>
        <v>835.28</v>
      </c>
      <c r="AA16" s="881">
        <v>1054</v>
      </c>
      <c r="AB16" s="881"/>
      <c r="AC16" s="881">
        <f t="shared" si="5"/>
        <v>1054</v>
      </c>
      <c r="AD16" s="881">
        <f t="shared" si="10"/>
        <v>11077.36</v>
      </c>
      <c r="AE16" s="881">
        <f t="shared" si="6"/>
        <v>11077.36</v>
      </c>
      <c r="AF16" s="881">
        <f t="shared" si="7"/>
        <v>161576.64000000001</v>
      </c>
      <c r="AG16" s="881">
        <f t="shared" si="7"/>
        <v>161576.64000000001</v>
      </c>
      <c r="AH16" s="914">
        <f t="shared" si="8"/>
        <v>1</v>
      </c>
      <c r="AI16" s="913">
        <f t="shared" si="9"/>
        <v>11077.36</v>
      </c>
    </row>
    <row r="17" spans="1:35" ht="24.95" customHeight="1" x14ac:dyDescent="0.2">
      <c r="A17" s="869" t="s">
        <v>3800</v>
      </c>
      <c r="B17" s="871">
        <f t="shared" ref="B17:P17" si="11">SUM(B10:B16)</f>
        <v>358</v>
      </c>
      <c r="C17" s="877">
        <f t="shared" si="11"/>
        <v>27347.174411097898</v>
      </c>
      <c r="D17" s="877">
        <f t="shared" si="11"/>
        <v>13692.139749570657</v>
      </c>
      <c r="E17" s="877">
        <f t="shared" si="11"/>
        <v>0</v>
      </c>
      <c r="F17" s="877">
        <f t="shared" si="11"/>
        <v>0</v>
      </c>
      <c r="G17" s="877">
        <f t="shared" si="11"/>
        <v>0</v>
      </c>
      <c r="H17" s="877">
        <f t="shared" si="11"/>
        <v>0</v>
      </c>
      <c r="I17" s="877">
        <f t="shared" si="11"/>
        <v>0</v>
      </c>
      <c r="J17" s="877">
        <f t="shared" si="11"/>
        <v>0</v>
      </c>
      <c r="K17" s="877">
        <f t="shared" si="11"/>
        <v>41039.31416066856</v>
      </c>
      <c r="L17" s="877">
        <f t="shared" si="11"/>
        <v>7378</v>
      </c>
      <c r="M17" s="877">
        <f t="shared" si="11"/>
        <v>0</v>
      </c>
      <c r="N17" s="877">
        <f t="shared" si="11"/>
        <v>7378</v>
      </c>
      <c r="O17" s="877">
        <f t="shared" si="11"/>
        <v>499849.76992802264</v>
      </c>
      <c r="P17" s="878">
        <f t="shared" si="11"/>
        <v>14781608.200000001</v>
      </c>
      <c r="Q17" s="871">
        <f t="shared" ref="Q17:AI17" si="12">SUM(Q10:Q16)</f>
        <v>246</v>
      </c>
      <c r="R17" s="877">
        <f t="shared" si="12"/>
        <v>10977.448709499993</v>
      </c>
      <c r="S17" s="877">
        <f t="shared" si="12"/>
        <v>10250.821867798528</v>
      </c>
      <c r="T17" s="877">
        <f t="shared" si="12"/>
        <v>0</v>
      </c>
      <c r="U17" s="877">
        <f t="shared" si="12"/>
        <v>0</v>
      </c>
      <c r="V17" s="877">
        <f t="shared" si="12"/>
        <v>0</v>
      </c>
      <c r="W17" s="877">
        <f t="shared" si="12"/>
        <v>0</v>
      </c>
      <c r="X17" s="877">
        <f t="shared" si="12"/>
        <v>0</v>
      </c>
      <c r="Y17" s="877">
        <f t="shared" si="12"/>
        <v>0</v>
      </c>
      <c r="Z17" s="877">
        <f t="shared" si="12"/>
        <v>21228.270577298521</v>
      </c>
      <c r="AA17" s="877">
        <f t="shared" si="12"/>
        <v>7378</v>
      </c>
      <c r="AB17" s="877">
        <f t="shared" si="12"/>
        <v>0</v>
      </c>
      <c r="AC17" s="877">
        <f t="shared" si="12"/>
        <v>7378</v>
      </c>
      <c r="AD17" s="877">
        <f t="shared" si="12"/>
        <v>262117.24692758225</v>
      </c>
      <c r="AE17" s="877">
        <f t="shared" si="12"/>
        <v>9593116.5599999968</v>
      </c>
      <c r="AF17" s="877">
        <f>SUM(AF10:AF16)</f>
        <v>237732.52300044044</v>
      </c>
      <c r="AG17" s="877">
        <f>SUM(AG10:AG16)</f>
        <v>5188491.6400000015</v>
      </c>
      <c r="AH17" s="874">
        <f t="shared" si="12"/>
        <v>246</v>
      </c>
      <c r="AI17" s="878">
        <f t="shared" si="12"/>
        <v>9593116.5599999968</v>
      </c>
    </row>
    <row r="18" spans="1:35" ht="24.95" customHeight="1" x14ac:dyDescent="0.2">
      <c r="A18" s="869" t="s">
        <v>3679</v>
      </c>
      <c r="B18" s="880"/>
      <c r="C18" s="881"/>
      <c r="D18" s="881"/>
      <c r="E18" s="881"/>
      <c r="F18" s="881"/>
      <c r="G18" s="881"/>
      <c r="H18" s="881"/>
      <c r="I18" s="881"/>
      <c r="J18" s="881"/>
      <c r="K18" s="881"/>
      <c r="L18" s="881"/>
      <c r="M18" s="881"/>
      <c r="N18" s="881"/>
      <c r="O18" s="881"/>
      <c r="P18" s="913"/>
      <c r="Q18" s="880"/>
      <c r="R18" s="881"/>
      <c r="S18" s="881"/>
      <c r="T18" s="881"/>
      <c r="U18" s="881"/>
      <c r="V18" s="881"/>
      <c r="W18" s="881"/>
      <c r="X18" s="881"/>
      <c r="Y18" s="881"/>
      <c r="Z18" s="881"/>
      <c r="AA18" s="881"/>
      <c r="AB18" s="881"/>
      <c r="AC18" s="881"/>
      <c r="AD18" s="881"/>
      <c r="AE18" s="881"/>
      <c r="AF18" s="881"/>
      <c r="AG18" s="881"/>
      <c r="AH18" s="914"/>
      <c r="AI18" s="913"/>
    </row>
    <row r="19" spans="1:35" ht="24.95" customHeight="1" x14ac:dyDescent="0.2">
      <c r="A19" s="870" t="s">
        <v>3680</v>
      </c>
      <c r="B19" s="880">
        <v>60</v>
      </c>
      <c r="C19" s="881">
        <f>(44603.77+6101.28)/B19</f>
        <v>845.08416666666665</v>
      </c>
      <c r="D19" s="881">
        <f>96567.36/B19</f>
        <v>1609.4559999999999</v>
      </c>
      <c r="E19" s="881"/>
      <c r="F19" s="881"/>
      <c r="G19" s="881"/>
      <c r="H19" s="881"/>
      <c r="I19" s="881"/>
      <c r="J19" s="881">
        <v>0</v>
      </c>
      <c r="K19" s="881">
        <f t="shared" ref="K19:K24" si="13">SUM(C19:J19)</f>
        <v>2454.5401666666667</v>
      </c>
      <c r="L19" s="881">
        <v>1054</v>
      </c>
      <c r="M19" s="881"/>
      <c r="N19" s="881">
        <f t="shared" ref="N19:N24" si="14">SUM(L19:M19)</f>
        <v>1054</v>
      </c>
      <c r="O19" s="881">
        <f t="shared" ref="O19:O24" si="15">(K19*12)+N19</f>
        <v>30508.482</v>
      </c>
      <c r="P19" s="913">
        <f t="shared" ref="P19:P24" si="16">(O19*B19)</f>
        <v>1830508.92</v>
      </c>
      <c r="Q19" s="880">
        <v>51</v>
      </c>
      <c r="R19" s="881">
        <f>119033.56/Q19</f>
        <v>2333.9913725490196</v>
      </c>
      <c r="S19" s="881">
        <f>29451.36/Q19</f>
        <v>577.47764705882355</v>
      </c>
      <c r="T19" s="881"/>
      <c r="U19" s="881"/>
      <c r="V19" s="881"/>
      <c r="W19" s="881"/>
      <c r="X19" s="881"/>
      <c r="Y19" s="881">
        <v>0</v>
      </c>
      <c r="Z19" s="881">
        <f t="shared" ref="Z19:Z24" si="17">SUM(R19:Y19)</f>
        <v>2911.4690196078432</v>
      </c>
      <c r="AA19" s="881">
        <v>1054</v>
      </c>
      <c r="AB19" s="881"/>
      <c r="AC19" s="881">
        <f t="shared" ref="AC19:AC24" si="18">SUM(AA19:AB19)</f>
        <v>1054</v>
      </c>
      <c r="AD19" s="881">
        <f t="shared" ref="AD19:AD24" si="19">(Z19*12)+AC19</f>
        <v>35991.62823529412</v>
      </c>
      <c r="AE19" s="881">
        <f t="shared" ref="AE19:AE24" si="20">(AD19*Q19)</f>
        <v>1835573.04</v>
      </c>
      <c r="AF19" s="881">
        <f t="shared" ref="AF19:AG24" si="21">O19-AD19</f>
        <v>-5483.1462352941198</v>
      </c>
      <c r="AG19" s="881">
        <f t="shared" si="21"/>
        <v>-5064.1200000001118</v>
      </c>
      <c r="AH19" s="914">
        <f t="shared" ref="AH19:AH24" si="22">Q19</f>
        <v>51</v>
      </c>
      <c r="AI19" s="913">
        <f t="shared" ref="AI19:AI24" si="23">AE19</f>
        <v>1835573.04</v>
      </c>
    </row>
    <row r="20" spans="1:35" ht="24.95" customHeight="1" x14ac:dyDescent="0.2">
      <c r="A20" s="870" t="s">
        <v>3681</v>
      </c>
      <c r="B20" s="880">
        <v>24</v>
      </c>
      <c r="C20" s="881">
        <f>(20449.92+4403.08)/B20</f>
        <v>1035.5416666666667</v>
      </c>
      <c r="D20" s="881">
        <f>31757.03/B20</f>
        <v>1323.2095833333333</v>
      </c>
      <c r="E20" s="881"/>
      <c r="F20" s="881"/>
      <c r="G20" s="881"/>
      <c r="H20" s="881"/>
      <c r="I20" s="881"/>
      <c r="J20" s="881">
        <v>0</v>
      </c>
      <c r="K20" s="881">
        <f t="shared" si="13"/>
        <v>2358.7512500000003</v>
      </c>
      <c r="L20" s="881">
        <v>1054</v>
      </c>
      <c r="M20" s="881"/>
      <c r="N20" s="881">
        <f t="shared" si="14"/>
        <v>1054</v>
      </c>
      <c r="O20" s="881">
        <f t="shared" si="15"/>
        <v>29359.015000000003</v>
      </c>
      <c r="P20" s="913">
        <f t="shared" si="16"/>
        <v>704616.3600000001</v>
      </c>
      <c r="Q20" s="880">
        <v>27</v>
      </c>
      <c r="R20" s="881">
        <f>34098.71/Q20</f>
        <v>1262.9151851851852</v>
      </c>
      <c r="S20" s="881">
        <f>28955.03/Q20</f>
        <v>1072.4085185185186</v>
      </c>
      <c r="T20" s="881"/>
      <c r="U20" s="881"/>
      <c r="V20" s="881"/>
      <c r="W20" s="881"/>
      <c r="X20" s="881"/>
      <c r="Y20" s="881">
        <v>0</v>
      </c>
      <c r="Z20" s="881">
        <f t="shared" si="17"/>
        <v>2335.3237037037038</v>
      </c>
      <c r="AA20" s="881">
        <v>1054</v>
      </c>
      <c r="AB20" s="881"/>
      <c r="AC20" s="881">
        <f t="shared" si="18"/>
        <v>1054</v>
      </c>
      <c r="AD20" s="881">
        <f t="shared" si="19"/>
        <v>29077.884444444448</v>
      </c>
      <c r="AE20" s="881">
        <f t="shared" si="20"/>
        <v>785102.88000000012</v>
      </c>
      <c r="AF20" s="881">
        <f t="shared" si="21"/>
        <v>281.13055555555547</v>
      </c>
      <c r="AG20" s="881">
        <f t="shared" si="21"/>
        <v>-80486.520000000019</v>
      </c>
      <c r="AH20" s="914">
        <f t="shared" si="22"/>
        <v>27</v>
      </c>
      <c r="AI20" s="913">
        <f t="shared" si="23"/>
        <v>785102.88000000012</v>
      </c>
    </row>
    <row r="21" spans="1:35" ht="24.95" customHeight="1" x14ac:dyDescent="0.2">
      <c r="A21" s="870" t="s">
        <v>3682</v>
      </c>
      <c r="B21" s="880">
        <v>92</v>
      </c>
      <c r="C21" s="881">
        <f>(61372.88+10904.42)/B21</f>
        <v>785.62282608695659</v>
      </c>
      <c r="D21" s="881">
        <f>151817.19/B21</f>
        <v>1650.1868478260869</v>
      </c>
      <c r="E21" s="881"/>
      <c r="F21" s="881"/>
      <c r="G21" s="881"/>
      <c r="H21" s="881"/>
      <c r="I21" s="881"/>
      <c r="J21" s="881">
        <v>0</v>
      </c>
      <c r="K21" s="881">
        <f t="shared" si="13"/>
        <v>2435.8096739130433</v>
      </c>
      <c r="L21" s="881">
        <v>1054</v>
      </c>
      <c r="M21" s="881"/>
      <c r="N21" s="881">
        <f t="shared" si="14"/>
        <v>1054</v>
      </c>
      <c r="O21" s="881">
        <f t="shared" si="15"/>
        <v>30283.71608695652</v>
      </c>
      <c r="P21" s="913">
        <f t="shared" si="16"/>
        <v>2786101.88</v>
      </c>
      <c r="Q21" s="880">
        <v>82</v>
      </c>
      <c r="R21" s="881">
        <f>173813.87/Q21</f>
        <v>2119.6813414634144</v>
      </c>
      <c r="S21" s="881">
        <f>62813.55/Q21</f>
        <v>766.01890243902437</v>
      </c>
      <c r="T21" s="881"/>
      <c r="U21" s="881"/>
      <c r="V21" s="881"/>
      <c r="W21" s="881"/>
      <c r="X21" s="881"/>
      <c r="Y21" s="881">
        <v>0</v>
      </c>
      <c r="Z21" s="881">
        <f t="shared" si="17"/>
        <v>2885.7002439024386</v>
      </c>
      <c r="AA21" s="881">
        <v>1054</v>
      </c>
      <c r="AB21" s="881"/>
      <c r="AC21" s="881">
        <f t="shared" si="18"/>
        <v>1054</v>
      </c>
      <c r="AD21" s="881">
        <f t="shared" si="19"/>
        <v>35682.402926829265</v>
      </c>
      <c r="AE21" s="881">
        <f t="shared" si="20"/>
        <v>2925957.0399999996</v>
      </c>
      <c r="AF21" s="881">
        <f t="shared" si="21"/>
        <v>-5398.6868398727456</v>
      </c>
      <c r="AG21" s="881">
        <f t="shared" si="21"/>
        <v>-139855.15999999968</v>
      </c>
      <c r="AH21" s="914">
        <f t="shared" si="22"/>
        <v>82</v>
      </c>
      <c r="AI21" s="913">
        <f t="shared" si="23"/>
        <v>2925957.0399999996</v>
      </c>
    </row>
    <row r="22" spans="1:35" ht="24.95" customHeight="1" x14ac:dyDescent="0.2">
      <c r="A22" s="870" t="s">
        <v>3683</v>
      </c>
      <c r="B22" s="880">
        <v>192</v>
      </c>
      <c r="C22" s="881">
        <f>(125395+41345.1)/B22</f>
        <v>868.43802083333333</v>
      </c>
      <c r="D22" s="881">
        <f>194260.73/B22</f>
        <v>1011.7746354166667</v>
      </c>
      <c r="E22" s="881"/>
      <c r="F22" s="881"/>
      <c r="G22" s="881"/>
      <c r="H22" s="881"/>
      <c r="I22" s="881"/>
      <c r="J22" s="881">
        <v>0</v>
      </c>
      <c r="K22" s="881">
        <f t="shared" si="13"/>
        <v>1880.21265625</v>
      </c>
      <c r="L22" s="881">
        <v>1054</v>
      </c>
      <c r="M22" s="881"/>
      <c r="N22" s="881">
        <f t="shared" si="14"/>
        <v>1054</v>
      </c>
      <c r="O22" s="881">
        <f t="shared" si="15"/>
        <v>23616.551875000001</v>
      </c>
      <c r="P22" s="913">
        <f t="shared" si="16"/>
        <v>4534377.96</v>
      </c>
      <c r="Q22" s="880">
        <v>105</v>
      </c>
      <c r="R22" s="881">
        <f>114459.59/Q22</f>
        <v>1090.0913333333333</v>
      </c>
      <c r="S22" s="881">
        <f>129279.38/Q22</f>
        <v>1231.2321904761905</v>
      </c>
      <c r="T22" s="881"/>
      <c r="U22" s="881"/>
      <c r="V22" s="881"/>
      <c r="W22" s="881"/>
      <c r="X22" s="881"/>
      <c r="Y22" s="881">
        <v>0</v>
      </c>
      <c r="Z22" s="881">
        <f t="shared" si="17"/>
        <v>2321.323523809524</v>
      </c>
      <c r="AA22" s="881">
        <v>1054</v>
      </c>
      <c r="AB22" s="881"/>
      <c r="AC22" s="881">
        <f t="shared" si="18"/>
        <v>1054</v>
      </c>
      <c r="AD22" s="881">
        <f t="shared" si="19"/>
        <v>28909.882285714288</v>
      </c>
      <c r="AE22" s="881">
        <f t="shared" si="20"/>
        <v>3035537.64</v>
      </c>
      <c r="AF22" s="881">
        <f t="shared" si="21"/>
        <v>-5293.3304107142867</v>
      </c>
      <c r="AG22" s="881">
        <f t="shared" si="21"/>
        <v>1498840.3199999998</v>
      </c>
      <c r="AH22" s="914">
        <f t="shared" si="22"/>
        <v>105</v>
      </c>
      <c r="AI22" s="913">
        <f t="shared" si="23"/>
        <v>3035537.64</v>
      </c>
    </row>
    <row r="23" spans="1:35" ht="24.95" customHeight="1" x14ac:dyDescent="0.2">
      <c r="A23" s="870" t="s">
        <v>3684</v>
      </c>
      <c r="B23" s="880">
        <v>83</v>
      </c>
      <c r="C23" s="881">
        <f>(51049.03+17092.75)/B23</f>
        <v>820.98530120481928</v>
      </c>
      <c r="D23" s="881">
        <f>93969/B23</f>
        <v>1132.1566265060242</v>
      </c>
      <c r="E23" s="881"/>
      <c r="F23" s="881"/>
      <c r="G23" s="881"/>
      <c r="H23" s="881"/>
      <c r="I23" s="881"/>
      <c r="J23" s="881">
        <v>0</v>
      </c>
      <c r="K23" s="881">
        <f t="shared" si="13"/>
        <v>1953.1419277108434</v>
      </c>
      <c r="L23" s="881">
        <v>1054</v>
      </c>
      <c r="M23" s="881"/>
      <c r="N23" s="881">
        <f t="shared" si="14"/>
        <v>1054</v>
      </c>
      <c r="O23" s="881">
        <f t="shared" si="15"/>
        <v>24491.703132530121</v>
      </c>
      <c r="P23" s="913">
        <f t="shared" si="16"/>
        <v>2032811.36</v>
      </c>
      <c r="Q23" s="880">
        <v>49</v>
      </c>
      <c r="R23" s="881">
        <f>50880.92/Q23</f>
        <v>1038.3861224489794</v>
      </c>
      <c r="S23" s="881">
        <f>61601.55/Q23</f>
        <v>1257.1744897959184</v>
      </c>
      <c r="T23" s="881"/>
      <c r="U23" s="881"/>
      <c r="V23" s="881"/>
      <c r="W23" s="881"/>
      <c r="X23" s="881"/>
      <c r="Y23" s="881">
        <v>0</v>
      </c>
      <c r="Z23" s="881">
        <f t="shared" si="17"/>
        <v>2295.560612244898</v>
      </c>
      <c r="AA23" s="881">
        <v>1054</v>
      </c>
      <c r="AB23" s="881"/>
      <c r="AC23" s="881">
        <f t="shared" si="18"/>
        <v>1054</v>
      </c>
      <c r="AD23" s="881">
        <f t="shared" si="19"/>
        <v>28600.727346938776</v>
      </c>
      <c r="AE23" s="881">
        <f t="shared" si="20"/>
        <v>1401435.6400000001</v>
      </c>
      <c r="AF23" s="881">
        <f t="shared" si="21"/>
        <v>-4109.0242144086551</v>
      </c>
      <c r="AG23" s="881">
        <f t="shared" si="21"/>
        <v>631375.72</v>
      </c>
      <c r="AH23" s="914">
        <f t="shared" si="22"/>
        <v>49</v>
      </c>
      <c r="AI23" s="913">
        <f t="shared" si="23"/>
        <v>1401435.6400000001</v>
      </c>
    </row>
    <row r="24" spans="1:35" ht="24.95" customHeight="1" x14ac:dyDescent="0.2">
      <c r="A24" s="870" t="s">
        <v>3685</v>
      </c>
      <c r="B24" s="880">
        <v>81</v>
      </c>
      <c r="C24" s="881">
        <f>(48048.17+19171.24)/B24</f>
        <v>829.86925925925925</v>
      </c>
      <c r="D24" s="881">
        <f>71969.14/B24</f>
        <v>888.50790123456784</v>
      </c>
      <c r="E24" s="881"/>
      <c r="F24" s="881"/>
      <c r="G24" s="881"/>
      <c r="H24" s="881"/>
      <c r="I24" s="881"/>
      <c r="J24" s="881">
        <v>0</v>
      </c>
      <c r="K24" s="881">
        <f t="shared" si="13"/>
        <v>1718.377160493827</v>
      </c>
      <c r="L24" s="881">
        <v>1054</v>
      </c>
      <c r="M24" s="881"/>
      <c r="N24" s="881">
        <f t="shared" si="14"/>
        <v>1054</v>
      </c>
      <c r="O24" s="881">
        <f t="shared" si="15"/>
        <v>21674.525925925926</v>
      </c>
      <c r="P24" s="913">
        <f t="shared" si="16"/>
        <v>1755636.5999999999</v>
      </c>
      <c r="Q24" s="880">
        <v>35</v>
      </c>
      <c r="R24" s="881">
        <f>31907.1/Q24</f>
        <v>911.6314285714285</v>
      </c>
      <c r="S24" s="881">
        <f>47878/Q24</f>
        <v>1367.9428571428571</v>
      </c>
      <c r="T24" s="881"/>
      <c r="U24" s="881"/>
      <c r="V24" s="881"/>
      <c r="W24" s="881"/>
      <c r="X24" s="881"/>
      <c r="Y24" s="881">
        <v>0</v>
      </c>
      <c r="Z24" s="881">
        <f t="shared" si="17"/>
        <v>2279.5742857142855</v>
      </c>
      <c r="AA24" s="881">
        <v>1054</v>
      </c>
      <c r="AB24" s="881"/>
      <c r="AC24" s="881">
        <f t="shared" si="18"/>
        <v>1054</v>
      </c>
      <c r="AD24" s="881">
        <f t="shared" si="19"/>
        <v>28408.891428571427</v>
      </c>
      <c r="AE24" s="881">
        <f t="shared" si="20"/>
        <v>994311.2</v>
      </c>
      <c r="AF24" s="881">
        <f t="shared" si="21"/>
        <v>-6734.3655026455017</v>
      </c>
      <c r="AG24" s="881">
        <f t="shared" si="21"/>
        <v>761325.39999999991</v>
      </c>
      <c r="AH24" s="914">
        <f t="shared" si="22"/>
        <v>35</v>
      </c>
      <c r="AI24" s="913">
        <f t="shared" si="23"/>
        <v>994311.2</v>
      </c>
    </row>
    <row r="25" spans="1:35" ht="24.95" customHeight="1" x14ac:dyDescent="0.2">
      <c r="A25" s="869" t="s">
        <v>3801</v>
      </c>
      <c r="B25" s="871">
        <f t="shared" ref="B25:P25" si="24">SUM(B19:B24)</f>
        <v>532</v>
      </c>
      <c r="C25" s="877">
        <f t="shared" si="24"/>
        <v>5185.5412407177027</v>
      </c>
      <c r="D25" s="877">
        <f t="shared" si="24"/>
        <v>7615.2915943166781</v>
      </c>
      <c r="E25" s="877">
        <f t="shared" si="24"/>
        <v>0</v>
      </c>
      <c r="F25" s="877">
        <f t="shared" si="24"/>
        <v>0</v>
      </c>
      <c r="G25" s="877">
        <f t="shared" si="24"/>
        <v>0</v>
      </c>
      <c r="H25" s="877">
        <f t="shared" si="24"/>
        <v>0</v>
      </c>
      <c r="I25" s="877">
        <f t="shared" si="24"/>
        <v>0</v>
      </c>
      <c r="J25" s="877">
        <f t="shared" si="24"/>
        <v>0</v>
      </c>
      <c r="K25" s="877">
        <f t="shared" si="24"/>
        <v>12800.83283503438</v>
      </c>
      <c r="L25" s="877">
        <f t="shared" si="24"/>
        <v>6324</v>
      </c>
      <c r="M25" s="877">
        <f t="shared" si="24"/>
        <v>0</v>
      </c>
      <c r="N25" s="877">
        <f t="shared" si="24"/>
        <v>6324</v>
      </c>
      <c r="O25" s="877">
        <f t="shared" si="24"/>
        <v>159933.99402041259</v>
      </c>
      <c r="P25" s="878">
        <f t="shared" si="24"/>
        <v>13644053.08</v>
      </c>
      <c r="Q25" s="871">
        <f t="shared" ref="Q25:AI25" si="25">SUM(Q19:Q24)</f>
        <v>349</v>
      </c>
      <c r="R25" s="877">
        <f t="shared" si="25"/>
        <v>8756.6967835513606</v>
      </c>
      <c r="S25" s="877">
        <f t="shared" si="25"/>
        <v>6272.2546054313325</v>
      </c>
      <c r="T25" s="877">
        <f t="shared" si="25"/>
        <v>0</v>
      </c>
      <c r="U25" s="877">
        <f t="shared" si="25"/>
        <v>0</v>
      </c>
      <c r="V25" s="877">
        <f t="shared" si="25"/>
        <v>0</v>
      </c>
      <c r="W25" s="877">
        <f t="shared" si="25"/>
        <v>0</v>
      </c>
      <c r="X25" s="877">
        <f t="shared" si="25"/>
        <v>0</v>
      </c>
      <c r="Y25" s="877">
        <f t="shared" si="25"/>
        <v>0</v>
      </c>
      <c r="Z25" s="877">
        <f t="shared" si="25"/>
        <v>15028.951388982694</v>
      </c>
      <c r="AA25" s="877">
        <f t="shared" si="25"/>
        <v>6324</v>
      </c>
      <c r="AB25" s="877">
        <f t="shared" si="25"/>
        <v>0</v>
      </c>
      <c r="AC25" s="877">
        <f t="shared" si="25"/>
        <v>6324</v>
      </c>
      <c r="AD25" s="877">
        <f t="shared" si="25"/>
        <v>186671.41666779233</v>
      </c>
      <c r="AE25" s="877">
        <f t="shared" si="25"/>
        <v>10977917.439999999</v>
      </c>
      <c r="AF25" s="877">
        <f>SUM(AF19:AF24)</f>
        <v>-26737.422647379753</v>
      </c>
      <c r="AG25" s="877">
        <f>SUM(AG19:AG24)</f>
        <v>2666135.6399999997</v>
      </c>
      <c r="AH25" s="874">
        <f t="shared" si="25"/>
        <v>349</v>
      </c>
      <c r="AI25" s="878">
        <f t="shared" si="25"/>
        <v>10977917.439999999</v>
      </c>
    </row>
    <row r="26" spans="1:35" ht="24.95" customHeight="1" x14ac:dyDescent="0.2">
      <c r="A26" s="869" t="s">
        <v>3686</v>
      </c>
      <c r="B26" s="880"/>
      <c r="C26" s="881"/>
      <c r="D26" s="881"/>
      <c r="E26" s="881"/>
      <c r="F26" s="881"/>
      <c r="G26" s="881"/>
      <c r="H26" s="881"/>
      <c r="I26" s="881"/>
      <c r="J26" s="881"/>
      <c r="K26" s="881"/>
      <c r="L26" s="881"/>
      <c r="M26" s="881"/>
      <c r="N26" s="881"/>
      <c r="O26" s="881"/>
      <c r="P26" s="913"/>
      <c r="Q26" s="880"/>
      <c r="R26" s="881"/>
      <c r="S26" s="881"/>
      <c r="T26" s="881"/>
      <c r="U26" s="881"/>
      <c r="V26" s="881"/>
      <c r="W26" s="881"/>
      <c r="X26" s="881"/>
      <c r="Y26" s="881"/>
      <c r="Z26" s="881"/>
      <c r="AA26" s="881"/>
      <c r="AB26" s="881"/>
      <c r="AC26" s="881"/>
      <c r="AD26" s="881"/>
      <c r="AE26" s="881"/>
      <c r="AF26" s="881"/>
      <c r="AG26" s="881"/>
      <c r="AH26" s="914"/>
      <c r="AI26" s="913"/>
    </row>
    <row r="27" spans="1:35" ht="24.95" customHeight="1" x14ac:dyDescent="0.2">
      <c r="A27" s="870" t="s">
        <v>3802</v>
      </c>
      <c r="B27" s="880">
        <v>458</v>
      </c>
      <c r="C27" s="881">
        <f>(192500.99+42743.34)/B27</f>
        <v>513.63390829694322</v>
      </c>
      <c r="D27" s="881">
        <f>405795.59/B27</f>
        <v>886.01657205240178</v>
      </c>
      <c r="E27" s="881"/>
      <c r="F27" s="881"/>
      <c r="G27" s="881"/>
      <c r="H27" s="881"/>
      <c r="I27" s="881"/>
      <c r="J27" s="881">
        <v>0</v>
      </c>
      <c r="K27" s="881">
        <f t="shared" ref="K27:K32" si="26">SUM(C27:J27)</f>
        <v>1399.6504803493449</v>
      </c>
      <c r="L27" s="881">
        <v>1054</v>
      </c>
      <c r="M27" s="881"/>
      <c r="N27" s="881">
        <f t="shared" ref="N27:N32" si="27">SUM(L27:M27)</f>
        <v>1054</v>
      </c>
      <c r="O27" s="881">
        <f t="shared" ref="O27:O32" si="28">(K27*12)+N27</f>
        <v>17849.80576419214</v>
      </c>
      <c r="P27" s="913">
        <f t="shared" ref="P27:P32" si="29">(O27*B27)</f>
        <v>8175211.04</v>
      </c>
      <c r="Q27" s="880">
        <v>319</v>
      </c>
      <c r="R27" s="881">
        <f>394891.42/Q27</f>
        <v>1237.9041379310345</v>
      </c>
      <c r="S27" s="881">
        <f>309229.42/Q27</f>
        <v>969.37122257053284</v>
      </c>
      <c r="T27" s="881"/>
      <c r="U27" s="881"/>
      <c r="V27" s="881"/>
      <c r="W27" s="881"/>
      <c r="X27" s="881"/>
      <c r="Y27" s="881">
        <v>0</v>
      </c>
      <c r="Z27" s="881">
        <f t="shared" ref="Z27:Z32" si="30">SUM(R27:Y27)</f>
        <v>2207.2753605015673</v>
      </c>
      <c r="AA27" s="881">
        <v>1054</v>
      </c>
      <c r="AB27" s="881"/>
      <c r="AC27" s="881">
        <f t="shared" ref="AC27:AC32" si="31">SUM(AA27:AB27)</f>
        <v>1054</v>
      </c>
      <c r="AD27" s="881">
        <f t="shared" ref="AD27:AD32" si="32">(Z27*12)+AC27</f>
        <v>27541.304326018806</v>
      </c>
      <c r="AE27" s="881">
        <f t="shared" ref="AE27:AE32" si="33">(AD27*Q27)</f>
        <v>8785676.0799999982</v>
      </c>
      <c r="AF27" s="881">
        <f t="shared" ref="AF27:AG32" si="34">O27-AD27</f>
        <v>-9691.4985618266655</v>
      </c>
      <c r="AG27" s="881">
        <f t="shared" si="34"/>
        <v>-610465.03999999817</v>
      </c>
      <c r="AH27" s="914">
        <f t="shared" ref="AH27:AH32" si="35">Q27</f>
        <v>319</v>
      </c>
      <c r="AI27" s="913">
        <f t="shared" ref="AI27:AI32" si="36">AE27</f>
        <v>8785676.0799999982</v>
      </c>
    </row>
    <row r="28" spans="1:35" ht="24.95" customHeight="1" x14ac:dyDescent="0.2">
      <c r="A28" s="870" t="s">
        <v>3803</v>
      </c>
      <c r="B28" s="880">
        <v>479</v>
      </c>
      <c r="C28" s="881">
        <f>(97511.99+25428.35)/B28</f>
        <v>256.66041753653445</v>
      </c>
      <c r="D28" s="881">
        <f>186563.29/B28</f>
        <v>389.48494780793322</v>
      </c>
      <c r="E28" s="881"/>
      <c r="F28" s="881"/>
      <c r="G28" s="881"/>
      <c r="H28" s="881"/>
      <c r="I28" s="881"/>
      <c r="J28" s="881">
        <v>0</v>
      </c>
      <c r="K28" s="881">
        <f t="shared" si="26"/>
        <v>646.14536534446768</v>
      </c>
      <c r="L28" s="881">
        <v>1054</v>
      </c>
      <c r="M28" s="881"/>
      <c r="N28" s="881">
        <f t="shared" si="27"/>
        <v>1054</v>
      </c>
      <c r="O28" s="881">
        <f t="shared" si="28"/>
        <v>8807.7443841336117</v>
      </c>
      <c r="P28" s="913">
        <f t="shared" si="29"/>
        <v>4218909.5599999996</v>
      </c>
      <c r="Q28" s="880">
        <v>126</v>
      </c>
      <c r="R28" s="881">
        <f>149998.24/Q28</f>
        <v>1190.4622222222222</v>
      </c>
      <c r="S28" s="881">
        <f>130705.59/Q28</f>
        <v>1037.3459523809524</v>
      </c>
      <c r="T28" s="881"/>
      <c r="U28" s="881"/>
      <c r="V28" s="881"/>
      <c r="W28" s="881"/>
      <c r="X28" s="881"/>
      <c r="Y28" s="881">
        <v>0</v>
      </c>
      <c r="Z28" s="881">
        <f t="shared" si="30"/>
        <v>2227.8081746031748</v>
      </c>
      <c r="AA28" s="881">
        <v>1054</v>
      </c>
      <c r="AB28" s="881"/>
      <c r="AC28" s="881">
        <f t="shared" si="31"/>
        <v>1054</v>
      </c>
      <c r="AD28" s="881">
        <f t="shared" si="32"/>
        <v>27787.698095238098</v>
      </c>
      <c r="AE28" s="881">
        <f t="shared" si="33"/>
        <v>3501249.9600000004</v>
      </c>
      <c r="AF28" s="881">
        <f t="shared" si="34"/>
        <v>-18979.953711104485</v>
      </c>
      <c r="AG28" s="881">
        <f t="shared" si="34"/>
        <v>717659.59999999916</v>
      </c>
      <c r="AH28" s="914">
        <f t="shared" si="35"/>
        <v>126</v>
      </c>
      <c r="AI28" s="913">
        <f t="shared" si="36"/>
        <v>3501249.9600000004</v>
      </c>
    </row>
    <row r="29" spans="1:35" ht="24.95" customHeight="1" x14ac:dyDescent="0.2">
      <c r="A29" s="870" t="s">
        <v>3804</v>
      </c>
      <c r="B29" s="880">
        <v>676</v>
      </c>
      <c r="C29" s="881">
        <f>(103910.75+23874.38)/B29</f>
        <v>189.03125739644972</v>
      </c>
      <c r="D29" s="881">
        <f>218728.32/B29</f>
        <v>323.56260355029588</v>
      </c>
      <c r="E29" s="881"/>
      <c r="F29" s="881"/>
      <c r="G29" s="881"/>
      <c r="H29" s="881"/>
      <c r="I29" s="881"/>
      <c r="J29" s="881">
        <v>0</v>
      </c>
      <c r="K29" s="881">
        <f t="shared" si="26"/>
        <v>512.59386094674562</v>
      </c>
      <c r="L29" s="881">
        <v>1054</v>
      </c>
      <c r="M29" s="881"/>
      <c r="N29" s="881">
        <f t="shared" si="27"/>
        <v>1054</v>
      </c>
      <c r="O29" s="881">
        <f t="shared" si="28"/>
        <v>7205.126331360947</v>
      </c>
      <c r="P29" s="913">
        <f t="shared" si="29"/>
        <v>4870665.4000000004</v>
      </c>
      <c r="Q29" s="880">
        <v>188</v>
      </c>
      <c r="R29" s="881">
        <f>172524.66/Q29</f>
        <v>917.68436170212772</v>
      </c>
      <c r="S29" s="881">
        <f>206812.28/Q29</f>
        <v>1100.0653191489362</v>
      </c>
      <c r="T29" s="881"/>
      <c r="U29" s="881"/>
      <c r="V29" s="881"/>
      <c r="W29" s="881"/>
      <c r="X29" s="881"/>
      <c r="Y29" s="881">
        <v>0</v>
      </c>
      <c r="Z29" s="881">
        <f t="shared" si="30"/>
        <v>2017.7496808510639</v>
      </c>
      <c r="AA29" s="881">
        <v>1054</v>
      </c>
      <c r="AB29" s="881"/>
      <c r="AC29" s="881">
        <f t="shared" si="31"/>
        <v>1054</v>
      </c>
      <c r="AD29" s="881">
        <f t="shared" si="32"/>
        <v>25266.996170212766</v>
      </c>
      <c r="AE29" s="881">
        <f t="shared" si="33"/>
        <v>4750195.28</v>
      </c>
      <c r="AF29" s="881">
        <f t="shared" si="34"/>
        <v>-18061.869838851817</v>
      </c>
      <c r="AG29" s="881">
        <f t="shared" si="34"/>
        <v>120470.12000000011</v>
      </c>
      <c r="AH29" s="914">
        <f t="shared" si="35"/>
        <v>188</v>
      </c>
      <c r="AI29" s="913">
        <f t="shared" si="36"/>
        <v>4750195.28</v>
      </c>
    </row>
    <row r="30" spans="1:35" ht="24.95" customHeight="1" x14ac:dyDescent="0.2">
      <c r="A30" s="870" t="s">
        <v>3805</v>
      </c>
      <c r="B30" s="880">
        <v>357</v>
      </c>
      <c r="C30" s="881">
        <f>(170119.89+61285.57)/B30</f>
        <v>648.19456582633063</v>
      </c>
      <c r="D30" s="881">
        <f>259498.94/B30</f>
        <v>726.88778711484599</v>
      </c>
      <c r="E30" s="881"/>
      <c r="F30" s="881"/>
      <c r="G30" s="881"/>
      <c r="H30" s="881"/>
      <c r="I30" s="881"/>
      <c r="J30" s="881">
        <v>0</v>
      </c>
      <c r="K30" s="881">
        <f t="shared" si="26"/>
        <v>1375.0823529411766</v>
      </c>
      <c r="L30" s="881">
        <v>1054</v>
      </c>
      <c r="M30" s="881"/>
      <c r="N30" s="881">
        <f t="shared" si="27"/>
        <v>1054</v>
      </c>
      <c r="O30" s="881">
        <f t="shared" si="28"/>
        <v>17554.98823529412</v>
      </c>
      <c r="P30" s="913">
        <f t="shared" si="29"/>
        <v>6267130.8000000007</v>
      </c>
      <c r="Q30" s="880">
        <v>137</v>
      </c>
      <c r="R30" s="881">
        <f>112239.55/Q30</f>
        <v>819.26678832116795</v>
      </c>
      <c r="S30" s="881">
        <f>186824.42/Q30</f>
        <v>1363.681897810219</v>
      </c>
      <c r="T30" s="881"/>
      <c r="U30" s="881"/>
      <c r="V30" s="881"/>
      <c r="W30" s="881"/>
      <c r="X30" s="881"/>
      <c r="Y30" s="881">
        <v>0</v>
      </c>
      <c r="Z30" s="881">
        <f t="shared" si="30"/>
        <v>2182.9486861313871</v>
      </c>
      <c r="AA30" s="881">
        <v>1054</v>
      </c>
      <c r="AB30" s="881"/>
      <c r="AC30" s="881">
        <f t="shared" si="31"/>
        <v>1054</v>
      </c>
      <c r="AD30" s="881">
        <f t="shared" si="32"/>
        <v>27249.384233576646</v>
      </c>
      <c r="AE30" s="881">
        <f t="shared" si="33"/>
        <v>3733165.6400000006</v>
      </c>
      <c r="AF30" s="881">
        <f t="shared" si="34"/>
        <v>-9694.3959982825254</v>
      </c>
      <c r="AG30" s="881">
        <f t="shared" si="34"/>
        <v>2533965.16</v>
      </c>
      <c r="AH30" s="914">
        <f t="shared" si="35"/>
        <v>137</v>
      </c>
      <c r="AI30" s="913">
        <f t="shared" si="36"/>
        <v>3733165.6400000006</v>
      </c>
    </row>
    <row r="31" spans="1:35" ht="24.95" customHeight="1" x14ac:dyDescent="0.2">
      <c r="A31" s="870" t="s">
        <v>3806</v>
      </c>
      <c r="B31" s="880">
        <v>124</v>
      </c>
      <c r="C31" s="881">
        <f>(67525.62+23181.93)/B31</f>
        <v>731.51249999999993</v>
      </c>
      <c r="D31" s="881">
        <f>83864.75/B31</f>
        <v>676.32862903225805</v>
      </c>
      <c r="E31" s="881"/>
      <c r="F31" s="881"/>
      <c r="G31" s="881"/>
      <c r="H31" s="881"/>
      <c r="I31" s="881"/>
      <c r="J31" s="881">
        <v>0</v>
      </c>
      <c r="K31" s="881">
        <f t="shared" si="26"/>
        <v>1407.8411290322579</v>
      </c>
      <c r="L31" s="881">
        <v>1054</v>
      </c>
      <c r="M31" s="881"/>
      <c r="N31" s="881">
        <f t="shared" si="27"/>
        <v>1054</v>
      </c>
      <c r="O31" s="881">
        <f t="shared" si="28"/>
        <v>17948.093548387093</v>
      </c>
      <c r="P31" s="913">
        <f t="shared" si="29"/>
        <v>2225563.5999999996</v>
      </c>
      <c r="Q31" s="880">
        <v>63</v>
      </c>
      <c r="R31" s="881">
        <f>54477.46/Q31</f>
        <v>864.72158730158731</v>
      </c>
      <c r="S31" s="881">
        <f>74645.07/Q31</f>
        <v>1184.8423809523811</v>
      </c>
      <c r="T31" s="881"/>
      <c r="U31" s="881"/>
      <c r="V31" s="881"/>
      <c r="W31" s="881"/>
      <c r="X31" s="881"/>
      <c r="Y31" s="881">
        <v>0</v>
      </c>
      <c r="Z31" s="881">
        <f t="shared" si="30"/>
        <v>2049.5639682539686</v>
      </c>
      <c r="AA31" s="881">
        <v>1054</v>
      </c>
      <c r="AB31" s="881"/>
      <c r="AC31" s="881">
        <f t="shared" si="31"/>
        <v>1054</v>
      </c>
      <c r="AD31" s="881">
        <f t="shared" si="32"/>
        <v>25648.767619047623</v>
      </c>
      <c r="AE31" s="881">
        <f t="shared" si="33"/>
        <v>1615872.3600000003</v>
      </c>
      <c r="AF31" s="881">
        <f t="shared" si="34"/>
        <v>-7700.6740706605306</v>
      </c>
      <c r="AG31" s="881">
        <f t="shared" si="34"/>
        <v>609691.23999999929</v>
      </c>
      <c r="AH31" s="914">
        <f t="shared" si="35"/>
        <v>63</v>
      </c>
      <c r="AI31" s="913">
        <f t="shared" si="36"/>
        <v>1615872.3600000003</v>
      </c>
    </row>
    <row r="32" spans="1:35" ht="24.95" customHeight="1" x14ac:dyDescent="0.2">
      <c r="A32" s="870" t="s">
        <v>3807</v>
      </c>
      <c r="B32" s="880">
        <v>420</v>
      </c>
      <c r="C32" s="881">
        <f>(10057.68+3156.28)/B32</f>
        <v>31.461809523809524</v>
      </c>
      <c r="D32" s="881">
        <f>16434.27/B32</f>
        <v>39.129214285714284</v>
      </c>
      <c r="E32" s="881"/>
      <c r="F32" s="881"/>
      <c r="G32" s="881"/>
      <c r="H32" s="881"/>
      <c r="I32" s="881"/>
      <c r="J32" s="881">
        <v>0</v>
      </c>
      <c r="K32" s="881">
        <f t="shared" si="26"/>
        <v>70.591023809523804</v>
      </c>
      <c r="L32" s="881">
        <v>1054</v>
      </c>
      <c r="M32" s="881"/>
      <c r="N32" s="881">
        <f t="shared" si="27"/>
        <v>1054</v>
      </c>
      <c r="O32" s="881">
        <f t="shared" si="28"/>
        <v>1901.0922857142857</v>
      </c>
      <c r="P32" s="913">
        <f t="shared" si="29"/>
        <v>798458.76</v>
      </c>
      <c r="Q32" s="880">
        <v>10</v>
      </c>
      <c r="R32" s="881">
        <f>7967.21/Q32</f>
        <v>796.721</v>
      </c>
      <c r="S32" s="881">
        <f>13355.2/Q32</f>
        <v>1335.52</v>
      </c>
      <c r="T32" s="881"/>
      <c r="U32" s="881"/>
      <c r="V32" s="881"/>
      <c r="W32" s="881"/>
      <c r="X32" s="881"/>
      <c r="Y32" s="881">
        <v>0</v>
      </c>
      <c r="Z32" s="881">
        <f t="shared" si="30"/>
        <v>2132.241</v>
      </c>
      <c r="AA32" s="881">
        <v>1054</v>
      </c>
      <c r="AB32" s="881"/>
      <c r="AC32" s="881">
        <f t="shared" si="31"/>
        <v>1054</v>
      </c>
      <c r="AD32" s="881">
        <f t="shared" si="32"/>
        <v>26640.892</v>
      </c>
      <c r="AE32" s="881">
        <f t="shared" si="33"/>
        <v>266408.92</v>
      </c>
      <c r="AF32" s="881">
        <f t="shared" si="34"/>
        <v>-24739.799714285713</v>
      </c>
      <c r="AG32" s="881">
        <f t="shared" si="34"/>
        <v>532049.84000000008</v>
      </c>
      <c r="AH32" s="914">
        <f t="shared" si="35"/>
        <v>10</v>
      </c>
      <c r="AI32" s="913">
        <f t="shared" si="36"/>
        <v>266408.92</v>
      </c>
    </row>
    <row r="33" spans="1:35" ht="24.95" customHeight="1" x14ac:dyDescent="0.2">
      <c r="A33" s="869" t="s">
        <v>3808</v>
      </c>
      <c r="B33" s="871">
        <f t="shared" ref="B33:P33" si="37">SUM(B27:B32)</f>
        <v>2514</v>
      </c>
      <c r="C33" s="877">
        <f t="shared" si="37"/>
        <v>2370.4944585800677</v>
      </c>
      <c r="D33" s="877">
        <f t="shared" si="37"/>
        <v>3041.4097538434494</v>
      </c>
      <c r="E33" s="877">
        <f t="shared" si="37"/>
        <v>0</v>
      </c>
      <c r="F33" s="877">
        <f t="shared" si="37"/>
        <v>0</v>
      </c>
      <c r="G33" s="877">
        <f t="shared" si="37"/>
        <v>0</v>
      </c>
      <c r="H33" s="877">
        <f t="shared" si="37"/>
        <v>0</v>
      </c>
      <c r="I33" s="877">
        <f t="shared" si="37"/>
        <v>0</v>
      </c>
      <c r="J33" s="877">
        <f t="shared" si="37"/>
        <v>0</v>
      </c>
      <c r="K33" s="877">
        <f t="shared" si="37"/>
        <v>5411.9042124235166</v>
      </c>
      <c r="L33" s="877">
        <f t="shared" si="37"/>
        <v>6324</v>
      </c>
      <c r="M33" s="877">
        <f t="shared" si="37"/>
        <v>0</v>
      </c>
      <c r="N33" s="877">
        <f t="shared" si="37"/>
        <v>6324</v>
      </c>
      <c r="O33" s="877">
        <f t="shared" si="37"/>
        <v>71266.850549082199</v>
      </c>
      <c r="P33" s="878">
        <f t="shared" si="37"/>
        <v>26555939.16</v>
      </c>
      <c r="Q33" s="871">
        <f t="shared" ref="Q33:AI33" si="38">SUM(Q27:Q32)</f>
        <v>843</v>
      </c>
      <c r="R33" s="877">
        <f t="shared" si="38"/>
        <v>5826.7600974781399</v>
      </c>
      <c r="S33" s="877">
        <f t="shared" si="38"/>
        <v>6990.8267728630217</v>
      </c>
      <c r="T33" s="877">
        <f t="shared" si="38"/>
        <v>0</v>
      </c>
      <c r="U33" s="877">
        <f t="shared" si="38"/>
        <v>0</v>
      </c>
      <c r="V33" s="877">
        <f t="shared" si="38"/>
        <v>0</v>
      </c>
      <c r="W33" s="877">
        <f t="shared" si="38"/>
        <v>0</v>
      </c>
      <c r="X33" s="877">
        <f t="shared" si="38"/>
        <v>0</v>
      </c>
      <c r="Y33" s="877">
        <f t="shared" si="38"/>
        <v>0</v>
      </c>
      <c r="Z33" s="877">
        <f t="shared" si="38"/>
        <v>12817.586870341163</v>
      </c>
      <c r="AA33" s="877">
        <f t="shared" si="38"/>
        <v>6324</v>
      </c>
      <c r="AB33" s="877">
        <f t="shared" si="38"/>
        <v>0</v>
      </c>
      <c r="AC33" s="877">
        <f t="shared" si="38"/>
        <v>6324</v>
      </c>
      <c r="AD33" s="877">
        <f t="shared" si="38"/>
        <v>160135.04244409394</v>
      </c>
      <c r="AE33" s="877">
        <f t="shared" si="38"/>
        <v>22652568.240000002</v>
      </c>
      <c r="AF33" s="877">
        <f>SUM(AF27:AF32)</f>
        <v>-88868.191895011725</v>
      </c>
      <c r="AG33" s="877">
        <f>SUM(AG27:AG32)</f>
        <v>3903370.9200000009</v>
      </c>
      <c r="AH33" s="874">
        <f t="shared" si="38"/>
        <v>843</v>
      </c>
      <c r="AI33" s="878">
        <f t="shared" si="38"/>
        <v>22652568.240000002</v>
      </c>
    </row>
    <row r="34" spans="1:35" ht="24.95" customHeight="1" x14ac:dyDescent="0.2">
      <c r="A34" s="869" t="s">
        <v>3693</v>
      </c>
      <c r="B34" s="880"/>
      <c r="C34" s="881"/>
      <c r="D34" s="881"/>
      <c r="E34" s="881"/>
      <c r="F34" s="881"/>
      <c r="G34" s="881"/>
      <c r="H34" s="881"/>
      <c r="I34" s="881"/>
      <c r="J34" s="881"/>
      <c r="K34" s="881"/>
      <c r="L34" s="881"/>
      <c r="M34" s="881"/>
      <c r="N34" s="881"/>
      <c r="O34" s="881"/>
      <c r="P34" s="913"/>
      <c r="Q34" s="880"/>
      <c r="R34" s="881"/>
      <c r="S34" s="881"/>
      <c r="T34" s="881"/>
      <c r="U34" s="881"/>
      <c r="V34" s="881"/>
      <c r="W34" s="881"/>
      <c r="X34" s="881"/>
      <c r="Y34" s="881"/>
      <c r="Z34" s="881"/>
      <c r="AA34" s="881"/>
      <c r="AB34" s="881"/>
      <c r="AC34" s="881"/>
      <c r="AD34" s="881"/>
      <c r="AE34" s="881"/>
      <c r="AF34" s="881"/>
      <c r="AG34" s="881"/>
      <c r="AH34" s="914"/>
      <c r="AI34" s="913"/>
    </row>
    <row r="35" spans="1:35" ht="24.95" customHeight="1" x14ac:dyDescent="0.2">
      <c r="A35" s="870" t="s">
        <v>3694</v>
      </c>
      <c r="B35" s="880">
        <v>55</v>
      </c>
      <c r="C35" s="881">
        <f>(30018.86+9609.73)/B35</f>
        <v>720.5198181818181</v>
      </c>
      <c r="D35" s="881">
        <f>28413/B35</f>
        <v>516.6</v>
      </c>
      <c r="E35" s="881"/>
      <c r="F35" s="881"/>
      <c r="G35" s="881"/>
      <c r="H35" s="881"/>
      <c r="I35" s="881"/>
      <c r="J35" s="881">
        <v>0</v>
      </c>
      <c r="K35" s="881">
        <f t="shared" ref="K35:K40" si="39">SUM(C35:J35)</f>
        <v>1237.1198181818181</v>
      </c>
      <c r="L35" s="881">
        <v>1054</v>
      </c>
      <c r="M35" s="881"/>
      <c r="N35" s="881">
        <f t="shared" ref="N35:N40" si="40">SUM(L35:M35)</f>
        <v>1054</v>
      </c>
      <c r="O35" s="881">
        <f t="shared" ref="O35:O40" si="41">(K35*12)+N35</f>
        <v>15899.437818181817</v>
      </c>
      <c r="P35" s="913">
        <f t="shared" ref="P35:P40" si="42">(O35*B35)</f>
        <v>874469.08</v>
      </c>
      <c r="Q35" s="880">
        <v>26</v>
      </c>
      <c r="R35" s="881">
        <f>21600.47/Q35</f>
        <v>830.78730769230776</v>
      </c>
      <c r="S35" s="881">
        <f>29003/Q35</f>
        <v>1115.5</v>
      </c>
      <c r="T35" s="881"/>
      <c r="U35" s="881"/>
      <c r="V35" s="881"/>
      <c r="W35" s="881"/>
      <c r="X35" s="881"/>
      <c r="Y35" s="881">
        <v>0</v>
      </c>
      <c r="Z35" s="881">
        <f t="shared" ref="Z35:Z40" si="43">SUM(R35:Y35)</f>
        <v>1946.2873076923079</v>
      </c>
      <c r="AA35" s="881">
        <v>1054</v>
      </c>
      <c r="AB35" s="881"/>
      <c r="AC35" s="881">
        <f t="shared" ref="AC35:AC40" si="44">SUM(AA35:AB35)</f>
        <v>1054</v>
      </c>
      <c r="AD35" s="881">
        <f t="shared" ref="AD35:AD40" si="45">(Z35*12)+AC35</f>
        <v>24409.447692307695</v>
      </c>
      <c r="AE35" s="881">
        <f t="shared" ref="AE35:AE40" si="46">(AD35*Q35)</f>
        <v>634645.64</v>
      </c>
      <c r="AF35" s="881">
        <f t="shared" ref="AF35:AG40" si="47">O35-AD35</f>
        <v>-8510.0098741258771</v>
      </c>
      <c r="AG35" s="881">
        <f t="shared" si="47"/>
        <v>239823.43999999994</v>
      </c>
      <c r="AH35" s="914">
        <f t="shared" ref="AH35:AH40" si="48">Q35</f>
        <v>26</v>
      </c>
      <c r="AI35" s="913">
        <f t="shared" ref="AI35:AI40" si="49">AE35</f>
        <v>634645.64</v>
      </c>
    </row>
    <row r="36" spans="1:35" ht="24.95" customHeight="1" x14ac:dyDescent="0.2">
      <c r="A36" s="870" t="s">
        <v>3695</v>
      </c>
      <c r="B36" s="880">
        <v>20</v>
      </c>
      <c r="C36" s="881">
        <f>(11101.4+2861.35)/B36</f>
        <v>698.13750000000005</v>
      </c>
      <c r="D36" s="881">
        <f>12889.44/B36</f>
        <v>644.47199999999998</v>
      </c>
      <c r="E36" s="881"/>
      <c r="F36" s="881"/>
      <c r="G36" s="881"/>
      <c r="H36" s="881"/>
      <c r="I36" s="881"/>
      <c r="J36" s="881">
        <v>0</v>
      </c>
      <c r="K36" s="881">
        <f t="shared" si="39"/>
        <v>1342.6095</v>
      </c>
      <c r="L36" s="881">
        <v>1054</v>
      </c>
      <c r="M36" s="881"/>
      <c r="N36" s="881">
        <f t="shared" si="40"/>
        <v>1054</v>
      </c>
      <c r="O36" s="881">
        <f t="shared" si="41"/>
        <v>17165.313999999998</v>
      </c>
      <c r="P36" s="913">
        <f t="shared" si="42"/>
        <v>343306.27999999997</v>
      </c>
      <c r="Q36" s="880">
        <v>5</v>
      </c>
      <c r="R36" s="881">
        <f>3004.21/Q36</f>
        <v>600.84199999999998</v>
      </c>
      <c r="S36" s="881">
        <f>6139.44/Q36</f>
        <v>1227.8879999999999</v>
      </c>
      <c r="T36" s="881"/>
      <c r="U36" s="881"/>
      <c r="V36" s="881"/>
      <c r="W36" s="881"/>
      <c r="X36" s="881"/>
      <c r="Y36" s="881">
        <v>0</v>
      </c>
      <c r="Z36" s="881">
        <f t="shared" si="43"/>
        <v>1828.73</v>
      </c>
      <c r="AA36" s="881">
        <v>1054</v>
      </c>
      <c r="AB36" s="881"/>
      <c r="AC36" s="881">
        <f t="shared" si="44"/>
        <v>1054</v>
      </c>
      <c r="AD36" s="881">
        <f t="shared" si="45"/>
        <v>22998.760000000002</v>
      </c>
      <c r="AE36" s="881">
        <f t="shared" si="46"/>
        <v>114993.80000000002</v>
      </c>
      <c r="AF36" s="881">
        <f t="shared" si="47"/>
        <v>-5833.4460000000036</v>
      </c>
      <c r="AG36" s="881">
        <f t="shared" si="47"/>
        <v>228312.47999999995</v>
      </c>
      <c r="AH36" s="914">
        <f t="shared" si="48"/>
        <v>5</v>
      </c>
      <c r="AI36" s="913">
        <f t="shared" si="49"/>
        <v>114993.80000000002</v>
      </c>
    </row>
    <row r="37" spans="1:35" ht="24.95" customHeight="1" x14ac:dyDescent="0.2">
      <c r="A37" s="870" t="s">
        <v>3696</v>
      </c>
      <c r="B37" s="880">
        <v>14</v>
      </c>
      <c r="C37" s="881">
        <f>(7603.83+1144.05)/B37</f>
        <v>624.8485714285714</v>
      </c>
      <c r="D37" s="881">
        <f>15870.52/B37</f>
        <v>1133.6085714285714</v>
      </c>
      <c r="E37" s="881"/>
      <c r="F37" s="881"/>
      <c r="G37" s="881"/>
      <c r="H37" s="881"/>
      <c r="I37" s="881"/>
      <c r="J37" s="881">
        <v>0</v>
      </c>
      <c r="K37" s="881">
        <f t="shared" si="39"/>
        <v>1758.4571428571428</v>
      </c>
      <c r="L37" s="881">
        <v>1054</v>
      </c>
      <c r="M37" s="881"/>
      <c r="N37" s="881">
        <f t="shared" si="40"/>
        <v>1054</v>
      </c>
      <c r="O37" s="881">
        <f t="shared" si="41"/>
        <v>22155.485714285714</v>
      </c>
      <c r="P37" s="913">
        <f t="shared" si="42"/>
        <v>310176.8</v>
      </c>
      <c r="Q37" s="880">
        <v>9</v>
      </c>
      <c r="R37" s="881">
        <f>5405.9/Q37</f>
        <v>600.65555555555557</v>
      </c>
      <c r="S37" s="881">
        <f>9996.52/Q37</f>
        <v>1110.7244444444445</v>
      </c>
      <c r="T37" s="881"/>
      <c r="U37" s="881"/>
      <c r="V37" s="881"/>
      <c r="W37" s="881"/>
      <c r="X37" s="881"/>
      <c r="Y37" s="881">
        <v>0</v>
      </c>
      <c r="Z37" s="881">
        <f t="shared" si="43"/>
        <v>1711.38</v>
      </c>
      <c r="AA37" s="881">
        <v>1054</v>
      </c>
      <c r="AB37" s="881"/>
      <c r="AC37" s="881">
        <f t="shared" si="44"/>
        <v>1054</v>
      </c>
      <c r="AD37" s="881">
        <f t="shared" si="45"/>
        <v>21590.560000000001</v>
      </c>
      <c r="AE37" s="881">
        <f t="shared" si="46"/>
        <v>194315.04</v>
      </c>
      <c r="AF37" s="881">
        <f t="shared" si="47"/>
        <v>564.92571428571318</v>
      </c>
      <c r="AG37" s="881">
        <f t="shared" si="47"/>
        <v>115861.75999999998</v>
      </c>
      <c r="AH37" s="914">
        <f t="shared" si="48"/>
        <v>9</v>
      </c>
      <c r="AI37" s="913">
        <f t="shared" si="49"/>
        <v>194315.04</v>
      </c>
    </row>
    <row r="38" spans="1:35" ht="24.95" customHeight="1" x14ac:dyDescent="0.2">
      <c r="A38" s="870" t="s">
        <v>3697</v>
      </c>
      <c r="B38" s="880">
        <v>24</v>
      </c>
      <c r="C38" s="881">
        <f>(12910.86+3701.49)/B38</f>
        <v>692.18124999999998</v>
      </c>
      <c r="D38" s="881">
        <f>16649.44/B38</f>
        <v>693.72666666666657</v>
      </c>
      <c r="E38" s="881"/>
      <c r="F38" s="881"/>
      <c r="G38" s="881"/>
      <c r="H38" s="881"/>
      <c r="I38" s="881"/>
      <c r="J38" s="881">
        <v>0</v>
      </c>
      <c r="K38" s="881">
        <f t="shared" si="39"/>
        <v>1385.9079166666666</v>
      </c>
      <c r="L38" s="881">
        <v>1054</v>
      </c>
      <c r="M38" s="881"/>
      <c r="N38" s="881">
        <f t="shared" si="40"/>
        <v>1054</v>
      </c>
      <c r="O38" s="881">
        <f t="shared" si="41"/>
        <v>17684.894999999997</v>
      </c>
      <c r="P38" s="913">
        <f t="shared" si="42"/>
        <v>424437.47999999992</v>
      </c>
      <c r="Q38" s="880">
        <v>15</v>
      </c>
      <c r="R38" s="881">
        <f>12498.52/Q38</f>
        <v>833.23466666666673</v>
      </c>
      <c r="S38" s="881">
        <f>16489.44/Q38</f>
        <v>1099.2959999999998</v>
      </c>
      <c r="T38" s="881"/>
      <c r="U38" s="881"/>
      <c r="V38" s="881"/>
      <c r="W38" s="881"/>
      <c r="X38" s="881"/>
      <c r="Y38" s="881">
        <v>0</v>
      </c>
      <c r="Z38" s="881">
        <f t="shared" si="43"/>
        <v>1932.5306666666665</v>
      </c>
      <c r="AA38" s="881">
        <v>1054</v>
      </c>
      <c r="AB38" s="881"/>
      <c r="AC38" s="881">
        <f t="shared" si="44"/>
        <v>1054</v>
      </c>
      <c r="AD38" s="881">
        <f t="shared" si="45"/>
        <v>24244.367999999999</v>
      </c>
      <c r="AE38" s="881">
        <f t="shared" si="46"/>
        <v>363665.51999999996</v>
      </c>
      <c r="AF38" s="881">
        <f t="shared" si="47"/>
        <v>-6559.4730000000018</v>
      </c>
      <c r="AG38" s="881">
        <f t="shared" si="47"/>
        <v>60771.959999999963</v>
      </c>
      <c r="AH38" s="914">
        <f t="shared" si="48"/>
        <v>15</v>
      </c>
      <c r="AI38" s="913">
        <f t="shared" si="49"/>
        <v>363665.51999999996</v>
      </c>
    </row>
    <row r="39" spans="1:35" ht="24.95" customHeight="1" x14ac:dyDescent="0.2">
      <c r="A39" s="870" t="s">
        <v>3698</v>
      </c>
      <c r="B39" s="880">
        <v>1026</v>
      </c>
      <c r="C39" s="881">
        <f>(525393.04+187489.33)/B39</f>
        <v>694.81712475633526</v>
      </c>
      <c r="D39" s="881">
        <f>470651.33/B39</f>
        <v>458.72449317738796</v>
      </c>
      <c r="E39" s="881"/>
      <c r="F39" s="881"/>
      <c r="G39" s="881"/>
      <c r="H39" s="881"/>
      <c r="I39" s="881"/>
      <c r="J39" s="881">
        <v>0</v>
      </c>
      <c r="K39" s="881">
        <f t="shared" si="39"/>
        <v>1153.5416179337233</v>
      </c>
      <c r="L39" s="881">
        <v>1054</v>
      </c>
      <c r="M39" s="881"/>
      <c r="N39" s="881">
        <f t="shared" si="40"/>
        <v>1054</v>
      </c>
      <c r="O39" s="881">
        <f t="shared" si="41"/>
        <v>14896.499415204678</v>
      </c>
      <c r="P39" s="913">
        <f t="shared" si="42"/>
        <v>15283808.4</v>
      </c>
      <c r="Q39" s="880">
        <v>228</v>
      </c>
      <c r="R39" s="881">
        <f>185094.96/Q39</f>
        <v>811.81999999999994</v>
      </c>
      <c r="S39" s="881">
        <f>246194.1/Q39</f>
        <v>1079.7986842105263</v>
      </c>
      <c r="T39" s="881"/>
      <c r="U39" s="881"/>
      <c r="V39" s="881"/>
      <c r="W39" s="881"/>
      <c r="X39" s="881"/>
      <c r="Y39" s="881">
        <v>0</v>
      </c>
      <c r="Z39" s="881">
        <f t="shared" si="43"/>
        <v>1891.6186842105262</v>
      </c>
      <c r="AA39" s="881">
        <v>1054</v>
      </c>
      <c r="AB39" s="881"/>
      <c r="AC39" s="881">
        <f t="shared" si="44"/>
        <v>1054</v>
      </c>
      <c r="AD39" s="881">
        <f t="shared" si="45"/>
        <v>23753.424210526315</v>
      </c>
      <c r="AE39" s="881">
        <f t="shared" si="46"/>
        <v>5415780.7199999997</v>
      </c>
      <c r="AF39" s="881">
        <f t="shared" si="47"/>
        <v>-8856.9247953216363</v>
      </c>
      <c r="AG39" s="881">
        <f t="shared" si="47"/>
        <v>9868027.6799999997</v>
      </c>
      <c r="AH39" s="914">
        <f t="shared" si="48"/>
        <v>228</v>
      </c>
      <c r="AI39" s="913">
        <f t="shared" si="49"/>
        <v>5415780.7199999997</v>
      </c>
    </row>
    <row r="40" spans="1:35" ht="24.95" customHeight="1" x14ac:dyDescent="0.2">
      <c r="A40" s="870" t="s">
        <v>3699</v>
      </c>
      <c r="B40" s="880">
        <v>32</v>
      </c>
      <c r="C40" s="881">
        <f>(16583.45+5653.2)/B40</f>
        <v>694.89531250000005</v>
      </c>
      <c r="D40" s="881">
        <f>14400/B40</f>
        <v>450</v>
      </c>
      <c r="E40" s="881"/>
      <c r="F40" s="881"/>
      <c r="G40" s="881"/>
      <c r="H40" s="881"/>
      <c r="I40" s="881"/>
      <c r="J40" s="881">
        <v>0</v>
      </c>
      <c r="K40" s="881">
        <f t="shared" si="39"/>
        <v>1144.8953125</v>
      </c>
      <c r="L40" s="881">
        <v>1054</v>
      </c>
      <c r="M40" s="881"/>
      <c r="N40" s="881">
        <f t="shared" si="40"/>
        <v>1054</v>
      </c>
      <c r="O40" s="881">
        <f t="shared" si="41"/>
        <v>14792.743750000001</v>
      </c>
      <c r="P40" s="913">
        <f t="shared" si="42"/>
        <v>473367.80000000005</v>
      </c>
      <c r="Q40" s="880">
        <v>4</v>
      </c>
      <c r="R40" s="881">
        <f>3095.44/Q40</f>
        <v>773.86</v>
      </c>
      <c r="S40" s="881">
        <f>4280/Q40</f>
        <v>1070</v>
      </c>
      <c r="T40" s="881"/>
      <c r="U40" s="881"/>
      <c r="V40" s="881"/>
      <c r="W40" s="881"/>
      <c r="X40" s="881"/>
      <c r="Y40" s="881">
        <v>0</v>
      </c>
      <c r="Z40" s="881">
        <f t="shared" si="43"/>
        <v>1843.8600000000001</v>
      </c>
      <c r="AA40" s="881">
        <v>1054</v>
      </c>
      <c r="AB40" s="881"/>
      <c r="AC40" s="881">
        <f t="shared" si="44"/>
        <v>1054</v>
      </c>
      <c r="AD40" s="881">
        <f t="shared" si="45"/>
        <v>23180.32</v>
      </c>
      <c r="AE40" s="881">
        <f t="shared" si="46"/>
        <v>92721.279999999999</v>
      </c>
      <c r="AF40" s="881">
        <f t="shared" si="47"/>
        <v>-8387.5762499999983</v>
      </c>
      <c r="AG40" s="881">
        <f t="shared" si="47"/>
        <v>380646.52</v>
      </c>
      <c r="AH40" s="914">
        <f t="shared" si="48"/>
        <v>4</v>
      </c>
      <c r="AI40" s="913">
        <f t="shared" si="49"/>
        <v>92721.279999999999</v>
      </c>
    </row>
    <row r="41" spans="1:35" ht="24.95" customHeight="1" x14ac:dyDescent="0.2">
      <c r="A41" s="869" t="s">
        <v>3809</v>
      </c>
      <c r="B41" s="871">
        <f>SUM(B35:B40)</f>
        <v>1171</v>
      </c>
      <c r="C41" s="877">
        <f t="shared" ref="C41:P41" si="50">SUM(C35:C40)</f>
        <v>4125.3995768667246</v>
      </c>
      <c r="D41" s="877">
        <f t="shared" si="50"/>
        <v>3897.131731272626</v>
      </c>
      <c r="E41" s="877">
        <f t="shared" si="50"/>
        <v>0</v>
      </c>
      <c r="F41" s="877">
        <f t="shared" si="50"/>
        <v>0</v>
      </c>
      <c r="G41" s="877">
        <f t="shared" si="50"/>
        <v>0</v>
      </c>
      <c r="H41" s="877">
        <f t="shared" si="50"/>
        <v>0</v>
      </c>
      <c r="I41" s="877">
        <f t="shared" si="50"/>
        <v>0</v>
      </c>
      <c r="J41" s="877">
        <f t="shared" si="50"/>
        <v>0</v>
      </c>
      <c r="K41" s="877">
        <f t="shared" si="50"/>
        <v>8022.5313081393506</v>
      </c>
      <c r="L41" s="877">
        <f t="shared" si="50"/>
        <v>6324</v>
      </c>
      <c r="M41" s="877">
        <f t="shared" si="50"/>
        <v>0</v>
      </c>
      <c r="N41" s="877">
        <f t="shared" si="50"/>
        <v>6324</v>
      </c>
      <c r="O41" s="877">
        <f t="shared" si="50"/>
        <v>102594.37569767219</v>
      </c>
      <c r="P41" s="878">
        <f t="shared" si="50"/>
        <v>17709565.84</v>
      </c>
      <c r="Q41" s="871">
        <f>SUM(Q35:Q40)</f>
        <v>287</v>
      </c>
      <c r="R41" s="877">
        <f t="shared" ref="R41:AI41" si="51">SUM(R35:R40)</f>
        <v>4451.1995299145292</v>
      </c>
      <c r="S41" s="877">
        <f t="shared" si="51"/>
        <v>6703.2071286549708</v>
      </c>
      <c r="T41" s="877">
        <f t="shared" si="51"/>
        <v>0</v>
      </c>
      <c r="U41" s="877">
        <f t="shared" si="51"/>
        <v>0</v>
      </c>
      <c r="V41" s="877">
        <f t="shared" si="51"/>
        <v>0</v>
      </c>
      <c r="W41" s="877">
        <f t="shared" si="51"/>
        <v>0</v>
      </c>
      <c r="X41" s="877">
        <f t="shared" si="51"/>
        <v>0</v>
      </c>
      <c r="Y41" s="877">
        <f t="shared" si="51"/>
        <v>0</v>
      </c>
      <c r="Z41" s="877">
        <f t="shared" si="51"/>
        <v>11154.406658569502</v>
      </c>
      <c r="AA41" s="877">
        <f t="shared" si="51"/>
        <v>6324</v>
      </c>
      <c r="AB41" s="877">
        <f t="shared" si="51"/>
        <v>0</v>
      </c>
      <c r="AC41" s="877">
        <f t="shared" si="51"/>
        <v>6324</v>
      </c>
      <c r="AD41" s="877">
        <f t="shared" si="51"/>
        <v>140176.87990283401</v>
      </c>
      <c r="AE41" s="877">
        <f t="shared" si="51"/>
        <v>6816122</v>
      </c>
      <c r="AF41" s="877">
        <f>SUM(AF35:AF40)</f>
        <v>-37582.504205161807</v>
      </c>
      <c r="AG41" s="877">
        <f>SUM(AG35:AG40)</f>
        <v>10893443.84</v>
      </c>
      <c r="AH41" s="874">
        <f t="shared" si="51"/>
        <v>287</v>
      </c>
      <c r="AI41" s="878">
        <f t="shared" si="51"/>
        <v>6816122</v>
      </c>
    </row>
    <row r="42" spans="1:35" ht="24.95" customHeight="1" x14ac:dyDescent="0.2">
      <c r="A42" s="869" t="s">
        <v>3810</v>
      </c>
      <c r="B42" s="871">
        <f>SUM(B17+B25+B33+B41)</f>
        <v>4575</v>
      </c>
      <c r="C42" s="877">
        <f t="shared" ref="C42:P42" si="52">SUM(C17+C25+C33+C41)</f>
        <v>39028.609687262389</v>
      </c>
      <c r="D42" s="877">
        <f t="shared" si="52"/>
        <v>28245.972829003411</v>
      </c>
      <c r="E42" s="877">
        <f t="shared" si="52"/>
        <v>0</v>
      </c>
      <c r="F42" s="877">
        <f t="shared" si="52"/>
        <v>0</v>
      </c>
      <c r="G42" s="877">
        <f t="shared" si="52"/>
        <v>0</v>
      </c>
      <c r="H42" s="877">
        <f t="shared" si="52"/>
        <v>0</v>
      </c>
      <c r="I42" s="877">
        <f t="shared" si="52"/>
        <v>0</v>
      </c>
      <c r="J42" s="877">
        <f t="shared" si="52"/>
        <v>0</v>
      </c>
      <c r="K42" s="877">
        <f t="shared" si="52"/>
        <v>67274.582516265815</v>
      </c>
      <c r="L42" s="877">
        <f t="shared" si="52"/>
        <v>26350</v>
      </c>
      <c r="M42" s="877">
        <f t="shared" si="52"/>
        <v>0</v>
      </c>
      <c r="N42" s="877">
        <f t="shared" si="52"/>
        <v>26350</v>
      </c>
      <c r="O42" s="877">
        <f t="shared" si="52"/>
        <v>833644.9901951896</v>
      </c>
      <c r="P42" s="878">
        <f t="shared" si="52"/>
        <v>72691166.280000001</v>
      </c>
      <c r="Q42" s="871">
        <f>SUM(Q17+Q25+Q33+Q41)</f>
        <v>1725</v>
      </c>
      <c r="R42" s="877">
        <f t="shared" ref="R42:AI42" si="53">SUM(R17+R25+R33+R41)</f>
        <v>30012.105120444023</v>
      </c>
      <c r="S42" s="877">
        <f t="shared" si="53"/>
        <v>30217.110374747848</v>
      </c>
      <c r="T42" s="877">
        <f t="shared" si="53"/>
        <v>0</v>
      </c>
      <c r="U42" s="877">
        <f t="shared" si="53"/>
        <v>0</v>
      </c>
      <c r="V42" s="877">
        <f t="shared" si="53"/>
        <v>0</v>
      </c>
      <c r="W42" s="877">
        <f t="shared" si="53"/>
        <v>0</v>
      </c>
      <c r="X42" s="877">
        <f t="shared" si="53"/>
        <v>0</v>
      </c>
      <c r="Y42" s="877">
        <f t="shared" si="53"/>
        <v>0</v>
      </c>
      <c r="Z42" s="877">
        <f t="shared" si="53"/>
        <v>60229.215495191878</v>
      </c>
      <c r="AA42" s="877">
        <f t="shared" si="53"/>
        <v>26350</v>
      </c>
      <c r="AB42" s="877">
        <f t="shared" si="53"/>
        <v>0</v>
      </c>
      <c r="AC42" s="877">
        <f t="shared" si="53"/>
        <v>26350</v>
      </c>
      <c r="AD42" s="877">
        <f t="shared" si="53"/>
        <v>749100.5859423026</v>
      </c>
      <c r="AE42" s="877">
        <f t="shared" si="53"/>
        <v>50039724.239999995</v>
      </c>
      <c r="AF42" s="877">
        <f>SUM(AF17+AF25+AF33+AF41)</f>
        <v>84544.404252887165</v>
      </c>
      <c r="AG42" s="877">
        <f>SUM(AG17+AG25+AG33+AG41)</f>
        <v>22651442.040000003</v>
      </c>
      <c r="AH42" s="874">
        <f t="shared" si="53"/>
        <v>1725</v>
      </c>
      <c r="AI42" s="878">
        <f t="shared" si="53"/>
        <v>50039724.239999995</v>
      </c>
    </row>
    <row r="43" spans="1:35" ht="24.95" customHeight="1" x14ac:dyDescent="0.2">
      <c r="A43" s="869" t="s">
        <v>3719</v>
      </c>
      <c r="B43" s="880"/>
      <c r="C43" s="881"/>
      <c r="D43" s="881"/>
      <c r="E43" s="881"/>
      <c r="F43" s="881"/>
      <c r="G43" s="881"/>
      <c r="H43" s="881"/>
      <c r="I43" s="881"/>
      <c r="J43" s="881"/>
      <c r="K43" s="881"/>
      <c r="L43" s="881"/>
      <c r="M43" s="881"/>
      <c r="N43" s="881"/>
      <c r="O43" s="881"/>
      <c r="P43" s="913"/>
      <c r="Q43" s="880"/>
      <c r="R43" s="881"/>
      <c r="S43" s="881"/>
      <c r="T43" s="881"/>
      <c r="U43" s="881"/>
      <c r="V43" s="881"/>
      <c r="W43" s="881"/>
      <c r="X43" s="881"/>
      <c r="Y43" s="881"/>
      <c r="Z43" s="881"/>
      <c r="AA43" s="881"/>
      <c r="AB43" s="881"/>
      <c r="AC43" s="881"/>
      <c r="AD43" s="881"/>
      <c r="AE43" s="881"/>
      <c r="AF43" s="881"/>
      <c r="AG43" s="881"/>
      <c r="AH43" s="914"/>
      <c r="AI43" s="913"/>
    </row>
    <row r="44" spans="1:35" ht="24.95" customHeight="1" x14ac:dyDescent="0.2">
      <c r="A44" s="869" t="s">
        <v>3671</v>
      </c>
      <c r="B44" s="880"/>
      <c r="C44" s="881"/>
      <c r="D44" s="881"/>
      <c r="E44" s="881"/>
      <c r="F44" s="881"/>
      <c r="G44" s="881"/>
      <c r="H44" s="881"/>
      <c r="I44" s="881"/>
      <c r="J44" s="881"/>
      <c r="K44" s="881"/>
      <c r="L44" s="881"/>
      <c r="M44" s="881"/>
      <c r="N44" s="881"/>
      <c r="O44" s="881"/>
      <c r="P44" s="913"/>
      <c r="Q44" s="880"/>
      <c r="R44" s="881"/>
      <c r="S44" s="881"/>
      <c r="T44" s="881"/>
      <c r="U44" s="881"/>
      <c r="V44" s="881"/>
      <c r="W44" s="881"/>
      <c r="X44" s="881"/>
      <c r="Y44" s="881"/>
      <c r="Z44" s="881"/>
      <c r="AA44" s="881"/>
      <c r="AB44" s="881"/>
      <c r="AC44" s="881"/>
      <c r="AD44" s="881"/>
      <c r="AE44" s="881"/>
      <c r="AF44" s="881"/>
      <c r="AG44" s="881"/>
      <c r="AH44" s="914"/>
      <c r="AI44" s="913"/>
    </row>
    <row r="45" spans="1:35" ht="24.95" customHeight="1" x14ac:dyDescent="0.2">
      <c r="A45" s="870" t="s">
        <v>3672</v>
      </c>
      <c r="B45" s="880">
        <v>1</v>
      </c>
      <c r="C45" s="881">
        <f>(688.17+2092.73)/B45-360</f>
        <v>2420.9</v>
      </c>
      <c r="D45" s="881"/>
      <c r="E45" s="881">
        <v>360</v>
      </c>
      <c r="F45" s="881"/>
      <c r="G45" s="881"/>
      <c r="H45" s="881"/>
      <c r="I45" s="881"/>
      <c r="J45" s="881">
        <v>0</v>
      </c>
      <c r="K45" s="881">
        <f>SUM(C45:J45)</f>
        <v>2780.9</v>
      </c>
      <c r="L45" s="881">
        <v>1054</v>
      </c>
      <c r="M45" s="881"/>
      <c r="N45" s="881">
        <f>SUM(L45:M45)</f>
        <v>1054</v>
      </c>
      <c r="O45" s="881">
        <f>(K45*12)+N45</f>
        <v>34424.800000000003</v>
      </c>
      <c r="P45" s="913">
        <f>(O45*B45)</f>
        <v>34424.800000000003</v>
      </c>
      <c r="Q45" s="880">
        <v>0</v>
      </c>
      <c r="R45" s="881">
        <v>0</v>
      </c>
      <c r="S45" s="881"/>
      <c r="T45" s="881">
        <v>0</v>
      </c>
      <c r="U45" s="881"/>
      <c r="V45" s="881"/>
      <c r="W45" s="881"/>
      <c r="X45" s="881"/>
      <c r="Y45" s="881">
        <v>0</v>
      </c>
      <c r="Z45" s="881">
        <f>SUM(R45:Y45)</f>
        <v>0</v>
      </c>
      <c r="AA45" s="881">
        <v>0</v>
      </c>
      <c r="AB45" s="881"/>
      <c r="AC45" s="881">
        <f>SUM(AA45:AB45)</f>
        <v>0</v>
      </c>
      <c r="AD45" s="881">
        <f>(Z45*12)+AC45</f>
        <v>0</v>
      </c>
      <c r="AE45" s="881">
        <f>(AD45*Q45)</f>
        <v>0</v>
      </c>
      <c r="AF45" s="881">
        <f>O45-AD45</f>
        <v>34424.800000000003</v>
      </c>
      <c r="AG45" s="881">
        <f>P45-AE45</f>
        <v>34424.800000000003</v>
      </c>
      <c r="AH45" s="914">
        <f t="shared" ref="AH45" si="54">Q45</f>
        <v>0</v>
      </c>
      <c r="AI45" s="913">
        <f t="shared" ref="AI45" si="55">AE45</f>
        <v>0</v>
      </c>
    </row>
    <row r="46" spans="1:35" ht="24.95" customHeight="1" x14ac:dyDescent="0.2">
      <c r="A46" s="869" t="s">
        <v>3800</v>
      </c>
      <c r="B46" s="871">
        <f t="shared" ref="B46:AI46" si="56">SUM(B45)</f>
        <v>1</v>
      </c>
      <c r="C46" s="877">
        <f t="shared" si="56"/>
        <v>2420.9</v>
      </c>
      <c r="D46" s="877">
        <f t="shared" si="56"/>
        <v>0</v>
      </c>
      <c r="E46" s="877">
        <f t="shared" si="56"/>
        <v>360</v>
      </c>
      <c r="F46" s="877">
        <f t="shared" si="56"/>
        <v>0</v>
      </c>
      <c r="G46" s="877">
        <f t="shared" si="56"/>
        <v>0</v>
      </c>
      <c r="H46" s="877">
        <f t="shared" si="56"/>
        <v>0</v>
      </c>
      <c r="I46" s="877">
        <f t="shared" si="56"/>
        <v>0</v>
      </c>
      <c r="J46" s="877">
        <f t="shared" si="56"/>
        <v>0</v>
      </c>
      <c r="K46" s="877">
        <f t="shared" si="56"/>
        <v>2780.9</v>
      </c>
      <c r="L46" s="877">
        <f t="shared" si="56"/>
        <v>1054</v>
      </c>
      <c r="M46" s="877">
        <f t="shared" si="56"/>
        <v>0</v>
      </c>
      <c r="N46" s="877">
        <f t="shared" si="56"/>
        <v>1054</v>
      </c>
      <c r="O46" s="877">
        <f t="shared" si="56"/>
        <v>34424.800000000003</v>
      </c>
      <c r="P46" s="878">
        <f t="shared" si="56"/>
        <v>34424.800000000003</v>
      </c>
      <c r="Q46" s="871">
        <f t="shared" si="56"/>
        <v>0</v>
      </c>
      <c r="R46" s="877">
        <f t="shared" si="56"/>
        <v>0</v>
      </c>
      <c r="S46" s="877">
        <f t="shared" si="56"/>
        <v>0</v>
      </c>
      <c r="T46" s="877">
        <f t="shared" si="56"/>
        <v>0</v>
      </c>
      <c r="U46" s="877">
        <f t="shared" si="56"/>
        <v>0</v>
      </c>
      <c r="V46" s="877">
        <f t="shared" si="56"/>
        <v>0</v>
      </c>
      <c r="W46" s="877">
        <f t="shared" si="56"/>
        <v>0</v>
      </c>
      <c r="X46" s="877">
        <f t="shared" si="56"/>
        <v>0</v>
      </c>
      <c r="Y46" s="877">
        <f t="shared" si="56"/>
        <v>0</v>
      </c>
      <c r="Z46" s="877">
        <f t="shared" si="56"/>
        <v>0</v>
      </c>
      <c r="AA46" s="877">
        <f t="shared" si="56"/>
        <v>0</v>
      </c>
      <c r="AB46" s="877">
        <f t="shared" si="56"/>
        <v>0</v>
      </c>
      <c r="AC46" s="877">
        <f t="shared" si="56"/>
        <v>0</v>
      </c>
      <c r="AD46" s="877">
        <f t="shared" si="56"/>
        <v>0</v>
      </c>
      <c r="AE46" s="877">
        <f t="shared" si="56"/>
        <v>0</v>
      </c>
      <c r="AF46" s="877">
        <f>SUM(AF45)</f>
        <v>34424.800000000003</v>
      </c>
      <c r="AG46" s="877">
        <f>SUM(AG45)</f>
        <v>34424.800000000003</v>
      </c>
      <c r="AH46" s="874">
        <f t="shared" si="56"/>
        <v>0</v>
      </c>
      <c r="AI46" s="878">
        <f t="shared" si="56"/>
        <v>0</v>
      </c>
    </row>
    <row r="47" spans="1:35" ht="24.95" customHeight="1" x14ac:dyDescent="0.2">
      <c r="A47" s="869" t="s">
        <v>3679</v>
      </c>
      <c r="B47" s="880"/>
      <c r="C47" s="881"/>
      <c r="D47" s="881"/>
      <c r="E47" s="881"/>
      <c r="F47" s="881"/>
      <c r="G47" s="881"/>
      <c r="H47" s="881"/>
      <c r="I47" s="881"/>
      <c r="J47" s="881"/>
      <c r="K47" s="881"/>
      <c r="L47" s="881"/>
      <c r="M47" s="881"/>
      <c r="N47" s="881"/>
      <c r="O47" s="881"/>
      <c r="P47" s="913"/>
      <c r="Q47" s="880"/>
      <c r="R47" s="881"/>
      <c r="S47" s="881"/>
      <c r="T47" s="881"/>
      <c r="U47" s="881"/>
      <c r="V47" s="881"/>
      <c r="W47" s="881"/>
      <c r="X47" s="881"/>
      <c r="Y47" s="881"/>
      <c r="Z47" s="881"/>
      <c r="AA47" s="881"/>
      <c r="AB47" s="881"/>
      <c r="AC47" s="881"/>
      <c r="AD47" s="881"/>
      <c r="AE47" s="881"/>
      <c r="AF47" s="881"/>
      <c r="AG47" s="881"/>
      <c r="AH47" s="914"/>
      <c r="AI47" s="913"/>
    </row>
    <row r="48" spans="1:35" ht="24.95" customHeight="1" x14ac:dyDescent="0.2">
      <c r="A48" s="870" t="s">
        <v>3680</v>
      </c>
      <c r="B48" s="880">
        <v>1</v>
      </c>
      <c r="C48" s="881">
        <f>(1378+1118.02)/B48-360</f>
        <v>2136.02</v>
      </c>
      <c r="D48" s="881"/>
      <c r="E48" s="881">
        <v>360</v>
      </c>
      <c r="F48" s="881"/>
      <c r="G48" s="881"/>
      <c r="H48" s="881"/>
      <c r="I48" s="881"/>
      <c r="J48" s="881">
        <v>0</v>
      </c>
      <c r="K48" s="881">
        <f>SUM(C48:J48)</f>
        <v>2496.02</v>
      </c>
      <c r="L48" s="881">
        <v>1054</v>
      </c>
      <c r="M48" s="881"/>
      <c r="N48" s="881">
        <f>SUM(L48:M48)</f>
        <v>1054</v>
      </c>
      <c r="O48" s="881">
        <f>(K48*12)+N48</f>
        <v>31006.239999999998</v>
      </c>
      <c r="P48" s="913">
        <f>(O48*B48)</f>
        <v>31006.239999999998</v>
      </c>
      <c r="Q48" s="880">
        <v>1</v>
      </c>
      <c r="R48" s="881">
        <f>2671/Q48</f>
        <v>2671</v>
      </c>
      <c r="S48" s="881"/>
      <c r="T48" s="881">
        <f>218.02/Q48</f>
        <v>218.02</v>
      </c>
      <c r="U48" s="881"/>
      <c r="V48" s="881"/>
      <c r="W48" s="881"/>
      <c r="X48" s="881"/>
      <c r="Y48" s="881">
        <v>0</v>
      </c>
      <c r="Z48" s="881">
        <f>SUM(R48:Y48)</f>
        <v>2889.02</v>
      </c>
      <c r="AA48" s="881">
        <v>1054</v>
      </c>
      <c r="AB48" s="881"/>
      <c r="AC48" s="881">
        <f>SUM(AA48:AB48)</f>
        <v>1054</v>
      </c>
      <c r="AD48" s="881">
        <f>(Z48*12)+AC48</f>
        <v>35722.239999999998</v>
      </c>
      <c r="AE48" s="881">
        <f>(AD48*Q48)</f>
        <v>35722.239999999998</v>
      </c>
      <c r="AF48" s="881">
        <f t="shared" ref="AF48:AG51" si="57">O48-AD48</f>
        <v>-4716</v>
      </c>
      <c r="AG48" s="881">
        <f t="shared" si="57"/>
        <v>-4716</v>
      </c>
      <c r="AH48" s="914">
        <f t="shared" ref="AH48:AH51" si="58">Q48</f>
        <v>1</v>
      </c>
      <c r="AI48" s="913">
        <f t="shared" ref="AI48:AI51" si="59">AE48</f>
        <v>35722.239999999998</v>
      </c>
    </row>
    <row r="49" spans="1:35" ht="24.95" customHeight="1" x14ac:dyDescent="0.2">
      <c r="A49" s="870" t="s">
        <v>3683</v>
      </c>
      <c r="B49" s="880">
        <v>11</v>
      </c>
      <c r="C49" s="881">
        <f>(14333+13107.24)/B49-360</f>
        <v>2134.5672727272727</v>
      </c>
      <c r="D49" s="881"/>
      <c r="E49" s="881">
        <f>3960/B49</f>
        <v>360</v>
      </c>
      <c r="F49" s="881"/>
      <c r="G49" s="881"/>
      <c r="H49" s="881"/>
      <c r="I49" s="881"/>
      <c r="J49" s="881">
        <v>0</v>
      </c>
      <c r="K49" s="881">
        <f>SUM(C49:J49)</f>
        <v>2494.5672727272727</v>
      </c>
      <c r="L49" s="881">
        <v>1054</v>
      </c>
      <c r="M49" s="881"/>
      <c r="N49" s="881">
        <f>SUM(L49:M49)</f>
        <v>1054</v>
      </c>
      <c r="O49" s="881">
        <f>(K49*12)+N49</f>
        <v>30988.807272727274</v>
      </c>
      <c r="P49" s="913">
        <f>(O49*B49)</f>
        <v>340876.88</v>
      </c>
      <c r="Q49" s="880">
        <v>9</v>
      </c>
      <c r="R49" s="881">
        <f>24099/Q49</f>
        <v>2677.6666666666665</v>
      </c>
      <c r="S49" s="881"/>
      <c r="T49" s="881">
        <f>2309.56/Q49</f>
        <v>256.61777777777775</v>
      </c>
      <c r="U49" s="881"/>
      <c r="V49" s="881"/>
      <c r="W49" s="881"/>
      <c r="X49" s="881"/>
      <c r="Y49" s="881">
        <v>0</v>
      </c>
      <c r="Z49" s="881">
        <f>SUM(R49:Y49)</f>
        <v>2934.2844444444445</v>
      </c>
      <c r="AA49" s="881">
        <v>1054</v>
      </c>
      <c r="AB49" s="881"/>
      <c r="AC49" s="881">
        <f>SUM(AA49:AB49)</f>
        <v>1054</v>
      </c>
      <c r="AD49" s="881">
        <f>(Z49*12)+AC49</f>
        <v>36265.41333333333</v>
      </c>
      <c r="AE49" s="881">
        <f>(AD49*Q49)</f>
        <v>326388.71999999997</v>
      </c>
      <c r="AF49" s="881">
        <f t="shared" si="57"/>
        <v>-5276.6060606060564</v>
      </c>
      <c r="AG49" s="881">
        <f t="shared" si="57"/>
        <v>14488.160000000033</v>
      </c>
      <c r="AH49" s="914">
        <f t="shared" si="58"/>
        <v>9</v>
      </c>
      <c r="AI49" s="913">
        <f t="shared" si="59"/>
        <v>326388.71999999997</v>
      </c>
    </row>
    <row r="50" spans="1:35" ht="24.95" customHeight="1" x14ac:dyDescent="0.2">
      <c r="A50" s="870" t="s">
        <v>3684</v>
      </c>
      <c r="B50" s="880">
        <v>182</v>
      </c>
      <c r="C50" s="881">
        <f>(236769.75+242257.39)/B50-360</f>
        <v>2272.0172527472528</v>
      </c>
      <c r="D50" s="881"/>
      <c r="E50" s="881">
        <v>360</v>
      </c>
      <c r="F50" s="881"/>
      <c r="G50" s="881"/>
      <c r="H50" s="881"/>
      <c r="I50" s="881"/>
      <c r="J50" s="881">
        <v>0</v>
      </c>
      <c r="K50" s="881">
        <f>SUM(C50:J50)</f>
        <v>2632.0172527472528</v>
      </c>
      <c r="L50" s="881">
        <v>1054</v>
      </c>
      <c r="M50" s="881"/>
      <c r="N50" s="881">
        <f>SUM(L50:M50)</f>
        <v>1054</v>
      </c>
      <c r="O50" s="881">
        <f>(K50*12)+N50</f>
        <v>32638.207032967031</v>
      </c>
      <c r="P50" s="913">
        <f>(O50*B50)</f>
        <v>5940153.6799999997</v>
      </c>
      <c r="Q50" s="880">
        <v>153</v>
      </c>
      <c r="R50" s="881">
        <f>398324/Q50</f>
        <v>2603.4248366013071</v>
      </c>
      <c r="S50" s="881"/>
      <c r="T50" s="881">
        <f>66628.04/Q50</f>
        <v>435.47738562091502</v>
      </c>
      <c r="U50" s="881"/>
      <c r="V50" s="881"/>
      <c r="W50" s="881"/>
      <c r="X50" s="881"/>
      <c r="Y50" s="881">
        <v>0</v>
      </c>
      <c r="Z50" s="881">
        <f>SUM(R50:Y50)</f>
        <v>3038.902222222222</v>
      </c>
      <c r="AA50" s="881">
        <v>1054</v>
      </c>
      <c r="AB50" s="881"/>
      <c r="AC50" s="881">
        <f>SUM(AA50:AB50)</f>
        <v>1054</v>
      </c>
      <c r="AD50" s="881">
        <f>(Z50*12)+AC50</f>
        <v>37520.82666666666</v>
      </c>
      <c r="AE50" s="881">
        <f>(AD50*Q50)</f>
        <v>5740686.4799999986</v>
      </c>
      <c r="AF50" s="881">
        <f t="shared" si="57"/>
        <v>-4882.619633699629</v>
      </c>
      <c r="AG50" s="881">
        <f t="shared" si="57"/>
        <v>199467.20000000112</v>
      </c>
      <c r="AH50" s="914">
        <f t="shared" si="58"/>
        <v>153</v>
      </c>
      <c r="AI50" s="913">
        <f t="shared" si="59"/>
        <v>5740686.4799999986</v>
      </c>
    </row>
    <row r="51" spans="1:35" ht="24.95" customHeight="1" x14ac:dyDescent="0.2">
      <c r="A51" s="870" t="s">
        <v>3685</v>
      </c>
      <c r="B51" s="880">
        <v>80</v>
      </c>
      <c r="C51" s="881">
        <f>(101440.6+101732.86)/B51-360</f>
        <v>2179.6682500000002</v>
      </c>
      <c r="D51" s="881"/>
      <c r="E51" s="881">
        <v>360</v>
      </c>
      <c r="F51" s="881"/>
      <c r="G51" s="881"/>
      <c r="H51" s="881"/>
      <c r="I51" s="881"/>
      <c r="J51" s="881">
        <v>0</v>
      </c>
      <c r="K51" s="881">
        <f>SUM(C51:J51)</f>
        <v>2539.6682500000002</v>
      </c>
      <c r="L51" s="881">
        <v>1054</v>
      </c>
      <c r="M51" s="881"/>
      <c r="N51" s="881">
        <f>SUM(L51:M51)</f>
        <v>1054</v>
      </c>
      <c r="O51" s="881">
        <f>(K51*12)+N51</f>
        <v>31530.019</v>
      </c>
      <c r="P51" s="913">
        <f>(O51*B51)</f>
        <v>2522401.52</v>
      </c>
      <c r="Q51" s="880">
        <v>61</v>
      </c>
      <c r="R51" s="881">
        <f>171352/Q51</f>
        <v>2809.0491803278687</v>
      </c>
      <c r="S51" s="881"/>
      <c r="T51" s="881">
        <f>17655.26/Q51</f>
        <v>289.43049180327864</v>
      </c>
      <c r="U51" s="881"/>
      <c r="V51" s="881"/>
      <c r="W51" s="881"/>
      <c r="X51" s="881"/>
      <c r="Y51" s="881">
        <v>0</v>
      </c>
      <c r="Z51" s="881">
        <f>SUM(R51:Y51)</f>
        <v>3098.4796721311473</v>
      </c>
      <c r="AA51" s="881">
        <v>1054</v>
      </c>
      <c r="AB51" s="881"/>
      <c r="AC51" s="881">
        <f>SUM(AA51:AB51)</f>
        <v>1054</v>
      </c>
      <c r="AD51" s="881">
        <f>(Z51*12)+AC51</f>
        <v>38235.756065573769</v>
      </c>
      <c r="AE51" s="881">
        <f>(AD51*Q51)</f>
        <v>2332381.12</v>
      </c>
      <c r="AF51" s="881">
        <f t="shared" si="57"/>
        <v>-6705.7370655737686</v>
      </c>
      <c r="AG51" s="881">
        <f t="shared" si="57"/>
        <v>190020.39999999991</v>
      </c>
      <c r="AH51" s="914">
        <f t="shared" si="58"/>
        <v>61</v>
      </c>
      <c r="AI51" s="913">
        <f t="shared" si="59"/>
        <v>2332381.12</v>
      </c>
    </row>
    <row r="52" spans="1:35" ht="24.95" customHeight="1" x14ac:dyDescent="0.2">
      <c r="A52" s="869" t="s">
        <v>3801</v>
      </c>
      <c r="B52" s="871">
        <f>SUM(B48:B51)</f>
        <v>274</v>
      </c>
      <c r="C52" s="877">
        <f t="shared" ref="C52:P52" si="60">SUM(C48:C51)</f>
        <v>8722.2727754745265</v>
      </c>
      <c r="D52" s="877">
        <f t="shared" si="60"/>
        <v>0</v>
      </c>
      <c r="E52" s="877">
        <f t="shared" si="60"/>
        <v>1440</v>
      </c>
      <c r="F52" s="877">
        <f t="shared" si="60"/>
        <v>0</v>
      </c>
      <c r="G52" s="877">
        <f t="shared" si="60"/>
        <v>0</v>
      </c>
      <c r="H52" s="877">
        <f t="shared" si="60"/>
        <v>0</v>
      </c>
      <c r="I52" s="877">
        <f t="shared" si="60"/>
        <v>0</v>
      </c>
      <c r="J52" s="877">
        <f t="shared" si="60"/>
        <v>0</v>
      </c>
      <c r="K52" s="877">
        <f t="shared" si="60"/>
        <v>10162.272775474526</v>
      </c>
      <c r="L52" s="877">
        <f t="shared" si="60"/>
        <v>4216</v>
      </c>
      <c r="M52" s="877">
        <f t="shared" si="60"/>
        <v>0</v>
      </c>
      <c r="N52" s="877">
        <f t="shared" si="60"/>
        <v>4216</v>
      </c>
      <c r="O52" s="877">
        <f t="shared" si="60"/>
        <v>126163.27330569431</v>
      </c>
      <c r="P52" s="878">
        <f t="shared" si="60"/>
        <v>8834438.3200000003</v>
      </c>
      <c r="Q52" s="871">
        <f>SUM(Q48:Q51)</f>
        <v>224</v>
      </c>
      <c r="R52" s="877">
        <f t="shared" ref="R52:AI52" si="61">SUM(R48:R51)</f>
        <v>10761.140683595842</v>
      </c>
      <c r="S52" s="877">
        <f t="shared" si="61"/>
        <v>0</v>
      </c>
      <c r="T52" s="877">
        <f t="shared" si="61"/>
        <v>1199.5456552019714</v>
      </c>
      <c r="U52" s="877">
        <f t="shared" si="61"/>
        <v>0</v>
      </c>
      <c r="V52" s="877">
        <f t="shared" si="61"/>
        <v>0</v>
      </c>
      <c r="W52" s="877">
        <f t="shared" si="61"/>
        <v>0</v>
      </c>
      <c r="X52" s="877">
        <f t="shared" si="61"/>
        <v>0</v>
      </c>
      <c r="Y52" s="877">
        <f t="shared" si="61"/>
        <v>0</v>
      </c>
      <c r="Z52" s="877">
        <f t="shared" si="61"/>
        <v>11960.686338797812</v>
      </c>
      <c r="AA52" s="877">
        <f t="shared" si="61"/>
        <v>4216</v>
      </c>
      <c r="AB52" s="877">
        <f t="shared" si="61"/>
        <v>0</v>
      </c>
      <c r="AC52" s="877">
        <f t="shared" si="61"/>
        <v>4216</v>
      </c>
      <c r="AD52" s="877">
        <f t="shared" si="61"/>
        <v>147744.23606557376</v>
      </c>
      <c r="AE52" s="877">
        <f t="shared" si="61"/>
        <v>8435178.5599999987</v>
      </c>
      <c r="AF52" s="877">
        <f>SUM(AF48:AF51)</f>
        <v>-21580.962759879454</v>
      </c>
      <c r="AG52" s="877">
        <f>SUM(AG48:AG51)</f>
        <v>399259.76000000106</v>
      </c>
      <c r="AH52" s="874">
        <f t="shared" si="61"/>
        <v>224</v>
      </c>
      <c r="AI52" s="878">
        <f t="shared" si="61"/>
        <v>8435178.5599999987</v>
      </c>
    </row>
    <row r="53" spans="1:35" ht="24.95" customHeight="1" x14ac:dyDescent="0.2">
      <c r="A53" s="869" t="s">
        <v>3686</v>
      </c>
      <c r="B53" s="880"/>
      <c r="C53" s="881"/>
      <c r="D53" s="881"/>
      <c r="E53" s="881"/>
      <c r="F53" s="881"/>
      <c r="G53" s="881"/>
      <c r="H53" s="881"/>
      <c r="I53" s="881"/>
      <c r="J53" s="881"/>
      <c r="K53" s="881"/>
      <c r="L53" s="881"/>
      <c r="M53" s="881"/>
      <c r="N53" s="881"/>
      <c r="O53" s="881"/>
      <c r="P53" s="913"/>
      <c r="Q53" s="880"/>
      <c r="R53" s="881"/>
      <c r="S53" s="881"/>
      <c r="T53" s="881"/>
      <c r="U53" s="881"/>
      <c r="V53" s="881"/>
      <c r="W53" s="881"/>
      <c r="X53" s="881"/>
      <c r="Y53" s="881"/>
      <c r="Z53" s="881"/>
      <c r="AA53" s="881"/>
      <c r="AB53" s="881"/>
      <c r="AC53" s="881"/>
      <c r="AD53" s="881"/>
      <c r="AE53" s="881"/>
      <c r="AF53" s="881"/>
      <c r="AG53" s="881"/>
      <c r="AH53" s="914"/>
      <c r="AI53" s="913"/>
    </row>
    <row r="54" spans="1:35" ht="24.95" customHeight="1" x14ac:dyDescent="0.2">
      <c r="A54" s="870" t="s">
        <v>3802</v>
      </c>
      <c r="B54" s="880">
        <v>118</v>
      </c>
      <c r="C54" s="881">
        <f>(137460.2+144909.69)/B54-360</f>
        <v>2032.9651694915256</v>
      </c>
      <c r="D54" s="881"/>
      <c r="E54" s="881">
        <v>360</v>
      </c>
      <c r="F54" s="881"/>
      <c r="G54" s="881"/>
      <c r="H54" s="881"/>
      <c r="I54" s="881"/>
      <c r="J54" s="881">
        <v>0</v>
      </c>
      <c r="K54" s="881">
        <f t="shared" ref="K54:K59" si="62">SUM(C54:J54)</f>
        <v>2392.9651694915256</v>
      </c>
      <c r="L54" s="881">
        <v>1054</v>
      </c>
      <c r="M54" s="881"/>
      <c r="N54" s="881">
        <f t="shared" ref="N54:N59" si="63">SUM(L54:M54)</f>
        <v>1054</v>
      </c>
      <c r="O54" s="881">
        <f t="shared" ref="O54:O59" si="64">(K54*12)+N54</f>
        <v>29769.582033898307</v>
      </c>
      <c r="P54" s="913">
        <f t="shared" ref="P54:P59" si="65">(O54*B54)</f>
        <v>3512810.68</v>
      </c>
      <c r="Q54" s="880">
        <v>110</v>
      </c>
      <c r="R54" s="881">
        <f>264130/Q54</f>
        <v>2401.181818181818</v>
      </c>
      <c r="S54" s="881"/>
      <c r="T54" s="881">
        <f>41953.85/Q54</f>
        <v>381.39863636363634</v>
      </c>
      <c r="U54" s="881"/>
      <c r="V54" s="881"/>
      <c r="W54" s="881"/>
      <c r="X54" s="881"/>
      <c r="Y54" s="881">
        <v>0</v>
      </c>
      <c r="Z54" s="881">
        <f t="shared" ref="Z54:Z59" si="66">SUM(R54:Y54)</f>
        <v>2782.5804545454544</v>
      </c>
      <c r="AA54" s="881">
        <v>1054</v>
      </c>
      <c r="AB54" s="881"/>
      <c r="AC54" s="881">
        <f t="shared" ref="AC54:AC59" si="67">SUM(AA54:AB54)</f>
        <v>1054</v>
      </c>
      <c r="AD54" s="881">
        <f t="shared" ref="AD54:AD59" si="68">(Z54*12)+AC54</f>
        <v>34444.965454545454</v>
      </c>
      <c r="AE54" s="881">
        <f t="shared" ref="AE54:AE59" si="69">(AD54*Q54)</f>
        <v>3788946.2</v>
      </c>
      <c r="AF54" s="881">
        <f t="shared" ref="AF54:AG59" si="70">O54-AD54</f>
        <v>-4675.3834206471474</v>
      </c>
      <c r="AG54" s="881">
        <f t="shared" si="70"/>
        <v>-276135.52</v>
      </c>
      <c r="AH54" s="914">
        <f t="shared" ref="AH54:AH59" si="71">Q54</f>
        <v>110</v>
      </c>
      <c r="AI54" s="913">
        <f t="shared" ref="AI54:AI59" si="72">AE54</f>
        <v>3788946.2</v>
      </c>
    </row>
    <row r="55" spans="1:35" ht="24.95" customHeight="1" x14ac:dyDescent="0.2">
      <c r="A55" s="870" t="s">
        <v>3803</v>
      </c>
      <c r="B55" s="880">
        <v>305</v>
      </c>
      <c r="C55" s="881">
        <f>(351983.2+379989.97)/B55-360</f>
        <v>2039.912032786885</v>
      </c>
      <c r="D55" s="881"/>
      <c r="E55" s="881">
        <v>360</v>
      </c>
      <c r="F55" s="881"/>
      <c r="G55" s="881"/>
      <c r="H55" s="881"/>
      <c r="I55" s="881"/>
      <c r="J55" s="881">
        <v>0</v>
      </c>
      <c r="K55" s="881">
        <f t="shared" si="62"/>
        <v>2399.912032786885</v>
      </c>
      <c r="L55" s="881">
        <v>1054</v>
      </c>
      <c r="M55" s="881"/>
      <c r="N55" s="881">
        <f t="shared" si="63"/>
        <v>1054</v>
      </c>
      <c r="O55" s="881">
        <f t="shared" si="64"/>
        <v>29852.94439344262</v>
      </c>
      <c r="P55" s="913">
        <f t="shared" si="65"/>
        <v>9105148.0399999991</v>
      </c>
      <c r="Q55" s="880">
        <v>286</v>
      </c>
      <c r="R55" s="881">
        <f>769827.57/Q55</f>
        <v>2691.7047902097902</v>
      </c>
      <c r="S55" s="881"/>
      <c r="T55" s="881">
        <f>78168.59/Q55</f>
        <v>273.31674825174827</v>
      </c>
      <c r="U55" s="881"/>
      <c r="V55" s="881"/>
      <c r="W55" s="881"/>
      <c r="X55" s="881"/>
      <c r="Y55" s="881">
        <v>0</v>
      </c>
      <c r="Z55" s="881">
        <f t="shared" si="66"/>
        <v>2965.0215384615385</v>
      </c>
      <c r="AA55" s="881">
        <v>1054</v>
      </c>
      <c r="AB55" s="881"/>
      <c r="AC55" s="881">
        <f t="shared" si="67"/>
        <v>1054</v>
      </c>
      <c r="AD55" s="881">
        <f t="shared" si="68"/>
        <v>36634.258461538462</v>
      </c>
      <c r="AE55" s="881">
        <f t="shared" si="69"/>
        <v>10477397.92</v>
      </c>
      <c r="AF55" s="881">
        <f t="shared" si="70"/>
        <v>-6781.3140680958422</v>
      </c>
      <c r="AG55" s="881">
        <f t="shared" si="70"/>
        <v>-1372249.8800000008</v>
      </c>
      <c r="AH55" s="914">
        <f t="shared" si="71"/>
        <v>286</v>
      </c>
      <c r="AI55" s="913">
        <f t="shared" si="72"/>
        <v>10477397.92</v>
      </c>
    </row>
    <row r="56" spans="1:35" ht="24.95" customHeight="1" x14ac:dyDescent="0.2">
      <c r="A56" s="870" t="s">
        <v>3804</v>
      </c>
      <c r="B56" s="880">
        <v>476</v>
      </c>
      <c r="C56" s="881">
        <f>(544544+631687.06)/B56-360</f>
        <v>2111.0736554621849</v>
      </c>
      <c r="D56" s="881"/>
      <c r="E56" s="881">
        <v>360</v>
      </c>
      <c r="F56" s="881"/>
      <c r="G56" s="881"/>
      <c r="H56" s="881"/>
      <c r="I56" s="881"/>
      <c r="J56" s="881">
        <v>0</v>
      </c>
      <c r="K56" s="881">
        <f t="shared" si="62"/>
        <v>2471.0736554621849</v>
      </c>
      <c r="L56" s="881">
        <v>1054</v>
      </c>
      <c r="M56" s="881"/>
      <c r="N56" s="881">
        <f t="shared" si="63"/>
        <v>1054</v>
      </c>
      <c r="O56" s="881">
        <f t="shared" si="64"/>
        <v>30706.883865546217</v>
      </c>
      <c r="P56" s="913">
        <f t="shared" si="65"/>
        <v>14616476.719999999</v>
      </c>
      <c r="Q56" s="880">
        <v>453</v>
      </c>
      <c r="R56" s="881">
        <f>1281124.34/Q56</f>
        <v>2828.0890507726272</v>
      </c>
      <c r="S56" s="881"/>
      <c r="T56" s="881">
        <f>130679.06/Q56</f>
        <v>288.47474613686535</v>
      </c>
      <c r="U56" s="881"/>
      <c r="V56" s="881"/>
      <c r="W56" s="881"/>
      <c r="X56" s="881"/>
      <c r="Y56" s="881">
        <v>0</v>
      </c>
      <c r="Z56" s="881">
        <f t="shared" si="66"/>
        <v>3116.5637969094923</v>
      </c>
      <c r="AA56" s="881">
        <v>1054</v>
      </c>
      <c r="AB56" s="881"/>
      <c r="AC56" s="881">
        <f t="shared" si="67"/>
        <v>1054</v>
      </c>
      <c r="AD56" s="881">
        <f t="shared" si="68"/>
        <v>38452.765562913904</v>
      </c>
      <c r="AE56" s="881">
        <f t="shared" si="69"/>
        <v>17419102.799999997</v>
      </c>
      <c r="AF56" s="881">
        <f t="shared" si="70"/>
        <v>-7745.8816973676876</v>
      </c>
      <c r="AG56" s="881">
        <f t="shared" si="70"/>
        <v>-2802626.0799999982</v>
      </c>
      <c r="AH56" s="914">
        <f t="shared" si="71"/>
        <v>453</v>
      </c>
      <c r="AI56" s="913">
        <f t="shared" si="72"/>
        <v>17419102.799999997</v>
      </c>
    </row>
    <row r="57" spans="1:35" ht="24.95" customHeight="1" x14ac:dyDescent="0.2">
      <c r="A57" s="870" t="s">
        <v>3805</v>
      </c>
      <c r="B57" s="880">
        <v>66</v>
      </c>
      <c r="C57" s="881">
        <f>(73706.8+75775.39)/B57-360</f>
        <v>1904.8816666666667</v>
      </c>
      <c r="D57" s="881"/>
      <c r="E57" s="881">
        <v>360</v>
      </c>
      <c r="F57" s="881"/>
      <c r="G57" s="881"/>
      <c r="H57" s="881"/>
      <c r="I57" s="881"/>
      <c r="J57" s="881">
        <v>0</v>
      </c>
      <c r="K57" s="881">
        <f t="shared" si="62"/>
        <v>2264.8816666666667</v>
      </c>
      <c r="L57" s="881">
        <v>1054</v>
      </c>
      <c r="M57" s="881"/>
      <c r="N57" s="881">
        <f t="shared" si="63"/>
        <v>1054</v>
      </c>
      <c r="O57" s="881">
        <f t="shared" si="64"/>
        <v>28232.58</v>
      </c>
      <c r="P57" s="913">
        <f t="shared" si="65"/>
        <v>1863350.28</v>
      </c>
      <c r="Q57" s="880">
        <v>66</v>
      </c>
      <c r="R57" s="881">
        <f>156764/Q57</f>
        <v>2375.212121212121</v>
      </c>
      <c r="S57" s="881"/>
      <c r="T57" s="881">
        <f>20709.19/Q57</f>
        <v>313.77560606060604</v>
      </c>
      <c r="U57" s="881"/>
      <c r="V57" s="881"/>
      <c r="W57" s="881"/>
      <c r="X57" s="881"/>
      <c r="Y57" s="881">
        <v>0</v>
      </c>
      <c r="Z57" s="881">
        <f t="shared" si="66"/>
        <v>2688.9877272727272</v>
      </c>
      <c r="AA57" s="881">
        <v>1054</v>
      </c>
      <c r="AB57" s="881"/>
      <c r="AC57" s="881">
        <f t="shared" si="67"/>
        <v>1054</v>
      </c>
      <c r="AD57" s="881">
        <f t="shared" si="68"/>
        <v>33321.852727272722</v>
      </c>
      <c r="AE57" s="881">
        <f t="shared" si="69"/>
        <v>2199242.2799999998</v>
      </c>
      <c r="AF57" s="881">
        <f t="shared" si="70"/>
        <v>-5089.2727272727207</v>
      </c>
      <c r="AG57" s="881">
        <f t="shared" si="70"/>
        <v>-335891.99999999977</v>
      </c>
      <c r="AH57" s="914">
        <f t="shared" si="71"/>
        <v>66</v>
      </c>
      <c r="AI57" s="913">
        <f t="shared" si="72"/>
        <v>2199242.2799999998</v>
      </c>
    </row>
    <row r="58" spans="1:35" ht="24.95" customHeight="1" x14ac:dyDescent="0.2">
      <c r="A58" s="870" t="s">
        <v>3806</v>
      </c>
      <c r="B58" s="880">
        <v>137</v>
      </c>
      <c r="C58" s="881">
        <f>(154255.2+154792.18)/B58-360</f>
        <v>1895.8202919708028</v>
      </c>
      <c r="D58" s="881"/>
      <c r="E58" s="881">
        <v>360</v>
      </c>
      <c r="F58" s="881"/>
      <c r="G58" s="881"/>
      <c r="H58" s="881"/>
      <c r="I58" s="881"/>
      <c r="J58" s="881">
        <v>0</v>
      </c>
      <c r="K58" s="881">
        <f t="shared" si="62"/>
        <v>2255.8202919708028</v>
      </c>
      <c r="L58" s="881">
        <v>1054</v>
      </c>
      <c r="M58" s="881"/>
      <c r="N58" s="881">
        <f t="shared" si="63"/>
        <v>1054</v>
      </c>
      <c r="O58" s="881">
        <f t="shared" si="64"/>
        <v>28123.843503649634</v>
      </c>
      <c r="P58" s="913">
        <f t="shared" si="65"/>
        <v>3852966.56</v>
      </c>
      <c r="Q58" s="880">
        <v>137</v>
      </c>
      <c r="R58" s="881">
        <f>308071.59/Q58</f>
        <v>2248.6977372262777</v>
      </c>
      <c r="S58" s="881"/>
      <c r="T58" s="881">
        <f>48241.79/Q58</f>
        <v>352.12985401459855</v>
      </c>
      <c r="U58" s="881"/>
      <c r="V58" s="881"/>
      <c r="W58" s="881"/>
      <c r="X58" s="881"/>
      <c r="Y58" s="881">
        <v>0</v>
      </c>
      <c r="Z58" s="881">
        <f t="shared" si="66"/>
        <v>2600.8275912408762</v>
      </c>
      <c r="AA58" s="881">
        <v>1054</v>
      </c>
      <c r="AB58" s="881"/>
      <c r="AC58" s="881">
        <f t="shared" si="67"/>
        <v>1054</v>
      </c>
      <c r="AD58" s="881">
        <f t="shared" si="68"/>
        <v>32263.931094890515</v>
      </c>
      <c r="AE58" s="881">
        <f t="shared" si="69"/>
        <v>4420158.5600000005</v>
      </c>
      <c r="AF58" s="881">
        <f t="shared" si="70"/>
        <v>-4140.087591240881</v>
      </c>
      <c r="AG58" s="881">
        <f t="shared" si="70"/>
        <v>-567192.00000000047</v>
      </c>
      <c r="AH58" s="914">
        <f t="shared" si="71"/>
        <v>137</v>
      </c>
      <c r="AI58" s="913">
        <f t="shared" si="72"/>
        <v>4420158.5600000005</v>
      </c>
    </row>
    <row r="59" spans="1:35" ht="24.95" customHeight="1" x14ac:dyDescent="0.2">
      <c r="A59" s="870" t="s">
        <v>3807</v>
      </c>
      <c r="B59" s="880">
        <v>25</v>
      </c>
      <c r="C59" s="881">
        <f>(28023.4+31804.03)/B59-360</f>
        <v>2033.0972000000002</v>
      </c>
      <c r="D59" s="881"/>
      <c r="E59" s="881">
        <v>360</v>
      </c>
      <c r="F59" s="881"/>
      <c r="G59" s="881"/>
      <c r="H59" s="881"/>
      <c r="I59" s="881"/>
      <c r="J59" s="881">
        <v>0</v>
      </c>
      <c r="K59" s="881">
        <f t="shared" si="62"/>
        <v>2393.0972000000002</v>
      </c>
      <c r="L59" s="881">
        <v>1054</v>
      </c>
      <c r="M59" s="881"/>
      <c r="N59" s="881">
        <f t="shared" si="63"/>
        <v>1054</v>
      </c>
      <c r="O59" s="881">
        <f t="shared" si="64"/>
        <v>29771.166400000002</v>
      </c>
      <c r="P59" s="913">
        <f t="shared" si="65"/>
        <v>744279.16</v>
      </c>
      <c r="Q59" s="880">
        <v>613</v>
      </c>
      <c r="R59" s="881">
        <f>1837898/Q59</f>
        <v>2998.2022838499183</v>
      </c>
      <c r="S59" s="881"/>
      <c r="T59" s="881">
        <f>157163.85/Q59</f>
        <v>256.38474714518759</v>
      </c>
      <c r="U59" s="881"/>
      <c r="V59" s="881"/>
      <c r="W59" s="881"/>
      <c r="X59" s="881"/>
      <c r="Y59" s="881">
        <v>0</v>
      </c>
      <c r="Z59" s="881">
        <f t="shared" si="66"/>
        <v>3254.587030995106</v>
      </c>
      <c r="AA59" s="881">
        <v>1054</v>
      </c>
      <c r="AB59" s="881"/>
      <c r="AC59" s="881">
        <f t="shared" si="67"/>
        <v>1054</v>
      </c>
      <c r="AD59" s="881">
        <f t="shared" si="68"/>
        <v>40109.044371941272</v>
      </c>
      <c r="AE59" s="881">
        <f t="shared" si="69"/>
        <v>24586844.199999999</v>
      </c>
      <c r="AF59" s="881">
        <f t="shared" si="70"/>
        <v>-10337.877971941271</v>
      </c>
      <c r="AG59" s="881">
        <f t="shared" si="70"/>
        <v>-23842565.039999999</v>
      </c>
      <c r="AH59" s="914">
        <f t="shared" si="71"/>
        <v>613</v>
      </c>
      <c r="AI59" s="913">
        <f t="shared" si="72"/>
        <v>24586844.199999999</v>
      </c>
    </row>
    <row r="60" spans="1:35" ht="24.95" customHeight="1" x14ac:dyDescent="0.2">
      <c r="A60" s="869" t="s">
        <v>3808</v>
      </c>
      <c r="B60" s="871">
        <f t="shared" ref="B60:P60" si="73">SUM(B54:B59)</f>
        <v>1127</v>
      </c>
      <c r="C60" s="877">
        <f t="shared" si="73"/>
        <v>12017.750016378064</v>
      </c>
      <c r="D60" s="877">
        <f t="shared" si="73"/>
        <v>0</v>
      </c>
      <c r="E60" s="877">
        <f t="shared" si="73"/>
        <v>2160</v>
      </c>
      <c r="F60" s="877">
        <f t="shared" si="73"/>
        <v>0</v>
      </c>
      <c r="G60" s="877">
        <f t="shared" si="73"/>
        <v>0</v>
      </c>
      <c r="H60" s="877">
        <f t="shared" si="73"/>
        <v>0</v>
      </c>
      <c r="I60" s="877">
        <f t="shared" si="73"/>
        <v>0</v>
      </c>
      <c r="J60" s="877">
        <f t="shared" si="73"/>
        <v>0</v>
      </c>
      <c r="K60" s="877">
        <f t="shared" si="73"/>
        <v>14177.750016378064</v>
      </c>
      <c r="L60" s="877">
        <f t="shared" si="73"/>
        <v>6324</v>
      </c>
      <c r="M60" s="877">
        <f t="shared" si="73"/>
        <v>0</v>
      </c>
      <c r="N60" s="877">
        <f t="shared" si="73"/>
        <v>6324</v>
      </c>
      <c r="O60" s="877">
        <f t="shared" si="73"/>
        <v>176457.00019653677</v>
      </c>
      <c r="P60" s="878">
        <f t="shared" si="73"/>
        <v>33695031.439999998</v>
      </c>
      <c r="Q60" s="871">
        <f t="shared" ref="Q60:AI60" si="74">SUM(Q54:Q59)</f>
        <v>1665</v>
      </c>
      <c r="R60" s="877">
        <f t="shared" si="74"/>
        <v>15543.087801452552</v>
      </c>
      <c r="S60" s="877">
        <f t="shared" si="74"/>
        <v>0</v>
      </c>
      <c r="T60" s="877">
        <f t="shared" si="74"/>
        <v>1865.4803379726422</v>
      </c>
      <c r="U60" s="877">
        <f t="shared" si="74"/>
        <v>0</v>
      </c>
      <c r="V60" s="877">
        <f t="shared" si="74"/>
        <v>0</v>
      </c>
      <c r="W60" s="877">
        <f t="shared" si="74"/>
        <v>0</v>
      </c>
      <c r="X60" s="877">
        <f t="shared" si="74"/>
        <v>0</v>
      </c>
      <c r="Y60" s="877">
        <f t="shared" si="74"/>
        <v>0</v>
      </c>
      <c r="Z60" s="877">
        <f t="shared" si="74"/>
        <v>17408.568139425195</v>
      </c>
      <c r="AA60" s="877">
        <f t="shared" si="74"/>
        <v>6324</v>
      </c>
      <c r="AB60" s="877">
        <f t="shared" si="74"/>
        <v>0</v>
      </c>
      <c r="AC60" s="877">
        <f t="shared" si="74"/>
        <v>6324</v>
      </c>
      <c r="AD60" s="877">
        <f t="shared" si="74"/>
        <v>215226.81767310234</v>
      </c>
      <c r="AE60" s="877">
        <f t="shared" si="74"/>
        <v>62891691.959999993</v>
      </c>
      <c r="AF60" s="877">
        <f>SUM(AF54:AF59)</f>
        <v>-38769.817476565549</v>
      </c>
      <c r="AG60" s="877">
        <f>SUM(AG54:AG59)</f>
        <v>-29196660.519999996</v>
      </c>
      <c r="AH60" s="874">
        <f t="shared" si="74"/>
        <v>1665</v>
      </c>
      <c r="AI60" s="878">
        <f t="shared" si="74"/>
        <v>62891691.959999993</v>
      </c>
    </row>
    <row r="61" spans="1:35" ht="24.95" customHeight="1" x14ac:dyDescent="0.2">
      <c r="A61" s="869" t="s">
        <v>3693</v>
      </c>
      <c r="B61" s="880"/>
      <c r="C61" s="881"/>
      <c r="D61" s="881"/>
      <c r="E61" s="881"/>
      <c r="F61" s="881"/>
      <c r="G61" s="881"/>
      <c r="H61" s="881"/>
      <c r="I61" s="881"/>
      <c r="J61" s="881"/>
      <c r="K61" s="881"/>
      <c r="L61" s="881"/>
      <c r="M61" s="881"/>
      <c r="N61" s="881"/>
      <c r="O61" s="881"/>
      <c r="P61" s="913"/>
      <c r="Q61" s="880"/>
      <c r="R61" s="881"/>
      <c r="S61" s="881"/>
      <c r="T61" s="881"/>
      <c r="U61" s="881"/>
      <c r="V61" s="881"/>
      <c r="W61" s="881"/>
      <c r="X61" s="881"/>
      <c r="Y61" s="881"/>
      <c r="Z61" s="881"/>
      <c r="AA61" s="881"/>
      <c r="AB61" s="881"/>
      <c r="AC61" s="881"/>
      <c r="AD61" s="881"/>
      <c r="AE61" s="881"/>
      <c r="AF61" s="881"/>
      <c r="AG61" s="881"/>
      <c r="AH61" s="914"/>
      <c r="AI61" s="913"/>
    </row>
    <row r="62" spans="1:35" ht="24.95" customHeight="1" x14ac:dyDescent="0.2">
      <c r="A62" s="870" t="s">
        <v>3694</v>
      </c>
      <c r="B62" s="880">
        <v>2</v>
      </c>
      <c r="C62" s="881">
        <f>(2262+1534)/B62-360</f>
        <v>1538</v>
      </c>
      <c r="D62" s="881"/>
      <c r="E62" s="881">
        <v>360</v>
      </c>
      <c r="F62" s="881"/>
      <c r="G62" s="881"/>
      <c r="H62" s="881"/>
      <c r="I62" s="881"/>
      <c r="J62" s="881">
        <v>0</v>
      </c>
      <c r="K62" s="881">
        <f>SUM(C62:J62)</f>
        <v>1898</v>
      </c>
      <c r="L62" s="881">
        <v>1054</v>
      </c>
      <c r="M62" s="881"/>
      <c r="N62" s="881">
        <f>SUM(L62:M62)</f>
        <v>1054</v>
      </c>
      <c r="O62" s="881">
        <f>(K62*12)+N62</f>
        <v>23830</v>
      </c>
      <c r="P62" s="913">
        <f>(O62*B62)</f>
        <v>47660</v>
      </c>
      <c r="Q62" s="880">
        <v>2</v>
      </c>
      <c r="R62" s="881">
        <f>4488/Q62</f>
        <v>2244</v>
      </c>
      <c r="S62" s="881"/>
      <c r="T62" s="881">
        <f>0/Q62</f>
        <v>0</v>
      </c>
      <c r="U62" s="881"/>
      <c r="V62" s="881"/>
      <c r="W62" s="881"/>
      <c r="X62" s="881"/>
      <c r="Y62" s="881">
        <v>0</v>
      </c>
      <c r="Z62" s="881">
        <f>SUM(R62:Y62)</f>
        <v>2244</v>
      </c>
      <c r="AA62" s="881">
        <v>1054</v>
      </c>
      <c r="AB62" s="881"/>
      <c r="AC62" s="881">
        <f>SUM(AA62:AB62)</f>
        <v>1054</v>
      </c>
      <c r="AD62" s="881">
        <f>(Z62*12)+AC62</f>
        <v>27982</v>
      </c>
      <c r="AE62" s="881">
        <f>(AD62*Q62)</f>
        <v>55964</v>
      </c>
      <c r="AF62" s="881">
        <f t="shared" ref="AF62:AG66" si="75">O62-AD62</f>
        <v>-4152</v>
      </c>
      <c r="AG62" s="881">
        <f t="shared" si="75"/>
        <v>-8304</v>
      </c>
      <c r="AH62" s="914">
        <f t="shared" ref="AH62:AH66" si="76">Q62</f>
        <v>2</v>
      </c>
      <c r="AI62" s="913">
        <f t="shared" ref="AI62:AI66" si="77">AE62</f>
        <v>55964</v>
      </c>
    </row>
    <row r="63" spans="1:35" s="48" customFormat="1" ht="24.95" customHeight="1" x14ac:dyDescent="0.2">
      <c r="A63" s="870" t="s">
        <v>3695</v>
      </c>
      <c r="B63" s="880">
        <v>5</v>
      </c>
      <c r="C63" s="881">
        <f>(5630+6112.98)/B63-360</f>
        <v>1988.596</v>
      </c>
      <c r="D63" s="881"/>
      <c r="E63" s="881">
        <v>360</v>
      </c>
      <c r="F63" s="881"/>
      <c r="G63" s="881"/>
      <c r="H63" s="881"/>
      <c r="I63" s="881"/>
      <c r="J63" s="881">
        <v>0</v>
      </c>
      <c r="K63" s="881">
        <f>SUM(C63:J63)</f>
        <v>2348.596</v>
      </c>
      <c r="L63" s="881">
        <v>1054</v>
      </c>
      <c r="M63" s="881"/>
      <c r="N63" s="881">
        <f>SUM(L63:M63)</f>
        <v>1054</v>
      </c>
      <c r="O63" s="881">
        <f>(K63*12)+N63</f>
        <v>29237.152000000002</v>
      </c>
      <c r="P63" s="913">
        <f>(O63*B63)</f>
        <v>146185.76</v>
      </c>
      <c r="Q63" s="880">
        <v>3</v>
      </c>
      <c r="R63" s="881">
        <f>8085/Q63</f>
        <v>2695</v>
      </c>
      <c r="S63" s="881"/>
      <c r="T63" s="881">
        <f>974.03/Q63</f>
        <v>324.67666666666668</v>
      </c>
      <c r="U63" s="881"/>
      <c r="V63" s="881"/>
      <c r="W63" s="881"/>
      <c r="X63" s="881"/>
      <c r="Y63" s="881">
        <v>0</v>
      </c>
      <c r="Z63" s="881">
        <f>SUM(R63:Y63)</f>
        <v>3019.6766666666667</v>
      </c>
      <c r="AA63" s="881">
        <v>1054</v>
      </c>
      <c r="AB63" s="881"/>
      <c r="AC63" s="881">
        <f>SUM(AA63:AB63)</f>
        <v>1054</v>
      </c>
      <c r="AD63" s="881">
        <f>(Z63*12)+AC63</f>
        <v>37290.120000000003</v>
      </c>
      <c r="AE63" s="881">
        <f>(AD63*Q63)</f>
        <v>111870.36000000002</v>
      </c>
      <c r="AF63" s="881">
        <f t="shared" si="75"/>
        <v>-8052.9680000000008</v>
      </c>
      <c r="AG63" s="881">
        <f t="shared" si="75"/>
        <v>34315.399999999994</v>
      </c>
      <c r="AH63" s="914">
        <f t="shared" si="76"/>
        <v>3</v>
      </c>
      <c r="AI63" s="913">
        <f t="shared" si="77"/>
        <v>111870.36000000002</v>
      </c>
    </row>
    <row r="64" spans="1:35" ht="24.95" customHeight="1" x14ac:dyDescent="0.2">
      <c r="A64" s="870" t="s">
        <v>3696</v>
      </c>
      <c r="B64" s="880">
        <v>5</v>
      </c>
      <c r="C64" s="881">
        <f>(5603.4+5536.31)/B64-360</f>
        <v>1867.942</v>
      </c>
      <c r="D64" s="881"/>
      <c r="E64" s="881">
        <f>1800/B64</f>
        <v>360</v>
      </c>
      <c r="F64" s="881"/>
      <c r="G64" s="881"/>
      <c r="H64" s="881"/>
      <c r="I64" s="881"/>
      <c r="J64" s="881">
        <v>0</v>
      </c>
      <c r="K64" s="881">
        <f>SUM(C64:J64)</f>
        <v>2227.942</v>
      </c>
      <c r="L64" s="881">
        <v>1054</v>
      </c>
      <c r="M64" s="881"/>
      <c r="N64" s="881">
        <f>SUM(L64:M64)</f>
        <v>1054</v>
      </c>
      <c r="O64" s="881">
        <f>(K64*12)+N64</f>
        <v>27789.304</v>
      </c>
      <c r="P64" s="913">
        <f>(O64*B64)</f>
        <v>138946.51999999999</v>
      </c>
      <c r="Q64" s="880">
        <v>3</v>
      </c>
      <c r="R64" s="881">
        <f>6678/Q64</f>
        <v>2226</v>
      </c>
      <c r="S64" s="881"/>
      <c r="T64" s="881">
        <f>974.77/Q64</f>
        <v>324.92333333333335</v>
      </c>
      <c r="U64" s="881"/>
      <c r="V64" s="881"/>
      <c r="W64" s="881"/>
      <c r="X64" s="881"/>
      <c r="Y64" s="881">
        <v>0</v>
      </c>
      <c r="Z64" s="881">
        <f>SUM(R64:Y64)</f>
        <v>2550.9233333333332</v>
      </c>
      <c r="AA64" s="881">
        <v>1054</v>
      </c>
      <c r="AB64" s="881"/>
      <c r="AC64" s="881">
        <f>SUM(AA64:AB64)</f>
        <v>1054</v>
      </c>
      <c r="AD64" s="881">
        <f>(Z64*12)+AC64</f>
        <v>31665.079999999998</v>
      </c>
      <c r="AE64" s="881">
        <f>(AD64*Q64)</f>
        <v>94995.239999999991</v>
      </c>
      <c r="AF64" s="881">
        <f t="shared" si="75"/>
        <v>-3875.775999999998</v>
      </c>
      <c r="AG64" s="881">
        <f t="shared" si="75"/>
        <v>43951.28</v>
      </c>
      <c r="AH64" s="914">
        <f t="shared" si="76"/>
        <v>3</v>
      </c>
      <c r="AI64" s="913">
        <f t="shared" si="77"/>
        <v>94995.239999999991</v>
      </c>
    </row>
    <row r="65" spans="1:35" ht="24.95" customHeight="1" x14ac:dyDescent="0.2">
      <c r="A65" s="870" t="s">
        <v>3697</v>
      </c>
      <c r="B65" s="880">
        <v>19</v>
      </c>
      <c r="C65" s="881">
        <f>(21187.4+20370.25)/B65-360</f>
        <v>1827.2447368421053</v>
      </c>
      <c r="D65" s="881"/>
      <c r="E65" s="881">
        <v>360</v>
      </c>
      <c r="F65" s="881"/>
      <c r="G65" s="881"/>
      <c r="H65" s="881"/>
      <c r="I65" s="881"/>
      <c r="J65" s="881">
        <v>0</v>
      </c>
      <c r="K65" s="881">
        <f>SUM(C65:J65)</f>
        <v>2187.2447368421053</v>
      </c>
      <c r="L65" s="881">
        <v>1054</v>
      </c>
      <c r="M65" s="881"/>
      <c r="N65" s="881">
        <f>SUM(L65:M65)</f>
        <v>1054</v>
      </c>
      <c r="O65" s="881">
        <f>(K65*12)+N65</f>
        <v>27300.936842105264</v>
      </c>
      <c r="P65" s="913">
        <f>(O65*B65)</f>
        <v>518717.80000000005</v>
      </c>
      <c r="Q65" s="880">
        <v>18</v>
      </c>
      <c r="R65" s="881">
        <f>39906/Q65</f>
        <v>2217</v>
      </c>
      <c r="S65" s="881"/>
      <c r="T65" s="881">
        <f>5694.96/Q65</f>
        <v>316.38666666666666</v>
      </c>
      <c r="U65" s="881"/>
      <c r="V65" s="881"/>
      <c r="W65" s="881"/>
      <c r="X65" s="881"/>
      <c r="Y65" s="881">
        <v>0</v>
      </c>
      <c r="Z65" s="881">
        <f>SUM(R65:Y65)</f>
        <v>2533.3866666666668</v>
      </c>
      <c r="AA65" s="881">
        <v>1054</v>
      </c>
      <c r="AB65" s="881"/>
      <c r="AC65" s="881">
        <f>SUM(AA65:AB65)</f>
        <v>1054</v>
      </c>
      <c r="AD65" s="881">
        <f>(Z65*12)+AC65</f>
        <v>31454.639999999999</v>
      </c>
      <c r="AE65" s="881">
        <f>(AD65*Q65)</f>
        <v>566183.52</v>
      </c>
      <c r="AF65" s="881">
        <f t="shared" si="75"/>
        <v>-4153.7031578947353</v>
      </c>
      <c r="AG65" s="881">
        <f t="shared" si="75"/>
        <v>-47465.719999999972</v>
      </c>
      <c r="AH65" s="914">
        <f t="shared" si="76"/>
        <v>18</v>
      </c>
      <c r="AI65" s="913">
        <f t="shared" si="77"/>
        <v>566183.52</v>
      </c>
    </row>
    <row r="66" spans="1:35" ht="24.95" customHeight="1" x14ac:dyDescent="0.2">
      <c r="A66" s="870" t="s">
        <v>3699</v>
      </c>
      <c r="B66" s="880">
        <v>19</v>
      </c>
      <c r="C66" s="881">
        <f>(21187.4+20370.25)/B66-360</f>
        <v>1827.2447368421053</v>
      </c>
      <c r="D66" s="881"/>
      <c r="E66" s="881">
        <v>360</v>
      </c>
      <c r="F66" s="881"/>
      <c r="G66" s="881"/>
      <c r="H66" s="881"/>
      <c r="I66" s="881"/>
      <c r="J66" s="881">
        <v>0</v>
      </c>
      <c r="K66" s="881">
        <f>SUM(C66:J66)</f>
        <v>2187.2447368421053</v>
      </c>
      <c r="L66" s="881">
        <v>1054</v>
      </c>
      <c r="M66" s="881"/>
      <c r="N66" s="881">
        <f>SUM(L66:M66)</f>
        <v>1054</v>
      </c>
      <c r="O66" s="881">
        <f>(K66*12)+N66</f>
        <v>27300.936842105264</v>
      </c>
      <c r="P66" s="913">
        <f>(O66*B66)</f>
        <v>518717.80000000005</v>
      </c>
      <c r="Q66" s="880">
        <v>9</v>
      </c>
      <c r="R66" s="881">
        <f>21551/Q66</f>
        <v>2394.5555555555557</v>
      </c>
      <c r="S66" s="881"/>
      <c r="T66" s="881">
        <f>2357.66/Q66</f>
        <v>261.96222222222218</v>
      </c>
      <c r="U66" s="881"/>
      <c r="V66" s="881"/>
      <c r="W66" s="881"/>
      <c r="X66" s="881"/>
      <c r="Y66" s="881">
        <v>0</v>
      </c>
      <c r="Z66" s="881">
        <f>SUM(R66:Y66)</f>
        <v>2656.5177777777781</v>
      </c>
      <c r="AA66" s="881">
        <v>1054</v>
      </c>
      <c r="AB66" s="881"/>
      <c r="AC66" s="881">
        <f>SUM(AA66:AB66)</f>
        <v>1054</v>
      </c>
      <c r="AD66" s="881">
        <f>(Z66*12)+AC66</f>
        <v>32932.213333333333</v>
      </c>
      <c r="AE66" s="881">
        <f>(AD66*Q66)</f>
        <v>296389.92</v>
      </c>
      <c r="AF66" s="881">
        <f t="shared" si="75"/>
        <v>-5631.2764912280691</v>
      </c>
      <c r="AG66" s="881">
        <f t="shared" si="75"/>
        <v>222327.88000000006</v>
      </c>
      <c r="AH66" s="914">
        <f t="shared" si="76"/>
        <v>9</v>
      </c>
      <c r="AI66" s="913">
        <f t="shared" si="77"/>
        <v>296389.92</v>
      </c>
    </row>
    <row r="67" spans="1:35" ht="24.95" customHeight="1" x14ac:dyDescent="0.2">
      <c r="A67" s="869" t="s">
        <v>3809</v>
      </c>
      <c r="B67" s="871">
        <f t="shared" ref="B67:AI67" si="78">SUM(B62:B66)</f>
        <v>50</v>
      </c>
      <c r="C67" s="877">
        <f t="shared" si="78"/>
        <v>9049.0274736842111</v>
      </c>
      <c r="D67" s="877">
        <f t="shared" si="78"/>
        <v>0</v>
      </c>
      <c r="E67" s="877">
        <f t="shared" si="78"/>
        <v>1800</v>
      </c>
      <c r="F67" s="877">
        <f t="shared" si="78"/>
        <v>0</v>
      </c>
      <c r="G67" s="877">
        <f t="shared" si="78"/>
        <v>0</v>
      </c>
      <c r="H67" s="877">
        <f t="shared" si="78"/>
        <v>0</v>
      </c>
      <c r="I67" s="877">
        <f t="shared" si="78"/>
        <v>0</v>
      </c>
      <c r="J67" s="877">
        <f t="shared" si="78"/>
        <v>0</v>
      </c>
      <c r="K67" s="877">
        <f t="shared" si="78"/>
        <v>10849.027473684211</v>
      </c>
      <c r="L67" s="877">
        <f t="shared" si="78"/>
        <v>5270</v>
      </c>
      <c r="M67" s="877">
        <f t="shared" si="78"/>
        <v>0</v>
      </c>
      <c r="N67" s="877">
        <f t="shared" si="78"/>
        <v>5270</v>
      </c>
      <c r="O67" s="877">
        <f t="shared" si="78"/>
        <v>135458.32968421053</v>
      </c>
      <c r="P67" s="878">
        <f t="shared" si="78"/>
        <v>1370227.8800000001</v>
      </c>
      <c r="Q67" s="871">
        <f t="shared" si="78"/>
        <v>35</v>
      </c>
      <c r="R67" s="877">
        <f t="shared" si="78"/>
        <v>11776.555555555555</v>
      </c>
      <c r="S67" s="877">
        <f t="shared" si="78"/>
        <v>0</v>
      </c>
      <c r="T67" s="877">
        <f t="shared" si="78"/>
        <v>1227.9488888888889</v>
      </c>
      <c r="U67" s="877">
        <f t="shared" si="78"/>
        <v>0</v>
      </c>
      <c r="V67" s="877">
        <f t="shared" si="78"/>
        <v>0</v>
      </c>
      <c r="W67" s="877">
        <f t="shared" si="78"/>
        <v>0</v>
      </c>
      <c r="X67" s="877">
        <f t="shared" si="78"/>
        <v>0</v>
      </c>
      <c r="Y67" s="877">
        <f t="shared" si="78"/>
        <v>0</v>
      </c>
      <c r="Z67" s="877">
        <f t="shared" si="78"/>
        <v>13004.504444444443</v>
      </c>
      <c r="AA67" s="877">
        <f t="shared" si="78"/>
        <v>5270</v>
      </c>
      <c r="AB67" s="877">
        <f t="shared" si="78"/>
        <v>0</v>
      </c>
      <c r="AC67" s="877">
        <f t="shared" si="78"/>
        <v>5270</v>
      </c>
      <c r="AD67" s="877">
        <f t="shared" si="78"/>
        <v>161324.05333333334</v>
      </c>
      <c r="AE67" s="877">
        <f t="shared" si="78"/>
        <v>1125403.04</v>
      </c>
      <c r="AF67" s="877">
        <f t="shared" si="78"/>
        <v>-25865.723649122803</v>
      </c>
      <c r="AG67" s="877">
        <f t="shared" si="78"/>
        <v>244824.84000000008</v>
      </c>
      <c r="AH67" s="874">
        <f t="shared" si="78"/>
        <v>35</v>
      </c>
      <c r="AI67" s="878">
        <f t="shared" si="78"/>
        <v>1125403.04</v>
      </c>
    </row>
    <row r="68" spans="1:35" s="59" customFormat="1" ht="24.95" customHeight="1" x14ac:dyDescent="0.2">
      <c r="A68" s="869" t="s">
        <v>3811</v>
      </c>
      <c r="B68" s="871">
        <f>SUM(B46+B52+B60+B67)</f>
        <v>1452</v>
      </c>
      <c r="C68" s="877">
        <f t="shared" ref="C68:P68" si="79">SUM(C46+C52+C60+C67)</f>
        <v>32209.950265536801</v>
      </c>
      <c r="D68" s="877">
        <f t="shared" si="79"/>
        <v>0</v>
      </c>
      <c r="E68" s="877">
        <f t="shared" si="79"/>
        <v>5760</v>
      </c>
      <c r="F68" s="877">
        <f t="shared" si="79"/>
        <v>0</v>
      </c>
      <c r="G68" s="877">
        <f t="shared" si="79"/>
        <v>0</v>
      </c>
      <c r="H68" s="877">
        <f t="shared" si="79"/>
        <v>0</v>
      </c>
      <c r="I68" s="877">
        <f t="shared" si="79"/>
        <v>0</v>
      </c>
      <c r="J68" s="877">
        <f t="shared" si="79"/>
        <v>0</v>
      </c>
      <c r="K68" s="877">
        <f t="shared" si="79"/>
        <v>37969.950265536798</v>
      </c>
      <c r="L68" s="877">
        <f t="shared" si="79"/>
        <v>16864</v>
      </c>
      <c r="M68" s="877">
        <f t="shared" si="79"/>
        <v>0</v>
      </c>
      <c r="N68" s="877">
        <f t="shared" si="79"/>
        <v>16864</v>
      </c>
      <c r="O68" s="877">
        <f t="shared" si="79"/>
        <v>472503.40318644163</v>
      </c>
      <c r="P68" s="878">
        <f t="shared" si="79"/>
        <v>43934122.440000005</v>
      </c>
      <c r="Q68" s="871">
        <f>SUM(Q46+Q52+Q60+Q67)</f>
        <v>1924</v>
      </c>
      <c r="R68" s="877">
        <f t="shared" ref="R68:AI68" si="80">SUM(R46+R52+R60+R67)</f>
        <v>38080.784040603947</v>
      </c>
      <c r="S68" s="877">
        <f t="shared" si="80"/>
        <v>0</v>
      </c>
      <c r="T68" s="877">
        <f t="shared" si="80"/>
        <v>4292.9748820635023</v>
      </c>
      <c r="U68" s="877">
        <f t="shared" si="80"/>
        <v>0</v>
      </c>
      <c r="V68" s="877">
        <f t="shared" si="80"/>
        <v>0</v>
      </c>
      <c r="W68" s="877">
        <f t="shared" si="80"/>
        <v>0</v>
      </c>
      <c r="X68" s="877">
        <f t="shared" si="80"/>
        <v>0</v>
      </c>
      <c r="Y68" s="877">
        <f t="shared" si="80"/>
        <v>0</v>
      </c>
      <c r="Z68" s="877">
        <f t="shared" si="80"/>
        <v>42373.758922667446</v>
      </c>
      <c r="AA68" s="877">
        <f t="shared" si="80"/>
        <v>15810</v>
      </c>
      <c r="AB68" s="877">
        <f t="shared" si="80"/>
        <v>0</v>
      </c>
      <c r="AC68" s="877">
        <f t="shared" si="80"/>
        <v>15810</v>
      </c>
      <c r="AD68" s="877">
        <f t="shared" si="80"/>
        <v>524295.10707200947</v>
      </c>
      <c r="AE68" s="877">
        <f t="shared" si="80"/>
        <v>72452273.560000002</v>
      </c>
      <c r="AF68" s="877">
        <f>SUM(AF46+AF52+AF60+AF67)</f>
        <v>-51791.703885567804</v>
      </c>
      <c r="AG68" s="877">
        <f>SUM(AG46+AG52+AG60+AG67)</f>
        <v>-28518151.119999994</v>
      </c>
      <c r="AH68" s="874">
        <f t="shared" si="80"/>
        <v>1924</v>
      </c>
      <c r="AI68" s="878">
        <f t="shared" si="80"/>
        <v>72452273.560000002</v>
      </c>
    </row>
    <row r="69" spans="1:35" ht="24.95" customHeight="1" x14ac:dyDescent="0.2">
      <c r="A69" s="869" t="s">
        <v>3723</v>
      </c>
      <c r="B69" s="880"/>
      <c r="C69" s="881"/>
      <c r="D69" s="881"/>
      <c r="E69" s="881"/>
      <c r="F69" s="881"/>
      <c r="G69" s="881"/>
      <c r="H69" s="881"/>
      <c r="I69" s="881"/>
      <c r="J69" s="881"/>
      <c r="K69" s="881"/>
      <c r="L69" s="881"/>
      <c r="M69" s="881"/>
      <c r="N69" s="881"/>
      <c r="O69" s="881"/>
      <c r="P69" s="913"/>
      <c r="Q69" s="880"/>
      <c r="R69" s="881"/>
      <c r="S69" s="881"/>
      <c r="T69" s="881"/>
      <c r="U69" s="881"/>
      <c r="V69" s="881"/>
      <c r="W69" s="881"/>
      <c r="X69" s="881"/>
      <c r="Y69" s="881"/>
      <c r="Z69" s="881"/>
      <c r="AA69" s="881"/>
      <c r="AB69" s="881"/>
      <c r="AC69" s="881"/>
      <c r="AD69" s="881"/>
      <c r="AE69" s="881"/>
      <c r="AF69" s="881"/>
      <c r="AG69" s="881"/>
      <c r="AH69" s="914"/>
      <c r="AI69" s="913"/>
    </row>
    <row r="70" spans="1:35" ht="24.95" customHeight="1" x14ac:dyDescent="0.2">
      <c r="A70" s="869" t="s">
        <v>3812</v>
      </c>
      <c r="B70" s="880"/>
      <c r="C70" s="881"/>
      <c r="D70" s="881"/>
      <c r="E70" s="881"/>
      <c r="F70" s="881"/>
      <c r="G70" s="881"/>
      <c r="H70" s="881"/>
      <c r="I70" s="881"/>
      <c r="J70" s="881"/>
      <c r="K70" s="881"/>
      <c r="L70" s="881"/>
      <c r="M70" s="881"/>
      <c r="N70" s="881"/>
      <c r="O70" s="881"/>
      <c r="P70" s="913"/>
      <c r="Q70" s="880"/>
      <c r="R70" s="881"/>
      <c r="S70" s="881"/>
      <c r="T70" s="881"/>
      <c r="U70" s="881"/>
      <c r="V70" s="881"/>
      <c r="W70" s="881"/>
      <c r="X70" s="881"/>
      <c r="Y70" s="881"/>
      <c r="Z70" s="881"/>
      <c r="AA70" s="881"/>
      <c r="AB70" s="881"/>
      <c r="AC70" s="881"/>
      <c r="AD70" s="881"/>
      <c r="AE70" s="881"/>
      <c r="AF70" s="881"/>
      <c r="AG70" s="881"/>
      <c r="AH70" s="914"/>
      <c r="AI70" s="913"/>
    </row>
    <row r="71" spans="1:35" ht="24.95" customHeight="1" x14ac:dyDescent="0.2">
      <c r="A71" s="870" t="s">
        <v>3813</v>
      </c>
      <c r="B71" s="880">
        <v>11</v>
      </c>
      <c r="C71" s="881">
        <f>(7630.85+4466.74)/B71</f>
        <v>1099.7809090909091</v>
      </c>
      <c r="D71" s="881"/>
      <c r="E71" s="881"/>
      <c r="F71" s="881"/>
      <c r="G71" s="881"/>
      <c r="H71" s="881"/>
      <c r="I71" s="881"/>
      <c r="J71" s="881"/>
      <c r="K71" s="881">
        <f t="shared" ref="K71:K105" si="81">SUM(C71:J71)</f>
        <v>1099.7809090909091</v>
      </c>
      <c r="L71" s="881">
        <v>1054</v>
      </c>
      <c r="M71" s="881"/>
      <c r="N71" s="881">
        <f t="shared" ref="N71:N112" si="82">SUM(L71:M71)</f>
        <v>1054</v>
      </c>
      <c r="O71" s="881">
        <f t="shared" ref="O71:O113" si="83">(K71*12)+N71</f>
        <v>14251.370909090909</v>
      </c>
      <c r="P71" s="913">
        <f t="shared" ref="P71:P113" si="84">(O71*B71)</f>
        <v>156765.07999999999</v>
      </c>
      <c r="Q71" s="880"/>
      <c r="R71" s="881"/>
      <c r="S71" s="881"/>
      <c r="T71" s="881"/>
      <c r="U71" s="881"/>
      <c r="V71" s="881"/>
      <c r="W71" s="881"/>
      <c r="X71" s="881"/>
      <c r="Y71" s="881"/>
      <c r="Z71" s="881">
        <f t="shared" ref="Z71:Z113" si="85">SUM(R71:Y71)</f>
        <v>0</v>
      </c>
      <c r="AA71" s="881">
        <v>0</v>
      </c>
      <c r="AB71" s="881"/>
      <c r="AC71" s="881">
        <f t="shared" ref="AC71:AC113" si="86">SUM(AA71:AB71)</f>
        <v>0</v>
      </c>
      <c r="AD71" s="881">
        <f t="shared" ref="AD71:AD113" si="87">(Z71*12)+AC71</f>
        <v>0</v>
      </c>
      <c r="AE71" s="881">
        <f t="shared" ref="AE71:AE113" si="88">(AD71*Q71)</f>
        <v>0</v>
      </c>
      <c r="AF71" s="881">
        <f t="shared" ref="AF71:AG113" si="89">O71-AD71</f>
        <v>14251.370909090909</v>
      </c>
      <c r="AG71" s="881">
        <f t="shared" si="89"/>
        <v>156765.07999999999</v>
      </c>
      <c r="AH71" s="914">
        <f t="shared" ref="AH71:AH113" si="90">Q71</f>
        <v>0</v>
      </c>
      <c r="AI71" s="913">
        <f t="shared" ref="AI71:AI113" si="91">AE71</f>
        <v>0</v>
      </c>
    </row>
    <row r="72" spans="1:35" ht="24.95" customHeight="1" x14ac:dyDescent="0.2">
      <c r="A72" s="870" t="s">
        <v>3814</v>
      </c>
      <c r="B72" s="880">
        <v>37</v>
      </c>
      <c r="C72" s="881">
        <f>(27254.21+16677.45)/B72</f>
        <v>1187.3421621621624</v>
      </c>
      <c r="D72" s="881"/>
      <c r="E72" s="881"/>
      <c r="F72" s="881"/>
      <c r="G72" s="881"/>
      <c r="H72" s="881"/>
      <c r="I72" s="881"/>
      <c r="J72" s="881"/>
      <c r="K72" s="881">
        <f t="shared" si="81"/>
        <v>1187.3421621621624</v>
      </c>
      <c r="L72" s="881">
        <v>1054</v>
      </c>
      <c r="M72" s="881"/>
      <c r="N72" s="881">
        <f t="shared" si="82"/>
        <v>1054</v>
      </c>
      <c r="O72" s="881">
        <f t="shared" si="83"/>
        <v>15302.105945945948</v>
      </c>
      <c r="P72" s="913">
        <f t="shared" si="84"/>
        <v>566177.92000000004</v>
      </c>
      <c r="Q72" s="880"/>
      <c r="R72" s="881"/>
      <c r="S72" s="881"/>
      <c r="T72" s="881"/>
      <c r="U72" s="881"/>
      <c r="V72" s="881"/>
      <c r="W72" s="881"/>
      <c r="X72" s="881"/>
      <c r="Y72" s="881"/>
      <c r="Z72" s="881">
        <f t="shared" si="85"/>
        <v>0</v>
      </c>
      <c r="AA72" s="881">
        <v>0</v>
      </c>
      <c r="AB72" s="881"/>
      <c r="AC72" s="881">
        <f t="shared" si="86"/>
        <v>0</v>
      </c>
      <c r="AD72" s="881">
        <f t="shared" si="87"/>
        <v>0</v>
      </c>
      <c r="AE72" s="881">
        <f t="shared" si="88"/>
        <v>0</v>
      </c>
      <c r="AF72" s="881">
        <f t="shared" si="89"/>
        <v>15302.105945945948</v>
      </c>
      <c r="AG72" s="881">
        <f t="shared" si="89"/>
        <v>566177.92000000004</v>
      </c>
      <c r="AH72" s="914">
        <f t="shared" si="90"/>
        <v>0</v>
      </c>
      <c r="AI72" s="913">
        <f t="shared" si="91"/>
        <v>0</v>
      </c>
    </row>
    <row r="73" spans="1:35" ht="24.95" customHeight="1" x14ac:dyDescent="0.2">
      <c r="A73" s="870" t="s">
        <v>3815</v>
      </c>
      <c r="B73" s="880">
        <v>7</v>
      </c>
      <c r="C73" s="881">
        <f>5810.57+4042.27/B73</f>
        <v>6388.0371428571425</v>
      </c>
      <c r="D73" s="881"/>
      <c r="E73" s="881"/>
      <c r="F73" s="881"/>
      <c r="G73" s="881"/>
      <c r="H73" s="881"/>
      <c r="I73" s="881"/>
      <c r="J73" s="881"/>
      <c r="K73" s="881">
        <f t="shared" si="81"/>
        <v>6388.0371428571425</v>
      </c>
      <c r="L73" s="881">
        <v>1054</v>
      </c>
      <c r="M73" s="881"/>
      <c r="N73" s="881">
        <f t="shared" si="82"/>
        <v>1054</v>
      </c>
      <c r="O73" s="881">
        <f t="shared" si="83"/>
        <v>77710.445714285714</v>
      </c>
      <c r="P73" s="913">
        <f t="shared" si="84"/>
        <v>543973.12</v>
      </c>
      <c r="Q73" s="880"/>
      <c r="R73" s="881"/>
      <c r="S73" s="881"/>
      <c r="T73" s="881"/>
      <c r="U73" s="881"/>
      <c r="V73" s="881"/>
      <c r="W73" s="881"/>
      <c r="X73" s="881"/>
      <c r="Y73" s="881"/>
      <c r="Z73" s="881">
        <f t="shared" si="85"/>
        <v>0</v>
      </c>
      <c r="AA73" s="881">
        <v>0</v>
      </c>
      <c r="AB73" s="881"/>
      <c r="AC73" s="881">
        <f t="shared" si="86"/>
        <v>0</v>
      </c>
      <c r="AD73" s="881">
        <f t="shared" si="87"/>
        <v>0</v>
      </c>
      <c r="AE73" s="881">
        <f t="shared" si="88"/>
        <v>0</v>
      </c>
      <c r="AF73" s="881">
        <f t="shared" si="89"/>
        <v>77710.445714285714</v>
      </c>
      <c r="AG73" s="881">
        <f t="shared" si="89"/>
        <v>543973.12</v>
      </c>
      <c r="AH73" s="914">
        <f t="shared" si="90"/>
        <v>0</v>
      </c>
      <c r="AI73" s="913">
        <f t="shared" si="91"/>
        <v>0</v>
      </c>
    </row>
    <row r="74" spans="1:35" ht="24.95" customHeight="1" x14ac:dyDescent="0.2">
      <c r="A74" s="870" t="s">
        <v>3816</v>
      </c>
      <c r="B74" s="880">
        <v>12</v>
      </c>
      <c r="C74" s="881">
        <f>(7969.65+4834.98)/B74</f>
        <v>1067.0525</v>
      </c>
      <c r="D74" s="881"/>
      <c r="E74" s="881"/>
      <c r="F74" s="881"/>
      <c r="G74" s="881"/>
      <c r="H74" s="881"/>
      <c r="I74" s="881"/>
      <c r="J74" s="881"/>
      <c r="K74" s="881">
        <f t="shared" si="81"/>
        <v>1067.0525</v>
      </c>
      <c r="L74" s="881">
        <v>1054</v>
      </c>
      <c r="M74" s="881"/>
      <c r="N74" s="881">
        <f t="shared" si="82"/>
        <v>1054</v>
      </c>
      <c r="O74" s="881">
        <f t="shared" si="83"/>
        <v>13858.630000000001</v>
      </c>
      <c r="P74" s="913">
        <f t="shared" si="84"/>
        <v>166303.56</v>
      </c>
      <c r="Q74" s="880"/>
      <c r="R74" s="881"/>
      <c r="S74" s="881"/>
      <c r="T74" s="881"/>
      <c r="U74" s="881"/>
      <c r="V74" s="881"/>
      <c r="W74" s="881"/>
      <c r="X74" s="881"/>
      <c r="Y74" s="881"/>
      <c r="Z74" s="881">
        <f t="shared" si="85"/>
        <v>0</v>
      </c>
      <c r="AA74" s="881">
        <v>0</v>
      </c>
      <c r="AB74" s="881"/>
      <c r="AC74" s="881">
        <f t="shared" si="86"/>
        <v>0</v>
      </c>
      <c r="AD74" s="881">
        <f t="shared" si="87"/>
        <v>0</v>
      </c>
      <c r="AE74" s="881">
        <f t="shared" si="88"/>
        <v>0</v>
      </c>
      <c r="AF74" s="881">
        <f t="shared" si="89"/>
        <v>13858.630000000001</v>
      </c>
      <c r="AG74" s="881">
        <f t="shared" si="89"/>
        <v>166303.56</v>
      </c>
      <c r="AH74" s="914">
        <f t="shared" si="90"/>
        <v>0</v>
      </c>
      <c r="AI74" s="913">
        <f t="shared" si="91"/>
        <v>0</v>
      </c>
    </row>
    <row r="75" spans="1:35" ht="24.95" customHeight="1" x14ac:dyDescent="0.2">
      <c r="A75" s="870" t="s">
        <v>3817</v>
      </c>
      <c r="B75" s="880">
        <v>10</v>
      </c>
      <c r="C75" s="881">
        <f>(6487.35+4619.35)/B75</f>
        <v>1110.67</v>
      </c>
      <c r="D75" s="881"/>
      <c r="E75" s="881"/>
      <c r="F75" s="881"/>
      <c r="G75" s="881"/>
      <c r="H75" s="881"/>
      <c r="I75" s="881"/>
      <c r="J75" s="881"/>
      <c r="K75" s="881">
        <f t="shared" si="81"/>
        <v>1110.67</v>
      </c>
      <c r="L75" s="881">
        <v>1054</v>
      </c>
      <c r="M75" s="881"/>
      <c r="N75" s="881">
        <f t="shared" si="82"/>
        <v>1054</v>
      </c>
      <c r="O75" s="881">
        <f t="shared" si="83"/>
        <v>14382.04</v>
      </c>
      <c r="P75" s="913">
        <f t="shared" si="84"/>
        <v>143820.40000000002</v>
      </c>
      <c r="Q75" s="880"/>
      <c r="R75" s="881"/>
      <c r="S75" s="881"/>
      <c r="T75" s="881"/>
      <c r="U75" s="881"/>
      <c r="V75" s="881"/>
      <c r="W75" s="881"/>
      <c r="X75" s="881"/>
      <c r="Y75" s="881"/>
      <c r="Z75" s="881">
        <f t="shared" si="85"/>
        <v>0</v>
      </c>
      <c r="AA75" s="881">
        <v>0</v>
      </c>
      <c r="AB75" s="881"/>
      <c r="AC75" s="881">
        <f t="shared" si="86"/>
        <v>0</v>
      </c>
      <c r="AD75" s="881">
        <f t="shared" si="87"/>
        <v>0</v>
      </c>
      <c r="AE75" s="881">
        <f t="shared" si="88"/>
        <v>0</v>
      </c>
      <c r="AF75" s="881">
        <f t="shared" si="89"/>
        <v>14382.04</v>
      </c>
      <c r="AG75" s="881">
        <f t="shared" si="89"/>
        <v>143820.40000000002</v>
      </c>
      <c r="AH75" s="914">
        <f t="shared" si="90"/>
        <v>0</v>
      </c>
      <c r="AI75" s="913">
        <f t="shared" si="91"/>
        <v>0</v>
      </c>
    </row>
    <row r="76" spans="1:35" ht="24.95" customHeight="1" x14ac:dyDescent="0.2">
      <c r="A76" s="870" t="s">
        <v>3818</v>
      </c>
      <c r="B76" s="880">
        <v>2</v>
      </c>
      <c r="C76" s="881">
        <f>(1528.82+823.2)/B76</f>
        <v>1176.01</v>
      </c>
      <c r="D76" s="881"/>
      <c r="E76" s="881"/>
      <c r="F76" s="881"/>
      <c r="G76" s="881"/>
      <c r="H76" s="881"/>
      <c r="I76" s="881"/>
      <c r="J76" s="881"/>
      <c r="K76" s="881">
        <f t="shared" si="81"/>
        <v>1176.01</v>
      </c>
      <c r="L76" s="881">
        <v>1054</v>
      </c>
      <c r="M76" s="881"/>
      <c r="N76" s="881">
        <f t="shared" si="82"/>
        <v>1054</v>
      </c>
      <c r="O76" s="881">
        <f t="shared" si="83"/>
        <v>15166.119999999999</v>
      </c>
      <c r="P76" s="913">
        <f t="shared" si="84"/>
        <v>30332.239999999998</v>
      </c>
      <c r="Q76" s="880"/>
      <c r="R76" s="881"/>
      <c r="S76" s="881"/>
      <c r="T76" s="881"/>
      <c r="U76" s="881"/>
      <c r="V76" s="881"/>
      <c r="W76" s="881"/>
      <c r="X76" s="881"/>
      <c r="Y76" s="881"/>
      <c r="Z76" s="881">
        <f t="shared" si="85"/>
        <v>0</v>
      </c>
      <c r="AA76" s="881">
        <v>0</v>
      </c>
      <c r="AB76" s="881"/>
      <c r="AC76" s="881">
        <f t="shared" si="86"/>
        <v>0</v>
      </c>
      <c r="AD76" s="881">
        <f t="shared" si="87"/>
        <v>0</v>
      </c>
      <c r="AE76" s="881">
        <f t="shared" si="88"/>
        <v>0</v>
      </c>
      <c r="AF76" s="881">
        <f t="shared" si="89"/>
        <v>15166.119999999999</v>
      </c>
      <c r="AG76" s="881">
        <f t="shared" si="89"/>
        <v>30332.239999999998</v>
      </c>
      <c r="AH76" s="914">
        <f t="shared" si="90"/>
        <v>0</v>
      </c>
      <c r="AI76" s="913">
        <f t="shared" si="91"/>
        <v>0</v>
      </c>
    </row>
    <row r="77" spans="1:35" ht="24.95" customHeight="1" x14ac:dyDescent="0.2">
      <c r="A77" s="870" t="s">
        <v>3819</v>
      </c>
      <c r="B77" s="880">
        <v>13</v>
      </c>
      <c r="C77" s="881">
        <f>(8645.39+5639.47)/B77</f>
        <v>1098.8353846153846</v>
      </c>
      <c r="D77" s="881"/>
      <c r="E77" s="881"/>
      <c r="F77" s="881"/>
      <c r="G77" s="881"/>
      <c r="H77" s="881"/>
      <c r="I77" s="881"/>
      <c r="J77" s="881"/>
      <c r="K77" s="881">
        <f t="shared" si="81"/>
        <v>1098.8353846153846</v>
      </c>
      <c r="L77" s="881">
        <v>1054</v>
      </c>
      <c r="M77" s="881"/>
      <c r="N77" s="881">
        <f t="shared" si="82"/>
        <v>1054</v>
      </c>
      <c r="O77" s="881">
        <f t="shared" si="83"/>
        <v>14240.024615384615</v>
      </c>
      <c r="P77" s="913">
        <f t="shared" si="84"/>
        <v>185120.31999999998</v>
      </c>
      <c r="Q77" s="880"/>
      <c r="R77" s="881"/>
      <c r="S77" s="881"/>
      <c r="T77" s="881"/>
      <c r="U77" s="881"/>
      <c r="V77" s="881"/>
      <c r="W77" s="881"/>
      <c r="X77" s="881"/>
      <c r="Y77" s="881"/>
      <c r="Z77" s="881">
        <f t="shared" si="85"/>
        <v>0</v>
      </c>
      <c r="AA77" s="881">
        <v>0</v>
      </c>
      <c r="AB77" s="881"/>
      <c r="AC77" s="881">
        <f t="shared" si="86"/>
        <v>0</v>
      </c>
      <c r="AD77" s="881">
        <f t="shared" si="87"/>
        <v>0</v>
      </c>
      <c r="AE77" s="881">
        <f t="shared" si="88"/>
        <v>0</v>
      </c>
      <c r="AF77" s="881">
        <f t="shared" si="89"/>
        <v>14240.024615384615</v>
      </c>
      <c r="AG77" s="881">
        <f t="shared" si="89"/>
        <v>185120.31999999998</v>
      </c>
      <c r="AH77" s="914">
        <f t="shared" si="90"/>
        <v>0</v>
      </c>
      <c r="AI77" s="913">
        <f t="shared" si="91"/>
        <v>0</v>
      </c>
    </row>
    <row r="78" spans="1:35" ht="24.95" customHeight="1" x14ac:dyDescent="0.2">
      <c r="A78" s="870" t="s">
        <v>3820</v>
      </c>
      <c r="B78" s="880">
        <v>42</v>
      </c>
      <c r="C78" s="881">
        <f>(29354.03+18643.16)/B78</f>
        <v>1142.7902380952382</v>
      </c>
      <c r="D78" s="881"/>
      <c r="E78" s="881"/>
      <c r="F78" s="881"/>
      <c r="G78" s="881"/>
      <c r="H78" s="881"/>
      <c r="I78" s="881"/>
      <c r="J78" s="881"/>
      <c r="K78" s="881">
        <f t="shared" si="81"/>
        <v>1142.7902380952382</v>
      </c>
      <c r="L78" s="881">
        <v>1054</v>
      </c>
      <c r="M78" s="881"/>
      <c r="N78" s="881">
        <f t="shared" si="82"/>
        <v>1054</v>
      </c>
      <c r="O78" s="881">
        <f t="shared" si="83"/>
        <v>14767.482857142859</v>
      </c>
      <c r="P78" s="913">
        <f t="shared" si="84"/>
        <v>620234.28</v>
      </c>
      <c r="Q78" s="880"/>
      <c r="R78" s="881"/>
      <c r="S78" s="881"/>
      <c r="T78" s="881"/>
      <c r="U78" s="881"/>
      <c r="V78" s="881"/>
      <c r="W78" s="881"/>
      <c r="X78" s="881"/>
      <c r="Y78" s="881"/>
      <c r="Z78" s="881">
        <f t="shared" si="85"/>
        <v>0</v>
      </c>
      <c r="AA78" s="881">
        <v>0</v>
      </c>
      <c r="AB78" s="881"/>
      <c r="AC78" s="881">
        <f t="shared" si="86"/>
        <v>0</v>
      </c>
      <c r="AD78" s="881">
        <f t="shared" si="87"/>
        <v>0</v>
      </c>
      <c r="AE78" s="881">
        <f t="shared" si="88"/>
        <v>0</v>
      </c>
      <c r="AF78" s="881">
        <f t="shared" si="89"/>
        <v>14767.482857142859</v>
      </c>
      <c r="AG78" s="881">
        <f t="shared" si="89"/>
        <v>620234.28</v>
      </c>
      <c r="AH78" s="914">
        <f t="shared" si="90"/>
        <v>0</v>
      </c>
      <c r="AI78" s="913">
        <f t="shared" si="91"/>
        <v>0</v>
      </c>
    </row>
    <row r="79" spans="1:35" ht="24.95" customHeight="1" x14ac:dyDescent="0.2">
      <c r="A79" s="870" t="s">
        <v>3821</v>
      </c>
      <c r="B79" s="880">
        <v>6</v>
      </c>
      <c r="C79" s="881">
        <f>(4612.17+3823.42)/B79</f>
        <v>1405.9316666666666</v>
      </c>
      <c r="D79" s="881"/>
      <c r="E79" s="881"/>
      <c r="F79" s="881"/>
      <c r="G79" s="881"/>
      <c r="H79" s="881"/>
      <c r="I79" s="881"/>
      <c r="J79" s="881"/>
      <c r="K79" s="881">
        <f t="shared" si="81"/>
        <v>1405.9316666666666</v>
      </c>
      <c r="L79" s="881">
        <v>1054</v>
      </c>
      <c r="M79" s="881"/>
      <c r="N79" s="881">
        <f t="shared" si="82"/>
        <v>1054</v>
      </c>
      <c r="O79" s="881">
        <f t="shared" si="83"/>
        <v>17925.18</v>
      </c>
      <c r="P79" s="913">
        <f t="shared" si="84"/>
        <v>107551.08</v>
      </c>
      <c r="Q79" s="880"/>
      <c r="R79" s="881"/>
      <c r="S79" s="881"/>
      <c r="T79" s="881"/>
      <c r="U79" s="881"/>
      <c r="V79" s="881"/>
      <c r="W79" s="881"/>
      <c r="X79" s="881"/>
      <c r="Y79" s="881"/>
      <c r="Z79" s="881">
        <f t="shared" si="85"/>
        <v>0</v>
      </c>
      <c r="AA79" s="881">
        <v>0</v>
      </c>
      <c r="AB79" s="881"/>
      <c r="AC79" s="881">
        <f t="shared" si="86"/>
        <v>0</v>
      </c>
      <c r="AD79" s="881">
        <f t="shared" si="87"/>
        <v>0</v>
      </c>
      <c r="AE79" s="881">
        <f t="shared" si="88"/>
        <v>0</v>
      </c>
      <c r="AF79" s="881">
        <f t="shared" si="89"/>
        <v>17925.18</v>
      </c>
      <c r="AG79" s="881">
        <f t="shared" si="89"/>
        <v>107551.08</v>
      </c>
      <c r="AH79" s="914">
        <f t="shared" si="90"/>
        <v>0</v>
      </c>
      <c r="AI79" s="913">
        <f t="shared" si="91"/>
        <v>0</v>
      </c>
    </row>
    <row r="80" spans="1:35" ht="24.95" customHeight="1" x14ac:dyDescent="0.2">
      <c r="A80" s="870" t="s">
        <v>3822</v>
      </c>
      <c r="B80" s="880">
        <v>11</v>
      </c>
      <c r="C80" s="881">
        <f>(6954.26+4697.91)/B80</f>
        <v>1059.2881818181818</v>
      </c>
      <c r="D80" s="881"/>
      <c r="E80" s="881"/>
      <c r="F80" s="881"/>
      <c r="G80" s="881"/>
      <c r="H80" s="881"/>
      <c r="I80" s="881"/>
      <c r="J80" s="881"/>
      <c r="K80" s="881">
        <f t="shared" si="81"/>
        <v>1059.2881818181818</v>
      </c>
      <c r="L80" s="881">
        <v>1054</v>
      </c>
      <c r="M80" s="881"/>
      <c r="N80" s="881">
        <f t="shared" si="82"/>
        <v>1054</v>
      </c>
      <c r="O80" s="881">
        <f t="shared" si="83"/>
        <v>13765.458181818181</v>
      </c>
      <c r="P80" s="913">
        <f t="shared" si="84"/>
        <v>151420.04</v>
      </c>
      <c r="Q80" s="880"/>
      <c r="R80" s="881"/>
      <c r="S80" s="881"/>
      <c r="T80" s="881"/>
      <c r="U80" s="881"/>
      <c r="V80" s="881"/>
      <c r="W80" s="881"/>
      <c r="X80" s="881"/>
      <c r="Y80" s="881"/>
      <c r="Z80" s="881">
        <f t="shared" si="85"/>
        <v>0</v>
      </c>
      <c r="AA80" s="881">
        <v>0</v>
      </c>
      <c r="AB80" s="881"/>
      <c r="AC80" s="881">
        <f t="shared" si="86"/>
        <v>0</v>
      </c>
      <c r="AD80" s="881">
        <f t="shared" si="87"/>
        <v>0</v>
      </c>
      <c r="AE80" s="881">
        <f t="shared" si="88"/>
        <v>0</v>
      </c>
      <c r="AF80" s="881">
        <f t="shared" si="89"/>
        <v>13765.458181818181</v>
      </c>
      <c r="AG80" s="881">
        <f t="shared" si="89"/>
        <v>151420.04</v>
      </c>
      <c r="AH80" s="914">
        <f t="shared" si="90"/>
        <v>0</v>
      </c>
      <c r="AI80" s="913">
        <f t="shared" si="91"/>
        <v>0</v>
      </c>
    </row>
    <row r="81" spans="1:35" ht="24.95" customHeight="1" x14ac:dyDescent="0.2">
      <c r="A81" s="870" t="s">
        <v>3823</v>
      </c>
      <c r="B81" s="880">
        <v>7</v>
      </c>
      <c r="C81" s="881">
        <f>(5100.03+2848.92)/B81</f>
        <v>1135.5642857142857</v>
      </c>
      <c r="D81" s="881"/>
      <c r="E81" s="881"/>
      <c r="F81" s="881"/>
      <c r="G81" s="881"/>
      <c r="H81" s="881"/>
      <c r="I81" s="881"/>
      <c r="J81" s="881"/>
      <c r="K81" s="881">
        <f t="shared" si="81"/>
        <v>1135.5642857142857</v>
      </c>
      <c r="L81" s="881">
        <v>1054</v>
      </c>
      <c r="M81" s="881"/>
      <c r="N81" s="881">
        <f t="shared" si="82"/>
        <v>1054</v>
      </c>
      <c r="O81" s="881">
        <f t="shared" si="83"/>
        <v>14680.771428571428</v>
      </c>
      <c r="P81" s="913">
        <f t="shared" si="84"/>
        <v>102765.4</v>
      </c>
      <c r="Q81" s="880"/>
      <c r="R81" s="881"/>
      <c r="S81" s="881"/>
      <c r="T81" s="881"/>
      <c r="U81" s="881"/>
      <c r="V81" s="881"/>
      <c r="W81" s="881"/>
      <c r="X81" s="881"/>
      <c r="Y81" s="881"/>
      <c r="Z81" s="881">
        <f t="shared" si="85"/>
        <v>0</v>
      </c>
      <c r="AA81" s="881">
        <v>0</v>
      </c>
      <c r="AB81" s="881"/>
      <c r="AC81" s="881">
        <f t="shared" si="86"/>
        <v>0</v>
      </c>
      <c r="AD81" s="881">
        <f t="shared" si="87"/>
        <v>0</v>
      </c>
      <c r="AE81" s="881">
        <f t="shared" si="88"/>
        <v>0</v>
      </c>
      <c r="AF81" s="881">
        <f t="shared" si="89"/>
        <v>14680.771428571428</v>
      </c>
      <c r="AG81" s="881">
        <f t="shared" si="89"/>
        <v>102765.4</v>
      </c>
      <c r="AH81" s="914">
        <f t="shared" si="90"/>
        <v>0</v>
      </c>
      <c r="AI81" s="913">
        <f t="shared" si="91"/>
        <v>0</v>
      </c>
    </row>
    <row r="82" spans="1:35" ht="24.95" customHeight="1" x14ac:dyDescent="0.2">
      <c r="A82" s="870" t="s">
        <v>3824</v>
      </c>
      <c r="B82" s="880">
        <v>1</v>
      </c>
      <c r="C82" s="881">
        <f>(761+554.01)/B82</f>
        <v>1315.01</v>
      </c>
      <c r="D82" s="881"/>
      <c r="E82" s="881"/>
      <c r="F82" s="881"/>
      <c r="G82" s="881"/>
      <c r="H82" s="881"/>
      <c r="I82" s="881"/>
      <c r="J82" s="881"/>
      <c r="K82" s="881">
        <f t="shared" si="81"/>
        <v>1315.01</v>
      </c>
      <c r="L82" s="881">
        <v>1054</v>
      </c>
      <c r="M82" s="881"/>
      <c r="N82" s="881">
        <f t="shared" si="82"/>
        <v>1054</v>
      </c>
      <c r="O82" s="881">
        <f t="shared" si="83"/>
        <v>16834.12</v>
      </c>
      <c r="P82" s="913">
        <f t="shared" si="84"/>
        <v>16834.12</v>
      </c>
      <c r="Q82" s="880"/>
      <c r="R82" s="881"/>
      <c r="S82" s="881"/>
      <c r="T82" s="881"/>
      <c r="U82" s="881"/>
      <c r="V82" s="881"/>
      <c r="W82" s="881"/>
      <c r="X82" s="881"/>
      <c r="Y82" s="881"/>
      <c r="Z82" s="881">
        <f t="shared" si="85"/>
        <v>0</v>
      </c>
      <c r="AA82" s="881">
        <v>0</v>
      </c>
      <c r="AB82" s="881"/>
      <c r="AC82" s="881">
        <f t="shared" si="86"/>
        <v>0</v>
      </c>
      <c r="AD82" s="881">
        <f t="shared" si="87"/>
        <v>0</v>
      </c>
      <c r="AE82" s="881">
        <f t="shared" si="88"/>
        <v>0</v>
      </c>
      <c r="AF82" s="881">
        <f t="shared" si="89"/>
        <v>16834.12</v>
      </c>
      <c r="AG82" s="881">
        <f t="shared" si="89"/>
        <v>16834.12</v>
      </c>
      <c r="AH82" s="914">
        <f t="shared" si="90"/>
        <v>0</v>
      </c>
      <c r="AI82" s="913">
        <f t="shared" si="91"/>
        <v>0</v>
      </c>
    </row>
    <row r="83" spans="1:35" ht="24.95" customHeight="1" x14ac:dyDescent="0.2">
      <c r="A83" s="870" t="s">
        <v>3825</v>
      </c>
      <c r="B83" s="880">
        <v>7</v>
      </c>
      <c r="C83" s="881">
        <f>(4562.4+2932.7)/B83</f>
        <v>1070.7285714285713</v>
      </c>
      <c r="D83" s="881"/>
      <c r="E83" s="881"/>
      <c r="F83" s="881"/>
      <c r="G83" s="881"/>
      <c r="H83" s="881"/>
      <c r="I83" s="881"/>
      <c r="J83" s="881"/>
      <c r="K83" s="881">
        <f t="shared" si="81"/>
        <v>1070.7285714285713</v>
      </c>
      <c r="L83" s="881">
        <v>1054</v>
      </c>
      <c r="M83" s="881"/>
      <c r="N83" s="881">
        <f t="shared" si="82"/>
        <v>1054</v>
      </c>
      <c r="O83" s="881">
        <f t="shared" si="83"/>
        <v>13902.742857142855</v>
      </c>
      <c r="P83" s="913">
        <f t="shared" si="84"/>
        <v>97319.199999999983</v>
      </c>
      <c r="Q83" s="880"/>
      <c r="R83" s="881"/>
      <c r="S83" s="881"/>
      <c r="T83" s="881"/>
      <c r="U83" s="881"/>
      <c r="V83" s="881"/>
      <c r="W83" s="881"/>
      <c r="X83" s="881"/>
      <c r="Y83" s="881"/>
      <c r="Z83" s="881">
        <f t="shared" si="85"/>
        <v>0</v>
      </c>
      <c r="AA83" s="881">
        <v>0</v>
      </c>
      <c r="AB83" s="881"/>
      <c r="AC83" s="881">
        <f t="shared" si="86"/>
        <v>0</v>
      </c>
      <c r="AD83" s="881">
        <f t="shared" si="87"/>
        <v>0</v>
      </c>
      <c r="AE83" s="881">
        <f t="shared" si="88"/>
        <v>0</v>
      </c>
      <c r="AF83" s="881">
        <f t="shared" si="89"/>
        <v>13902.742857142855</v>
      </c>
      <c r="AG83" s="881">
        <f t="shared" si="89"/>
        <v>97319.199999999983</v>
      </c>
      <c r="AH83" s="914">
        <f t="shared" si="90"/>
        <v>0</v>
      </c>
      <c r="AI83" s="913">
        <f t="shared" si="91"/>
        <v>0</v>
      </c>
    </row>
    <row r="84" spans="1:35" ht="24.95" customHeight="1" x14ac:dyDescent="0.2">
      <c r="A84" s="870" t="s">
        <v>3826</v>
      </c>
      <c r="B84" s="880">
        <v>314</v>
      </c>
      <c r="C84" s="881">
        <f>(189069.1+136991.6)/B84</f>
        <v>1038.4098726114651</v>
      </c>
      <c r="D84" s="881"/>
      <c r="E84" s="881"/>
      <c r="F84" s="881"/>
      <c r="G84" s="881"/>
      <c r="H84" s="881"/>
      <c r="I84" s="881"/>
      <c r="J84" s="881"/>
      <c r="K84" s="881">
        <f t="shared" si="81"/>
        <v>1038.4098726114651</v>
      </c>
      <c r="L84" s="881">
        <v>1054</v>
      </c>
      <c r="M84" s="881"/>
      <c r="N84" s="881">
        <f t="shared" si="82"/>
        <v>1054</v>
      </c>
      <c r="O84" s="881">
        <f t="shared" si="83"/>
        <v>13514.91847133758</v>
      </c>
      <c r="P84" s="913">
        <f t="shared" si="84"/>
        <v>4243684.4000000004</v>
      </c>
      <c r="Q84" s="880">
        <v>256</v>
      </c>
      <c r="R84" s="881">
        <f>387930/Q84</f>
        <v>1515.3515625</v>
      </c>
      <c r="S84" s="881"/>
      <c r="T84" s="881"/>
      <c r="U84" s="881"/>
      <c r="V84" s="881"/>
      <c r="W84" s="881"/>
      <c r="X84" s="881"/>
      <c r="Y84" s="881"/>
      <c r="Z84" s="881">
        <f t="shared" si="85"/>
        <v>1515.3515625</v>
      </c>
      <c r="AA84" s="881">
        <v>1054</v>
      </c>
      <c r="AB84" s="881"/>
      <c r="AC84" s="881">
        <f t="shared" si="86"/>
        <v>1054</v>
      </c>
      <c r="AD84" s="881">
        <f t="shared" si="87"/>
        <v>19238.21875</v>
      </c>
      <c r="AE84" s="881">
        <f t="shared" si="88"/>
        <v>4924984</v>
      </c>
      <c r="AF84" s="881">
        <f t="shared" si="89"/>
        <v>-5723.3002786624202</v>
      </c>
      <c r="AG84" s="881">
        <f t="shared" si="89"/>
        <v>-681299.59999999963</v>
      </c>
      <c r="AH84" s="914">
        <f t="shared" si="90"/>
        <v>256</v>
      </c>
      <c r="AI84" s="913">
        <f t="shared" si="91"/>
        <v>4924984</v>
      </c>
    </row>
    <row r="85" spans="1:35" ht="24.95" customHeight="1" x14ac:dyDescent="0.2">
      <c r="A85" s="870" t="s">
        <v>3827</v>
      </c>
      <c r="B85" s="880">
        <v>3</v>
      </c>
      <c r="C85" s="881">
        <f>(2244.79+1859.32)/B85</f>
        <v>1368.0366666666666</v>
      </c>
      <c r="D85" s="881"/>
      <c r="E85" s="881"/>
      <c r="F85" s="881"/>
      <c r="G85" s="881"/>
      <c r="H85" s="881"/>
      <c r="I85" s="881"/>
      <c r="J85" s="881"/>
      <c r="K85" s="881">
        <f t="shared" si="81"/>
        <v>1368.0366666666666</v>
      </c>
      <c r="L85" s="881">
        <v>1054</v>
      </c>
      <c r="M85" s="881"/>
      <c r="N85" s="881">
        <f t="shared" si="82"/>
        <v>1054</v>
      </c>
      <c r="O85" s="881">
        <f t="shared" si="83"/>
        <v>17470.439999999999</v>
      </c>
      <c r="P85" s="913">
        <f t="shared" si="84"/>
        <v>52411.319999999992</v>
      </c>
      <c r="Q85" s="880"/>
      <c r="R85" s="881"/>
      <c r="S85" s="881"/>
      <c r="T85" s="881"/>
      <c r="U85" s="881"/>
      <c r="V85" s="881"/>
      <c r="W85" s="881"/>
      <c r="X85" s="881"/>
      <c r="Y85" s="881"/>
      <c r="Z85" s="881">
        <f t="shared" si="85"/>
        <v>0</v>
      </c>
      <c r="AA85" s="881">
        <v>0</v>
      </c>
      <c r="AB85" s="881"/>
      <c r="AC85" s="881">
        <f t="shared" si="86"/>
        <v>0</v>
      </c>
      <c r="AD85" s="881">
        <f t="shared" si="87"/>
        <v>0</v>
      </c>
      <c r="AE85" s="881">
        <f t="shared" si="88"/>
        <v>0</v>
      </c>
      <c r="AF85" s="881">
        <f t="shared" si="89"/>
        <v>17470.439999999999</v>
      </c>
      <c r="AG85" s="881">
        <f t="shared" si="89"/>
        <v>52411.319999999992</v>
      </c>
      <c r="AH85" s="914">
        <f t="shared" si="90"/>
        <v>0</v>
      </c>
      <c r="AI85" s="913">
        <f t="shared" si="91"/>
        <v>0</v>
      </c>
    </row>
    <row r="86" spans="1:35" ht="24.95" customHeight="1" x14ac:dyDescent="0.2">
      <c r="A86" s="870" t="s">
        <v>3828</v>
      </c>
      <c r="B86" s="880">
        <v>3</v>
      </c>
      <c r="C86" s="881">
        <f>2425.65+1657.48/B86</f>
        <v>2978.1433333333334</v>
      </c>
      <c r="D86" s="881"/>
      <c r="E86" s="881"/>
      <c r="F86" s="881"/>
      <c r="G86" s="881"/>
      <c r="H86" s="881"/>
      <c r="I86" s="881"/>
      <c r="J86" s="881"/>
      <c r="K86" s="881">
        <f t="shared" si="81"/>
        <v>2978.1433333333334</v>
      </c>
      <c r="L86" s="881">
        <v>1054</v>
      </c>
      <c r="M86" s="881"/>
      <c r="N86" s="881">
        <f t="shared" si="82"/>
        <v>1054</v>
      </c>
      <c r="O86" s="881">
        <f t="shared" si="83"/>
        <v>36791.72</v>
      </c>
      <c r="P86" s="913">
        <f t="shared" si="84"/>
        <v>110375.16</v>
      </c>
      <c r="Q86" s="880"/>
      <c r="R86" s="881"/>
      <c r="S86" s="881"/>
      <c r="T86" s="881"/>
      <c r="U86" s="881"/>
      <c r="V86" s="881"/>
      <c r="W86" s="881"/>
      <c r="X86" s="881"/>
      <c r="Y86" s="881"/>
      <c r="Z86" s="881">
        <f t="shared" si="85"/>
        <v>0</v>
      </c>
      <c r="AA86" s="881">
        <v>0</v>
      </c>
      <c r="AB86" s="881"/>
      <c r="AC86" s="881">
        <f t="shared" si="86"/>
        <v>0</v>
      </c>
      <c r="AD86" s="881">
        <f t="shared" si="87"/>
        <v>0</v>
      </c>
      <c r="AE86" s="881">
        <f t="shared" si="88"/>
        <v>0</v>
      </c>
      <c r="AF86" s="881">
        <f t="shared" si="89"/>
        <v>36791.72</v>
      </c>
      <c r="AG86" s="881">
        <f t="shared" si="89"/>
        <v>110375.16</v>
      </c>
      <c r="AH86" s="914">
        <f t="shared" si="90"/>
        <v>0</v>
      </c>
      <c r="AI86" s="913">
        <f t="shared" si="91"/>
        <v>0</v>
      </c>
    </row>
    <row r="87" spans="1:35" ht="24.95" customHeight="1" x14ac:dyDescent="0.2">
      <c r="A87" s="870" t="s">
        <v>3789</v>
      </c>
      <c r="B87" s="880">
        <v>5</v>
      </c>
      <c r="C87" s="881">
        <f>(5289.43+3697.73)/B87</f>
        <v>1797.432</v>
      </c>
      <c r="D87" s="881"/>
      <c r="E87" s="881"/>
      <c r="F87" s="881"/>
      <c r="G87" s="881"/>
      <c r="H87" s="881"/>
      <c r="I87" s="881"/>
      <c r="J87" s="881"/>
      <c r="K87" s="881">
        <f t="shared" si="81"/>
        <v>1797.432</v>
      </c>
      <c r="L87" s="881">
        <v>1054</v>
      </c>
      <c r="M87" s="881"/>
      <c r="N87" s="881">
        <f t="shared" si="82"/>
        <v>1054</v>
      </c>
      <c r="O87" s="881">
        <f t="shared" si="83"/>
        <v>22623.184000000001</v>
      </c>
      <c r="P87" s="913">
        <f t="shared" si="84"/>
        <v>113115.92000000001</v>
      </c>
      <c r="Q87" s="880">
        <v>1182</v>
      </c>
      <c r="R87" s="881">
        <f>3055628/Q87</f>
        <v>2585.1336717428089</v>
      </c>
      <c r="S87" s="881"/>
      <c r="T87" s="881"/>
      <c r="U87" s="881"/>
      <c r="V87" s="881"/>
      <c r="W87" s="881"/>
      <c r="X87" s="881"/>
      <c r="Y87" s="881"/>
      <c r="Z87" s="881">
        <f t="shared" si="85"/>
        <v>2585.1336717428089</v>
      </c>
      <c r="AA87" s="881">
        <v>1054</v>
      </c>
      <c r="AB87" s="881"/>
      <c r="AC87" s="881">
        <f t="shared" si="86"/>
        <v>1054</v>
      </c>
      <c r="AD87" s="881">
        <f t="shared" si="87"/>
        <v>32075.604060913705</v>
      </c>
      <c r="AE87" s="881">
        <f t="shared" si="88"/>
        <v>37913364</v>
      </c>
      <c r="AF87" s="881">
        <f t="shared" si="89"/>
        <v>-9452.4200609137042</v>
      </c>
      <c r="AG87" s="881">
        <f t="shared" si="89"/>
        <v>-37800248.079999998</v>
      </c>
      <c r="AH87" s="914">
        <f t="shared" si="90"/>
        <v>1182</v>
      </c>
      <c r="AI87" s="913">
        <f t="shared" si="91"/>
        <v>37913364</v>
      </c>
    </row>
    <row r="88" spans="1:35" ht="24.95" customHeight="1" x14ac:dyDescent="0.2">
      <c r="A88" s="870" t="s">
        <v>3829</v>
      </c>
      <c r="B88" s="880">
        <v>12</v>
      </c>
      <c r="C88" s="881">
        <f>(11521.86+6666.2)/B88</f>
        <v>1515.6716666666669</v>
      </c>
      <c r="D88" s="881"/>
      <c r="E88" s="881"/>
      <c r="F88" s="881"/>
      <c r="G88" s="881"/>
      <c r="H88" s="881"/>
      <c r="I88" s="881"/>
      <c r="J88" s="881"/>
      <c r="K88" s="881">
        <f t="shared" si="81"/>
        <v>1515.6716666666669</v>
      </c>
      <c r="L88" s="881">
        <v>1054</v>
      </c>
      <c r="M88" s="881"/>
      <c r="N88" s="881">
        <f t="shared" si="82"/>
        <v>1054</v>
      </c>
      <c r="O88" s="881">
        <f t="shared" si="83"/>
        <v>19242.060000000001</v>
      </c>
      <c r="P88" s="913">
        <f t="shared" si="84"/>
        <v>230904.72000000003</v>
      </c>
      <c r="Q88" s="880"/>
      <c r="R88" s="881"/>
      <c r="S88" s="881"/>
      <c r="T88" s="881"/>
      <c r="U88" s="881"/>
      <c r="V88" s="881"/>
      <c r="W88" s="881"/>
      <c r="X88" s="881"/>
      <c r="Y88" s="881"/>
      <c r="Z88" s="881">
        <f t="shared" si="85"/>
        <v>0</v>
      </c>
      <c r="AA88" s="881">
        <v>0</v>
      </c>
      <c r="AB88" s="881"/>
      <c r="AC88" s="881">
        <f t="shared" si="86"/>
        <v>0</v>
      </c>
      <c r="AD88" s="881">
        <f t="shared" si="87"/>
        <v>0</v>
      </c>
      <c r="AE88" s="881">
        <f t="shared" si="88"/>
        <v>0</v>
      </c>
      <c r="AF88" s="881">
        <f t="shared" si="89"/>
        <v>19242.060000000001</v>
      </c>
      <c r="AG88" s="881">
        <f t="shared" si="89"/>
        <v>230904.72000000003</v>
      </c>
      <c r="AH88" s="914">
        <f t="shared" si="90"/>
        <v>0</v>
      </c>
      <c r="AI88" s="913">
        <f t="shared" si="91"/>
        <v>0</v>
      </c>
    </row>
    <row r="89" spans="1:35" ht="24.95" customHeight="1" x14ac:dyDescent="0.2">
      <c r="A89" s="870" t="s">
        <v>3830</v>
      </c>
      <c r="B89" s="880">
        <v>20</v>
      </c>
      <c r="C89" s="881">
        <f>(22824.88+13089.85)/B89</f>
        <v>1795.7365000000002</v>
      </c>
      <c r="D89" s="881"/>
      <c r="E89" s="881"/>
      <c r="F89" s="881"/>
      <c r="G89" s="881"/>
      <c r="H89" s="881"/>
      <c r="I89" s="881"/>
      <c r="J89" s="881"/>
      <c r="K89" s="881">
        <f t="shared" si="81"/>
        <v>1795.7365000000002</v>
      </c>
      <c r="L89" s="881">
        <v>1054</v>
      </c>
      <c r="M89" s="881"/>
      <c r="N89" s="881">
        <f t="shared" si="82"/>
        <v>1054</v>
      </c>
      <c r="O89" s="881">
        <f t="shared" si="83"/>
        <v>22602.838000000003</v>
      </c>
      <c r="P89" s="913">
        <f t="shared" si="84"/>
        <v>452056.76000000007</v>
      </c>
      <c r="Q89" s="880">
        <v>520</v>
      </c>
      <c r="R89" s="881">
        <f>1598380/Q89</f>
        <v>3073.8076923076924</v>
      </c>
      <c r="S89" s="881"/>
      <c r="T89" s="881"/>
      <c r="U89" s="881"/>
      <c r="V89" s="881"/>
      <c r="W89" s="881"/>
      <c r="X89" s="881"/>
      <c r="Y89" s="881"/>
      <c r="Z89" s="881">
        <f t="shared" si="85"/>
        <v>3073.8076923076924</v>
      </c>
      <c r="AA89" s="881">
        <v>1054</v>
      </c>
      <c r="AB89" s="881"/>
      <c r="AC89" s="881">
        <f t="shared" si="86"/>
        <v>1054</v>
      </c>
      <c r="AD89" s="881">
        <f t="shared" si="87"/>
        <v>37939.692307692312</v>
      </c>
      <c r="AE89" s="881">
        <f t="shared" si="88"/>
        <v>19728640.000000004</v>
      </c>
      <c r="AF89" s="881">
        <f t="shared" si="89"/>
        <v>-15336.854307692309</v>
      </c>
      <c r="AG89" s="881">
        <f t="shared" si="89"/>
        <v>-19276583.240000002</v>
      </c>
      <c r="AH89" s="914">
        <f t="shared" si="90"/>
        <v>520</v>
      </c>
      <c r="AI89" s="913">
        <f t="shared" si="91"/>
        <v>19728640.000000004</v>
      </c>
    </row>
    <row r="90" spans="1:35" ht="24.95" customHeight="1" x14ac:dyDescent="0.2">
      <c r="A90" s="870" t="s">
        <v>3831</v>
      </c>
      <c r="B90" s="880"/>
      <c r="C90" s="881"/>
      <c r="D90" s="881"/>
      <c r="E90" s="881"/>
      <c r="F90" s="881"/>
      <c r="G90" s="881"/>
      <c r="H90" s="881"/>
      <c r="I90" s="881"/>
      <c r="J90" s="881"/>
      <c r="K90" s="881">
        <f t="shared" ref="K90" si="92">SUM(C90:J90)</f>
        <v>0</v>
      </c>
      <c r="L90" s="881"/>
      <c r="M90" s="881"/>
      <c r="N90" s="881">
        <f t="shared" si="82"/>
        <v>0</v>
      </c>
      <c r="O90" s="881">
        <f t="shared" si="83"/>
        <v>0</v>
      </c>
      <c r="P90" s="913">
        <f t="shared" si="84"/>
        <v>0</v>
      </c>
      <c r="Q90" s="880">
        <v>99</v>
      </c>
      <c r="R90" s="881">
        <f>302519/Q90</f>
        <v>3055.7474747474748</v>
      </c>
      <c r="S90" s="881"/>
      <c r="T90" s="881"/>
      <c r="U90" s="881"/>
      <c r="V90" s="881"/>
      <c r="W90" s="881"/>
      <c r="X90" s="881"/>
      <c r="Y90" s="881"/>
      <c r="Z90" s="881">
        <f t="shared" ref="Z90" si="93">SUM(R90:Y90)</f>
        <v>3055.7474747474748</v>
      </c>
      <c r="AA90" s="881">
        <v>1054</v>
      </c>
      <c r="AB90" s="881"/>
      <c r="AC90" s="881">
        <f t="shared" si="86"/>
        <v>1054</v>
      </c>
      <c r="AD90" s="881">
        <f t="shared" si="87"/>
        <v>37722.969696969696</v>
      </c>
      <c r="AE90" s="881">
        <f t="shared" si="88"/>
        <v>3734574</v>
      </c>
      <c r="AF90" s="881">
        <f t="shared" si="89"/>
        <v>-37722.969696969696</v>
      </c>
      <c r="AG90" s="881">
        <f t="shared" si="89"/>
        <v>-3734574</v>
      </c>
      <c r="AH90" s="914">
        <f t="shared" si="90"/>
        <v>99</v>
      </c>
      <c r="AI90" s="913">
        <f t="shared" si="91"/>
        <v>3734574</v>
      </c>
    </row>
    <row r="91" spans="1:35" ht="24.95" customHeight="1" x14ac:dyDescent="0.2">
      <c r="A91" s="870" t="s">
        <v>3832</v>
      </c>
      <c r="B91" s="880">
        <v>52</v>
      </c>
      <c r="C91" s="881">
        <f>(79872.54+46010.61)/B91</f>
        <v>2420.8298076923074</v>
      </c>
      <c r="D91" s="881"/>
      <c r="E91" s="881"/>
      <c r="F91" s="881"/>
      <c r="G91" s="881"/>
      <c r="H91" s="881"/>
      <c r="I91" s="881"/>
      <c r="J91" s="881"/>
      <c r="K91" s="881">
        <f t="shared" si="81"/>
        <v>2420.8298076923074</v>
      </c>
      <c r="L91" s="881">
        <v>1054</v>
      </c>
      <c r="M91" s="881"/>
      <c r="N91" s="881">
        <f t="shared" si="82"/>
        <v>1054</v>
      </c>
      <c r="O91" s="881">
        <f t="shared" si="83"/>
        <v>30103.957692307689</v>
      </c>
      <c r="P91" s="913">
        <f t="shared" si="84"/>
        <v>1565405.7999999998</v>
      </c>
      <c r="Q91" s="880">
        <v>288</v>
      </c>
      <c r="R91" s="881">
        <f>1291222/Q91</f>
        <v>4483.4097222222226</v>
      </c>
      <c r="S91" s="881"/>
      <c r="T91" s="881"/>
      <c r="U91" s="881"/>
      <c r="V91" s="881"/>
      <c r="W91" s="881"/>
      <c r="X91" s="881"/>
      <c r="Y91" s="881"/>
      <c r="Z91" s="881">
        <f t="shared" si="85"/>
        <v>4483.4097222222226</v>
      </c>
      <c r="AA91" s="881">
        <v>1054</v>
      </c>
      <c r="AB91" s="881"/>
      <c r="AC91" s="881">
        <f t="shared" si="86"/>
        <v>1054</v>
      </c>
      <c r="AD91" s="881">
        <f t="shared" si="87"/>
        <v>54854.916666666672</v>
      </c>
      <c r="AE91" s="881">
        <f t="shared" si="88"/>
        <v>15798216.000000002</v>
      </c>
      <c r="AF91" s="881">
        <f t="shared" si="89"/>
        <v>-24750.958974358982</v>
      </c>
      <c r="AG91" s="881">
        <f t="shared" si="89"/>
        <v>-14232810.200000003</v>
      </c>
      <c r="AH91" s="914">
        <f t="shared" si="90"/>
        <v>288</v>
      </c>
      <c r="AI91" s="913">
        <f t="shared" si="91"/>
        <v>15798216.000000002</v>
      </c>
    </row>
    <row r="92" spans="1:35" ht="24.95" customHeight="1" x14ac:dyDescent="0.2">
      <c r="A92" s="870" t="s">
        <v>3833</v>
      </c>
      <c r="B92" s="880">
        <v>197</v>
      </c>
      <c r="C92" s="881">
        <f>(175148.12+112929.31)/B92</f>
        <v>1462.3219796954315</v>
      </c>
      <c r="D92" s="881"/>
      <c r="E92" s="881"/>
      <c r="F92" s="881"/>
      <c r="G92" s="881"/>
      <c r="H92" s="881"/>
      <c r="I92" s="881"/>
      <c r="J92" s="881"/>
      <c r="K92" s="881">
        <f t="shared" si="81"/>
        <v>1462.3219796954315</v>
      </c>
      <c r="L92" s="881">
        <v>1054</v>
      </c>
      <c r="M92" s="881"/>
      <c r="N92" s="881">
        <f t="shared" si="82"/>
        <v>1054</v>
      </c>
      <c r="O92" s="881">
        <f t="shared" si="83"/>
        <v>18601.863756345178</v>
      </c>
      <c r="P92" s="913">
        <f t="shared" si="84"/>
        <v>3664567.16</v>
      </c>
      <c r="Q92" s="880"/>
      <c r="R92" s="881"/>
      <c r="S92" s="881"/>
      <c r="T92" s="881"/>
      <c r="U92" s="881"/>
      <c r="V92" s="881"/>
      <c r="W92" s="881"/>
      <c r="X92" s="881"/>
      <c r="Y92" s="881"/>
      <c r="Z92" s="881">
        <f t="shared" si="85"/>
        <v>0</v>
      </c>
      <c r="AA92" s="881">
        <v>0</v>
      </c>
      <c r="AB92" s="881"/>
      <c r="AC92" s="881">
        <f t="shared" si="86"/>
        <v>0</v>
      </c>
      <c r="AD92" s="881">
        <f t="shared" si="87"/>
        <v>0</v>
      </c>
      <c r="AE92" s="881">
        <f t="shared" si="88"/>
        <v>0</v>
      </c>
      <c r="AF92" s="881">
        <f t="shared" si="89"/>
        <v>18601.863756345178</v>
      </c>
      <c r="AG92" s="881">
        <f t="shared" si="89"/>
        <v>3664567.16</v>
      </c>
      <c r="AH92" s="914">
        <f t="shared" si="90"/>
        <v>0</v>
      </c>
      <c r="AI92" s="913">
        <f t="shared" si="91"/>
        <v>0</v>
      </c>
    </row>
    <row r="93" spans="1:35" ht="24.95" customHeight="1" x14ac:dyDescent="0.2">
      <c r="A93" s="870" t="s">
        <v>3834</v>
      </c>
      <c r="B93" s="880">
        <v>204</v>
      </c>
      <c r="C93" s="881">
        <f>(229256.36+163408.21)/B93</f>
        <v>1924.8263235294114</v>
      </c>
      <c r="D93" s="881"/>
      <c r="E93" s="881"/>
      <c r="F93" s="881"/>
      <c r="G93" s="881"/>
      <c r="H93" s="881"/>
      <c r="I93" s="881"/>
      <c r="J93" s="881"/>
      <c r="K93" s="881">
        <f t="shared" si="81"/>
        <v>1924.8263235294114</v>
      </c>
      <c r="L93" s="881">
        <v>1054</v>
      </c>
      <c r="M93" s="881"/>
      <c r="N93" s="881">
        <f t="shared" si="82"/>
        <v>1054</v>
      </c>
      <c r="O93" s="881">
        <f t="shared" si="83"/>
        <v>24151.915882352936</v>
      </c>
      <c r="P93" s="913">
        <f t="shared" si="84"/>
        <v>4926990.8399999989</v>
      </c>
      <c r="Q93" s="880">
        <v>737</v>
      </c>
      <c r="R93" s="881">
        <f>2154219/Q93</f>
        <v>2922.9565807327003</v>
      </c>
      <c r="S93" s="881"/>
      <c r="T93" s="881"/>
      <c r="U93" s="881"/>
      <c r="V93" s="881"/>
      <c r="W93" s="881"/>
      <c r="X93" s="881"/>
      <c r="Y93" s="881"/>
      <c r="Z93" s="881">
        <f t="shared" si="85"/>
        <v>2922.9565807327003</v>
      </c>
      <c r="AA93" s="881">
        <v>1054</v>
      </c>
      <c r="AB93" s="881"/>
      <c r="AC93" s="881">
        <f t="shared" si="86"/>
        <v>1054</v>
      </c>
      <c r="AD93" s="881">
        <f t="shared" si="87"/>
        <v>36129.478968792406</v>
      </c>
      <c r="AE93" s="881">
        <f t="shared" si="88"/>
        <v>26627426.000000004</v>
      </c>
      <c r="AF93" s="881">
        <f t="shared" si="89"/>
        <v>-11977.56308643947</v>
      </c>
      <c r="AG93" s="881">
        <f t="shared" si="89"/>
        <v>-21700435.160000004</v>
      </c>
      <c r="AH93" s="914">
        <f t="shared" si="90"/>
        <v>737</v>
      </c>
      <c r="AI93" s="913">
        <f t="shared" si="91"/>
        <v>26627426.000000004</v>
      </c>
    </row>
    <row r="94" spans="1:35" ht="24.95" customHeight="1" x14ac:dyDescent="0.2">
      <c r="A94" s="870" t="s">
        <v>3835</v>
      </c>
      <c r="B94" s="880"/>
      <c r="C94" s="881"/>
      <c r="D94" s="881"/>
      <c r="E94" s="881"/>
      <c r="F94" s="881"/>
      <c r="G94" s="881"/>
      <c r="H94" s="881"/>
      <c r="I94" s="881"/>
      <c r="J94" s="881"/>
      <c r="K94" s="881">
        <f t="shared" ref="K94" si="94">SUM(C94:J94)</f>
        <v>0</v>
      </c>
      <c r="L94" s="881"/>
      <c r="M94" s="881"/>
      <c r="N94" s="881">
        <f t="shared" ref="N94" si="95">SUM(L94:M94)</f>
        <v>0</v>
      </c>
      <c r="O94" s="881">
        <f t="shared" si="83"/>
        <v>0</v>
      </c>
      <c r="P94" s="913">
        <f t="shared" si="84"/>
        <v>0</v>
      </c>
      <c r="Q94" s="880">
        <v>173</v>
      </c>
      <c r="R94" s="881">
        <f>484989/Q94</f>
        <v>2803.4046242774566</v>
      </c>
      <c r="S94" s="881"/>
      <c r="T94" s="881"/>
      <c r="U94" s="881"/>
      <c r="V94" s="881"/>
      <c r="W94" s="881"/>
      <c r="X94" s="881"/>
      <c r="Y94" s="881"/>
      <c r="Z94" s="881">
        <f t="shared" ref="Z94" si="96">SUM(R94:Y94)</f>
        <v>2803.4046242774566</v>
      </c>
      <c r="AA94" s="881">
        <v>1054</v>
      </c>
      <c r="AB94" s="881"/>
      <c r="AC94" s="881">
        <f t="shared" si="86"/>
        <v>1054</v>
      </c>
      <c r="AD94" s="881">
        <f t="shared" si="87"/>
        <v>34694.855491329479</v>
      </c>
      <c r="AE94" s="881">
        <f t="shared" si="88"/>
        <v>6002210</v>
      </c>
      <c r="AF94" s="881">
        <f t="shared" si="89"/>
        <v>-34694.855491329479</v>
      </c>
      <c r="AG94" s="881">
        <f t="shared" si="89"/>
        <v>-6002210</v>
      </c>
      <c r="AH94" s="914">
        <f t="shared" si="90"/>
        <v>173</v>
      </c>
      <c r="AI94" s="913">
        <f t="shared" si="91"/>
        <v>6002210</v>
      </c>
    </row>
    <row r="95" spans="1:35" ht="24.95" customHeight="1" x14ac:dyDescent="0.2">
      <c r="A95" s="870" t="s">
        <v>3836</v>
      </c>
      <c r="B95" s="880">
        <v>62</v>
      </c>
      <c r="C95" s="881">
        <f>(90407.69+57250.9)/B95</f>
        <v>2381.5901612903226</v>
      </c>
      <c r="D95" s="881"/>
      <c r="E95" s="881"/>
      <c r="F95" s="881"/>
      <c r="G95" s="881"/>
      <c r="H95" s="881"/>
      <c r="I95" s="881"/>
      <c r="J95" s="881"/>
      <c r="K95" s="881">
        <f t="shared" si="81"/>
        <v>2381.5901612903226</v>
      </c>
      <c r="L95" s="881">
        <v>1054</v>
      </c>
      <c r="M95" s="881"/>
      <c r="N95" s="881">
        <f t="shared" si="82"/>
        <v>1054</v>
      </c>
      <c r="O95" s="881">
        <f t="shared" si="83"/>
        <v>29633.081935483871</v>
      </c>
      <c r="P95" s="913">
        <f t="shared" si="84"/>
        <v>1837251.08</v>
      </c>
      <c r="Q95" s="880">
        <v>108</v>
      </c>
      <c r="R95" s="881">
        <f>430255/Q95</f>
        <v>3983.8425925925926</v>
      </c>
      <c r="S95" s="881"/>
      <c r="T95" s="881"/>
      <c r="U95" s="881"/>
      <c r="V95" s="881"/>
      <c r="W95" s="881"/>
      <c r="X95" s="881"/>
      <c r="Y95" s="881"/>
      <c r="Z95" s="881">
        <f t="shared" si="85"/>
        <v>3983.8425925925926</v>
      </c>
      <c r="AA95" s="881">
        <v>1054</v>
      </c>
      <c r="AB95" s="881"/>
      <c r="AC95" s="881">
        <f t="shared" si="86"/>
        <v>1054</v>
      </c>
      <c r="AD95" s="881">
        <f t="shared" si="87"/>
        <v>48860.111111111109</v>
      </c>
      <c r="AE95" s="881">
        <f t="shared" si="88"/>
        <v>5276892</v>
      </c>
      <c r="AF95" s="881">
        <f t="shared" si="89"/>
        <v>-19227.029175627238</v>
      </c>
      <c r="AG95" s="881">
        <f t="shared" si="89"/>
        <v>-3439640.92</v>
      </c>
      <c r="AH95" s="914">
        <f t="shared" si="90"/>
        <v>108</v>
      </c>
      <c r="AI95" s="913">
        <f t="shared" si="91"/>
        <v>5276892</v>
      </c>
    </row>
    <row r="96" spans="1:35" ht="24.95" customHeight="1" x14ac:dyDescent="0.2">
      <c r="A96" s="870" t="s">
        <v>3837</v>
      </c>
      <c r="B96" s="880">
        <v>44</v>
      </c>
      <c r="C96" s="881">
        <f>(48749.29+28483.85)/B96</f>
        <v>1755.2986363636364</v>
      </c>
      <c r="D96" s="881"/>
      <c r="E96" s="881"/>
      <c r="F96" s="881"/>
      <c r="G96" s="881"/>
      <c r="H96" s="881"/>
      <c r="I96" s="881"/>
      <c r="J96" s="881"/>
      <c r="K96" s="881">
        <f t="shared" si="81"/>
        <v>1755.2986363636364</v>
      </c>
      <c r="L96" s="881">
        <v>1054</v>
      </c>
      <c r="M96" s="881"/>
      <c r="N96" s="881">
        <f t="shared" si="82"/>
        <v>1054</v>
      </c>
      <c r="O96" s="881">
        <f t="shared" si="83"/>
        <v>22117.583636363637</v>
      </c>
      <c r="P96" s="913">
        <f t="shared" si="84"/>
        <v>973173.68</v>
      </c>
      <c r="Q96" s="880"/>
      <c r="R96" s="881"/>
      <c r="S96" s="881"/>
      <c r="T96" s="881"/>
      <c r="U96" s="881"/>
      <c r="V96" s="881"/>
      <c r="W96" s="881"/>
      <c r="X96" s="881"/>
      <c r="Y96" s="881"/>
      <c r="Z96" s="881">
        <f t="shared" si="85"/>
        <v>0</v>
      </c>
      <c r="AA96" s="881">
        <v>0</v>
      </c>
      <c r="AB96" s="881"/>
      <c r="AC96" s="881">
        <f t="shared" si="86"/>
        <v>0</v>
      </c>
      <c r="AD96" s="881">
        <f t="shared" si="87"/>
        <v>0</v>
      </c>
      <c r="AE96" s="881">
        <f t="shared" si="88"/>
        <v>0</v>
      </c>
      <c r="AF96" s="881">
        <f t="shared" si="89"/>
        <v>22117.583636363637</v>
      </c>
      <c r="AG96" s="881">
        <f t="shared" si="89"/>
        <v>973173.68</v>
      </c>
      <c r="AH96" s="914">
        <f t="shared" si="90"/>
        <v>0</v>
      </c>
      <c r="AI96" s="913">
        <f t="shared" si="91"/>
        <v>0</v>
      </c>
    </row>
    <row r="97" spans="1:35" ht="24.95" customHeight="1" x14ac:dyDescent="0.2">
      <c r="A97" s="870" t="s">
        <v>3838</v>
      </c>
      <c r="B97" s="880"/>
      <c r="C97" s="881"/>
      <c r="D97" s="881"/>
      <c r="E97" s="881"/>
      <c r="F97" s="881"/>
      <c r="G97" s="881"/>
      <c r="H97" s="881"/>
      <c r="I97" s="881"/>
      <c r="J97" s="881"/>
      <c r="K97" s="881">
        <f t="shared" ref="K97" si="97">SUM(C97:J97)</f>
        <v>0</v>
      </c>
      <c r="L97" s="881"/>
      <c r="M97" s="881"/>
      <c r="N97" s="881">
        <f t="shared" si="82"/>
        <v>0</v>
      </c>
      <c r="O97" s="881">
        <f t="shared" si="83"/>
        <v>0</v>
      </c>
      <c r="P97" s="913">
        <f t="shared" si="84"/>
        <v>0</v>
      </c>
      <c r="Q97" s="880">
        <v>45</v>
      </c>
      <c r="R97" s="881">
        <f>148516/Q97</f>
        <v>3300.3555555555554</v>
      </c>
      <c r="S97" s="881"/>
      <c r="T97" s="881"/>
      <c r="U97" s="881"/>
      <c r="V97" s="881"/>
      <c r="W97" s="881"/>
      <c r="X97" s="881"/>
      <c r="Y97" s="881"/>
      <c r="Z97" s="881">
        <f t="shared" ref="Z97" si="98">SUM(R97:Y97)</f>
        <v>3300.3555555555554</v>
      </c>
      <c r="AA97" s="881">
        <v>1054</v>
      </c>
      <c r="AB97" s="881"/>
      <c r="AC97" s="881">
        <f t="shared" si="86"/>
        <v>1054</v>
      </c>
      <c r="AD97" s="881">
        <f t="shared" si="87"/>
        <v>40658.266666666663</v>
      </c>
      <c r="AE97" s="881">
        <f t="shared" si="88"/>
        <v>1829621.9999999998</v>
      </c>
      <c r="AF97" s="881">
        <f t="shared" si="89"/>
        <v>-40658.266666666663</v>
      </c>
      <c r="AG97" s="881">
        <f t="shared" si="89"/>
        <v>-1829621.9999999998</v>
      </c>
      <c r="AH97" s="914">
        <f t="shared" si="90"/>
        <v>45</v>
      </c>
      <c r="AI97" s="913">
        <f t="shared" si="91"/>
        <v>1829621.9999999998</v>
      </c>
    </row>
    <row r="98" spans="1:35" ht="24.95" customHeight="1" x14ac:dyDescent="0.2">
      <c r="A98" s="870" t="s">
        <v>3839</v>
      </c>
      <c r="B98" s="880">
        <v>133</v>
      </c>
      <c r="C98" s="881">
        <f>(182114.73+112639.97)/B98</f>
        <v>2216.2007518796995</v>
      </c>
      <c r="D98" s="881"/>
      <c r="E98" s="881"/>
      <c r="F98" s="881"/>
      <c r="G98" s="881"/>
      <c r="H98" s="881"/>
      <c r="I98" s="881"/>
      <c r="J98" s="881"/>
      <c r="K98" s="881">
        <f t="shared" si="81"/>
        <v>2216.2007518796995</v>
      </c>
      <c r="L98" s="881">
        <v>1054</v>
      </c>
      <c r="M98" s="881"/>
      <c r="N98" s="881">
        <f t="shared" si="82"/>
        <v>1054</v>
      </c>
      <c r="O98" s="881">
        <f t="shared" si="83"/>
        <v>27648.409022556392</v>
      </c>
      <c r="P98" s="913">
        <f t="shared" si="84"/>
        <v>3677238.4000000004</v>
      </c>
      <c r="Q98" s="880">
        <v>189</v>
      </c>
      <c r="R98" s="881">
        <f>603312/Q98</f>
        <v>3192.1269841269841</v>
      </c>
      <c r="S98" s="881"/>
      <c r="T98" s="881"/>
      <c r="U98" s="881"/>
      <c r="V98" s="881"/>
      <c r="W98" s="881"/>
      <c r="X98" s="881"/>
      <c r="Y98" s="881"/>
      <c r="Z98" s="881">
        <f t="shared" si="85"/>
        <v>3192.1269841269841</v>
      </c>
      <c r="AA98" s="881">
        <v>1054</v>
      </c>
      <c r="AB98" s="881"/>
      <c r="AC98" s="881">
        <f t="shared" si="86"/>
        <v>1054</v>
      </c>
      <c r="AD98" s="881">
        <f t="shared" si="87"/>
        <v>39359.523809523809</v>
      </c>
      <c r="AE98" s="881">
        <f t="shared" si="88"/>
        <v>7438950</v>
      </c>
      <c r="AF98" s="881">
        <f t="shared" si="89"/>
        <v>-11711.114786967417</v>
      </c>
      <c r="AG98" s="881">
        <f t="shared" si="89"/>
        <v>-3761711.5999999996</v>
      </c>
      <c r="AH98" s="914">
        <f t="shared" si="90"/>
        <v>189</v>
      </c>
      <c r="AI98" s="913">
        <f t="shared" si="91"/>
        <v>7438950</v>
      </c>
    </row>
    <row r="99" spans="1:35" ht="24.95" customHeight="1" x14ac:dyDescent="0.2">
      <c r="A99" s="870" t="s">
        <v>3840</v>
      </c>
      <c r="B99" s="880">
        <v>104</v>
      </c>
      <c r="C99" s="881">
        <f>(163364.46+99512.21)/B99</f>
        <v>2527.6602884615381</v>
      </c>
      <c r="D99" s="881"/>
      <c r="E99" s="881"/>
      <c r="F99" s="881"/>
      <c r="G99" s="881"/>
      <c r="H99" s="881"/>
      <c r="I99" s="881"/>
      <c r="J99" s="881"/>
      <c r="K99" s="881">
        <f t="shared" si="81"/>
        <v>2527.6602884615381</v>
      </c>
      <c r="L99" s="881">
        <v>1054</v>
      </c>
      <c r="M99" s="881"/>
      <c r="N99" s="881">
        <f t="shared" si="82"/>
        <v>1054</v>
      </c>
      <c r="O99" s="881">
        <f t="shared" si="83"/>
        <v>31385.923461538456</v>
      </c>
      <c r="P99" s="913">
        <f t="shared" si="84"/>
        <v>3264136.0399999996</v>
      </c>
      <c r="Q99" s="880">
        <v>133</v>
      </c>
      <c r="R99" s="881">
        <f>622344/Q99</f>
        <v>4679.2781954887214</v>
      </c>
      <c r="S99" s="881"/>
      <c r="T99" s="881"/>
      <c r="U99" s="881"/>
      <c r="V99" s="881"/>
      <c r="W99" s="881"/>
      <c r="X99" s="881"/>
      <c r="Y99" s="881"/>
      <c r="Z99" s="881">
        <f t="shared" si="85"/>
        <v>4679.2781954887214</v>
      </c>
      <c r="AA99" s="881">
        <v>1054</v>
      </c>
      <c r="AB99" s="881"/>
      <c r="AC99" s="881">
        <f t="shared" si="86"/>
        <v>1054</v>
      </c>
      <c r="AD99" s="881">
        <f t="shared" si="87"/>
        <v>57205.338345864657</v>
      </c>
      <c r="AE99" s="881">
        <f t="shared" si="88"/>
        <v>7608309.9999999991</v>
      </c>
      <c r="AF99" s="881">
        <f t="shared" si="89"/>
        <v>-25819.414884326201</v>
      </c>
      <c r="AG99" s="881">
        <f t="shared" si="89"/>
        <v>-4344173.959999999</v>
      </c>
      <c r="AH99" s="914">
        <f t="shared" si="90"/>
        <v>133</v>
      </c>
      <c r="AI99" s="913">
        <f t="shared" si="91"/>
        <v>7608309.9999999991</v>
      </c>
    </row>
    <row r="100" spans="1:35" ht="24.95" customHeight="1" x14ac:dyDescent="0.2">
      <c r="A100" s="870" t="s">
        <v>3841</v>
      </c>
      <c r="B100" s="880">
        <v>249</v>
      </c>
      <c r="C100" s="881">
        <f>(201428.3+134161.4)/B100</f>
        <v>1347.7497991967869</v>
      </c>
      <c r="D100" s="881"/>
      <c r="E100" s="881"/>
      <c r="F100" s="881"/>
      <c r="G100" s="881"/>
      <c r="H100" s="881"/>
      <c r="I100" s="881"/>
      <c r="J100" s="881"/>
      <c r="K100" s="881">
        <f t="shared" si="81"/>
        <v>1347.7497991967869</v>
      </c>
      <c r="L100" s="881">
        <v>1054</v>
      </c>
      <c r="M100" s="881"/>
      <c r="N100" s="881">
        <f t="shared" si="82"/>
        <v>1054</v>
      </c>
      <c r="O100" s="881">
        <f t="shared" si="83"/>
        <v>17226.997590361443</v>
      </c>
      <c r="P100" s="913">
        <f t="shared" si="84"/>
        <v>4289522.3999999994</v>
      </c>
      <c r="Q100" s="880"/>
      <c r="R100" s="881"/>
      <c r="S100" s="881"/>
      <c r="T100" s="881"/>
      <c r="U100" s="881"/>
      <c r="V100" s="881"/>
      <c r="W100" s="881"/>
      <c r="X100" s="881"/>
      <c r="Y100" s="881"/>
      <c r="Z100" s="881">
        <f t="shared" si="85"/>
        <v>0</v>
      </c>
      <c r="AA100" s="881">
        <v>0</v>
      </c>
      <c r="AB100" s="881"/>
      <c r="AC100" s="881">
        <f t="shared" si="86"/>
        <v>0</v>
      </c>
      <c r="AD100" s="881">
        <f t="shared" si="87"/>
        <v>0</v>
      </c>
      <c r="AE100" s="881">
        <f t="shared" si="88"/>
        <v>0</v>
      </c>
      <c r="AF100" s="881">
        <f t="shared" si="89"/>
        <v>17226.997590361443</v>
      </c>
      <c r="AG100" s="881">
        <f t="shared" si="89"/>
        <v>4289522.3999999994</v>
      </c>
      <c r="AH100" s="914">
        <f t="shared" si="90"/>
        <v>0</v>
      </c>
      <c r="AI100" s="913">
        <f t="shared" si="91"/>
        <v>0</v>
      </c>
    </row>
    <row r="101" spans="1:35" ht="24.95" customHeight="1" x14ac:dyDescent="0.2">
      <c r="A101" s="870" t="s">
        <v>3842</v>
      </c>
      <c r="B101" s="880">
        <v>438</v>
      </c>
      <c r="C101" s="881">
        <f>(439015.68+292265.24)/B101</f>
        <v>1669.5911415525113</v>
      </c>
      <c r="D101" s="881"/>
      <c r="E101" s="881"/>
      <c r="F101" s="881"/>
      <c r="G101" s="881"/>
      <c r="H101" s="881"/>
      <c r="I101" s="881"/>
      <c r="J101" s="881"/>
      <c r="K101" s="881">
        <f t="shared" si="81"/>
        <v>1669.5911415525113</v>
      </c>
      <c r="L101" s="881">
        <v>1054</v>
      </c>
      <c r="M101" s="881"/>
      <c r="N101" s="881">
        <f t="shared" si="82"/>
        <v>1054</v>
      </c>
      <c r="O101" s="881">
        <f t="shared" si="83"/>
        <v>21089.093698630135</v>
      </c>
      <c r="P101" s="913">
        <f t="shared" si="84"/>
        <v>9237023.0399999991</v>
      </c>
      <c r="Q101" s="880">
        <v>1404</v>
      </c>
      <c r="R101" s="881">
        <f>3730232/Q101</f>
        <v>2656.8603988603991</v>
      </c>
      <c r="S101" s="881"/>
      <c r="T101" s="881"/>
      <c r="U101" s="881"/>
      <c r="V101" s="881"/>
      <c r="W101" s="881"/>
      <c r="X101" s="881"/>
      <c r="Y101" s="881"/>
      <c r="Z101" s="881">
        <f t="shared" si="85"/>
        <v>2656.8603988603991</v>
      </c>
      <c r="AA101" s="881">
        <v>1054</v>
      </c>
      <c r="AB101" s="881"/>
      <c r="AC101" s="881">
        <f t="shared" si="86"/>
        <v>1054</v>
      </c>
      <c r="AD101" s="881">
        <f t="shared" si="87"/>
        <v>32936.324786324789</v>
      </c>
      <c r="AE101" s="881">
        <f t="shared" si="88"/>
        <v>46242600</v>
      </c>
      <c r="AF101" s="881">
        <f t="shared" si="89"/>
        <v>-11847.231087694654</v>
      </c>
      <c r="AG101" s="881">
        <f t="shared" si="89"/>
        <v>-37005576.960000001</v>
      </c>
      <c r="AH101" s="914">
        <f t="shared" si="90"/>
        <v>1404</v>
      </c>
      <c r="AI101" s="913">
        <f t="shared" si="91"/>
        <v>46242600</v>
      </c>
    </row>
    <row r="102" spans="1:35" ht="24.95" customHeight="1" x14ac:dyDescent="0.2">
      <c r="A102" s="870" t="s">
        <v>3843</v>
      </c>
      <c r="B102" s="880"/>
      <c r="C102" s="881"/>
      <c r="D102" s="881"/>
      <c r="E102" s="881"/>
      <c r="F102" s="881"/>
      <c r="G102" s="881"/>
      <c r="H102" s="881"/>
      <c r="I102" s="881"/>
      <c r="J102" s="881"/>
      <c r="K102" s="881">
        <f t="shared" ref="K102" si="99">SUM(C102:J102)</f>
        <v>0</v>
      </c>
      <c r="L102" s="881"/>
      <c r="M102" s="881"/>
      <c r="N102" s="881">
        <f t="shared" ref="N102" si="100">SUM(L102:M102)</f>
        <v>0</v>
      </c>
      <c r="O102" s="881">
        <f t="shared" si="83"/>
        <v>0</v>
      </c>
      <c r="P102" s="913">
        <f t="shared" si="84"/>
        <v>0</v>
      </c>
      <c r="Q102" s="880">
        <v>310</v>
      </c>
      <c r="R102" s="881">
        <f>797116/Q102</f>
        <v>2571.3419354838711</v>
      </c>
      <c r="S102" s="881"/>
      <c r="T102" s="881"/>
      <c r="U102" s="881"/>
      <c r="V102" s="881"/>
      <c r="W102" s="881"/>
      <c r="X102" s="881"/>
      <c r="Y102" s="881"/>
      <c r="Z102" s="881">
        <f t="shared" ref="Z102" si="101">SUM(R102:Y102)</f>
        <v>2571.3419354838711</v>
      </c>
      <c r="AA102" s="881">
        <v>1054</v>
      </c>
      <c r="AB102" s="881"/>
      <c r="AC102" s="881">
        <f t="shared" si="86"/>
        <v>1054</v>
      </c>
      <c r="AD102" s="881">
        <f t="shared" si="87"/>
        <v>31910.103225806452</v>
      </c>
      <c r="AE102" s="881">
        <f t="shared" si="88"/>
        <v>9892132</v>
      </c>
      <c r="AF102" s="881">
        <f t="shared" si="89"/>
        <v>-31910.103225806452</v>
      </c>
      <c r="AG102" s="881">
        <f t="shared" si="89"/>
        <v>-9892132</v>
      </c>
      <c r="AH102" s="914">
        <f t="shared" si="90"/>
        <v>310</v>
      </c>
      <c r="AI102" s="913">
        <f t="shared" si="91"/>
        <v>9892132</v>
      </c>
    </row>
    <row r="103" spans="1:35" ht="24.95" customHeight="1" x14ac:dyDescent="0.2">
      <c r="A103" s="870" t="s">
        <v>3844</v>
      </c>
      <c r="B103" s="880">
        <v>178</v>
      </c>
      <c r="C103" s="881">
        <f>(234801.95+168199.71)/B103</f>
        <v>2264.0542696629213</v>
      </c>
      <c r="D103" s="881"/>
      <c r="E103" s="881"/>
      <c r="F103" s="881"/>
      <c r="G103" s="881"/>
      <c r="H103" s="881"/>
      <c r="I103" s="881"/>
      <c r="J103" s="881"/>
      <c r="K103" s="881">
        <f t="shared" si="81"/>
        <v>2264.0542696629213</v>
      </c>
      <c r="L103" s="881">
        <v>1054</v>
      </c>
      <c r="M103" s="881"/>
      <c r="N103" s="881">
        <f t="shared" si="82"/>
        <v>1054</v>
      </c>
      <c r="O103" s="881">
        <f t="shared" si="83"/>
        <v>28222.651235955054</v>
      </c>
      <c r="P103" s="913">
        <f t="shared" si="84"/>
        <v>5023631.92</v>
      </c>
      <c r="Q103" s="880">
        <v>403</v>
      </c>
      <c r="R103" s="881">
        <f>1230696/Q103</f>
        <v>3053.8362282878411</v>
      </c>
      <c r="S103" s="881"/>
      <c r="T103" s="881"/>
      <c r="U103" s="881"/>
      <c r="V103" s="881"/>
      <c r="W103" s="881"/>
      <c r="X103" s="881"/>
      <c r="Y103" s="881"/>
      <c r="Z103" s="881">
        <f t="shared" si="85"/>
        <v>3053.8362282878411</v>
      </c>
      <c r="AA103" s="881">
        <v>1054</v>
      </c>
      <c r="AB103" s="881"/>
      <c r="AC103" s="881">
        <f t="shared" si="86"/>
        <v>1054</v>
      </c>
      <c r="AD103" s="881">
        <f t="shared" si="87"/>
        <v>37700.034739454095</v>
      </c>
      <c r="AE103" s="881">
        <f t="shared" si="88"/>
        <v>15193114</v>
      </c>
      <c r="AF103" s="881">
        <f t="shared" si="89"/>
        <v>-9477.3835034990407</v>
      </c>
      <c r="AG103" s="881">
        <f t="shared" si="89"/>
        <v>-10169482.08</v>
      </c>
      <c r="AH103" s="914">
        <f t="shared" si="90"/>
        <v>403</v>
      </c>
      <c r="AI103" s="913">
        <f t="shared" si="91"/>
        <v>15193114</v>
      </c>
    </row>
    <row r="104" spans="1:35" ht="24.95" customHeight="1" x14ac:dyDescent="0.2">
      <c r="A104" s="870" t="s">
        <v>3845</v>
      </c>
      <c r="B104" s="880">
        <v>13</v>
      </c>
      <c r="C104" s="881">
        <f>(16163.45+8812.11)/B104</f>
        <v>1921.1969230769232</v>
      </c>
      <c r="D104" s="881"/>
      <c r="E104" s="881"/>
      <c r="F104" s="881"/>
      <c r="G104" s="881"/>
      <c r="H104" s="881"/>
      <c r="I104" s="881"/>
      <c r="J104" s="881"/>
      <c r="K104" s="881">
        <f t="shared" si="81"/>
        <v>1921.1969230769232</v>
      </c>
      <c r="L104" s="881">
        <v>1054</v>
      </c>
      <c r="M104" s="881"/>
      <c r="N104" s="881">
        <f t="shared" si="82"/>
        <v>1054</v>
      </c>
      <c r="O104" s="881">
        <f t="shared" si="83"/>
        <v>24108.36307692308</v>
      </c>
      <c r="P104" s="913">
        <f t="shared" si="84"/>
        <v>313408.72000000003</v>
      </c>
      <c r="Q104" s="880"/>
      <c r="R104" s="881"/>
      <c r="S104" s="881"/>
      <c r="T104" s="881"/>
      <c r="U104" s="881"/>
      <c r="V104" s="881"/>
      <c r="W104" s="881"/>
      <c r="X104" s="881"/>
      <c r="Y104" s="881"/>
      <c r="Z104" s="881">
        <f t="shared" si="85"/>
        <v>0</v>
      </c>
      <c r="AA104" s="881">
        <v>0</v>
      </c>
      <c r="AB104" s="881"/>
      <c r="AC104" s="881">
        <f t="shared" si="86"/>
        <v>0</v>
      </c>
      <c r="AD104" s="881">
        <f t="shared" si="87"/>
        <v>0</v>
      </c>
      <c r="AE104" s="881">
        <f t="shared" si="88"/>
        <v>0</v>
      </c>
      <c r="AF104" s="881">
        <f t="shared" si="89"/>
        <v>24108.36307692308</v>
      </c>
      <c r="AG104" s="881">
        <f t="shared" si="89"/>
        <v>313408.72000000003</v>
      </c>
      <c r="AH104" s="914">
        <f t="shared" si="90"/>
        <v>0</v>
      </c>
      <c r="AI104" s="913">
        <f t="shared" si="91"/>
        <v>0</v>
      </c>
    </row>
    <row r="105" spans="1:35" ht="24.95" customHeight="1" x14ac:dyDescent="0.2">
      <c r="A105" s="870" t="s">
        <v>3846</v>
      </c>
      <c r="B105" s="880">
        <v>24</v>
      </c>
      <c r="C105" s="881">
        <f>(39820.9+22752.16)/B105</f>
        <v>2607.2108333333331</v>
      </c>
      <c r="D105" s="881"/>
      <c r="E105" s="881"/>
      <c r="F105" s="881"/>
      <c r="G105" s="881"/>
      <c r="H105" s="881"/>
      <c r="I105" s="881"/>
      <c r="J105" s="881"/>
      <c r="K105" s="881">
        <f t="shared" si="81"/>
        <v>2607.2108333333331</v>
      </c>
      <c r="L105" s="881">
        <v>1054</v>
      </c>
      <c r="M105" s="881"/>
      <c r="N105" s="881">
        <f t="shared" si="82"/>
        <v>1054</v>
      </c>
      <c r="O105" s="881">
        <f t="shared" si="83"/>
        <v>32340.53</v>
      </c>
      <c r="P105" s="913">
        <f t="shared" si="84"/>
        <v>776172.72</v>
      </c>
      <c r="Q105" s="880">
        <v>73</v>
      </c>
      <c r="R105" s="881">
        <f>272275/Q105</f>
        <v>3729.794520547945</v>
      </c>
      <c r="S105" s="881"/>
      <c r="T105" s="881"/>
      <c r="U105" s="881"/>
      <c r="V105" s="881"/>
      <c r="W105" s="881"/>
      <c r="X105" s="881"/>
      <c r="Y105" s="881"/>
      <c r="Z105" s="881">
        <f t="shared" si="85"/>
        <v>3729.794520547945</v>
      </c>
      <c r="AA105" s="881">
        <v>1054</v>
      </c>
      <c r="AB105" s="881"/>
      <c r="AC105" s="881">
        <f t="shared" si="86"/>
        <v>1054</v>
      </c>
      <c r="AD105" s="881">
        <f t="shared" si="87"/>
        <v>45811.534246575342</v>
      </c>
      <c r="AE105" s="881">
        <f t="shared" si="88"/>
        <v>3344242</v>
      </c>
      <c r="AF105" s="881">
        <f t="shared" si="89"/>
        <v>-13471.004246575343</v>
      </c>
      <c r="AG105" s="881">
        <f t="shared" si="89"/>
        <v>-2568069.2800000003</v>
      </c>
      <c r="AH105" s="914">
        <f t="shared" si="90"/>
        <v>73</v>
      </c>
      <c r="AI105" s="913">
        <f t="shared" si="91"/>
        <v>3344242</v>
      </c>
    </row>
    <row r="106" spans="1:35" ht="24.95" customHeight="1" x14ac:dyDescent="0.2">
      <c r="A106" s="870" t="s">
        <v>3847</v>
      </c>
      <c r="B106" s="880"/>
      <c r="C106" s="881"/>
      <c r="D106" s="881"/>
      <c r="E106" s="881"/>
      <c r="F106" s="881"/>
      <c r="G106" s="881"/>
      <c r="H106" s="881"/>
      <c r="I106" s="881"/>
      <c r="J106" s="881"/>
      <c r="K106" s="881">
        <f t="shared" ref="K106" si="102">SUM(C106:J106)</f>
        <v>0</v>
      </c>
      <c r="L106" s="881"/>
      <c r="M106" s="881"/>
      <c r="N106" s="881">
        <f t="shared" si="82"/>
        <v>0</v>
      </c>
      <c r="O106" s="881">
        <f t="shared" si="83"/>
        <v>0</v>
      </c>
      <c r="P106" s="913">
        <f t="shared" si="84"/>
        <v>0</v>
      </c>
      <c r="Q106" s="880">
        <v>6</v>
      </c>
      <c r="R106" s="881">
        <f>22291/Q106</f>
        <v>3715.1666666666665</v>
      </c>
      <c r="S106" s="881"/>
      <c r="T106" s="881"/>
      <c r="U106" s="881"/>
      <c r="V106" s="881"/>
      <c r="W106" s="881"/>
      <c r="X106" s="881"/>
      <c r="Y106" s="881"/>
      <c r="Z106" s="881">
        <f t="shared" si="85"/>
        <v>3715.1666666666665</v>
      </c>
      <c r="AA106" s="881">
        <v>1054</v>
      </c>
      <c r="AB106" s="881"/>
      <c r="AC106" s="881">
        <f t="shared" si="86"/>
        <v>1054</v>
      </c>
      <c r="AD106" s="881">
        <f t="shared" si="87"/>
        <v>45636</v>
      </c>
      <c r="AE106" s="881">
        <f t="shared" si="88"/>
        <v>273816</v>
      </c>
      <c r="AF106" s="881">
        <f t="shared" si="89"/>
        <v>-45636</v>
      </c>
      <c r="AG106" s="881">
        <f t="shared" si="89"/>
        <v>-273816</v>
      </c>
      <c r="AH106" s="914">
        <f t="shared" si="90"/>
        <v>6</v>
      </c>
      <c r="AI106" s="913">
        <f t="shared" si="91"/>
        <v>273816</v>
      </c>
    </row>
    <row r="107" spans="1:35" ht="24.95" customHeight="1" x14ac:dyDescent="0.2">
      <c r="A107" s="870" t="s">
        <v>3848</v>
      </c>
      <c r="B107" s="880">
        <v>38</v>
      </c>
      <c r="C107" s="881">
        <f>(69032.35+40457.2)/B107</f>
        <v>2881.3039473684212</v>
      </c>
      <c r="D107" s="881"/>
      <c r="E107" s="881"/>
      <c r="F107" s="881"/>
      <c r="G107" s="881"/>
      <c r="H107" s="881"/>
      <c r="I107" s="881"/>
      <c r="J107" s="881"/>
      <c r="K107" s="881">
        <f t="shared" ref="K107:K113" si="103">SUM(C107:J107)</f>
        <v>2881.3039473684212</v>
      </c>
      <c r="L107" s="881">
        <v>1054</v>
      </c>
      <c r="M107" s="881"/>
      <c r="N107" s="881">
        <f t="shared" si="82"/>
        <v>1054</v>
      </c>
      <c r="O107" s="881">
        <f t="shared" si="83"/>
        <v>35629.64736842105</v>
      </c>
      <c r="P107" s="913">
        <f t="shared" si="84"/>
        <v>1353926.5999999999</v>
      </c>
      <c r="Q107" s="880">
        <v>93</v>
      </c>
      <c r="R107" s="881">
        <f>501566/Q107</f>
        <v>5393.1827956989246</v>
      </c>
      <c r="S107" s="881"/>
      <c r="T107" s="881"/>
      <c r="U107" s="881"/>
      <c r="V107" s="881"/>
      <c r="W107" s="881"/>
      <c r="X107" s="881"/>
      <c r="Y107" s="881"/>
      <c r="Z107" s="881">
        <f t="shared" ref="Z107:Z112" si="104">SUM(R107:Y107)</f>
        <v>5393.1827956989246</v>
      </c>
      <c r="AA107" s="881">
        <v>1054</v>
      </c>
      <c r="AB107" s="881"/>
      <c r="AC107" s="881">
        <f t="shared" si="86"/>
        <v>1054</v>
      </c>
      <c r="AD107" s="881">
        <f t="shared" si="87"/>
        <v>65772.193548387091</v>
      </c>
      <c r="AE107" s="881">
        <f t="shared" si="88"/>
        <v>6116813.9999999991</v>
      </c>
      <c r="AF107" s="881">
        <f t="shared" si="89"/>
        <v>-30142.546179966041</v>
      </c>
      <c r="AG107" s="881">
        <f t="shared" si="89"/>
        <v>-4762887.3999999994</v>
      </c>
      <c r="AH107" s="914">
        <f t="shared" si="90"/>
        <v>93</v>
      </c>
      <c r="AI107" s="913">
        <f t="shared" si="91"/>
        <v>6116813.9999999991</v>
      </c>
    </row>
    <row r="108" spans="1:35" ht="24.95" customHeight="1" x14ac:dyDescent="0.2">
      <c r="A108" s="870" t="s">
        <v>3849</v>
      </c>
      <c r="B108" s="880">
        <v>29</v>
      </c>
      <c r="C108" s="881">
        <f>(35644.07+19897.42)/B108</f>
        <v>1915.2237931034483</v>
      </c>
      <c r="D108" s="881"/>
      <c r="E108" s="881"/>
      <c r="F108" s="881"/>
      <c r="G108" s="881"/>
      <c r="H108" s="881"/>
      <c r="I108" s="881"/>
      <c r="J108" s="881"/>
      <c r="K108" s="881">
        <f t="shared" si="103"/>
        <v>1915.2237931034483</v>
      </c>
      <c r="L108" s="881"/>
      <c r="M108" s="881"/>
      <c r="N108" s="881">
        <f t="shared" si="82"/>
        <v>0</v>
      </c>
      <c r="O108" s="881">
        <f t="shared" si="83"/>
        <v>22982.685517241378</v>
      </c>
      <c r="P108" s="913">
        <f t="shared" si="84"/>
        <v>666497.88</v>
      </c>
      <c r="Q108" s="880">
        <v>25</v>
      </c>
      <c r="R108" s="881">
        <f>105913/Q108</f>
        <v>4236.5200000000004</v>
      </c>
      <c r="S108" s="881"/>
      <c r="T108" s="881"/>
      <c r="U108" s="881"/>
      <c r="V108" s="881"/>
      <c r="W108" s="881"/>
      <c r="X108" s="881"/>
      <c r="Y108" s="881"/>
      <c r="Z108" s="881">
        <f t="shared" si="104"/>
        <v>4236.5200000000004</v>
      </c>
      <c r="AA108" s="881">
        <v>1054</v>
      </c>
      <c r="AB108" s="881"/>
      <c r="AC108" s="881">
        <f t="shared" si="86"/>
        <v>1054</v>
      </c>
      <c r="AD108" s="881">
        <f t="shared" si="87"/>
        <v>51892.240000000005</v>
      </c>
      <c r="AE108" s="881">
        <f t="shared" si="88"/>
        <v>1297306.0000000002</v>
      </c>
      <c r="AF108" s="881">
        <f t="shared" si="89"/>
        <v>-28909.554482758627</v>
      </c>
      <c r="AG108" s="881">
        <f t="shared" si="89"/>
        <v>-630808.12000000023</v>
      </c>
      <c r="AH108" s="914">
        <f t="shared" si="90"/>
        <v>25</v>
      </c>
      <c r="AI108" s="913">
        <f t="shared" si="91"/>
        <v>1297306.0000000002</v>
      </c>
    </row>
    <row r="109" spans="1:35" ht="24.95" customHeight="1" x14ac:dyDescent="0.2">
      <c r="A109" s="870" t="s">
        <v>3850</v>
      </c>
      <c r="B109" s="880"/>
      <c r="C109" s="881"/>
      <c r="D109" s="881"/>
      <c r="E109" s="881"/>
      <c r="F109" s="881"/>
      <c r="G109" s="881"/>
      <c r="H109" s="881"/>
      <c r="I109" s="881"/>
      <c r="J109" s="881"/>
      <c r="K109" s="881">
        <f t="shared" ref="K109" si="105">SUM(C109:J109)</f>
        <v>0</v>
      </c>
      <c r="L109" s="881"/>
      <c r="M109" s="881"/>
      <c r="N109" s="881">
        <f t="shared" si="82"/>
        <v>0</v>
      </c>
      <c r="O109" s="881">
        <f t="shared" si="83"/>
        <v>0</v>
      </c>
      <c r="P109" s="913">
        <f t="shared" si="84"/>
        <v>0</v>
      </c>
      <c r="Q109" s="880">
        <v>1</v>
      </c>
      <c r="R109" s="881">
        <f>4294/Q109</f>
        <v>4294</v>
      </c>
      <c r="S109" s="881"/>
      <c r="T109" s="881"/>
      <c r="U109" s="881"/>
      <c r="V109" s="881"/>
      <c r="W109" s="881"/>
      <c r="X109" s="881"/>
      <c r="Y109" s="881"/>
      <c r="Z109" s="881">
        <f t="shared" ref="Z109" si="106">SUM(R109:Y109)</f>
        <v>4294</v>
      </c>
      <c r="AA109" s="881">
        <v>1054</v>
      </c>
      <c r="AB109" s="881"/>
      <c r="AC109" s="881">
        <f t="shared" si="86"/>
        <v>1054</v>
      </c>
      <c r="AD109" s="881">
        <f t="shared" si="87"/>
        <v>52582</v>
      </c>
      <c r="AE109" s="881">
        <f t="shared" si="88"/>
        <v>52582</v>
      </c>
      <c r="AF109" s="881">
        <f t="shared" si="89"/>
        <v>-52582</v>
      </c>
      <c r="AG109" s="881">
        <f t="shared" si="89"/>
        <v>-52582</v>
      </c>
      <c r="AH109" s="914">
        <f t="shared" si="90"/>
        <v>1</v>
      </c>
      <c r="AI109" s="913">
        <f t="shared" si="91"/>
        <v>52582</v>
      </c>
    </row>
    <row r="110" spans="1:35" ht="24.95" customHeight="1" x14ac:dyDescent="0.2">
      <c r="A110" s="870" t="s">
        <v>3851</v>
      </c>
      <c r="B110" s="880">
        <v>24</v>
      </c>
      <c r="C110" s="881">
        <f>(41837.12+29370.15)/B110</f>
        <v>2966.9695833333335</v>
      </c>
      <c r="D110" s="881"/>
      <c r="E110" s="881"/>
      <c r="F110" s="881"/>
      <c r="G110" s="881"/>
      <c r="H110" s="881"/>
      <c r="I110" s="881"/>
      <c r="J110" s="881"/>
      <c r="K110" s="881">
        <f t="shared" si="103"/>
        <v>2966.9695833333335</v>
      </c>
      <c r="L110" s="881"/>
      <c r="M110" s="881"/>
      <c r="N110" s="881">
        <f t="shared" si="82"/>
        <v>0</v>
      </c>
      <c r="O110" s="881">
        <f t="shared" si="83"/>
        <v>35603.635000000002</v>
      </c>
      <c r="P110" s="913">
        <f t="shared" si="84"/>
        <v>854487.24</v>
      </c>
      <c r="Q110" s="880">
        <v>19</v>
      </c>
      <c r="R110" s="881">
        <f>124331.1/Q110</f>
        <v>6543.742105263158</v>
      </c>
      <c r="S110" s="881"/>
      <c r="T110" s="881"/>
      <c r="U110" s="881"/>
      <c r="V110" s="881"/>
      <c r="W110" s="881"/>
      <c r="X110" s="881"/>
      <c r="Y110" s="881"/>
      <c r="Z110" s="881">
        <f t="shared" si="104"/>
        <v>6543.742105263158</v>
      </c>
      <c r="AA110" s="881">
        <v>1054</v>
      </c>
      <c r="AB110" s="881"/>
      <c r="AC110" s="881">
        <f t="shared" si="86"/>
        <v>1054</v>
      </c>
      <c r="AD110" s="881">
        <f t="shared" si="87"/>
        <v>79578.905263157896</v>
      </c>
      <c r="AE110" s="881">
        <f t="shared" si="88"/>
        <v>1511999.2</v>
      </c>
      <c r="AF110" s="881">
        <f t="shared" si="89"/>
        <v>-43975.270263157894</v>
      </c>
      <c r="AG110" s="881">
        <f t="shared" si="89"/>
        <v>-657511.96</v>
      </c>
      <c r="AH110" s="914">
        <f t="shared" si="90"/>
        <v>19</v>
      </c>
      <c r="AI110" s="913">
        <f t="shared" si="91"/>
        <v>1511999.2</v>
      </c>
    </row>
    <row r="111" spans="1:35" ht="24.95" customHeight="1" x14ac:dyDescent="0.2">
      <c r="A111" s="870" t="s">
        <v>3852</v>
      </c>
      <c r="B111" s="880"/>
      <c r="C111" s="881"/>
      <c r="D111" s="881"/>
      <c r="E111" s="881"/>
      <c r="F111" s="881"/>
      <c r="G111" s="881"/>
      <c r="H111" s="881"/>
      <c r="I111" s="881"/>
      <c r="J111" s="881"/>
      <c r="K111" s="881">
        <f t="shared" si="103"/>
        <v>0</v>
      </c>
      <c r="L111" s="881"/>
      <c r="M111" s="881"/>
      <c r="N111" s="881">
        <f t="shared" si="82"/>
        <v>0</v>
      </c>
      <c r="O111" s="881">
        <f t="shared" si="83"/>
        <v>0</v>
      </c>
      <c r="P111" s="913">
        <f t="shared" si="84"/>
        <v>0</v>
      </c>
      <c r="Q111" s="880">
        <v>2</v>
      </c>
      <c r="R111" s="881">
        <f>9970/Q111</f>
        <v>4985</v>
      </c>
      <c r="S111" s="881"/>
      <c r="T111" s="881"/>
      <c r="U111" s="881"/>
      <c r="V111" s="881"/>
      <c r="W111" s="881"/>
      <c r="X111" s="881"/>
      <c r="Y111" s="881"/>
      <c r="Z111" s="881">
        <f t="shared" si="104"/>
        <v>4985</v>
      </c>
      <c r="AA111" s="881">
        <v>1054</v>
      </c>
      <c r="AB111" s="881"/>
      <c r="AC111" s="881">
        <f t="shared" si="86"/>
        <v>1054</v>
      </c>
      <c r="AD111" s="881">
        <f t="shared" si="87"/>
        <v>60874</v>
      </c>
      <c r="AE111" s="881">
        <f t="shared" si="88"/>
        <v>121748</v>
      </c>
      <c r="AF111" s="881">
        <f t="shared" si="89"/>
        <v>-60874</v>
      </c>
      <c r="AG111" s="881">
        <f t="shared" si="89"/>
        <v>-121748</v>
      </c>
      <c r="AH111" s="914">
        <f t="shared" si="90"/>
        <v>2</v>
      </c>
      <c r="AI111" s="913">
        <f t="shared" si="91"/>
        <v>121748</v>
      </c>
    </row>
    <row r="112" spans="1:35" ht="24.95" customHeight="1" x14ac:dyDescent="0.2">
      <c r="A112" s="870" t="s">
        <v>3853</v>
      </c>
      <c r="B112" s="880"/>
      <c r="C112" s="881"/>
      <c r="D112" s="881"/>
      <c r="E112" s="881"/>
      <c r="F112" s="881"/>
      <c r="G112" s="881"/>
      <c r="H112" s="881"/>
      <c r="I112" s="881"/>
      <c r="J112" s="881"/>
      <c r="K112" s="881">
        <f t="shared" si="103"/>
        <v>0</v>
      </c>
      <c r="L112" s="881"/>
      <c r="M112" s="881"/>
      <c r="N112" s="881">
        <f t="shared" si="82"/>
        <v>0</v>
      </c>
      <c r="O112" s="881">
        <f t="shared" si="83"/>
        <v>0</v>
      </c>
      <c r="P112" s="913">
        <f t="shared" si="84"/>
        <v>0</v>
      </c>
      <c r="Q112" s="880">
        <v>1</v>
      </c>
      <c r="R112" s="881">
        <f>6117/Q112</f>
        <v>6117</v>
      </c>
      <c r="S112" s="881"/>
      <c r="T112" s="881"/>
      <c r="U112" s="881"/>
      <c r="V112" s="881"/>
      <c r="W112" s="881"/>
      <c r="X112" s="881"/>
      <c r="Y112" s="881"/>
      <c r="Z112" s="881">
        <f t="shared" si="104"/>
        <v>6117</v>
      </c>
      <c r="AA112" s="881">
        <v>1054</v>
      </c>
      <c r="AB112" s="881"/>
      <c r="AC112" s="881">
        <f t="shared" si="86"/>
        <v>1054</v>
      </c>
      <c r="AD112" s="881">
        <f t="shared" si="87"/>
        <v>74458</v>
      </c>
      <c r="AE112" s="881">
        <f t="shared" si="88"/>
        <v>74458</v>
      </c>
      <c r="AF112" s="881">
        <f t="shared" si="89"/>
        <v>-74458</v>
      </c>
      <c r="AG112" s="881">
        <f t="shared" si="89"/>
        <v>-74458</v>
      </c>
      <c r="AH112" s="914">
        <f t="shared" si="90"/>
        <v>1</v>
      </c>
      <c r="AI112" s="913">
        <f t="shared" si="91"/>
        <v>74458</v>
      </c>
    </row>
    <row r="113" spans="1:35" ht="24.95" customHeight="1" x14ac:dyDescent="0.2">
      <c r="A113" s="870" t="s">
        <v>3795</v>
      </c>
      <c r="B113" s="880"/>
      <c r="C113" s="881"/>
      <c r="D113" s="881"/>
      <c r="E113" s="881"/>
      <c r="F113" s="881"/>
      <c r="G113" s="881"/>
      <c r="H113" s="881"/>
      <c r="I113" s="881"/>
      <c r="J113" s="881"/>
      <c r="K113" s="881">
        <f t="shared" si="103"/>
        <v>0</v>
      </c>
      <c r="L113" s="881"/>
      <c r="M113" s="881"/>
      <c r="N113" s="881">
        <f t="shared" ref="N113" si="107">SUM(L113:M113)</f>
        <v>0</v>
      </c>
      <c r="O113" s="881">
        <f t="shared" si="83"/>
        <v>0</v>
      </c>
      <c r="P113" s="913">
        <f t="shared" si="84"/>
        <v>0</v>
      </c>
      <c r="Q113" s="880">
        <v>632</v>
      </c>
      <c r="R113" s="881">
        <f>1785754/Q113</f>
        <v>2825.5601265822784</v>
      </c>
      <c r="S113" s="881"/>
      <c r="T113" s="881"/>
      <c r="U113" s="881"/>
      <c r="V113" s="881"/>
      <c r="W113" s="881"/>
      <c r="X113" s="881"/>
      <c r="Y113" s="881"/>
      <c r="Z113" s="881">
        <f t="shared" si="85"/>
        <v>2825.5601265822784</v>
      </c>
      <c r="AA113" s="881">
        <f>400400/Q113</f>
        <v>633.54430379746839</v>
      </c>
      <c r="AB113" s="881"/>
      <c r="AC113" s="881">
        <f t="shared" si="86"/>
        <v>633.54430379746839</v>
      </c>
      <c r="AD113" s="881">
        <f t="shared" si="87"/>
        <v>34540.265822784808</v>
      </c>
      <c r="AE113" s="881">
        <f t="shared" si="88"/>
        <v>21829448</v>
      </c>
      <c r="AF113" s="881">
        <f t="shared" si="89"/>
        <v>-34540.265822784808</v>
      </c>
      <c r="AG113" s="881">
        <f t="shared" si="89"/>
        <v>-21829448</v>
      </c>
      <c r="AH113" s="914">
        <f t="shared" si="90"/>
        <v>632</v>
      </c>
      <c r="AI113" s="913">
        <f t="shared" si="91"/>
        <v>21829448</v>
      </c>
    </row>
    <row r="114" spans="1:35" ht="24.95" customHeight="1" x14ac:dyDescent="0.2">
      <c r="A114" s="869" t="s">
        <v>3854</v>
      </c>
      <c r="B114" s="871">
        <f t="shared" ref="B114:AI114" si="108">SUM(B71:B113)</f>
        <v>2312</v>
      </c>
      <c r="C114" s="886">
        <f t="shared" si="108"/>
        <v>63012.499321266689</v>
      </c>
      <c r="D114" s="886">
        <f t="shared" si="108"/>
        <v>0</v>
      </c>
      <c r="E114" s="886">
        <f t="shared" si="108"/>
        <v>0</v>
      </c>
      <c r="F114" s="886">
        <f t="shared" si="108"/>
        <v>0</v>
      </c>
      <c r="G114" s="886">
        <f t="shared" si="108"/>
        <v>0</v>
      </c>
      <c r="H114" s="886">
        <f t="shared" si="108"/>
        <v>0</v>
      </c>
      <c r="I114" s="886">
        <f t="shared" si="108"/>
        <v>0</v>
      </c>
      <c r="J114" s="886">
        <f t="shared" si="108"/>
        <v>0</v>
      </c>
      <c r="K114" s="886">
        <f t="shared" si="108"/>
        <v>63012.499321266689</v>
      </c>
      <c r="L114" s="886">
        <f t="shared" si="108"/>
        <v>33728</v>
      </c>
      <c r="M114" s="886">
        <f t="shared" si="108"/>
        <v>0</v>
      </c>
      <c r="N114" s="886">
        <f t="shared" si="108"/>
        <v>33728</v>
      </c>
      <c r="O114" s="886">
        <f t="shared" si="108"/>
        <v>789877.99185520038</v>
      </c>
      <c r="P114" s="887">
        <f t="shared" si="108"/>
        <v>50514598.560000002</v>
      </c>
      <c r="Q114" s="871">
        <f t="shared" si="108"/>
        <v>6699</v>
      </c>
      <c r="R114" s="886">
        <f t="shared" si="108"/>
        <v>85717.419433685282</v>
      </c>
      <c r="S114" s="886">
        <f t="shared" si="108"/>
        <v>0</v>
      </c>
      <c r="T114" s="886">
        <f t="shared" si="108"/>
        <v>0</v>
      </c>
      <c r="U114" s="886">
        <f t="shared" si="108"/>
        <v>0</v>
      </c>
      <c r="V114" s="886">
        <f t="shared" si="108"/>
        <v>0</v>
      </c>
      <c r="W114" s="886">
        <f t="shared" si="108"/>
        <v>0</v>
      </c>
      <c r="X114" s="886">
        <f t="shared" si="108"/>
        <v>0</v>
      </c>
      <c r="Y114" s="886">
        <f t="shared" si="108"/>
        <v>0</v>
      </c>
      <c r="Z114" s="886">
        <f t="shared" si="108"/>
        <v>85717.419433685282</v>
      </c>
      <c r="AA114" s="886">
        <f t="shared" si="108"/>
        <v>23821.544303797469</v>
      </c>
      <c r="AB114" s="886">
        <f t="shared" si="108"/>
        <v>0</v>
      </c>
      <c r="AC114" s="886">
        <f t="shared" si="108"/>
        <v>23821.544303797469</v>
      </c>
      <c r="AD114" s="886">
        <f t="shared" si="108"/>
        <v>1052430.5775080209</v>
      </c>
      <c r="AE114" s="886">
        <f t="shared" si="108"/>
        <v>242833447.19999999</v>
      </c>
      <c r="AF114" s="886">
        <f t="shared" si="108"/>
        <v>-262552.58565282059</v>
      </c>
      <c r="AG114" s="886">
        <f t="shared" si="108"/>
        <v>-192318848.64000002</v>
      </c>
      <c r="AH114" s="874">
        <f t="shared" si="108"/>
        <v>6699</v>
      </c>
      <c r="AI114" s="887">
        <f t="shared" si="108"/>
        <v>242833447.19999999</v>
      </c>
    </row>
    <row r="115" spans="1:35" ht="24.95" customHeight="1" x14ac:dyDescent="0.2">
      <c r="A115" s="869" t="s">
        <v>3724</v>
      </c>
      <c r="B115" s="871"/>
      <c r="C115" s="872"/>
      <c r="D115" s="872"/>
      <c r="E115" s="872"/>
      <c r="F115" s="872"/>
      <c r="G115" s="872"/>
      <c r="H115" s="872"/>
      <c r="I115" s="872"/>
      <c r="J115" s="872"/>
      <c r="K115" s="872"/>
      <c r="L115" s="872"/>
      <c r="M115" s="872"/>
      <c r="N115" s="872"/>
      <c r="O115" s="872"/>
      <c r="P115" s="873"/>
      <c r="Q115" s="871"/>
      <c r="R115" s="872"/>
      <c r="S115" s="872"/>
      <c r="T115" s="872"/>
      <c r="U115" s="872"/>
      <c r="V115" s="872"/>
      <c r="W115" s="872"/>
      <c r="X115" s="872"/>
      <c r="Y115" s="872"/>
      <c r="Z115" s="872"/>
      <c r="AA115" s="872"/>
      <c r="AB115" s="872"/>
      <c r="AC115" s="872"/>
      <c r="AD115" s="872"/>
      <c r="AE115" s="872"/>
      <c r="AF115" s="872"/>
      <c r="AG115" s="872"/>
      <c r="AH115" s="874"/>
      <c r="AI115" s="873"/>
    </row>
    <row r="116" spans="1:35" ht="24.95" customHeight="1" x14ac:dyDescent="0.2">
      <c r="A116" s="870" t="s">
        <v>3732</v>
      </c>
      <c r="B116" s="880">
        <v>82</v>
      </c>
      <c r="C116" s="881">
        <f>(34505+37569.25)/B116-360</f>
        <v>518.95426829268297</v>
      </c>
      <c r="D116" s="881"/>
      <c r="E116" s="881">
        <v>360</v>
      </c>
      <c r="F116" s="881"/>
      <c r="G116" s="881"/>
      <c r="H116" s="881"/>
      <c r="I116" s="881"/>
      <c r="J116" s="881">
        <v>0</v>
      </c>
      <c r="K116" s="881">
        <f t="shared" ref="K116:K147" si="109">SUM(C116:J116)</f>
        <v>878.95426829268297</v>
      </c>
      <c r="L116" s="881">
        <v>1054</v>
      </c>
      <c r="M116" s="881"/>
      <c r="N116" s="881">
        <f t="shared" ref="N116:N147" si="110">SUM(L116:M116)</f>
        <v>1054</v>
      </c>
      <c r="O116" s="881">
        <f t="shared" ref="O116:O147" si="111">(K116*12)+N116</f>
        <v>11601.451219512195</v>
      </c>
      <c r="P116" s="913">
        <f t="shared" ref="P116:P147" si="112">(O116*B116)</f>
        <v>951319</v>
      </c>
      <c r="Q116" s="880">
        <v>120</v>
      </c>
      <c r="R116" s="881">
        <f>525210/Q116</f>
        <v>4376.75</v>
      </c>
      <c r="S116" s="881"/>
      <c r="T116" s="881">
        <f>66940.09/Q116</f>
        <v>557.8340833333333</v>
      </c>
      <c r="U116" s="881"/>
      <c r="V116" s="881"/>
      <c r="W116" s="881"/>
      <c r="X116" s="881"/>
      <c r="Y116" s="881">
        <v>0</v>
      </c>
      <c r="Z116" s="881">
        <f t="shared" ref="Z116:Z147" si="113">SUM(R116:Y116)</f>
        <v>4934.5840833333332</v>
      </c>
      <c r="AA116" s="881">
        <v>1054</v>
      </c>
      <c r="AB116" s="881"/>
      <c r="AC116" s="881">
        <f t="shared" ref="AC116:AC147" si="114">SUM(AA116:AB116)</f>
        <v>1054</v>
      </c>
      <c r="AD116" s="881">
        <f t="shared" ref="AD116:AD147" si="115">(Z116*12)+AC116</f>
        <v>60269.008999999998</v>
      </c>
      <c r="AE116" s="881">
        <f t="shared" ref="AE116:AE147" si="116">(AD116*Q116)</f>
        <v>7232281.0800000001</v>
      </c>
      <c r="AF116" s="881">
        <f t="shared" ref="AF116:AG147" si="117">O116-AD116</f>
        <v>-48667.557780487805</v>
      </c>
      <c r="AG116" s="881">
        <f t="shared" si="117"/>
        <v>-6280962.0800000001</v>
      </c>
      <c r="AH116" s="914">
        <f t="shared" ref="AH116:AH147" si="118">Q116</f>
        <v>120</v>
      </c>
      <c r="AI116" s="913">
        <f t="shared" ref="AI116:AI147" si="119">AE116</f>
        <v>7232281.0800000001</v>
      </c>
    </row>
    <row r="117" spans="1:35" ht="24.95" customHeight="1" x14ac:dyDescent="0.2">
      <c r="A117" s="870" t="s">
        <v>3733</v>
      </c>
      <c r="B117" s="880">
        <v>5</v>
      </c>
      <c r="C117" s="881">
        <f>(8005+10586.5)/B117-360</f>
        <v>3358.3</v>
      </c>
      <c r="D117" s="881"/>
      <c r="E117" s="881">
        <v>360</v>
      </c>
      <c r="F117" s="881"/>
      <c r="G117" s="881"/>
      <c r="H117" s="881"/>
      <c r="I117" s="881"/>
      <c r="J117" s="881">
        <v>0</v>
      </c>
      <c r="K117" s="881">
        <f t="shared" si="109"/>
        <v>3718.3</v>
      </c>
      <c r="L117" s="881">
        <v>1054</v>
      </c>
      <c r="M117" s="881"/>
      <c r="N117" s="881">
        <f t="shared" si="110"/>
        <v>1054</v>
      </c>
      <c r="O117" s="881">
        <f t="shared" si="111"/>
        <v>45673.600000000006</v>
      </c>
      <c r="P117" s="913">
        <f t="shared" si="112"/>
        <v>228368.00000000003</v>
      </c>
      <c r="Q117" s="880">
        <v>5</v>
      </c>
      <c r="R117" s="881">
        <f>24390/Q117</f>
        <v>4878</v>
      </c>
      <c r="S117" s="881"/>
      <c r="T117" s="881">
        <f>2016.5/Q117</f>
        <v>403.3</v>
      </c>
      <c r="U117" s="881"/>
      <c r="V117" s="881"/>
      <c r="W117" s="881"/>
      <c r="X117" s="881"/>
      <c r="Y117" s="881">
        <v>0</v>
      </c>
      <c r="Z117" s="881">
        <f t="shared" si="113"/>
        <v>5281.3</v>
      </c>
      <c r="AA117" s="881">
        <v>1054</v>
      </c>
      <c r="AB117" s="881"/>
      <c r="AC117" s="881">
        <f t="shared" si="114"/>
        <v>1054</v>
      </c>
      <c r="AD117" s="881">
        <f t="shared" si="115"/>
        <v>64429.600000000006</v>
      </c>
      <c r="AE117" s="881">
        <f t="shared" si="116"/>
        <v>322148</v>
      </c>
      <c r="AF117" s="881">
        <f t="shared" si="117"/>
        <v>-18756</v>
      </c>
      <c r="AG117" s="881">
        <f t="shared" si="117"/>
        <v>-93779.999999999971</v>
      </c>
      <c r="AH117" s="914">
        <f t="shared" si="118"/>
        <v>5</v>
      </c>
      <c r="AI117" s="913">
        <f t="shared" si="119"/>
        <v>322148</v>
      </c>
    </row>
    <row r="118" spans="1:35" ht="24.95" customHeight="1" x14ac:dyDescent="0.2">
      <c r="A118" s="870" t="s">
        <v>3734</v>
      </c>
      <c r="B118" s="880">
        <v>3</v>
      </c>
      <c r="C118" s="881">
        <f>(5021.75+4185.25)/B118-360</f>
        <v>2709</v>
      </c>
      <c r="D118" s="881"/>
      <c r="E118" s="881">
        <v>360</v>
      </c>
      <c r="F118" s="881"/>
      <c r="G118" s="881"/>
      <c r="H118" s="881"/>
      <c r="I118" s="881"/>
      <c r="J118" s="881">
        <v>0</v>
      </c>
      <c r="K118" s="881">
        <f t="shared" si="109"/>
        <v>3069</v>
      </c>
      <c r="L118" s="881">
        <v>1054</v>
      </c>
      <c r="M118" s="881"/>
      <c r="N118" s="881">
        <f t="shared" si="110"/>
        <v>1054</v>
      </c>
      <c r="O118" s="881">
        <f t="shared" si="111"/>
        <v>37882</v>
      </c>
      <c r="P118" s="913">
        <f t="shared" si="112"/>
        <v>113646</v>
      </c>
      <c r="Q118" s="880">
        <v>3</v>
      </c>
      <c r="R118" s="881">
        <f>11700/Q118</f>
        <v>3900</v>
      </c>
      <c r="S118" s="881"/>
      <c r="T118" s="881">
        <f>1482/Q118</f>
        <v>494</v>
      </c>
      <c r="U118" s="881"/>
      <c r="V118" s="881"/>
      <c r="W118" s="881"/>
      <c r="X118" s="881"/>
      <c r="Y118" s="881">
        <v>0</v>
      </c>
      <c r="Z118" s="881">
        <f t="shared" si="113"/>
        <v>4394</v>
      </c>
      <c r="AA118" s="881">
        <v>1054</v>
      </c>
      <c r="AB118" s="881"/>
      <c r="AC118" s="881">
        <f t="shared" si="114"/>
        <v>1054</v>
      </c>
      <c r="AD118" s="881">
        <f t="shared" si="115"/>
        <v>53782</v>
      </c>
      <c r="AE118" s="881">
        <f t="shared" si="116"/>
        <v>161346</v>
      </c>
      <c r="AF118" s="881">
        <f t="shared" si="117"/>
        <v>-15900</v>
      </c>
      <c r="AG118" s="881">
        <f t="shared" si="117"/>
        <v>-47700</v>
      </c>
      <c r="AH118" s="914">
        <f t="shared" si="118"/>
        <v>3</v>
      </c>
      <c r="AI118" s="913">
        <f t="shared" si="119"/>
        <v>161346</v>
      </c>
    </row>
    <row r="119" spans="1:35" ht="24.95" customHeight="1" x14ac:dyDescent="0.2">
      <c r="A119" s="870" t="s">
        <v>3735</v>
      </c>
      <c r="B119" s="880">
        <v>1</v>
      </c>
      <c r="C119" s="881">
        <f>(2267+1220)/B119-360</f>
        <v>3127</v>
      </c>
      <c r="D119" s="881"/>
      <c r="E119" s="881">
        <v>360</v>
      </c>
      <c r="F119" s="881"/>
      <c r="G119" s="881"/>
      <c r="H119" s="881"/>
      <c r="I119" s="881"/>
      <c r="J119" s="881">
        <v>0</v>
      </c>
      <c r="K119" s="881">
        <f t="shared" si="109"/>
        <v>3487</v>
      </c>
      <c r="L119" s="881">
        <v>1054</v>
      </c>
      <c r="M119" s="881"/>
      <c r="N119" s="881">
        <f t="shared" si="110"/>
        <v>1054</v>
      </c>
      <c r="O119" s="881">
        <f t="shared" si="111"/>
        <v>42898</v>
      </c>
      <c r="P119" s="913">
        <f t="shared" si="112"/>
        <v>42898</v>
      </c>
      <c r="Q119" s="880">
        <v>1</v>
      </c>
      <c r="R119" s="881">
        <f>5408/Q119</f>
        <v>5408</v>
      </c>
      <c r="S119" s="881"/>
      <c r="T119" s="881">
        <f>0/Q119</f>
        <v>0</v>
      </c>
      <c r="U119" s="881"/>
      <c r="V119" s="881"/>
      <c r="W119" s="881"/>
      <c r="X119" s="881"/>
      <c r="Y119" s="881">
        <v>0</v>
      </c>
      <c r="Z119" s="881">
        <f t="shared" si="113"/>
        <v>5408</v>
      </c>
      <c r="AA119" s="881">
        <v>1054</v>
      </c>
      <c r="AB119" s="881"/>
      <c r="AC119" s="881">
        <f t="shared" si="114"/>
        <v>1054</v>
      </c>
      <c r="AD119" s="881">
        <f t="shared" si="115"/>
        <v>65950</v>
      </c>
      <c r="AE119" s="881">
        <f t="shared" si="116"/>
        <v>65950</v>
      </c>
      <c r="AF119" s="881">
        <f t="shared" si="117"/>
        <v>-23052</v>
      </c>
      <c r="AG119" s="881">
        <f t="shared" si="117"/>
        <v>-23052</v>
      </c>
      <c r="AH119" s="914">
        <f t="shared" si="118"/>
        <v>1</v>
      </c>
      <c r="AI119" s="913">
        <f t="shared" si="119"/>
        <v>65950</v>
      </c>
    </row>
    <row r="120" spans="1:35" ht="24.95" customHeight="1" x14ac:dyDescent="0.2">
      <c r="A120" s="870" t="s">
        <v>3736</v>
      </c>
      <c r="B120" s="880">
        <v>20</v>
      </c>
      <c r="C120" s="881">
        <f>(37680.7+35627.06)/B120-360</f>
        <v>3305.3879999999999</v>
      </c>
      <c r="D120" s="881"/>
      <c r="E120" s="881">
        <v>360</v>
      </c>
      <c r="F120" s="881"/>
      <c r="G120" s="881"/>
      <c r="H120" s="881"/>
      <c r="I120" s="881"/>
      <c r="J120" s="881">
        <v>0</v>
      </c>
      <c r="K120" s="881">
        <f t="shared" si="109"/>
        <v>3665.3879999999999</v>
      </c>
      <c r="L120" s="881">
        <v>1054</v>
      </c>
      <c r="M120" s="881"/>
      <c r="N120" s="881">
        <f t="shared" si="110"/>
        <v>1054</v>
      </c>
      <c r="O120" s="881">
        <f t="shared" si="111"/>
        <v>45038.656000000003</v>
      </c>
      <c r="P120" s="913">
        <f t="shared" si="112"/>
        <v>900773.12000000011</v>
      </c>
      <c r="Q120" s="880">
        <v>20</v>
      </c>
      <c r="R120" s="881">
        <f>101870/Q120</f>
        <v>5093.5</v>
      </c>
      <c r="S120" s="881"/>
      <c r="T120" s="881">
        <f>10857.76/Q120</f>
        <v>542.88800000000003</v>
      </c>
      <c r="U120" s="881"/>
      <c r="V120" s="881"/>
      <c r="W120" s="881"/>
      <c r="X120" s="881"/>
      <c r="Y120" s="881">
        <v>0</v>
      </c>
      <c r="Z120" s="881">
        <f t="shared" si="113"/>
        <v>5636.3879999999999</v>
      </c>
      <c r="AA120" s="881">
        <v>1054</v>
      </c>
      <c r="AB120" s="881"/>
      <c r="AC120" s="881">
        <f t="shared" si="114"/>
        <v>1054</v>
      </c>
      <c r="AD120" s="881">
        <f t="shared" si="115"/>
        <v>68690.656000000003</v>
      </c>
      <c r="AE120" s="881">
        <f t="shared" si="116"/>
        <v>1373813.12</v>
      </c>
      <c r="AF120" s="881">
        <f t="shared" si="117"/>
        <v>-23652</v>
      </c>
      <c r="AG120" s="881">
        <f t="shared" si="117"/>
        <v>-473040</v>
      </c>
      <c r="AH120" s="914">
        <f t="shared" si="118"/>
        <v>20</v>
      </c>
      <c r="AI120" s="913">
        <f t="shared" si="119"/>
        <v>1373813.12</v>
      </c>
    </row>
    <row r="121" spans="1:35" ht="24.95" customHeight="1" x14ac:dyDescent="0.2">
      <c r="A121" s="870" t="s">
        <v>3738</v>
      </c>
      <c r="B121" s="880">
        <v>483</v>
      </c>
      <c r="C121" s="881">
        <f>(242571.4+286714.38)/B121-360</f>
        <v>735.8297722567288</v>
      </c>
      <c r="D121" s="881"/>
      <c r="E121" s="881">
        <v>360</v>
      </c>
      <c r="F121" s="881"/>
      <c r="G121" s="881"/>
      <c r="H121" s="881"/>
      <c r="I121" s="881"/>
      <c r="J121" s="881">
        <v>0</v>
      </c>
      <c r="K121" s="881">
        <f t="shared" si="109"/>
        <v>1095.8297722567288</v>
      </c>
      <c r="L121" s="881">
        <v>1054</v>
      </c>
      <c r="M121" s="881"/>
      <c r="N121" s="881">
        <f t="shared" si="110"/>
        <v>1054</v>
      </c>
      <c r="O121" s="881">
        <f t="shared" si="111"/>
        <v>14203.957267080747</v>
      </c>
      <c r="P121" s="913">
        <f t="shared" si="112"/>
        <v>6860511.3600000003</v>
      </c>
      <c r="Q121" s="880">
        <v>730</v>
      </c>
      <c r="R121" s="881">
        <f>3176630/Q121</f>
        <v>4351.5479452054797</v>
      </c>
      <c r="S121" s="881"/>
      <c r="T121" s="881">
        <f>415209.18/Q121</f>
        <v>568.77969863013698</v>
      </c>
      <c r="U121" s="881"/>
      <c r="V121" s="881"/>
      <c r="W121" s="881"/>
      <c r="X121" s="881"/>
      <c r="Y121" s="881">
        <v>0</v>
      </c>
      <c r="Z121" s="881">
        <f t="shared" si="113"/>
        <v>4920.327643835617</v>
      </c>
      <c r="AA121" s="881">
        <v>1054</v>
      </c>
      <c r="AB121" s="881"/>
      <c r="AC121" s="881">
        <f t="shared" si="114"/>
        <v>1054</v>
      </c>
      <c r="AD121" s="881">
        <f t="shared" si="115"/>
        <v>60097.931726027404</v>
      </c>
      <c r="AE121" s="881">
        <f t="shared" si="116"/>
        <v>43871490.160000004</v>
      </c>
      <c r="AF121" s="881">
        <f t="shared" si="117"/>
        <v>-45893.974458946657</v>
      </c>
      <c r="AG121" s="881">
        <f t="shared" si="117"/>
        <v>-37010978.800000004</v>
      </c>
      <c r="AH121" s="914">
        <f t="shared" si="118"/>
        <v>730</v>
      </c>
      <c r="AI121" s="913">
        <f t="shared" si="119"/>
        <v>43871490.160000004</v>
      </c>
    </row>
    <row r="122" spans="1:35" ht="24.95" customHeight="1" x14ac:dyDescent="0.2">
      <c r="A122" s="870" t="s">
        <v>3739</v>
      </c>
      <c r="B122" s="880">
        <v>57</v>
      </c>
      <c r="C122" s="881">
        <f>(92296.55+109335.66)/B122-360</f>
        <v>3177.4071929824563</v>
      </c>
      <c r="D122" s="881"/>
      <c r="E122" s="881">
        <v>360</v>
      </c>
      <c r="F122" s="881"/>
      <c r="G122" s="881"/>
      <c r="H122" s="881"/>
      <c r="I122" s="881"/>
      <c r="J122" s="881">
        <v>0</v>
      </c>
      <c r="K122" s="881">
        <f t="shared" si="109"/>
        <v>3537.4071929824563</v>
      </c>
      <c r="L122" s="881">
        <v>1054</v>
      </c>
      <c r="M122" s="881"/>
      <c r="N122" s="881">
        <f t="shared" si="110"/>
        <v>1054</v>
      </c>
      <c r="O122" s="881">
        <f t="shared" si="111"/>
        <v>43502.886315789474</v>
      </c>
      <c r="P122" s="913">
        <f t="shared" si="112"/>
        <v>2479664.52</v>
      </c>
      <c r="Q122" s="880">
        <v>57</v>
      </c>
      <c r="R122" s="881">
        <f>258940/Q122</f>
        <v>4542.8070175438597</v>
      </c>
      <c r="S122" s="881"/>
      <c r="T122" s="881">
        <f>41221.21/Q122</f>
        <v>723.17912280701751</v>
      </c>
      <c r="U122" s="881"/>
      <c r="V122" s="881"/>
      <c r="W122" s="881"/>
      <c r="X122" s="881"/>
      <c r="Y122" s="881">
        <v>0</v>
      </c>
      <c r="Z122" s="881">
        <f t="shared" si="113"/>
        <v>5265.9861403508776</v>
      </c>
      <c r="AA122" s="881">
        <v>1054</v>
      </c>
      <c r="AB122" s="881"/>
      <c r="AC122" s="881">
        <f t="shared" si="114"/>
        <v>1054</v>
      </c>
      <c r="AD122" s="881">
        <f t="shared" si="115"/>
        <v>64245.833684210535</v>
      </c>
      <c r="AE122" s="881">
        <f t="shared" si="116"/>
        <v>3662012.5200000005</v>
      </c>
      <c r="AF122" s="881">
        <f t="shared" si="117"/>
        <v>-20742.947368421061</v>
      </c>
      <c r="AG122" s="881">
        <f t="shared" si="117"/>
        <v>-1182348.0000000005</v>
      </c>
      <c r="AH122" s="914">
        <f t="shared" si="118"/>
        <v>57</v>
      </c>
      <c r="AI122" s="913">
        <f t="shared" si="119"/>
        <v>3662012.5200000005</v>
      </c>
    </row>
    <row r="123" spans="1:35" ht="24.95" customHeight="1" x14ac:dyDescent="0.2">
      <c r="A123" s="870" t="s">
        <v>3740</v>
      </c>
      <c r="B123" s="880">
        <v>24</v>
      </c>
      <c r="C123" s="881">
        <f>(40176+46566.57)/B123-360</f>
        <v>3254.2737500000003</v>
      </c>
      <c r="D123" s="881"/>
      <c r="E123" s="881">
        <v>360</v>
      </c>
      <c r="F123" s="881"/>
      <c r="G123" s="881"/>
      <c r="H123" s="881"/>
      <c r="I123" s="881"/>
      <c r="J123" s="881">
        <v>0</v>
      </c>
      <c r="K123" s="881">
        <f t="shared" si="109"/>
        <v>3614.2737500000003</v>
      </c>
      <c r="L123" s="881">
        <v>1054</v>
      </c>
      <c r="M123" s="881"/>
      <c r="N123" s="881">
        <f t="shared" si="110"/>
        <v>1054</v>
      </c>
      <c r="O123" s="881">
        <f t="shared" si="111"/>
        <v>44425.285000000003</v>
      </c>
      <c r="P123" s="913">
        <f t="shared" si="112"/>
        <v>1066206.8400000001</v>
      </c>
      <c r="Q123" s="880">
        <v>24</v>
      </c>
      <c r="R123" s="881">
        <f>117790/Q123</f>
        <v>4907.916666666667</v>
      </c>
      <c r="S123" s="881"/>
      <c r="T123" s="881">
        <f>12625.79/Q123</f>
        <v>526.07458333333341</v>
      </c>
      <c r="U123" s="881"/>
      <c r="V123" s="881"/>
      <c r="W123" s="881"/>
      <c r="X123" s="881"/>
      <c r="Y123" s="881">
        <v>0</v>
      </c>
      <c r="Z123" s="881">
        <f t="shared" si="113"/>
        <v>5433.99125</v>
      </c>
      <c r="AA123" s="881">
        <v>1054</v>
      </c>
      <c r="AB123" s="881"/>
      <c r="AC123" s="881">
        <f t="shared" si="114"/>
        <v>1054</v>
      </c>
      <c r="AD123" s="881">
        <f t="shared" si="115"/>
        <v>66261.895000000004</v>
      </c>
      <c r="AE123" s="881">
        <f t="shared" si="116"/>
        <v>1590285.48</v>
      </c>
      <c r="AF123" s="881">
        <f t="shared" si="117"/>
        <v>-21836.61</v>
      </c>
      <c r="AG123" s="881">
        <f t="shared" si="117"/>
        <v>-524078.6399999999</v>
      </c>
      <c r="AH123" s="914">
        <f t="shared" si="118"/>
        <v>24</v>
      </c>
      <c r="AI123" s="913">
        <f t="shared" si="119"/>
        <v>1590285.48</v>
      </c>
    </row>
    <row r="124" spans="1:35" ht="24.95" customHeight="1" x14ac:dyDescent="0.2">
      <c r="A124" s="870" t="s">
        <v>3741</v>
      </c>
      <c r="B124" s="880">
        <v>14</v>
      </c>
      <c r="C124" s="881">
        <f>(24455.3+30131.03)/B124-360</f>
        <v>3539.0235714285714</v>
      </c>
      <c r="D124" s="881"/>
      <c r="E124" s="881">
        <v>360</v>
      </c>
      <c r="F124" s="881"/>
      <c r="G124" s="881"/>
      <c r="H124" s="881"/>
      <c r="I124" s="881"/>
      <c r="J124" s="881">
        <v>0</v>
      </c>
      <c r="K124" s="881">
        <f t="shared" si="109"/>
        <v>3899.0235714285714</v>
      </c>
      <c r="L124" s="881">
        <v>1054</v>
      </c>
      <c r="M124" s="881"/>
      <c r="N124" s="881">
        <f t="shared" si="110"/>
        <v>1054</v>
      </c>
      <c r="O124" s="881">
        <f t="shared" si="111"/>
        <v>47842.282857142854</v>
      </c>
      <c r="P124" s="913">
        <f t="shared" si="112"/>
        <v>669791.96</v>
      </c>
      <c r="Q124" s="880">
        <v>13</v>
      </c>
      <c r="R124" s="881">
        <f>60454/Q124</f>
        <v>4650.3076923076924</v>
      </c>
      <c r="S124" s="881"/>
      <c r="T124" s="881">
        <f>12832/Q124</f>
        <v>987.07692307692309</v>
      </c>
      <c r="U124" s="881"/>
      <c r="V124" s="881"/>
      <c r="W124" s="881"/>
      <c r="X124" s="881"/>
      <c r="Y124" s="881">
        <v>0</v>
      </c>
      <c r="Z124" s="881">
        <f t="shared" si="113"/>
        <v>5637.3846153846152</v>
      </c>
      <c r="AA124" s="881">
        <v>1054</v>
      </c>
      <c r="AB124" s="881"/>
      <c r="AC124" s="881">
        <f t="shared" si="114"/>
        <v>1054</v>
      </c>
      <c r="AD124" s="881">
        <f t="shared" si="115"/>
        <v>68702.615384615376</v>
      </c>
      <c r="AE124" s="881">
        <f t="shared" si="116"/>
        <v>893133.99999999988</v>
      </c>
      <c r="AF124" s="881">
        <f t="shared" si="117"/>
        <v>-20860.332527472521</v>
      </c>
      <c r="AG124" s="881">
        <f t="shared" si="117"/>
        <v>-223342.03999999992</v>
      </c>
      <c r="AH124" s="914">
        <f t="shared" si="118"/>
        <v>13</v>
      </c>
      <c r="AI124" s="913">
        <f t="shared" si="119"/>
        <v>893133.99999999988</v>
      </c>
    </row>
    <row r="125" spans="1:35" ht="24.95" customHeight="1" x14ac:dyDescent="0.2">
      <c r="A125" s="870" t="s">
        <v>3742</v>
      </c>
      <c r="B125" s="880">
        <v>270</v>
      </c>
      <c r="C125" s="881">
        <f>(494459.9+586035.24)/B125-360</f>
        <v>3641.8338518518522</v>
      </c>
      <c r="D125" s="881"/>
      <c r="E125" s="881">
        <v>360</v>
      </c>
      <c r="F125" s="881"/>
      <c r="G125" s="881"/>
      <c r="H125" s="881"/>
      <c r="I125" s="881"/>
      <c r="J125" s="881">
        <v>0</v>
      </c>
      <c r="K125" s="881">
        <f t="shared" si="109"/>
        <v>4001.8338518518522</v>
      </c>
      <c r="L125" s="881">
        <v>1054</v>
      </c>
      <c r="M125" s="881"/>
      <c r="N125" s="881">
        <f t="shared" si="110"/>
        <v>1054</v>
      </c>
      <c r="O125" s="881">
        <f t="shared" si="111"/>
        <v>49076.006222222226</v>
      </c>
      <c r="P125" s="913">
        <f t="shared" si="112"/>
        <v>13250521.680000002</v>
      </c>
      <c r="Q125" s="880">
        <v>269</v>
      </c>
      <c r="R125" s="881">
        <f>1390509/Q125</f>
        <v>5169.1784386617101</v>
      </c>
      <c r="S125" s="881"/>
      <c r="T125" s="881">
        <f>233790.47/Q125</f>
        <v>869.10955390334573</v>
      </c>
      <c r="U125" s="881"/>
      <c r="V125" s="881"/>
      <c r="W125" s="881"/>
      <c r="X125" s="881"/>
      <c r="Y125" s="881">
        <v>0</v>
      </c>
      <c r="Z125" s="881">
        <f t="shared" si="113"/>
        <v>6038.2879925650559</v>
      </c>
      <c r="AA125" s="881">
        <v>1054</v>
      </c>
      <c r="AB125" s="881"/>
      <c r="AC125" s="881">
        <f t="shared" si="114"/>
        <v>1054</v>
      </c>
      <c r="AD125" s="881">
        <f t="shared" si="115"/>
        <v>73513.455910780671</v>
      </c>
      <c r="AE125" s="881">
        <f t="shared" si="116"/>
        <v>19775119.640000001</v>
      </c>
      <c r="AF125" s="881">
        <f t="shared" si="117"/>
        <v>-24437.449688558445</v>
      </c>
      <c r="AG125" s="881">
        <f t="shared" si="117"/>
        <v>-6524597.959999999</v>
      </c>
      <c r="AH125" s="914">
        <f t="shared" si="118"/>
        <v>269</v>
      </c>
      <c r="AI125" s="913">
        <f t="shared" si="119"/>
        <v>19775119.640000001</v>
      </c>
    </row>
    <row r="126" spans="1:35" ht="24.95" customHeight="1" x14ac:dyDescent="0.2">
      <c r="A126" s="870" t="s">
        <v>3855</v>
      </c>
      <c r="B126" s="880">
        <v>253</v>
      </c>
      <c r="C126" s="881">
        <f>(769103.4+681830.17)/B126-360</f>
        <v>5374.9152964426876</v>
      </c>
      <c r="D126" s="881"/>
      <c r="E126" s="881">
        <v>357.81818181818181</v>
      </c>
      <c r="F126" s="881"/>
      <c r="G126" s="881"/>
      <c r="H126" s="881"/>
      <c r="I126" s="881"/>
      <c r="J126" s="881">
        <v>0</v>
      </c>
      <c r="K126" s="881">
        <f t="shared" si="109"/>
        <v>5732.7334782608696</v>
      </c>
      <c r="L126" s="881">
        <v>1054</v>
      </c>
      <c r="M126" s="881"/>
      <c r="N126" s="881">
        <f t="shared" si="110"/>
        <v>1054</v>
      </c>
      <c r="O126" s="881">
        <f t="shared" si="111"/>
        <v>69846.801739130431</v>
      </c>
      <c r="P126" s="913">
        <f t="shared" si="112"/>
        <v>17671240.84</v>
      </c>
      <c r="Q126" s="880">
        <v>390</v>
      </c>
      <c r="R126" s="881">
        <f>2583870/Q126</f>
        <v>6625.3076923076924</v>
      </c>
      <c r="S126" s="881"/>
      <c r="T126" s="881">
        <f>137089.65/Q126</f>
        <v>351.51192307692304</v>
      </c>
      <c r="U126" s="881"/>
      <c r="V126" s="881"/>
      <c r="W126" s="881"/>
      <c r="X126" s="881"/>
      <c r="Y126" s="881">
        <v>0</v>
      </c>
      <c r="Z126" s="881">
        <f t="shared" si="113"/>
        <v>6976.8196153846156</v>
      </c>
      <c r="AA126" s="881">
        <v>1054</v>
      </c>
      <c r="AB126" s="881"/>
      <c r="AC126" s="881">
        <f t="shared" si="114"/>
        <v>1054</v>
      </c>
      <c r="AD126" s="881">
        <f t="shared" si="115"/>
        <v>84775.835384615391</v>
      </c>
      <c r="AE126" s="881">
        <f t="shared" si="116"/>
        <v>33062575.800000004</v>
      </c>
      <c r="AF126" s="881">
        <f t="shared" si="117"/>
        <v>-14929.03364548496</v>
      </c>
      <c r="AG126" s="881">
        <f t="shared" si="117"/>
        <v>-15391334.960000005</v>
      </c>
      <c r="AH126" s="914">
        <f t="shared" si="118"/>
        <v>390</v>
      </c>
      <c r="AI126" s="913">
        <f t="shared" si="119"/>
        <v>33062575.800000004</v>
      </c>
    </row>
    <row r="127" spans="1:35" ht="24.95" customHeight="1" x14ac:dyDescent="0.2">
      <c r="A127" s="870" t="s">
        <v>3856</v>
      </c>
      <c r="B127" s="880">
        <v>83</v>
      </c>
      <c r="C127" s="881">
        <f>(260317.3+250728.32)/B127-360</f>
        <v>5797.1761445783131</v>
      </c>
      <c r="D127" s="881"/>
      <c r="E127" s="881">
        <v>360</v>
      </c>
      <c r="F127" s="881"/>
      <c r="G127" s="881"/>
      <c r="H127" s="881"/>
      <c r="I127" s="881"/>
      <c r="J127" s="881">
        <v>0</v>
      </c>
      <c r="K127" s="881">
        <f t="shared" si="109"/>
        <v>6157.1761445783131</v>
      </c>
      <c r="L127" s="881">
        <v>1054</v>
      </c>
      <c r="M127" s="881"/>
      <c r="N127" s="881">
        <f t="shared" si="110"/>
        <v>1054</v>
      </c>
      <c r="O127" s="881">
        <f t="shared" si="111"/>
        <v>74940.113734939761</v>
      </c>
      <c r="P127" s="913">
        <f t="shared" si="112"/>
        <v>6220029.4400000004</v>
      </c>
      <c r="Q127" s="880">
        <v>83</v>
      </c>
      <c r="R127" s="881">
        <f>573204/Q127</f>
        <v>6906.0722891566265</v>
      </c>
      <c r="S127" s="881"/>
      <c r="T127" s="881">
        <f>11754.35/Q127</f>
        <v>141.61867469879519</v>
      </c>
      <c r="U127" s="881"/>
      <c r="V127" s="881"/>
      <c r="W127" s="881"/>
      <c r="X127" s="881"/>
      <c r="Y127" s="881">
        <v>0</v>
      </c>
      <c r="Z127" s="881">
        <f t="shared" si="113"/>
        <v>7047.6909638554216</v>
      </c>
      <c r="AA127" s="881">
        <v>1054</v>
      </c>
      <c r="AB127" s="881"/>
      <c r="AC127" s="881">
        <f t="shared" si="114"/>
        <v>1054</v>
      </c>
      <c r="AD127" s="881">
        <f t="shared" si="115"/>
        <v>85626.291566265063</v>
      </c>
      <c r="AE127" s="881">
        <f t="shared" si="116"/>
        <v>7106982.2000000002</v>
      </c>
      <c r="AF127" s="881">
        <f t="shared" si="117"/>
        <v>-10686.177831325302</v>
      </c>
      <c r="AG127" s="881">
        <f t="shared" si="117"/>
        <v>-886952.75999999978</v>
      </c>
      <c r="AH127" s="914">
        <f t="shared" si="118"/>
        <v>83</v>
      </c>
      <c r="AI127" s="913">
        <f t="shared" si="119"/>
        <v>7106982.2000000002</v>
      </c>
    </row>
    <row r="128" spans="1:35" ht="24.95" customHeight="1" x14ac:dyDescent="0.2">
      <c r="A128" s="870" t="s">
        <v>3857</v>
      </c>
      <c r="B128" s="880">
        <v>38</v>
      </c>
      <c r="C128" s="881">
        <f>(124116.5+131472.3)/B128-360</f>
        <v>6366.0210526315786</v>
      </c>
      <c r="D128" s="881"/>
      <c r="E128" s="881">
        <v>360</v>
      </c>
      <c r="F128" s="881"/>
      <c r="G128" s="881"/>
      <c r="H128" s="881"/>
      <c r="I128" s="881"/>
      <c r="J128" s="881">
        <v>0</v>
      </c>
      <c r="K128" s="881">
        <f t="shared" si="109"/>
        <v>6726.0210526315786</v>
      </c>
      <c r="L128" s="881">
        <v>1054</v>
      </c>
      <c r="M128" s="881"/>
      <c r="N128" s="881">
        <f t="shared" si="110"/>
        <v>1054</v>
      </c>
      <c r="O128" s="881">
        <f t="shared" si="111"/>
        <v>81766.252631578944</v>
      </c>
      <c r="P128" s="913">
        <f t="shared" si="112"/>
        <v>3107117.5999999996</v>
      </c>
      <c r="Q128" s="880">
        <v>39</v>
      </c>
      <c r="R128" s="881">
        <f>293304/Q128</f>
        <v>7520.6153846153848</v>
      </c>
      <c r="S128" s="881"/>
      <c r="T128" s="881">
        <f>42118.69/Q128</f>
        <v>1079.9664102564104</v>
      </c>
      <c r="U128" s="881"/>
      <c r="V128" s="881"/>
      <c r="W128" s="881"/>
      <c r="X128" s="881"/>
      <c r="Y128" s="881">
        <v>0</v>
      </c>
      <c r="Z128" s="881">
        <f t="shared" si="113"/>
        <v>8600.5817948717959</v>
      </c>
      <c r="AA128" s="881">
        <v>1054</v>
      </c>
      <c r="AB128" s="881"/>
      <c r="AC128" s="881">
        <f t="shared" si="114"/>
        <v>1054</v>
      </c>
      <c r="AD128" s="881">
        <f t="shared" si="115"/>
        <v>104260.98153846155</v>
      </c>
      <c r="AE128" s="881">
        <f t="shared" si="116"/>
        <v>4066178.2800000003</v>
      </c>
      <c r="AF128" s="881">
        <f t="shared" si="117"/>
        <v>-22494.728906882607</v>
      </c>
      <c r="AG128" s="881">
        <f t="shared" si="117"/>
        <v>-959060.68000000063</v>
      </c>
      <c r="AH128" s="914">
        <f t="shared" si="118"/>
        <v>39</v>
      </c>
      <c r="AI128" s="913">
        <f t="shared" si="119"/>
        <v>4066178.2800000003</v>
      </c>
    </row>
    <row r="129" spans="1:35" ht="24.95" customHeight="1" x14ac:dyDescent="0.2">
      <c r="A129" s="870" t="s">
        <v>3858</v>
      </c>
      <c r="B129" s="880">
        <v>12</v>
      </c>
      <c r="C129" s="881">
        <f>(39925.4+39076.95)/B129-360</f>
        <v>6223.5291666666672</v>
      </c>
      <c r="D129" s="881"/>
      <c r="E129" s="881">
        <v>360</v>
      </c>
      <c r="F129" s="881"/>
      <c r="G129" s="881"/>
      <c r="H129" s="881"/>
      <c r="I129" s="881"/>
      <c r="J129" s="881">
        <v>0</v>
      </c>
      <c r="K129" s="881">
        <f t="shared" si="109"/>
        <v>6583.5291666666672</v>
      </c>
      <c r="L129" s="881">
        <v>1054</v>
      </c>
      <c r="M129" s="881"/>
      <c r="N129" s="881">
        <f t="shared" si="110"/>
        <v>1054</v>
      </c>
      <c r="O129" s="881">
        <f t="shared" si="111"/>
        <v>80056.350000000006</v>
      </c>
      <c r="P129" s="913">
        <f t="shared" si="112"/>
        <v>960676.20000000007</v>
      </c>
      <c r="Q129" s="880">
        <v>12</v>
      </c>
      <c r="R129" s="881">
        <f>90752/Q129</f>
        <v>7562.666666666667</v>
      </c>
      <c r="S129" s="881"/>
      <c r="T129" s="881">
        <f>60809.13/Q129</f>
        <v>5067.4274999999998</v>
      </c>
      <c r="U129" s="881"/>
      <c r="V129" s="881"/>
      <c r="W129" s="881"/>
      <c r="X129" s="881"/>
      <c r="Y129" s="881">
        <v>0</v>
      </c>
      <c r="Z129" s="881">
        <f t="shared" si="113"/>
        <v>12630.094166666666</v>
      </c>
      <c r="AA129" s="881">
        <v>1054</v>
      </c>
      <c r="AB129" s="881"/>
      <c r="AC129" s="881">
        <f t="shared" si="114"/>
        <v>1054</v>
      </c>
      <c r="AD129" s="881">
        <f t="shared" si="115"/>
        <v>152615.13</v>
      </c>
      <c r="AE129" s="881">
        <f t="shared" si="116"/>
        <v>1831381.56</v>
      </c>
      <c r="AF129" s="881">
        <f t="shared" si="117"/>
        <v>-72558.78</v>
      </c>
      <c r="AG129" s="881">
        <f t="shared" si="117"/>
        <v>-870705.36</v>
      </c>
      <c r="AH129" s="914">
        <f t="shared" si="118"/>
        <v>12</v>
      </c>
      <c r="AI129" s="913">
        <f t="shared" si="119"/>
        <v>1831381.56</v>
      </c>
    </row>
    <row r="130" spans="1:35" ht="24.95" customHeight="1" x14ac:dyDescent="0.2">
      <c r="A130" s="870" t="s">
        <v>3859</v>
      </c>
      <c r="B130" s="880">
        <v>117</v>
      </c>
      <c r="C130" s="881">
        <f>(416828+426392.65)/B130-360</f>
        <v>6847.0141025641024</v>
      </c>
      <c r="D130" s="881"/>
      <c r="E130" s="881">
        <v>360</v>
      </c>
      <c r="F130" s="881"/>
      <c r="G130" s="881"/>
      <c r="H130" s="881"/>
      <c r="I130" s="881"/>
      <c r="J130" s="881">
        <v>0</v>
      </c>
      <c r="K130" s="881">
        <f t="shared" si="109"/>
        <v>7207.0141025641024</v>
      </c>
      <c r="L130" s="881">
        <v>1054</v>
      </c>
      <c r="M130" s="881"/>
      <c r="N130" s="881">
        <f t="shared" si="110"/>
        <v>1054</v>
      </c>
      <c r="O130" s="881">
        <f t="shared" si="111"/>
        <v>87538.169230769228</v>
      </c>
      <c r="P130" s="913">
        <f t="shared" si="112"/>
        <v>10241965.799999999</v>
      </c>
      <c r="Q130" s="880">
        <v>118</v>
      </c>
      <c r="R130" s="881">
        <f>989208/Q130</f>
        <v>8383.1186440677975</v>
      </c>
      <c r="S130" s="881"/>
      <c r="T130" s="881">
        <f>254325.96/Q130</f>
        <v>2155.3047457627117</v>
      </c>
      <c r="U130" s="881"/>
      <c r="V130" s="881"/>
      <c r="W130" s="881"/>
      <c r="X130" s="881"/>
      <c r="Y130" s="881">
        <v>0</v>
      </c>
      <c r="Z130" s="881">
        <f t="shared" si="113"/>
        <v>10538.42338983051</v>
      </c>
      <c r="AA130" s="881">
        <v>1054</v>
      </c>
      <c r="AB130" s="881"/>
      <c r="AC130" s="881">
        <f t="shared" si="114"/>
        <v>1054</v>
      </c>
      <c r="AD130" s="881">
        <f t="shared" si="115"/>
        <v>127515.08067796612</v>
      </c>
      <c r="AE130" s="881">
        <f t="shared" si="116"/>
        <v>15046779.520000003</v>
      </c>
      <c r="AF130" s="881">
        <f t="shared" si="117"/>
        <v>-39976.911447196893</v>
      </c>
      <c r="AG130" s="881">
        <f t="shared" si="117"/>
        <v>-4804813.7200000044</v>
      </c>
      <c r="AH130" s="914">
        <f t="shared" si="118"/>
        <v>118</v>
      </c>
      <c r="AI130" s="913">
        <f t="shared" si="119"/>
        <v>15046779.520000003</v>
      </c>
    </row>
    <row r="131" spans="1:35" ht="24.95" customHeight="1" x14ac:dyDescent="0.2">
      <c r="A131" s="870" t="s">
        <v>3860</v>
      </c>
      <c r="B131" s="880">
        <v>340</v>
      </c>
      <c r="C131" s="881">
        <f>(180525.7+217394.14)/B131-360</f>
        <v>810.35247058823529</v>
      </c>
      <c r="D131" s="881"/>
      <c r="E131" s="881">
        <v>360</v>
      </c>
      <c r="F131" s="881"/>
      <c r="G131" s="881"/>
      <c r="H131" s="881"/>
      <c r="I131" s="881"/>
      <c r="J131" s="881">
        <v>0</v>
      </c>
      <c r="K131" s="881">
        <f t="shared" si="109"/>
        <v>1170.3524705882353</v>
      </c>
      <c r="L131" s="881">
        <v>1054</v>
      </c>
      <c r="M131" s="881"/>
      <c r="N131" s="881">
        <f t="shared" si="110"/>
        <v>1054</v>
      </c>
      <c r="O131" s="881">
        <f t="shared" si="111"/>
        <v>15098.229647058823</v>
      </c>
      <c r="P131" s="913">
        <f t="shared" si="112"/>
        <v>5133398.08</v>
      </c>
      <c r="Q131" s="880">
        <v>456</v>
      </c>
      <c r="R131" s="881">
        <f>2034814/Q131</f>
        <v>4462.3114035087719</v>
      </c>
      <c r="S131" s="881"/>
      <c r="T131" s="881">
        <f>260709.88/Q131</f>
        <v>571.73219298245613</v>
      </c>
      <c r="U131" s="881"/>
      <c r="V131" s="881"/>
      <c r="W131" s="881"/>
      <c r="X131" s="881"/>
      <c r="Y131" s="881">
        <v>0</v>
      </c>
      <c r="Z131" s="881">
        <f t="shared" si="113"/>
        <v>5034.0435964912285</v>
      </c>
      <c r="AA131" s="881">
        <v>1054</v>
      </c>
      <c r="AB131" s="881"/>
      <c r="AC131" s="881">
        <f t="shared" si="114"/>
        <v>1054</v>
      </c>
      <c r="AD131" s="881">
        <f t="shared" si="115"/>
        <v>61462.523157894742</v>
      </c>
      <c r="AE131" s="881">
        <f t="shared" si="116"/>
        <v>28026910.560000002</v>
      </c>
      <c r="AF131" s="881">
        <f t="shared" si="117"/>
        <v>-46364.293510835923</v>
      </c>
      <c r="AG131" s="881">
        <f t="shared" si="117"/>
        <v>-22893512.480000004</v>
      </c>
      <c r="AH131" s="914">
        <f t="shared" si="118"/>
        <v>456</v>
      </c>
      <c r="AI131" s="913">
        <f t="shared" si="119"/>
        <v>28026910.560000002</v>
      </c>
    </row>
    <row r="132" spans="1:35" ht="24.95" customHeight="1" x14ac:dyDescent="0.2">
      <c r="A132" s="870" t="s">
        <v>3861</v>
      </c>
      <c r="B132" s="880">
        <v>29</v>
      </c>
      <c r="C132" s="881">
        <f>(46688.9+55696.66)/B132-360</f>
        <v>3170.536551724138</v>
      </c>
      <c r="D132" s="881"/>
      <c r="E132" s="881">
        <v>360</v>
      </c>
      <c r="F132" s="881"/>
      <c r="G132" s="881"/>
      <c r="H132" s="881"/>
      <c r="I132" s="881"/>
      <c r="J132" s="881">
        <v>0</v>
      </c>
      <c r="K132" s="881">
        <f t="shared" si="109"/>
        <v>3530.536551724138</v>
      </c>
      <c r="L132" s="881">
        <v>1054</v>
      </c>
      <c r="M132" s="881"/>
      <c r="N132" s="881">
        <f t="shared" si="110"/>
        <v>1054</v>
      </c>
      <c r="O132" s="881">
        <f t="shared" si="111"/>
        <v>43420.43862068966</v>
      </c>
      <c r="P132" s="913">
        <f t="shared" si="112"/>
        <v>1259192.7200000002</v>
      </c>
      <c r="Q132" s="880">
        <v>29</v>
      </c>
      <c r="R132" s="881">
        <f>136180/Q132</f>
        <v>4695.8620689655172</v>
      </c>
      <c r="S132" s="881"/>
      <c r="T132" s="881">
        <f>20678.56/Q132</f>
        <v>713.05379310344836</v>
      </c>
      <c r="U132" s="881"/>
      <c r="V132" s="881"/>
      <c r="W132" s="881"/>
      <c r="X132" s="881"/>
      <c r="Y132" s="881">
        <v>0</v>
      </c>
      <c r="Z132" s="881">
        <f t="shared" si="113"/>
        <v>5408.9158620689659</v>
      </c>
      <c r="AA132" s="881">
        <v>1054</v>
      </c>
      <c r="AB132" s="881"/>
      <c r="AC132" s="881">
        <f t="shared" si="114"/>
        <v>1054</v>
      </c>
      <c r="AD132" s="881">
        <f t="shared" si="115"/>
        <v>65960.990344827587</v>
      </c>
      <c r="AE132" s="881">
        <f t="shared" si="116"/>
        <v>1912868.72</v>
      </c>
      <c r="AF132" s="881">
        <f t="shared" si="117"/>
        <v>-22540.551724137928</v>
      </c>
      <c r="AG132" s="881">
        <f t="shared" si="117"/>
        <v>-653675.99999999977</v>
      </c>
      <c r="AH132" s="914">
        <f t="shared" si="118"/>
        <v>29</v>
      </c>
      <c r="AI132" s="913">
        <f t="shared" si="119"/>
        <v>1912868.72</v>
      </c>
    </row>
    <row r="133" spans="1:35" ht="24.95" customHeight="1" x14ac:dyDescent="0.2">
      <c r="A133" s="870" t="s">
        <v>3862</v>
      </c>
      <c r="B133" s="880">
        <v>5</v>
      </c>
      <c r="C133" s="881">
        <f>(8370+10633.03)/B133-360</f>
        <v>3440.6059999999998</v>
      </c>
      <c r="D133" s="881"/>
      <c r="E133" s="881">
        <v>360</v>
      </c>
      <c r="F133" s="881"/>
      <c r="G133" s="881"/>
      <c r="H133" s="881"/>
      <c r="I133" s="881"/>
      <c r="J133" s="881">
        <v>0</v>
      </c>
      <c r="K133" s="881">
        <f t="shared" si="109"/>
        <v>3800.6059999999998</v>
      </c>
      <c r="L133" s="881">
        <v>1054</v>
      </c>
      <c r="M133" s="881"/>
      <c r="N133" s="881">
        <f t="shared" si="110"/>
        <v>1054</v>
      </c>
      <c r="O133" s="881">
        <f t="shared" si="111"/>
        <v>46661.271999999997</v>
      </c>
      <c r="P133" s="913">
        <f t="shared" si="112"/>
        <v>233306.36</v>
      </c>
      <c r="Q133" s="880">
        <v>5</v>
      </c>
      <c r="R133" s="881">
        <f>25160/Q133</f>
        <v>5032</v>
      </c>
      <c r="S133" s="881"/>
      <c r="T133" s="881">
        <f>3068.03/Q133</f>
        <v>613.60599999999999</v>
      </c>
      <c r="U133" s="881"/>
      <c r="V133" s="881"/>
      <c r="W133" s="881"/>
      <c r="X133" s="881"/>
      <c r="Y133" s="881">
        <v>0</v>
      </c>
      <c r="Z133" s="881">
        <f t="shared" si="113"/>
        <v>5645.6059999999998</v>
      </c>
      <c r="AA133" s="881">
        <v>1054</v>
      </c>
      <c r="AB133" s="881"/>
      <c r="AC133" s="881">
        <f t="shared" si="114"/>
        <v>1054</v>
      </c>
      <c r="AD133" s="881">
        <f t="shared" si="115"/>
        <v>68801.271999999997</v>
      </c>
      <c r="AE133" s="881">
        <f t="shared" si="116"/>
        <v>344006.36</v>
      </c>
      <c r="AF133" s="881">
        <f t="shared" si="117"/>
        <v>-22140</v>
      </c>
      <c r="AG133" s="881">
        <f t="shared" si="117"/>
        <v>-110700</v>
      </c>
      <c r="AH133" s="914">
        <f t="shared" si="118"/>
        <v>5</v>
      </c>
      <c r="AI133" s="913">
        <f t="shared" si="119"/>
        <v>344006.36</v>
      </c>
    </row>
    <row r="134" spans="1:35" ht="24.95" customHeight="1" x14ac:dyDescent="0.2">
      <c r="A134" s="870" t="s">
        <v>3863</v>
      </c>
      <c r="B134" s="880">
        <v>67</v>
      </c>
      <c r="C134" s="881">
        <f>(123177.55+132469.84)/B134-360</f>
        <v>3455.6326865671645</v>
      </c>
      <c r="D134" s="881"/>
      <c r="E134" s="881">
        <v>360</v>
      </c>
      <c r="F134" s="881"/>
      <c r="G134" s="881"/>
      <c r="H134" s="881"/>
      <c r="I134" s="881"/>
      <c r="J134" s="881">
        <v>0</v>
      </c>
      <c r="K134" s="881">
        <f t="shared" si="109"/>
        <v>3815.6326865671645</v>
      </c>
      <c r="L134" s="881">
        <v>1054</v>
      </c>
      <c r="M134" s="881"/>
      <c r="N134" s="881">
        <f t="shared" si="110"/>
        <v>1054</v>
      </c>
      <c r="O134" s="881">
        <f t="shared" si="111"/>
        <v>46841.59223880597</v>
      </c>
      <c r="P134" s="913">
        <f t="shared" si="112"/>
        <v>3138386.68</v>
      </c>
      <c r="Q134" s="880">
        <v>67</v>
      </c>
      <c r="R134" s="881">
        <f>334997/Q134</f>
        <v>4999.9552238805973</v>
      </c>
      <c r="S134" s="881"/>
      <c r="T134" s="881">
        <f>55904.39/Q134</f>
        <v>834.39388059701491</v>
      </c>
      <c r="U134" s="881"/>
      <c r="V134" s="881"/>
      <c r="W134" s="881"/>
      <c r="X134" s="881"/>
      <c r="Y134" s="881">
        <v>0</v>
      </c>
      <c r="Z134" s="881">
        <f t="shared" si="113"/>
        <v>5834.3491044776119</v>
      </c>
      <c r="AA134" s="881">
        <v>1054</v>
      </c>
      <c r="AB134" s="881"/>
      <c r="AC134" s="881">
        <f t="shared" si="114"/>
        <v>1054</v>
      </c>
      <c r="AD134" s="881">
        <f t="shared" si="115"/>
        <v>71066.18925373134</v>
      </c>
      <c r="AE134" s="881">
        <f t="shared" si="116"/>
        <v>4761434.68</v>
      </c>
      <c r="AF134" s="881">
        <f t="shared" si="117"/>
        <v>-24224.59701492537</v>
      </c>
      <c r="AG134" s="881">
        <f t="shared" si="117"/>
        <v>-1623047.9999999995</v>
      </c>
      <c r="AH134" s="914">
        <f t="shared" si="118"/>
        <v>67</v>
      </c>
      <c r="AI134" s="913">
        <f t="shared" si="119"/>
        <v>4761434.68</v>
      </c>
    </row>
    <row r="135" spans="1:35" ht="24.95" customHeight="1" x14ac:dyDescent="0.2">
      <c r="A135" s="870" t="s">
        <v>3864</v>
      </c>
      <c r="B135" s="880">
        <v>1</v>
      </c>
      <c r="C135" s="881">
        <f>(1110.88+928.54)/B135-360</f>
        <v>1679.42</v>
      </c>
      <c r="D135" s="881"/>
      <c r="E135" s="881">
        <v>360</v>
      </c>
      <c r="F135" s="881"/>
      <c r="G135" s="881"/>
      <c r="H135" s="881"/>
      <c r="I135" s="881"/>
      <c r="J135" s="881">
        <v>0</v>
      </c>
      <c r="K135" s="881">
        <f t="shared" si="109"/>
        <v>2039.42</v>
      </c>
      <c r="L135" s="881">
        <v>1054</v>
      </c>
      <c r="M135" s="881"/>
      <c r="N135" s="881">
        <f t="shared" si="110"/>
        <v>1054</v>
      </c>
      <c r="O135" s="881">
        <f t="shared" si="111"/>
        <v>25527.040000000001</v>
      </c>
      <c r="P135" s="913">
        <f t="shared" si="112"/>
        <v>25527.040000000001</v>
      </c>
      <c r="Q135" s="880">
        <v>8</v>
      </c>
      <c r="R135" s="881">
        <f>19552/Q135</f>
        <v>2444</v>
      </c>
      <c r="S135" s="881"/>
      <c r="T135" s="881">
        <f>5472.8/Q135</f>
        <v>684.1</v>
      </c>
      <c r="U135" s="881"/>
      <c r="V135" s="881"/>
      <c r="W135" s="881"/>
      <c r="X135" s="881"/>
      <c r="Y135" s="881">
        <v>0</v>
      </c>
      <c r="Z135" s="881">
        <f t="shared" si="113"/>
        <v>3128.1</v>
      </c>
      <c r="AA135" s="881">
        <v>1054</v>
      </c>
      <c r="AB135" s="881"/>
      <c r="AC135" s="881">
        <f t="shared" si="114"/>
        <v>1054</v>
      </c>
      <c r="AD135" s="881">
        <f t="shared" si="115"/>
        <v>38591.199999999997</v>
      </c>
      <c r="AE135" s="881">
        <f t="shared" si="116"/>
        <v>308729.59999999998</v>
      </c>
      <c r="AF135" s="881">
        <f t="shared" si="117"/>
        <v>-13064.159999999996</v>
      </c>
      <c r="AG135" s="881">
        <f t="shared" si="117"/>
        <v>-283202.56</v>
      </c>
      <c r="AH135" s="914">
        <f t="shared" si="118"/>
        <v>8</v>
      </c>
      <c r="AI135" s="913">
        <f t="shared" si="119"/>
        <v>308729.59999999998</v>
      </c>
    </row>
    <row r="136" spans="1:35" ht="24.95" customHeight="1" x14ac:dyDescent="0.2">
      <c r="A136" s="870" t="s">
        <v>3865</v>
      </c>
      <c r="B136" s="880">
        <v>8</v>
      </c>
      <c r="C136" s="881">
        <f>(8847.07+11436.59)/B136-360</f>
        <v>2175.4575</v>
      </c>
      <c r="D136" s="881"/>
      <c r="E136" s="881">
        <v>360</v>
      </c>
      <c r="F136" s="881"/>
      <c r="G136" s="881"/>
      <c r="H136" s="881"/>
      <c r="I136" s="881"/>
      <c r="J136" s="881">
        <v>0</v>
      </c>
      <c r="K136" s="881">
        <f t="shared" si="109"/>
        <v>2535.4575</v>
      </c>
      <c r="L136" s="881">
        <v>1054</v>
      </c>
      <c r="M136" s="881"/>
      <c r="N136" s="881">
        <f t="shared" si="110"/>
        <v>1054</v>
      </c>
      <c r="O136" s="881">
        <f t="shared" si="111"/>
        <v>31479.489999999998</v>
      </c>
      <c r="P136" s="913">
        <f t="shared" si="112"/>
        <v>251835.91999999998</v>
      </c>
      <c r="Q136" s="880">
        <v>1</v>
      </c>
      <c r="R136" s="881">
        <f>2285/Q136</f>
        <v>2285</v>
      </c>
      <c r="S136" s="881"/>
      <c r="T136" s="881">
        <f>330.38/Q136</f>
        <v>330.38</v>
      </c>
      <c r="U136" s="881"/>
      <c r="V136" s="881"/>
      <c r="W136" s="881"/>
      <c r="X136" s="881"/>
      <c r="Y136" s="881">
        <v>0</v>
      </c>
      <c r="Z136" s="881">
        <f t="shared" si="113"/>
        <v>2615.38</v>
      </c>
      <c r="AA136" s="881">
        <v>1054</v>
      </c>
      <c r="AB136" s="881"/>
      <c r="AC136" s="881">
        <f t="shared" si="114"/>
        <v>1054</v>
      </c>
      <c r="AD136" s="881">
        <f t="shared" si="115"/>
        <v>32438.560000000001</v>
      </c>
      <c r="AE136" s="881">
        <f t="shared" si="116"/>
        <v>32438.560000000001</v>
      </c>
      <c r="AF136" s="881">
        <f t="shared" si="117"/>
        <v>-959.07000000000335</v>
      </c>
      <c r="AG136" s="881">
        <f t="shared" si="117"/>
        <v>219397.36</v>
      </c>
      <c r="AH136" s="914">
        <f t="shared" si="118"/>
        <v>1</v>
      </c>
      <c r="AI136" s="913">
        <f t="shared" si="119"/>
        <v>32438.560000000001</v>
      </c>
    </row>
    <row r="137" spans="1:35" ht="24.95" customHeight="1" x14ac:dyDescent="0.2">
      <c r="A137" s="870" t="s">
        <v>3866</v>
      </c>
      <c r="B137" s="880">
        <v>140</v>
      </c>
      <c r="C137" s="881">
        <f>(73490.4+76643.12)/B137-360</f>
        <v>712.38228571428567</v>
      </c>
      <c r="D137" s="881"/>
      <c r="E137" s="881">
        <v>360</v>
      </c>
      <c r="F137" s="881"/>
      <c r="G137" s="881"/>
      <c r="H137" s="881"/>
      <c r="I137" s="881"/>
      <c r="J137" s="881">
        <v>0</v>
      </c>
      <c r="K137" s="881">
        <f t="shared" si="109"/>
        <v>1072.3822857142857</v>
      </c>
      <c r="L137" s="881">
        <v>1054</v>
      </c>
      <c r="M137" s="881"/>
      <c r="N137" s="881">
        <f t="shared" si="110"/>
        <v>1054</v>
      </c>
      <c r="O137" s="881">
        <f t="shared" si="111"/>
        <v>13922.587428571427</v>
      </c>
      <c r="P137" s="913">
        <f t="shared" si="112"/>
        <v>1949162.2399999998</v>
      </c>
      <c r="Q137" s="880">
        <v>188</v>
      </c>
      <c r="R137" s="881">
        <f>813762/Q137</f>
        <v>4328.5212765957449</v>
      </c>
      <c r="S137" s="881"/>
      <c r="T137" s="881">
        <f>101914.75/Q137</f>
        <v>542.09973404255322</v>
      </c>
      <c r="U137" s="881"/>
      <c r="V137" s="881"/>
      <c r="W137" s="881"/>
      <c r="X137" s="881"/>
      <c r="Y137" s="881">
        <v>0</v>
      </c>
      <c r="Z137" s="881">
        <f t="shared" si="113"/>
        <v>4870.6210106382978</v>
      </c>
      <c r="AA137" s="881">
        <v>1054</v>
      </c>
      <c r="AB137" s="881"/>
      <c r="AC137" s="881">
        <f t="shared" si="114"/>
        <v>1054</v>
      </c>
      <c r="AD137" s="881">
        <f t="shared" si="115"/>
        <v>59501.452127659577</v>
      </c>
      <c r="AE137" s="881">
        <f t="shared" si="116"/>
        <v>11186273</v>
      </c>
      <c r="AF137" s="881">
        <f t="shared" si="117"/>
        <v>-45578.864699088153</v>
      </c>
      <c r="AG137" s="881">
        <f t="shared" si="117"/>
        <v>-9237110.7599999998</v>
      </c>
      <c r="AH137" s="914">
        <f t="shared" si="118"/>
        <v>188</v>
      </c>
      <c r="AI137" s="913">
        <f t="shared" si="119"/>
        <v>11186273</v>
      </c>
    </row>
    <row r="138" spans="1:35" ht="24.95" customHeight="1" x14ac:dyDescent="0.2">
      <c r="A138" s="870" t="s">
        <v>3867</v>
      </c>
      <c r="B138" s="880">
        <v>16</v>
      </c>
      <c r="C138" s="881">
        <f>(26655.95+26484.05)/B138-360</f>
        <v>2961.25</v>
      </c>
      <c r="D138" s="881"/>
      <c r="E138" s="881">
        <v>360</v>
      </c>
      <c r="F138" s="881"/>
      <c r="G138" s="881"/>
      <c r="H138" s="881"/>
      <c r="I138" s="881"/>
      <c r="J138" s="881">
        <v>0</v>
      </c>
      <c r="K138" s="881">
        <f t="shared" si="109"/>
        <v>3321.25</v>
      </c>
      <c r="L138" s="881">
        <v>1054</v>
      </c>
      <c r="M138" s="881"/>
      <c r="N138" s="881">
        <f t="shared" si="110"/>
        <v>1054</v>
      </c>
      <c r="O138" s="881">
        <f t="shared" si="111"/>
        <v>40909</v>
      </c>
      <c r="P138" s="913">
        <f t="shared" si="112"/>
        <v>654544</v>
      </c>
      <c r="Q138" s="880">
        <v>16</v>
      </c>
      <c r="R138" s="881">
        <f>66320/Q138</f>
        <v>4145</v>
      </c>
      <c r="S138" s="881"/>
      <c r="T138" s="881">
        <f>9902/Q138</f>
        <v>618.875</v>
      </c>
      <c r="U138" s="881"/>
      <c r="V138" s="881"/>
      <c r="W138" s="881"/>
      <c r="X138" s="881"/>
      <c r="Y138" s="881">
        <v>0</v>
      </c>
      <c r="Z138" s="881">
        <f t="shared" si="113"/>
        <v>4763.875</v>
      </c>
      <c r="AA138" s="881">
        <v>1054</v>
      </c>
      <c r="AB138" s="881"/>
      <c r="AC138" s="881">
        <f t="shared" si="114"/>
        <v>1054</v>
      </c>
      <c r="AD138" s="881">
        <f t="shared" si="115"/>
        <v>58220.5</v>
      </c>
      <c r="AE138" s="881">
        <f t="shared" si="116"/>
        <v>931528</v>
      </c>
      <c r="AF138" s="881">
        <f t="shared" si="117"/>
        <v>-17311.5</v>
      </c>
      <c r="AG138" s="881">
        <f t="shared" si="117"/>
        <v>-276984</v>
      </c>
      <c r="AH138" s="914">
        <f t="shared" si="118"/>
        <v>16</v>
      </c>
      <c r="AI138" s="913">
        <f t="shared" si="119"/>
        <v>931528</v>
      </c>
    </row>
    <row r="139" spans="1:35" ht="24.95" customHeight="1" x14ac:dyDescent="0.2">
      <c r="A139" s="870" t="s">
        <v>3868</v>
      </c>
      <c r="B139" s="880">
        <v>11</v>
      </c>
      <c r="C139" s="881">
        <f>(18933.75+19511.25)/B139-360</f>
        <v>3135</v>
      </c>
      <c r="D139" s="881"/>
      <c r="E139" s="881">
        <v>360</v>
      </c>
      <c r="F139" s="881"/>
      <c r="G139" s="881"/>
      <c r="H139" s="881"/>
      <c r="I139" s="881"/>
      <c r="J139" s="881">
        <v>0</v>
      </c>
      <c r="K139" s="881">
        <f t="shared" si="109"/>
        <v>3495</v>
      </c>
      <c r="L139" s="881">
        <v>1054</v>
      </c>
      <c r="M139" s="881"/>
      <c r="N139" s="881">
        <f t="shared" si="110"/>
        <v>1054</v>
      </c>
      <c r="O139" s="881">
        <f t="shared" si="111"/>
        <v>42994</v>
      </c>
      <c r="P139" s="913">
        <f t="shared" si="112"/>
        <v>472934</v>
      </c>
      <c r="Q139" s="880">
        <v>11</v>
      </c>
      <c r="R139" s="881">
        <f>50680/Q139</f>
        <v>4607.272727272727</v>
      </c>
      <c r="S139" s="881"/>
      <c r="T139" s="881">
        <f>8120/Q139</f>
        <v>738.18181818181813</v>
      </c>
      <c r="U139" s="881"/>
      <c r="V139" s="881"/>
      <c r="W139" s="881"/>
      <c r="X139" s="881"/>
      <c r="Y139" s="881">
        <v>0</v>
      </c>
      <c r="Z139" s="881">
        <f t="shared" si="113"/>
        <v>5345.454545454545</v>
      </c>
      <c r="AA139" s="881">
        <v>1054</v>
      </c>
      <c r="AB139" s="881"/>
      <c r="AC139" s="881">
        <f t="shared" si="114"/>
        <v>1054</v>
      </c>
      <c r="AD139" s="881">
        <f t="shared" si="115"/>
        <v>65199.454545454544</v>
      </c>
      <c r="AE139" s="881">
        <f t="shared" si="116"/>
        <v>717194</v>
      </c>
      <c r="AF139" s="881">
        <f t="shared" si="117"/>
        <v>-22205.454545454544</v>
      </c>
      <c r="AG139" s="881">
        <f t="shared" si="117"/>
        <v>-244260</v>
      </c>
      <c r="AH139" s="914">
        <f t="shared" si="118"/>
        <v>11</v>
      </c>
      <c r="AI139" s="913">
        <f t="shared" si="119"/>
        <v>717194</v>
      </c>
    </row>
    <row r="140" spans="1:35" ht="24.95" customHeight="1" x14ac:dyDescent="0.2">
      <c r="A140" s="870" t="s">
        <v>3869</v>
      </c>
      <c r="B140" s="880">
        <v>3</v>
      </c>
      <c r="C140" s="881">
        <f>(5501+5138)/B140-360</f>
        <v>3186.3333333333335</v>
      </c>
      <c r="D140" s="881"/>
      <c r="E140" s="881">
        <v>360</v>
      </c>
      <c r="F140" s="881"/>
      <c r="G140" s="881"/>
      <c r="H140" s="881"/>
      <c r="I140" s="881"/>
      <c r="J140" s="881">
        <v>0</v>
      </c>
      <c r="K140" s="881">
        <f t="shared" si="109"/>
        <v>3546.3333333333335</v>
      </c>
      <c r="L140" s="881">
        <v>1054</v>
      </c>
      <c r="M140" s="881"/>
      <c r="N140" s="881">
        <f t="shared" si="110"/>
        <v>1054</v>
      </c>
      <c r="O140" s="881">
        <f t="shared" si="111"/>
        <v>43610</v>
      </c>
      <c r="P140" s="913">
        <f t="shared" si="112"/>
        <v>130830</v>
      </c>
      <c r="Q140" s="880">
        <v>3</v>
      </c>
      <c r="R140" s="881">
        <f>13474/Q140</f>
        <v>4491.333333333333</v>
      </c>
      <c r="S140" s="881"/>
      <c r="T140" s="881">
        <f>1578/Q140</f>
        <v>526</v>
      </c>
      <c r="U140" s="881"/>
      <c r="V140" s="881"/>
      <c r="W140" s="881"/>
      <c r="X140" s="881"/>
      <c r="Y140" s="881">
        <v>0</v>
      </c>
      <c r="Z140" s="881">
        <f t="shared" si="113"/>
        <v>5017.333333333333</v>
      </c>
      <c r="AA140" s="881">
        <v>1054</v>
      </c>
      <c r="AB140" s="881"/>
      <c r="AC140" s="881">
        <f t="shared" si="114"/>
        <v>1054</v>
      </c>
      <c r="AD140" s="881">
        <f t="shared" si="115"/>
        <v>61262</v>
      </c>
      <c r="AE140" s="881">
        <f t="shared" si="116"/>
        <v>183786</v>
      </c>
      <c r="AF140" s="881">
        <f t="shared" si="117"/>
        <v>-17652</v>
      </c>
      <c r="AG140" s="881">
        <f t="shared" si="117"/>
        <v>-52956</v>
      </c>
      <c r="AH140" s="914">
        <f t="shared" si="118"/>
        <v>3</v>
      </c>
      <c r="AI140" s="913">
        <f t="shared" si="119"/>
        <v>183786</v>
      </c>
    </row>
    <row r="141" spans="1:35" ht="24.95" customHeight="1" x14ac:dyDescent="0.2">
      <c r="A141" s="870" t="s">
        <v>3870</v>
      </c>
      <c r="B141" s="880">
        <v>14</v>
      </c>
      <c r="C141" s="881">
        <f>(27027.75+22696.75)/B141-360</f>
        <v>3191.75</v>
      </c>
      <c r="D141" s="881"/>
      <c r="E141" s="881">
        <v>360</v>
      </c>
      <c r="F141" s="881"/>
      <c r="G141" s="881"/>
      <c r="H141" s="881"/>
      <c r="I141" s="881"/>
      <c r="J141" s="881">
        <v>0</v>
      </c>
      <c r="K141" s="881">
        <f t="shared" si="109"/>
        <v>3551.75</v>
      </c>
      <c r="L141" s="881">
        <v>1054</v>
      </c>
      <c r="M141" s="881"/>
      <c r="N141" s="881">
        <f t="shared" si="110"/>
        <v>1054</v>
      </c>
      <c r="O141" s="881">
        <f t="shared" si="111"/>
        <v>43675</v>
      </c>
      <c r="P141" s="913">
        <f t="shared" si="112"/>
        <v>611450</v>
      </c>
      <c r="Q141" s="880">
        <v>14</v>
      </c>
      <c r="R141" s="881">
        <f>72174/Q141</f>
        <v>5155.2857142857147</v>
      </c>
      <c r="S141" s="881"/>
      <c r="T141" s="881">
        <f>7708.5/Q141</f>
        <v>550.60714285714289</v>
      </c>
      <c r="U141" s="881"/>
      <c r="V141" s="881"/>
      <c r="W141" s="881"/>
      <c r="X141" s="881"/>
      <c r="Y141" s="881">
        <v>0</v>
      </c>
      <c r="Z141" s="881">
        <f t="shared" si="113"/>
        <v>5705.8928571428578</v>
      </c>
      <c r="AA141" s="881">
        <v>1054</v>
      </c>
      <c r="AB141" s="881"/>
      <c r="AC141" s="881">
        <f t="shared" si="114"/>
        <v>1054</v>
      </c>
      <c r="AD141" s="881">
        <f t="shared" si="115"/>
        <v>69524.71428571429</v>
      </c>
      <c r="AE141" s="881">
        <f t="shared" si="116"/>
        <v>973346</v>
      </c>
      <c r="AF141" s="881">
        <f t="shared" si="117"/>
        <v>-25849.71428571429</v>
      </c>
      <c r="AG141" s="881">
        <f t="shared" si="117"/>
        <v>-361896</v>
      </c>
      <c r="AH141" s="914">
        <f t="shared" si="118"/>
        <v>14</v>
      </c>
      <c r="AI141" s="913">
        <f t="shared" si="119"/>
        <v>973346</v>
      </c>
    </row>
    <row r="142" spans="1:35" ht="24.95" customHeight="1" x14ac:dyDescent="0.2">
      <c r="A142" s="870" t="s">
        <v>3749</v>
      </c>
      <c r="B142" s="880">
        <v>16</v>
      </c>
      <c r="C142" s="881">
        <f>(3170+3067)/B142-360</f>
        <v>29.8125</v>
      </c>
      <c r="D142" s="881"/>
      <c r="E142" s="881">
        <v>360</v>
      </c>
      <c r="F142" s="881"/>
      <c r="G142" s="881"/>
      <c r="H142" s="881"/>
      <c r="I142" s="881"/>
      <c r="J142" s="881">
        <v>0</v>
      </c>
      <c r="K142" s="881">
        <f t="shared" si="109"/>
        <v>389.8125</v>
      </c>
      <c r="L142" s="881">
        <v>1054</v>
      </c>
      <c r="M142" s="881"/>
      <c r="N142" s="881">
        <f t="shared" si="110"/>
        <v>1054</v>
      </c>
      <c r="O142" s="881">
        <f t="shared" si="111"/>
        <v>5731.75</v>
      </c>
      <c r="P142" s="913">
        <f t="shared" si="112"/>
        <v>91708</v>
      </c>
      <c r="Q142" s="880">
        <v>37</v>
      </c>
      <c r="R142" s="881">
        <f>156788/Q142</f>
        <v>4237.5135135135133</v>
      </c>
      <c r="S142" s="881"/>
      <c r="T142" s="881">
        <f>19150.06/Q142</f>
        <v>517.56918918918927</v>
      </c>
      <c r="U142" s="881"/>
      <c r="V142" s="881"/>
      <c r="W142" s="881"/>
      <c r="X142" s="881"/>
      <c r="Y142" s="881">
        <v>0</v>
      </c>
      <c r="Z142" s="881">
        <f t="shared" si="113"/>
        <v>4755.0827027027026</v>
      </c>
      <c r="AA142" s="881">
        <v>1054</v>
      </c>
      <c r="AB142" s="881"/>
      <c r="AC142" s="881">
        <f t="shared" si="114"/>
        <v>1054</v>
      </c>
      <c r="AD142" s="881">
        <f t="shared" si="115"/>
        <v>58114.992432432431</v>
      </c>
      <c r="AE142" s="881">
        <f t="shared" si="116"/>
        <v>2150254.7199999997</v>
      </c>
      <c r="AF142" s="881">
        <f t="shared" si="117"/>
        <v>-52383.242432432431</v>
      </c>
      <c r="AG142" s="881">
        <f t="shared" si="117"/>
        <v>-2058546.7199999997</v>
      </c>
      <c r="AH142" s="914">
        <f t="shared" si="118"/>
        <v>37</v>
      </c>
      <c r="AI142" s="913">
        <f t="shared" si="119"/>
        <v>2150254.7199999997</v>
      </c>
    </row>
    <row r="143" spans="1:35" ht="24.95" customHeight="1" x14ac:dyDescent="0.2">
      <c r="A143" s="870" t="s">
        <v>3750</v>
      </c>
      <c r="B143" s="880">
        <v>1</v>
      </c>
      <c r="C143" s="881">
        <f>(1601+1695)/B143-360</f>
        <v>2936</v>
      </c>
      <c r="D143" s="881"/>
      <c r="E143" s="881">
        <v>360</v>
      </c>
      <c r="F143" s="881"/>
      <c r="G143" s="881"/>
      <c r="H143" s="881"/>
      <c r="I143" s="881"/>
      <c r="J143" s="881">
        <v>0</v>
      </c>
      <c r="K143" s="881">
        <f t="shared" si="109"/>
        <v>3296</v>
      </c>
      <c r="L143" s="881">
        <v>1054</v>
      </c>
      <c r="M143" s="881"/>
      <c r="N143" s="881">
        <f t="shared" si="110"/>
        <v>1054</v>
      </c>
      <c r="O143" s="881">
        <f t="shared" si="111"/>
        <v>40606</v>
      </c>
      <c r="P143" s="913">
        <f t="shared" si="112"/>
        <v>40606</v>
      </c>
      <c r="Q143" s="880">
        <v>1</v>
      </c>
      <c r="R143" s="881">
        <f>3660/Q143</f>
        <v>3660</v>
      </c>
      <c r="S143" s="881"/>
      <c r="T143" s="881">
        <f>833/Q143</f>
        <v>833</v>
      </c>
      <c r="U143" s="881"/>
      <c r="V143" s="881"/>
      <c r="W143" s="881"/>
      <c r="X143" s="881"/>
      <c r="Y143" s="881">
        <v>0</v>
      </c>
      <c r="Z143" s="881">
        <f t="shared" si="113"/>
        <v>4493</v>
      </c>
      <c r="AA143" s="881">
        <v>1054</v>
      </c>
      <c r="AB143" s="881"/>
      <c r="AC143" s="881">
        <f t="shared" si="114"/>
        <v>1054</v>
      </c>
      <c r="AD143" s="881">
        <f t="shared" si="115"/>
        <v>54970</v>
      </c>
      <c r="AE143" s="881">
        <f t="shared" si="116"/>
        <v>54970</v>
      </c>
      <c r="AF143" s="881">
        <f t="shared" si="117"/>
        <v>-14364</v>
      </c>
      <c r="AG143" s="881">
        <f t="shared" si="117"/>
        <v>-14364</v>
      </c>
      <c r="AH143" s="914">
        <f t="shared" si="118"/>
        <v>1</v>
      </c>
      <c r="AI143" s="913">
        <f t="shared" si="119"/>
        <v>54970</v>
      </c>
    </row>
    <row r="144" spans="1:35" ht="24.95" customHeight="1" x14ac:dyDescent="0.2">
      <c r="A144" s="870" t="s">
        <v>3760</v>
      </c>
      <c r="B144" s="880">
        <v>6</v>
      </c>
      <c r="C144" s="881">
        <f>(8730+12732.55)/B144-360</f>
        <v>3217.0916666666667</v>
      </c>
      <c r="D144" s="881"/>
      <c r="E144" s="881">
        <v>360</v>
      </c>
      <c r="F144" s="881"/>
      <c r="G144" s="881"/>
      <c r="H144" s="881"/>
      <c r="I144" s="881"/>
      <c r="J144" s="881">
        <v>0</v>
      </c>
      <c r="K144" s="881">
        <f t="shared" si="109"/>
        <v>3577.0916666666667</v>
      </c>
      <c r="L144" s="881">
        <v>1054</v>
      </c>
      <c r="M144" s="881"/>
      <c r="N144" s="881">
        <f t="shared" si="110"/>
        <v>1054</v>
      </c>
      <c r="O144" s="881">
        <f t="shared" si="111"/>
        <v>43979.1</v>
      </c>
      <c r="P144" s="913">
        <f t="shared" si="112"/>
        <v>263874.59999999998</v>
      </c>
      <c r="Q144" s="880">
        <v>7</v>
      </c>
      <c r="R144" s="881">
        <f>23708/Q144</f>
        <v>3386.8571428571427</v>
      </c>
      <c r="S144" s="881"/>
      <c r="T144" s="881">
        <f>3819.64/Q144</f>
        <v>545.66285714285709</v>
      </c>
      <c r="U144" s="881"/>
      <c r="V144" s="881"/>
      <c r="W144" s="881"/>
      <c r="X144" s="881"/>
      <c r="Y144" s="881">
        <v>0</v>
      </c>
      <c r="Z144" s="881">
        <f t="shared" si="113"/>
        <v>3932.5199999999995</v>
      </c>
      <c r="AA144" s="881">
        <v>1054</v>
      </c>
      <c r="AB144" s="881"/>
      <c r="AC144" s="881">
        <f t="shared" si="114"/>
        <v>1054</v>
      </c>
      <c r="AD144" s="881">
        <f t="shared" si="115"/>
        <v>48244.239999999991</v>
      </c>
      <c r="AE144" s="881">
        <f t="shared" si="116"/>
        <v>337709.67999999993</v>
      </c>
      <c r="AF144" s="881">
        <f t="shared" si="117"/>
        <v>-4265.1399999999921</v>
      </c>
      <c r="AG144" s="881">
        <f t="shared" si="117"/>
        <v>-73835.079999999958</v>
      </c>
      <c r="AH144" s="914">
        <f t="shared" si="118"/>
        <v>7</v>
      </c>
      <c r="AI144" s="913">
        <f t="shared" si="119"/>
        <v>337709.67999999993</v>
      </c>
    </row>
    <row r="145" spans="1:35" ht="24.95" customHeight="1" x14ac:dyDescent="0.2">
      <c r="A145" s="870" t="s">
        <v>3761</v>
      </c>
      <c r="B145" s="880">
        <v>1</v>
      </c>
      <c r="C145" s="881">
        <f>(1674+2692 )/B145-360</f>
        <v>4006</v>
      </c>
      <c r="D145" s="881"/>
      <c r="E145" s="881">
        <v>360</v>
      </c>
      <c r="F145" s="881"/>
      <c r="G145" s="881"/>
      <c r="H145" s="881"/>
      <c r="I145" s="881"/>
      <c r="J145" s="881">
        <v>0</v>
      </c>
      <c r="K145" s="881">
        <f t="shared" si="109"/>
        <v>4366</v>
      </c>
      <c r="L145" s="881">
        <v>1054</v>
      </c>
      <c r="M145" s="881"/>
      <c r="N145" s="881">
        <f t="shared" si="110"/>
        <v>1054</v>
      </c>
      <c r="O145" s="881">
        <f t="shared" si="111"/>
        <v>53446</v>
      </c>
      <c r="P145" s="913">
        <f t="shared" si="112"/>
        <v>53446</v>
      </c>
      <c r="Q145" s="880">
        <v>1</v>
      </c>
      <c r="R145" s="881">
        <f>3900/Q145</f>
        <v>3900</v>
      </c>
      <c r="S145" s="881"/>
      <c r="T145" s="881">
        <f>1018/Q145</f>
        <v>1018</v>
      </c>
      <c r="U145" s="881"/>
      <c r="V145" s="881"/>
      <c r="W145" s="881"/>
      <c r="X145" s="881"/>
      <c r="Y145" s="881">
        <v>0</v>
      </c>
      <c r="Z145" s="881">
        <f t="shared" si="113"/>
        <v>4918</v>
      </c>
      <c r="AA145" s="881">
        <v>1054</v>
      </c>
      <c r="AB145" s="881"/>
      <c r="AC145" s="881">
        <f t="shared" si="114"/>
        <v>1054</v>
      </c>
      <c r="AD145" s="881">
        <f t="shared" si="115"/>
        <v>60070</v>
      </c>
      <c r="AE145" s="881">
        <f t="shared" si="116"/>
        <v>60070</v>
      </c>
      <c r="AF145" s="881">
        <f t="shared" si="117"/>
        <v>-6624</v>
      </c>
      <c r="AG145" s="881">
        <f t="shared" si="117"/>
        <v>-6624</v>
      </c>
      <c r="AH145" s="914">
        <f t="shared" si="118"/>
        <v>1</v>
      </c>
      <c r="AI145" s="913">
        <f t="shared" si="119"/>
        <v>60070</v>
      </c>
    </row>
    <row r="146" spans="1:35" ht="24.95" customHeight="1" x14ac:dyDescent="0.2">
      <c r="A146" s="870" t="s">
        <v>3762</v>
      </c>
      <c r="B146" s="880">
        <v>1</v>
      </c>
      <c r="C146" s="881">
        <f>(1747+2133.86)/B146-360</f>
        <v>3520.86</v>
      </c>
      <c r="D146" s="881"/>
      <c r="E146" s="881">
        <v>360</v>
      </c>
      <c r="F146" s="881"/>
      <c r="G146" s="881"/>
      <c r="H146" s="881"/>
      <c r="I146" s="881"/>
      <c r="J146" s="881">
        <v>0</v>
      </c>
      <c r="K146" s="881">
        <f t="shared" si="109"/>
        <v>3880.86</v>
      </c>
      <c r="L146" s="881">
        <v>1054</v>
      </c>
      <c r="M146" s="881"/>
      <c r="N146" s="881">
        <f t="shared" si="110"/>
        <v>1054</v>
      </c>
      <c r="O146" s="881">
        <f t="shared" si="111"/>
        <v>47624.32</v>
      </c>
      <c r="P146" s="913">
        <f t="shared" si="112"/>
        <v>47624.32</v>
      </c>
      <c r="Q146" s="880">
        <v>1</v>
      </c>
      <c r="R146" s="881">
        <f>4158/Q146</f>
        <v>4158</v>
      </c>
      <c r="S146" s="881"/>
      <c r="T146" s="881">
        <f>386.86/Q146</f>
        <v>386.86</v>
      </c>
      <c r="U146" s="881"/>
      <c r="V146" s="881"/>
      <c r="W146" s="881"/>
      <c r="X146" s="881"/>
      <c r="Y146" s="881">
        <v>0</v>
      </c>
      <c r="Z146" s="881">
        <f t="shared" si="113"/>
        <v>4544.8599999999997</v>
      </c>
      <c r="AA146" s="881">
        <v>1054</v>
      </c>
      <c r="AB146" s="881"/>
      <c r="AC146" s="881">
        <f t="shared" si="114"/>
        <v>1054</v>
      </c>
      <c r="AD146" s="881">
        <f t="shared" si="115"/>
        <v>55592.319999999992</v>
      </c>
      <c r="AE146" s="881">
        <f t="shared" si="116"/>
        <v>55592.319999999992</v>
      </c>
      <c r="AF146" s="881">
        <f t="shared" si="117"/>
        <v>-7967.9999999999927</v>
      </c>
      <c r="AG146" s="881">
        <f t="shared" si="117"/>
        <v>-7967.9999999999927</v>
      </c>
      <c r="AH146" s="914">
        <f t="shared" si="118"/>
        <v>1</v>
      </c>
      <c r="AI146" s="913">
        <f t="shared" si="119"/>
        <v>55592.319999999992</v>
      </c>
    </row>
    <row r="147" spans="1:35" ht="24.95" customHeight="1" x14ac:dyDescent="0.2">
      <c r="A147" s="870" t="s">
        <v>3763</v>
      </c>
      <c r="B147" s="880">
        <v>2</v>
      </c>
      <c r="C147" s="881">
        <f>(3638+6408)/B147-360</f>
        <v>4663</v>
      </c>
      <c r="D147" s="881"/>
      <c r="E147" s="881">
        <v>360</v>
      </c>
      <c r="F147" s="881"/>
      <c r="G147" s="881"/>
      <c r="H147" s="881"/>
      <c r="I147" s="881"/>
      <c r="J147" s="881">
        <v>0</v>
      </c>
      <c r="K147" s="881">
        <f t="shared" si="109"/>
        <v>5023</v>
      </c>
      <c r="L147" s="881">
        <v>1054</v>
      </c>
      <c r="M147" s="881"/>
      <c r="N147" s="881">
        <f t="shared" si="110"/>
        <v>1054</v>
      </c>
      <c r="O147" s="881">
        <f t="shared" si="111"/>
        <v>61330</v>
      </c>
      <c r="P147" s="913">
        <f t="shared" si="112"/>
        <v>122660</v>
      </c>
      <c r="Q147" s="880">
        <v>2</v>
      </c>
      <c r="R147" s="881">
        <f>9542/Q147</f>
        <v>4771</v>
      </c>
      <c r="S147" s="881"/>
      <c r="T147" s="881">
        <f>1870/Q147</f>
        <v>935</v>
      </c>
      <c r="U147" s="881"/>
      <c r="V147" s="881"/>
      <c r="W147" s="881"/>
      <c r="X147" s="881"/>
      <c r="Y147" s="881">
        <v>0</v>
      </c>
      <c r="Z147" s="881">
        <f t="shared" si="113"/>
        <v>5706</v>
      </c>
      <c r="AA147" s="881">
        <v>1054</v>
      </c>
      <c r="AB147" s="881"/>
      <c r="AC147" s="881">
        <f t="shared" si="114"/>
        <v>1054</v>
      </c>
      <c r="AD147" s="881">
        <f t="shared" si="115"/>
        <v>69526</v>
      </c>
      <c r="AE147" s="881">
        <f t="shared" si="116"/>
        <v>139052</v>
      </c>
      <c r="AF147" s="881">
        <f t="shared" si="117"/>
        <v>-8196</v>
      </c>
      <c r="AG147" s="881">
        <f t="shared" si="117"/>
        <v>-16392</v>
      </c>
      <c r="AH147" s="914">
        <f t="shared" si="118"/>
        <v>2</v>
      </c>
      <c r="AI147" s="913">
        <f t="shared" si="119"/>
        <v>139052</v>
      </c>
    </row>
    <row r="148" spans="1:35" ht="24.95" customHeight="1" x14ac:dyDescent="0.2">
      <c r="A148" s="869" t="s">
        <v>3871</v>
      </c>
      <c r="B148" s="871">
        <f>SUM(B116:B147)</f>
        <v>2123</v>
      </c>
      <c r="C148" s="877">
        <f t="shared" ref="C148:P148" si="120">SUM(C116:C147)</f>
        <v>104267.15116428945</v>
      </c>
      <c r="D148" s="877">
        <f t="shared" si="120"/>
        <v>0</v>
      </c>
      <c r="E148" s="877">
        <f t="shared" si="120"/>
        <v>11517.818181818182</v>
      </c>
      <c r="F148" s="877">
        <f t="shared" si="120"/>
        <v>0</v>
      </c>
      <c r="G148" s="877">
        <f t="shared" si="120"/>
        <v>0</v>
      </c>
      <c r="H148" s="877">
        <f t="shared" si="120"/>
        <v>0</v>
      </c>
      <c r="I148" s="877">
        <f t="shared" si="120"/>
        <v>0</v>
      </c>
      <c r="J148" s="877">
        <f t="shared" si="120"/>
        <v>0</v>
      </c>
      <c r="K148" s="877">
        <f t="shared" si="120"/>
        <v>115784.96934610762</v>
      </c>
      <c r="L148" s="877">
        <f t="shared" si="120"/>
        <v>33728</v>
      </c>
      <c r="M148" s="877">
        <f t="shared" si="120"/>
        <v>0</v>
      </c>
      <c r="N148" s="877">
        <f t="shared" si="120"/>
        <v>33728</v>
      </c>
      <c r="O148" s="877">
        <f t="shared" si="120"/>
        <v>1423147.632153292</v>
      </c>
      <c r="P148" s="878">
        <f t="shared" si="120"/>
        <v>79245216.320000008</v>
      </c>
      <c r="Q148" s="871">
        <f>SUM(Q116:Q147)</f>
        <v>2731</v>
      </c>
      <c r="R148" s="877">
        <f t="shared" ref="R148:AI148" si="121">SUM(R116:R147)</f>
        <v>155035.70084141262</v>
      </c>
      <c r="S148" s="877">
        <f t="shared" si="121"/>
        <v>0</v>
      </c>
      <c r="T148" s="877">
        <f t="shared" si="121"/>
        <v>25427.19282697541</v>
      </c>
      <c r="U148" s="877">
        <f t="shared" si="121"/>
        <v>0</v>
      </c>
      <c r="V148" s="877">
        <f t="shared" si="121"/>
        <v>0</v>
      </c>
      <c r="W148" s="877">
        <f t="shared" si="121"/>
        <v>0</v>
      </c>
      <c r="X148" s="877">
        <f t="shared" si="121"/>
        <v>0</v>
      </c>
      <c r="Y148" s="877">
        <f t="shared" si="121"/>
        <v>0</v>
      </c>
      <c r="Z148" s="877">
        <f t="shared" si="121"/>
        <v>180462.89366838807</v>
      </c>
      <c r="AA148" s="877">
        <f t="shared" si="121"/>
        <v>33728</v>
      </c>
      <c r="AB148" s="877">
        <f t="shared" si="121"/>
        <v>0</v>
      </c>
      <c r="AC148" s="877">
        <f t="shared" si="121"/>
        <v>33728</v>
      </c>
      <c r="AD148" s="877">
        <f t="shared" si="121"/>
        <v>2199282.7240206571</v>
      </c>
      <c r="AE148" s="877">
        <f t="shared" si="121"/>
        <v>192237641.56000003</v>
      </c>
      <c r="AF148" s="877">
        <f>SUM(AF116:AF147)</f>
        <v>-776135.09186736506</v>
      </c>
      <c r="AG148" s="877">
        <f>SUM(AG116:AG147)</f>
        <v>-112992425.24000002</v>
      </c>
      <c r="AH148" s="874">
        <f t="shared" si="121"/>
        <v>2731</v>
      </c>
      <c r="AI148" s="878">
        <f t="shared" si="121"/>
        <v>192237641.56000003</v>
      </c>
    </row>
    <row r="149" spans="1:35" ht="24.95" customHeight="1" x14ac:dyDescent="0.2">
      <c r="A149" s="869" t="s">
        <v>3872</v>
      </c>
      <c r="B149" s="880"/>
      <c r="C149" s="881"/>
      <c r="D149" s="881"/>
      <c r="E149" s="881"/>
      <c r="F149" s="881"/>
      <c r="G149" s="881"/>
      <c r="H149" s="881"/>
      <c r="I149" s="881"/>
      <c r="J149" s="881"/>
      <c r="K149" s="881"/>
      <c r="L149" s="881"/>
      <c r="M149" s="881"/>
      <c r="N149" s="881"/>
      <c r="O149" s="881"/>
      <c r="P149" s="913"/>
      <c r="Q149" s="880"/>
      <c r="R149" s="881"/>
      <c r="S149" s="881"/>
      <c r="T149" s="881"/>
      <c r="U149" s="881"/>
      <c r="V149" s="881"/>
      <c r="W149" s="881"/>
      <c r="X149" s="881"/>
      <c r="Y149" s="881"/>
      <c r="Z149" s="881"/>
      <c r="AA149" s="881"/>
      <c r="AB149" s="881"/>
      <c r="AC149" s="881"/>
      <c r="AD149" s="881"/>
      <c r="AE149" s="881"/>
      <c r="AF149" s="881"/>
      <c r="AG149" s="881"/>
      <c r="AH149" s="914"/>
      <c r="AI149" s="913"/>
    </row>
    <row r="150" spans="1:35" ht="24.95" customHeight="1" x14ac:dyDescent="0.2">
      <c r="A150" s="870" t="s">
        <v>3873</v>
      </c>
      <c r="B150" s="880">
        <v>383</v>
      </c>
      <c r="C150" s="881">
        <f>(1027295.46+639833.3)/B150</f>
        <v>4352.8166057441249</v>
      </c>
      <c r="D150" s="881"/>
      <c r="E150" s="881"/>
      <c r="F150" s="881"/>
      <c r="G150" s="881"/>
      <c r="H150" s="881"/>
      <c r="I150" s="881"/>
      <c r="J150" s="881">
        <v>0</v>
      </c>
      <c r="K150" s="881">
        <f>SUM(C150:J150)</f>
        <v>4352.8166057441249</v>
      </c>
      <c r="L150" s="881">
        <v>1054</v>
      </c>
      <c r="M150" s="881"/>
      <c r="N150" s="881">
        <f>SUM(L150:M150)</f>
        <v>1054</v>
      </c>
      <c r="O150" s="881">
        <f>(K150*12)+N150</f>
        <v>53287.799268929499</v>
      </c>
      <c r="P150" s="913">
        <f>(O150*B150)</f>
        <v>20409227.119999997</v>
      </c>
      <c r="Q150" s="880">
        <v>0</v>
      </c>
      <c r="R150" s="881">
        <v>0</v>
      </c>
      <c r="S150" s="881"/>
      <c r="T150" s="881"/>
      <c r="U150" s="881"/>
      <c r="V150" s="881"/>
      <c r="W150" s="881"/>
      <c r="X150" s="881"/>
      <c r="Y150" s="881">
        <v>0</v>
      </c>
      <c r="Z150" s="881">
        <f>SUM(R150:Y150)</f>
        <v>0</v>
      </c>
      <c r="AA150" s="881">
        <v>0</v>
      </c>
      <c r="AB150" s="881"/>
      <c r="AC150" s="881">
        <f>SUM(AA150:AB150)</f>
        <v>0</v>
      </c>
      <c r="AD150" s="881">
        <f>(Z150*12)+AC150</f>
        <v>0</v>
      </c>
      <c r="AE150" s="881">
        <f>(AD150*Q150)</f>
        <v>0</v>
      </c>
      <c r="AF150" s="881">
        <f t="shared" ref="AF150:AG152" si="122">O150-AD150</f>
        <v>53287.799268929499</v>
      </c>
      <c r="AG150" s="881">
        <f t="shared" si="122"/>
        <v>20409227.119999997</v>
      </c>
      <c r="AH150" s="914">
        <f t="shared" ref="AH150:AH152" si="123">Q150</f>
        <v>0</v>
      </c>
      <c r="AI150" s="913">
        <f t="shared" ref="AI150:AI152" si="124">AE150</f>
        <v>0</v>
      </c>
    </row>
    <row r="151" spans="1:35" ht="24.95" customHeight="1" x14ac:dyDescent="0.2">
      <c r="A151" s="870" t="s">
        <v>3874</v>
      </c>
      <c r="B151" s="880">
        <v>760</v>
      </c>
      <c r="C151" s="881">
        <f>(1472717.83+1005968.13)/B151</f>
        <v>3261.4288947368423</v>
      </c>
      <c r="D151" s="881"/>
      <c r="E151" s="881"/>
      <c r="F151" s="881"/>
      <c r="G151" s="881"/>
      <c r="H151" s="881"/>
      <c r="I151" s="881"/>
      <c r="J151" s="881">
        <v>0</v>
      </c>
      <c r="K151" s="881">
        <f>SUM(C151:J151)</f>
        <v>3261.4288947368423</v>
      </c>
      <c r="L151" s="881">
        <v>1054</v>
      </c>
      <c r="M151" s="881"/>
      <c r="N151" s="881">
        <f>SUM(L151:M151)</f>
        <v>1054</v>
      </c>
      <c r="O151" s="881">
        <f>(K151*12)+N151</f>
        <v>40191.146736842107</v>
      </c>
      <c r="P151" s="913">
        <f>(O151*B151)</f>
        <v>30545271.520000003</v>
      </c>
      <c r="Q151" s="880">
        <v>0</v>
      </c>
      <c r="R151" s="881">
        <v>0</v>
      </c>
      <c r="S151" s="881"/>
      <c r="T151" s="881"/>
      <c r="U151" s="881"/>
      <c r="V151" s="881"/>
      <c r="W151" s="881"/>
      <c r="X151" s="881"/>
      <c r="Y151" s="881">
        <v>0</v>
      </c>
      <c r="Z151" s="881">
        <f>SUM(R151:Y151)</f>
        <v>0</v>
      </c>
      <c r="AA151" s="881">
        <v>0</v>
      </c>
      <c r="AB151" s="881"/>
      <c r="AC151" s="881">
        <f>SUM(AA151:AB151)</f>
        <v>0</v>
      </c>
      <c r="AD151" s="881">
        <f>(Z151*12)+AC151</f>
        <v>0</v>
      </c>
      <c r="AE151" s="881">
        <f>(AD151*Q151)</f>
        <v>0</v>
      </c>
      <c r="AF151" s="881">
        <f t="shared" si="122"/>
        <v>40191.146736842107</v>
      </c>
      <c r="AG151" s="881">
        <f t="shared" si="122"/>
        <v>30545271.520000003</v>
      </c>
      <c r="AH151" s="914">
        <f t="shared" si="123"/>
        <v>0</v>
      </c>
      <c r="AI151" s="913">
        <f t="shared" si="124"/>
        <v>0</v>
      </c>
    </row>
    <row r="152" spans="1:35" ht="24.95" customHeight="1" x14ac:dyDescent="0.2">
      <c r="A152" s="870" t="s">
        <v>3875</v>
      </c>
      <c r="B152" s="880">
        <v>187</v>
      </c>
      <c r="C152" s="881">
        <f>(301520.12+161691.15)/B152</f>
        <v>2477.0656149732622</v>
      </c>
      <c r="D152" s="881"/>
      <c r="E152" s="881"/>
      <c r="F152" s="881"/>
      <c r="G152" s="881"/>
      <c r="H152" s="881"/>
      <c r="I152" s="881"/>
      <c r="J152" s="881">
        <v>0</v>
      </c>
      <c r="K152" s="881">
        <f>SUM(C152:J152)</f>
        <v>2477.0656149732622</v>
      </c>
      <c r="L152" s="881">
        <v>1054</v>
      </c>
      <c r="M152" s="881"/>
      <c r="N152" s="881">
        <f>SUM(L152:M152)</f>
        <v>1054</v>
      </c>
      <c r="O152" s="881">
        <f>(K152*12)+N152</f>
        <v>30778.787379679146</v>
      </c>
      <c r="P152" s="913">
        <f>(O152*B152)</f>
        <v>5755633.2400000002</v>
      </c>
      <c r="Q152" s="880">
        <v>27</v>
      </c>
      <c r="R152" s="881">
        <f>82804/Q152</f>
        <v>3066.8148148148148</v>
      </c>
      <c r="S152" s="881"/>
      <c r="T152" s="881"/>
      <c r="U152" s="881"/>
      <c r="V152" s="881"/>
      <c r="W152" s="881"/>
      <c r="X152" s="881"/>
      <c r="Y152" s="881"/>
      <c r="Z152" s="881">
        <f t="shared" ref="Z152" si="125">SUM(R152:Y152)</f>
        <v>3066.8148148148148</v>
      </c>
      <c r="AA152" s="881">
        <v>1054</v>
      </c>
      <c r="AB152" s="881"/>
      <c r="AC152" s="881">
        <f t="shared" ref="AC152" si="126">SUM(AA152:AB152)</f>
        <v>1054</v>
      </c>
      <c r="AD152" s="881">
        <f t="shared" ref="AD152" si="127">(Z152*12)+AC152</f>
        <v>37855.777777777781</v>
      </c>
      <c r="AE152" s="881">
        <f t="shared" ref="AE152" si="128">(AD152*Q152)</f>
        <v>1022106.0000000001</v>
      </c>
      <c r="AF152" s="881">
        <f t="shared" si="122"/>
        <v>-7076.9903980986346</v>
      </c>
      <c r="AG152" s="881">
        <f t="shared" si="122"/>
        <v>4733527.24</v>
      </c>
      <c r="AH152" s="914">
        <f t="shared" si="123"/>
        <v>27</v>
      </c>
      <c r="AI152" s="913">
        <f t="shared" si="124"/>
        <v>1022106.0000000001</v>
      </c>
    </row>
    <row r="153" spans="1:35" ht="24.95" customHeight="1" x14ac:dyDescent="0.2">
      <c r="A153" s="869" t="s">
        <v>3876</v>
      </c>
      <c r="B153" s="871">
        <f>SUM(B150:B152)</f>
        <v>1330</v>
      </c>
      <c r="C153" s="877">
        <f t="shared" ref="C153:P153" si="129">SUM(C150:C152)</f>
        <v>10091.311115454229</v>
      </c>
      <c r="D153" s="877">
        <f t="shared" si="129"/>
        <v>0</v>
      </c>
      <c r="E153" s="877">
        <f t="shared" si="129"/>
        <v>0</v>
      </c>
      <c r="F153" s="877">
        <f t="shared" si="129"/>
        <v>0</v>
      </c>
      <c r="G153" s="877">
        <f t="shared" si="129"/>
        <v>0</v>
      </c>
      <c r="H153" s="877">
        <f t="shared" si="129"/>
        <v>0</v>
      </c>
      <c r="I153" s="877">
        <f t="shared" si="129"/>
        <v>0</v>
      </c>
      <c r="J153" s="877">
        <f t="shared" si="129"/>
        <v>0</v>
      </c>
      <c r="K153" s="877">
        <f t="shared" si="129"/>
        <v>10091.311115454229</v>
      </c>
      <c r="L153" s="877">
        <f t="shared" si="129"/>
        <v>3162</v>
      </c>
      <c r="M153" s="877">
        <f t="shared" si="129"/>
        <v>0</v>
      </c>
      <c r="N153" s="877">
        <f t="shared" si="129"/>
        <v>3162</v>
      </c>
      <c r="O153" s="877">
        <f t="shared" si="129"/>
        <v>124257.73338545076</v>
      </c>
      <c r="P153" s="878">
        <f t="shared" si="129"/>
        <v>56710131.880000003</v>
      </c>
      <c r="Q153" s="871">
        <f>SUM(Q150:Q152)</f>
        <v>27</v>
      </c>
      <c r="R153" s="877">
        <f t="shared" ref="R153:AI153" si="130">SUM(R150:R152)</f>
        <v>3066.8148148148148</v>
      </c>
      <c r="S153" s="877">
        <f t="shared" si="130"/>
        <v>0</v>
      </c>
      <c r="T153" s="877">
        <f t="shared" si="130"/>
        <v>0</v>
      </c>
      <c r="U153" s="877">
        <f t="shared" si="130"/>
        <v>0</v>
      </c>
      <c r="V153" s="877">
        <f t="shared" si="130"/>
        <v>0</v>
      </c>
      <c r="W153" s="877">
        <f t="shared" si="130"/>
        <v>0</v>
      </c>
      <c r="X153" s="877">
        <f t="shared" si="130"/>
        <v>0</v>
      </c>
      <c r="Y153" s="877">
        <f t="shared" si="130"/>
        <v>0</v>
      </c>
      <c r="Z153" s="877">
        <f t="shared" si="130"/>
        <v>3066.8148148148148</v>
      </c>
      <c r="AA153" s="877">
        <f t="shared" si="130"/>
        <v>1054</v>
      </c>
      <c r="AB153" s="877">
        <f t="shared" si="130"/>
        <v>0</v>
      </c>
      <c r="AC153" s="877">
        <f t="shared" si="130"/>
        <v>1054</v>
      </c>
      <c r="AD153" s="877">
        <f t="shared" si="130"/>
        <v>37855.777777777781</v>
      </c>
      <c r="AE153" s="877">
        <f t="shared" si="130"/>
        <v>1022106.0000000001</v>
      </c>
      <c r="AF153" s="877">
        <f>SUM(AF150:AF152)</f>
        <v>86401.955607672979</v>
      </c>
      <c r="AG153" s="877">
        <f>SUM(AG150:AG152)</f>
        <v>55688025.880000003</v>
      </c>
      <c r="AH153" s="874">
        <f t="shared" si="130"/>
        <v>27</v>
      </c>
      <c r="AI153" s="878">
        <f t="shared" si="130"/>
        <v>1022106.0000000001</v>
      </c>
    </row>
    <row r="154" spans="1:35" ht="24.95" customHeight="1" x14ac:dyDescent="0.2">
      <c r="A154" s="869" t="s">
        <v>3768</v>
      </c>
      <c r="B154" s="880"/>
      <c r="C154" s="881"/>
      <c r="D154" s="881"/>
      <c r="E154" s="881"/>
      <c r="F154" s="881"/>
      <c r="G154" s="881"/>
      <c r="H154" s="881"/>
      <c r="I154" s="881"/>
      <c r="J154" s="881"/>
      <c r="K154" s="881"/>
      <c r="L154" s="881"/>
      <c r="M154" s="881"/>
      <c r="N154" s="881"/>
      <c r="O154" s="881"/>
      <c r="P154" s="913"/>
      <c r="Q154" s="880"/>
      <c r="R154" s="881"/>
      <c r="S154" s="881"/>
      <c r="T154" s="881"/>
      <c r="U154" s="881"/>
      <c r="V154" s="881"/>
      <c r="W154" s="881"/>
      <c r="X154" s="881"/>
      <c r="Y154" s="881"/>
      <c r="Z154" s="881"/>
      <c r="AA154" s="881"/>
      <c r="AB154" s="881"/>
      <c r="AC154" s="881"/>
      <c r="AD154" s="881"/>
      <c r="AE154" s="881"/>
      <c r="AF154" s="881"/>
      <c r="AG154" s="881"/>
      <c r="AH154" s="914"/>
      <c r="AI154" s="913"/>
    </row>
    <row r="155" spans="1:35" ht="24.95" customHeight="1" x14ac:dyDescent="0.2">
      <c r="A155" s="870" t="s">
        <v>3877</v>
      </c>
      <c r="B155" s="880">
        <v>24</v>
      </c>
      <c r="C155" s="881">
        <f>(16714.03+9765.62)/B155</f>
        <v>1103.3187500000001</v>
      </c>
      <c r="D155" s="881"/>
      <c r="E155" s="881"/>
      <c r="F155" s="881"/>
      <c r="G155" s="881"/>
      <c r="H155" s="881"/>
      <c r="I155" s="881"/>
      <c r="J155" s="881">
        <v>0</v>
      </c>
      <c r="K155" s="881">
        <f t="shared" ref="K155:K188" si="131">SUM(C155:J155)</f>
        <v>1103.3187500000001</v>
      </c>
      <c r="L155" s="881">
        <v>1054</v>
      </c>
      <c r="M155" s="881"/>
      <c r="N155" s="881">
        <f t="shared" ref="N155:N188" si="132">SUM(L155:M155)</f>
        <v>1054</v>
      </c>
      <c r="O155" s="881">
        <f t="shared" ref="O155:O188" si="133">(K155*12)+N155</f>
        <v>14293.825000000001</v>
      </c>
      <c r="P155" s="913">
        <f t="shared" ref="P155:P188" si="134">(O155*B155)</f>
        <v>343051.80000000005</v>
      </c>
      <c r="Q155" s="880">
        <v>0</v>
      </c>
      <c r="R155" s="881">
        <v>0</v>
      </c>
      <c r="S155" s="881"/>
      <c r="T155" s="881"/>
      <c r="U155" s="881"/>
      <c r="V155" s="881"/>
      <c r="W155" s="881"/>
      <c r="X155" s="881"/>
      <c r="Y155" s="881">
        <v>0</v>
      </c>
      <c r="Z155" s="881">
        <f t="shared" ref="Z155:Z188" si="135">SUM(R155:Y155)</f>
        <v>0</v>
      </c>
      <c r="AA155" s="881"/>
      <c r="AB155" s="881"/>
      <c r="AC155" s="881">
        <f t="shared" ref="AC155:AC188" si="136">SUM(AA155:AB155)</f>
        <v>0</v>
      </c>
      <c r="AD155" s="881">
        <f t="shared" ref="AD155:AD188" si="137">(Z155*12)+AC155</f>
        <v>0</v>
      </c>
      <c r="AE155" s="881">
        <f t="shared" ref="AE155:AE188" si="138">(AD155*Q155)</f>
        <v>0</v>
      </c>
      <c r="AF155" s="881">
        <f t="shared" ref="AF155:AG188" si="139">O155-AD155</f>
        <v>14293.825000000001</v>
      </c>
      <c r="AG155" s="881">
        <f t="shared" si="139"/>
        <v>343051.80000000005</v>
      </c>
      <c r="AH155" s="914">
        <f t="shared" ref="AH155:AH188" si="140">Q155</f>
        <v>0</v>
      </c>
      <c r="AI155" s="913">
        <f t="shared" ref="AI155:AI188" si="141">AE155</f>
        <v>0</v>
      </c>
    </row>
    <row r="156" spans="1:35" ht="24.95" customHeight="1" x14ac:dyDescent="0.2">
      <c r="A156" s="870" t="s">
        <v>3878</v>
      </c>
      <c r="B156" s="880">
        <v>65</v>
      </c>
      <c r="C156" s="881">
        <f>(47024.3+28448.31)/B156</f>
        <v>1161.1170769230769</v>
      </c>
      <c r="D156" s="881"/>
      <c r="E156" s="881"/>
      <c r="F156" s="881"/>
      <c r="G156" s="881"/>
      <c r="H156" s="881"/>
      <c r="I156" s="881"/>
      <c r="J156" s="881">
        <v>0</v>
      </c>
      <c r="K156" s="881">
        <f t="shared" si="131"/>
        <v>1161.1170769230769</v>
      </c>
      <c r="L156" s="881">
        <v>1054</v>
      </c>
      <c r="M156" s="881"/>
      <c r="N156" s="881">
        <f t="shared" si="132"/>
        <v>1054</v>
      </c>
      <c r="O156" s="881">
        <f t="shared" si="133"/>
        <v>14987.404923076923</v>
      </c>
      <c r="P156" s="913">
        <f t="shared" si="134"/>
        <v>974181.32000000007</v>
      </c>
      <c r="Q156" s="880">
        <v>0</v>
      </c>
      <c r="R156" s="881">
        <v>0</v>
      </c>
      <c r="S156" s="881"/>
      <c r="T156" s="881"/>
      <c r="U156" s="881"/>
      <c r="V156" s="881"/>
      <c r="W156" s="881"/>
      <c r="X156" s="881"/>
      <c r="Y156" s="881">
        <v>0</v>
      </c>
      <c r="Z156" s="881">
        <f t="shared" si="135"/>
        <v>0</v>
      </c>
      <c r="AA156" s="881"/>
      <c r="AB156" s="881"/>
      <c r="AC156" s="881">
        <f t="shared" si="136"/>
        <v>0</v>
      </c>
      <c r="AD156" s="881">
        <f t="shared" si="137"/>
        <v>0</v>
      </c>
      <c r="AE156" s="881">
        <f t="shared" si="138"/>
        <v>0</v>
      </c>
      <c r="AF156" s="881">
        <f t="shared" si="139"/>
        <v>14987.404923076923</v>
      </c>
      <c r="AG156" s="881">
        <f t="shared" si="139"/>
        <v>974181.32000000007</v>
      </c>
      <c r="AH156" s="914">
        <f t="shared" si="140"/>
        <v>0</v>
      </c>
      <c r="AI156" s="913">
        <f t="shared" si="141"/>
        <v>0</v>
      </c>
    </row>
    <row r="157" spans="1:35" ht="24.95" customHeight="1" x14ac:dyDescent="0.2">
      <c r="A157" s="870" t="s">
        <v>3879</v>
      </c>
      <c r="B157" s="880">
        <v>5</v>
      </c>
      <c r="C157" s="881">
        <f>(3980.32+2628.98)/B157</f>
        <v>1321.8600000000001</v>
      </c>
      <c r="D157" s="881"/>
      <c r="E157" s="881"/>
      <c r="F157" s="881"/>
      <c r="G157" s="881"/>
      <c r="H157" s="881"/>
      <c r="I157" s="881"/>
      <c r="J157" s="881">
        <v>0</v>
      </c>
      <c r="K157" s="881">
        <f t="shared" si="131"/>
        <v>1321.8600000000001</v>
      </c>
      <c r="L157" s="881">
        <v>1054</v>
      </c>
      <c r="M157" s="881"/>
      <c r="N157" s="881">
        <f t="shared" si="132"/>
        <v>1054</v>
      </c>
      <c r="O157" s="881">
        <f t="shared" si="133"/>
        <v>16916.32</v>
      </c>
      <c r="P157" s="913">
        <f t="shared" si="134"/>
        <v>84581.6</v>
      </c>
      <c r="Q157" s="880">
        <v>0</v>
      </c>
      <c r="R157" s="881">
        <v>0</v>
      </c>
      <c r="S157" s="881"/>
      <c r="T157" s="881"/>
      <c r="U157" s="881"/>
      <c r="V157" s="881"/>
      <c r="W157" s="881"/>
      <c r="X157" s="881"/>
      <c r="Y157" s="881">
        <v>0</v>
      </c>
      <c r="Z157" s="881">
        <f t="shared" si="135"/>
        <v>0</v>
      </c>
      <c r="AA157" s="881"/>
      <c r="AB157" s="881"/>
      <c r="AC157" s="881">
        <f t="shared" si="136"/>
        <v>0</v>
      </c>
      <c r="AD157" s="881">
        <f t="shared" si="137"/>
        <v>0</v>
      </c>
      <c r="AE157" s="881">
        <f t="shared" si="138"/>
        <v>0</v>
      </c>
      <c r="AF157" s="881">
        <f t="shared" si="139"/>
        <v>16916.32</v>
      </c>
      <c r="AG157" s="881">
        <f t="shared" si="139"/>
        <v>84581.6</v>
      </c>
      <c r="AH157" s="914">
        <f t="shared" si="140"/>
        <v>0</v>
      </c>
      <c r="AI157" s="913">
        <f t="shared" si="141"/>
        <v>0</v>
      </c>
    </row>
    <row r="158" spans="1:35" ht="24.95" customHeight="1" x14ac:dyDescent="0.2">
      <c r="A158" s="870" t="s">
        <v>3880</v>
      </c>
      <c r="B158" s="880">
        <v>18</v>
      </c>
      <c r="C158" s="881">
        <f>(12241.46+6973.29)/B158</f>
        <v>1067.4861111111111</v>
      </c>
      <c r="D158" s="881"/>
      <c r="E158" s="881"/>
      <c r="F158" s="881"/>
      <c r="G158" s="881"/>
      <c r="H158" s="881"/>
      <c r="I158" s="881"/>
      <c r="J158" s="881">
        <v>0</v>
      </c>
      <c r="K158" s="881">
        <f t="shared" si="131"/>
        <v>1067.4861111111111</v>
      </c>
      <c r="L158" s="881">
        <v>1054</v>
      </c>
      <c r="M158" s="881"/>
      <c r="N158" s="881">
        <f t="shared" si="132"/>
        <v>1054</v>
      </c>
      <c r="O158" s="881">
        <f t="shared" si="133"/>
        <v>13863.833333333332</v>
      </c>
      <c r="P158" s="913">
        <f t="shared" si="134"/>
        <v>249548.99999999997</v>
      </c>
      <c r="Q158" s="880">
        <v>0</v>
      </c>
      <c r="R158" s="881">
        <v>0</v>
      </c>
      <c r="S158" s="881"/>
      <c r="T158" s="881"/>
      <c r="U158" s="881"/>
      <c r="V158" s="881"/>
      <c r="W158" s="881"/>
      <c r="X158" s="881"/>
      <c r="Y158" s="881">
        <v>0</v>
      </c>
      <c r="Z158" s="881">
        <f t="shared" si="135"/>
        <v>0</v>
      </c>
      <c r="AA158" s="881"/>
      <c r="AB158" s="881"/>
      <c r="AC158" s="881">
        <f t="shared" si="136"/>
        <v>0</v>
      </c>
      <c r="AD158" s="881">
        <f t="shared" si="137"/>
        <v>0</v>
      </c>
      <c r="AE158" s="881">
        <f t="shared" si="138"/>
        <v>0</v>
      </c>
      <c r="AF158" s="881">
        <f t="shared" si="139"/>
        <v>13863.833333333332</v>
      </c>
      <c r="AG158" s="881">
        <f t="shared" si="139"/>
        <v>249548.99999999997</v>
      </c>
      <c r="AH158" s="914">
        <f t="shared" si="140"/>
        <v>0</v>
      </c>
      <c r="AI158" s="913">
        <f t="shared" si="141"/>
        <v>0</v>
      </c>
    </row>
    <row r="159" spans="1:35" ht="24.95" customHeight="1" x14ac:dyDescent="0.2">
      <c r="A159" s="870" t="s">
        <v>3881</v>
      </c>
      <c r="B159" s="880">
        <v>6</v>
      </c>
      <c r="C159" s="881">
        <f>(4180.43+2296.01)/B159</f>
        <v>1079.4066666666668</v>
      </c>
      <c r="D159" s="881"/>
      <c r="E159" s="881"/>
      <c r="F159" s="881"/>
      <c r="G159" s="881"/>
      <c r="H159" s="881"/>
      <c r="I159" s="881"/>
      <c r="J159" s="881">
        <v>0</v>
      </c>
      <c r="K159" s="881">
        <f t="shared" si="131"/>
        <v>1079.4066666666668</v>
      </c>
      <c r="L159" s="881">
        <v>1054</v>
      </c>
      <c r="M159" s="881"/>
      <c r="N159" s="881">
        <f t="shared" si="132"/>
        <v>1054</v>
      </c>
      <c r="O159" s="881">
        <f t="shared" si="133"/>
        <v>14006.880000000001</v>
      </c>
      <c r="P159" s="913">
        <f t="shared" si="134"/>
        <v>84041.279999999999</v>
      </c>
      <c r="Q159" s="880">
        <v>0</v>
      </c>
      <c r="R159" s="881">
        <v>0</v>
      </c>
      <c r="S159" s="881"/>
      <c r="T159" s="881"/>
      <c r="U159" s="881"/>
      <c r="V159" s="881"/>
      <c r="W159" s="881"/>
      <c r="X159" s="881"/>
      <c r="Y159" s="881">
        <v>0</v>
      </c>
      <c r="Z159" s="881">
        <f t="shared" si="135"/>
        <v>0</v>
      </c>
      <c r="AA159" s="881"/>
      <c r="AB159" s="881"/>
      <c r="AC159" s="881">
        <f t="shared" si="136"/>
        <v>0</v>
      </c>
      <c r="AD159" s="881">
        <f t="shared" si="137"/>
        <v>0</v>
      </c>
      <c r="AE159" s="881">
        <f t="shared" si="138"/>
        <v>0</v>
      </c>
      <c r="AF159" s="881">
        <f t="shared" si="139"/>
        <v>14006.880000000001</v>
      </c>
      <c r="AG159" s="881">
        <f t="shared" si="139"/>
        <v>84041.279999999999</v>
      </c>
      <c r="AH159" s="914">
        <f t="shared" si="140"/>
        <v>0</v>
      </c>
      <c r="AI159" s="913">
        <f t="shared" si="141"/>
        <v>0</v>
      </c>
    </row>
    <row r="160" spans="1:35" ht="24.95" customHeight="1" x14ac:dyDescent="0.2">
      <c r="A160" s="870" t="s">
        <v>3882</v>
      </c>
      <c r="B160" s="880">
        <v>0</v>
      </c>
      <c r="C160" s="881">
        <v>0</v>
      </c>
      <c r="D160" s="881"/>
      <c r="E160" s="881"/>
      <c r="F160" s="881"/>
      <c r="G160" s="881"/>
      <c r="H160" s="881"/>
      <c r="I160" s="881"/>
      <c r="J160" s="881">
        <v>0</v>
      </c>
      <c r="K160" s="881">
        <f t="shared" si="131"/>
        <v>0</v>
      </c>
      <c r="L160" s="881">
        <v>0</v>
      </c>
      <c r="M160" s="881"/>
      <c r="N160" s="881">
        <f t="shared" si="132"/>
        <v>0</v>
      </c>
      <c r="O160" s="881">
        <f t="shared" si="133"/>
        <v>0</v>
      </c>
      <c r="P160" s="913">
        <f t="shared" si="134"/>
        <v>0</v>
      </c>
      <c r="Q160" s="880">
        <v>0</v>
      </c>
      <c r="R160" s="881">
        <v>0</v>
      </c>
      <c r="S160" s="881"/>
      <c r="T160" s="881"/>
      <c r="U160" s="881"/>
      <c r="V160" s="881"/>
      <c r="W160" s="881"/>
      <c r="X160" s="881"/>
      <c r="Y160" s="881">
        <v>0</v>
      </c>
      <c r="Z160" s="881">
        <f t="shared" si="135"/>
        <v>0</v>
      </c>
      <c r="AA160" s="881"/>
      <c r="AB160" s="881"/>
      <c r="AC160" s="881">
        <f t="shared" si="136"/>
        <v>0</v>
      </c>
      <c r="AD160" s="881">
        <f t="shared" si="137"/>
        <v>0</v>
      </c>
      <c r="AE160" s="881">
        <f t="shared" si="138"/>
        <v>0</v>
      </c>
      <c r="AF160" s="881">
        <f t="shared" si="139"/>
        <v>0</v>
      </c>
      <c r="AG160" s="881">
        <f t="shared" si="139"/>
        <v>0</v>
      </c>
      <c r="AH160" s="914">
        <f t="shared" si="140"/>
        <v>0</v>
      </c>
      <c r="AI160" s="913">
        <f t="shared" si="141"/>
        <v>0</v>
      </c>
    </row>
    <row r="161" spans="1:35" ht="24.95" customHeight="1" x14ac:dyDescent="0.2">
      <c r="A161" s="870" t="s">
        <v>3883</v>
      </c>
      <c r="B161" s="880">
        <v>13</v>
      </c>
      <c r="C161" s="881">
        <f>(8654.71+5365.7)/B161</f>
        <v>1078.4930769230768</v>
      </c>
      <c r="D161" s="881"/>
      <c r="E161" s="881"/>
      <c r="F161" s="881"/>
      <c r="G161" s="881"/>
      <c r="H161" s="881"/>
      <c r="I161" s="881"/>
      <c r="J161" s="881">
        <v>0</v>
      </c>
      <c r="K161" s="881">
        <f t="shared" si="131"/>
        <v>1078.4930769230768</v>
      </c>
      <c r="L161" s="881">
        <v>1054</v>
      </c>
      <c r="M161" s="881"/>
      <c r="N161" s="881">
        <f t="shared" si="132"/>
        <v>1054</v>
      </c>
      <c r="O161" s="881">
        <f t="shared" si="133"/>
        <v>13995.916923076922</v>
      </c>
      <c r="P161" s="913">
        <f t="shared" si="134"/>
        <v>181946.91999999998</v>
      </c>
      <c r="Q161" s="880">
        <v>0</v>
      </c>
      <c r="R161" s="881">
        <v>0</v>
      </c>
      <c r="S161" s="881"/>
      <c r="T161" s="881"/>
      <c r="U161" s="881"/>
      <c r="V161" s="881"/>
      <c r="W161" s="881"/>
      <c r="X161" s="881"/>
      <c r="Y161" s="881">
        <v>0</v>
      </c>
      <c r="Z161" s="881">
        <f t="shared" si="135"/>
        <v>0</v>
      </c>
      <c r="AA161" s="881"/>
      <c r="AB161" s="881"/>
      <c r="AC161" s="881">
        <f t="shared" si="136"/>
        <v>0</v>
      </c>
      <c r="AD161" s="881">
        <f t="shared" si="137"/>
        <v>0</v>
      </c>
      <c r="AE161" s="881">
        <f t="shared" si="138"/>
        <v>0</v>
      </c>
      <c r="AF161" s="881">
        <f t="shared" si="139"/>
        <v>13995.916923076922</v>
      </c>
      <c r="AG161" s="881">
        <f t="shared" si="139"/>
        <v>181946.91999999998</v>
      </c>
      <c r="AH161" s="914">
        <f t="shared" si="140"/>
        <v>0</v>
      </c>
      <c r="AI161" s="913">
        <f t="shared" si="141"/>
        <v>0</v>
      </c>
    </row>
    <row r="162" spans="1:35" ht="24.95" customHeight="1" x14ac:dyDescent="0.2">
      <c r="A162" s="870" t="s">
        <v>3884</v>
      </c>
      <c r="B162" s="880">
        <v>52</v>
      </c>
      <c r="C162" s="881">
        <f>(35890.04+24401.6)/B162</f>
        <v>1159.4546153846154</v>
      </c>
      <c r="D162" s="881"/>
      <c r="E162" s="881"/>
      <c r="F162" s="881"/>
      <c r="G162" s="881"/>
      <c r="H162" s="881"/>
      <c r="I162" s="881"/>
      <c r="J162" s="881">
        <v>0</v>
      </c>
      <c r="K162" s="881">
        <f t="shared" si="131"/>
        <v>1159.4546153846154</v>
      </c>
      <c r="L162" s="881">
        <v>1054</v>
      </c>
      <c r="M162" s="881"/>
      <c r="N162" s="881">
        <f t="shared" si="132"/>
        <v>1054</v>
      </c>
      <c r="O162" s="881">
        <f t="shared" si="133"/>
        <v>14967.455384615385</v>
      </c>
      <c r="P162" s="913">
        <f t="shared" si="134"/>
        <v>778307.68</v>
      </c>
      <c r="Q162" s="880">
        <v>0</v>
      </c>
      <c r="R162" s="881">
        <v>0</v>
      </c>
      <c r="S162" s="881"/>
      <c r="T162" s="881"/>
      <c r="U162" s="881"/>
      <c r="V162" s="881"/>
      <c r="W162" s="881"/>
      <c r="X162" s="881"/>
      <c r="Y162" s="881">
        <v>0</v>
      </c>
      <c r="Z162" s="881">
        <f t="shared" si="135"/>
        <v>0</v>
      </c>
      <c r="AA162" s="881"/>
      <c r="AB162" s="881"/>
      <c r="AC162" s="881">
        <f t="shared" si="136"/>
        <v>0</v>
      </c>
      <c r="AD162" s="881">
        <f t="shared" si="137"/>
        <v>0</v>
      </c>
      <c r="AE162" s="881">
        <f t="shared" si="138"/>
        <v>0</v>
      </c>
      <c r="AF162" s="881">
        <f t="shared" si="139"/>
        <v>14967.455384615385</v>
      </c>
      <c r="AG162" s="881">
        <f t="shared" si="139"/>
        <v>778307.68</v>
      </c>
      <c r="AH162" s="914">
        <f t="shared" si="140"/>
        <v>0</v>
      </c>
      <c r="AI162" s="913">
        <f t="shared" si="141"/>
        <v>0</v>
      </c>
    </row>
    <row r="163" spans="1:35" ht="24.95" customHeight="1" x14ac:dyDescent="0.2">
      <c r="A163" s="870" t="s">
        <v>3885</v>
      </c>
      <c r="B163" s="880">
        <v>4</v>
      </c>
      <c r="C163" s="881">
        <f>(2800.86+1746.56)/B163</f>
        <v>1136.855</v>
      </c>
      <c r="D163" s="881"/>
      <c r="E163" s="881"/>
      <c r="F163" s="881"/>
      <c r="G163" s="881"/>
      <c r="H163" s="881"/>
      <c r="I163" s="881"/>
      <c r="J163" s="881">
        <v>0</v>
      </c>
      <c r="K163" s="881">
        <f t="shared" si="131"/>
        <v>1136.855</v>
      </c>
      <c r="L163" s="881">
        <v>1054</v>
      </c>
      <c r="M163" s="881"/>
      <c r="N163" s="881">
        <f t="shared" si="132"/>
        <v>1054</v>
      </c>
      <c r="O163" s="881">
        <f t="shared" si="133"/>
        <v>14696.26</v>
      </c>
      <c r="P163" s="913">
        <f t="shared" si="134"/>
        <v>58785.04</v>
      </c>
      <c r="Q163" s="880">
        <v>0</v>
      </c>
      <c r="R163" s="881">
        <v>0</v>
      </c>
      <c r="S163" s="881"/>
      <c r="T163" s="881"/>
      <c r="U163" s="881"/>
      <c r="V163" s="881"/>
      <c r="W163" s="881"/>
      <c r="X163" s="881"/>
      <c r="Y163" s="881">
        <v>0</v>
      </c>
      <c r="Z163" s="881">
        <f t="shared" si="135"/>
        <v>0</v>
      </c>
      <c r="AA163" s="881"/>
      <c r="AB163" s="881"/>
      <c r="AC163" s="881">
        <f t="shared" si="136"/>
        <v>0</v>
      </c>
      <c r="AD163" s="881">
        <f t="shared" si="137"/>
        <v>0</v>
      </c>
      <c r="AE163" s="881">
        <f t="shared" si="138"/>
        <v>0</v>
      </c>
      <c r="AF163" s="881">
        <f t="shared" si="139"/>
        <v>14696.26</v>
      </c>
      <c r="AG163" s="881">
        <f t="shared" si="139"/>
        <v>58785.04</v>
      </c>
      <c r="AH163" s="914">
        <f t="shared" si="140"/>
        <v>0</v>
      </c>
      <c r="AI163" s="913">
        <f t="shared" si="141"/>
        <v>0</v>
      </c>
    </row>
    <row r="164" spans="1:35" ht="24.95" customHeight="1" x14ac:dyDescent="0.2">
      <c r="A164" s="875" t="s">
        <v>3886</v>
      </c>
      <c r="B164" s="880">
        <v>10</v>
      </c>
      <c r="C164" s="881">
        <f>(6518.49+4044.13)/B164</f>
        <v>1056.2619999999999</v>
      </c>
      <c r="D164" s="881"/>
      <c r="E164" s="881"/>
      <c r="F164" s="881"/>
      <c r="G164" s="881"/>
      <c r="H164" s="881"/>
      <c r="I164" s="881"/>
      <c r="J164" s="881">
        <v>0</v>
      </c>
      <c r="K164" s="881">
        <f t="shared" si="131"/>
        <v>1056.2619999999999</v>
      </c>
      <c r="L164" s="881">
        <v>1054</v>
      </c>
      <c r="M164" s="881"/>
      <c r="N164" s="881">
        <f t="shared" si="132"/>
        <v>1054</v>
      </c>
      <c r="O164" s="881">
        <f t="shared" si="133"/>
        <v>13729.144</v>
      </c>
      <c r="P164" s="913">
        <f t="shared" si="134"/>
        <v>137291.44</v>
      </c>
      <c r="Q164" s="880">
        <v>0</v>
      </c>
      <c r="R164" s="881">
        <v>0</v>
      </c>
      <c r="S164" s="881"/>
      <c r="T164" s="881"/>
      <c r="U164" s="881"/>
      <c r="V164" s="881"/>
      <c r="W164" s="881"/>
      <c r="X164" s="881"/>
      <c r="Y164" s="881">
        <v>0</v>
      </c>
      <c r="Z164" s="881">
        <f t="shared" si="135"/>
        <v>0</v>
      </c>
      <c r="AA164" s="881"/>
      <c r="AB164" s="881"/>
      <c r="AC164" s="881">
        <f t="shared" si="136"/>
        <v>0</v>
      </c>
      <c r="AD164" s="881">
        <f t="shared" si="137"/>
        <v>0</v>
      </c>
      <c r="AE164" s="881">
        <f t="shared" si="138"/>
        <v>0</v>
      </c>
      <c r="AF164" s="881">
        <f t="shared" si="139"/>
        <v>13729.144</v>
      </c>
      <c r="AG164" s="881">
        <f t="shared" si="139"/>
        <v>137291.44</v>
      </c>
      <c r="AH164" s="914">
        <f t="shared" si="140"/>
        <v>0</v>
      </c>
      <c r="AI164" s="913">
        <f t="shared" si="141"/>
        <v>0</v>
      </c>
    </row>
    <row r="165" spans="1:35" ht="24.95" customHeight="1" x14ac:dyDescent="0.2">
      <c r="A165" s="875" t="s">
        <v>3887</v>
      </c>
      <c r="B165" s="880">
        <v>6</v>
      </c>
      <c r="C165" s="881">
        <f>(4295.19+2511.64)/B165</f>
        <v>1134.4716666666666</v>
      </c>
      <c r="D165" s="881"/>
      <c r="E165" s="881"/>
      <c r="F165" s="881"/>
      <c r="G165" s="881"/>
      <c r="H165" s="881"/>
      <c r="I165" s="881"/>
      <c r="J165" s="881">
        <v>0</v>
      </c>
      <c r="K165" s="881">
        <f t="shared" si="131"/>
        <v>1134.4716666666666</v>
      </c>
      <c r="L165" s="881">
        <v>1054</v>
      </c>
      <c r="M165" s="881"/>
      <c r="N165" s="881">
        <f t="shared" si="132"/>
        <v>1054</v>
      </c>
      <c r="O165" s="881">
        <f t="shared" si="133"/>
        <v>14667.66</v>
      </c>
      <c r="P165" s="913">
        <f t="shared" si="134"/>
        <v>88005.959999999992</v>
      </c>
      <c r="Q165" s="880">
        <v>0</v>
      </c>
      <c r="R165" s="881">
        <v>0</v>
      </c>
      <c r="S165" s="881"/>
      <c r="T165" s="881"/>
      <c r="U165" s="881"/>
      <c r="V165" s="881"/>
      <c r="W165" s="881"/>
      <c r="X165" s="881"/>
      <c r="Y165" s="881">
        <v>0</v>
      </c>
      <c r="Z165" s="881">
        <f t="shared" si="135"/>
        <v>0</v>
      </c>
      <c r="AA165" s="881"/>
      <c r="AB165" s="881"/>
      <c r="AC165" s="881">
        <f t="shared" si="136"/>
        <v>0</v>
      </c>
      <c r="AD165" s="881">
        <f t="shared" si="137"/>
        <v>0</v>
      </c>
      <c r="AE165" s="881">
        <f t="shared" si="138"/>
        <v>0</v>
      </c>
      <c r="AF165" s="881">
        <f t="shared" si="139"/>
        <v>14667.66</v>
      </c>
      <c r="AG165" s="881">
        <f t="shared" si="139"/>
        <v>88005.959999999992</v>
      </c>
      <c r="AH165" s="914">
        <f t="shared" si="140"/>
        <v>0</v>
      </c>
      <c r="AI165" s="913">
        <f t="shared" si="141"/>
        <v>0</v>
      </c>
    </row>
    <row r="166" spans="1:35" ht="24.95" customHeight="1" x14ac:dyDescent="0.2">
      <c r="A166" s="875" t="s">
        <v>3888</v>
      </c>
      <c r="B166" s="880">
        <v>0</v>
      </c>
      <c r="C166" s="881">
        <v>0</v>
      </c>
      <c r="D166" s="881"/>
      <c r="E166" s="881"/>
      <c r="F166" s="881"/>
      <c r="G166" s="881"/>
      <c r="H166" s="881"/>
      <c r="I166" s="881"/>
      <c r="J166" s="881">
        <v>0</v>
      </c>
      <c r="K166" s="881">
        <f t="shared" si="131"/>
        <v>0</v>
      </c>
      <c r="L166" s="881"/>
      <c r="M166" s="881"/>
      <c r="N166" s="881">
        <f t="shared" si="132"/>
        <v>0</v>
      </c>
      <c r="O166" s="881">
        <f t="shared" si="133"/>
        <v>0</v>
      </c>
      <c r="P166" s="913">
        <f t="shared" si="134"/>
        <v>0</v>
      </c>
      <c r="Q166" s="880">
        <v>0</v>
      </c>
      <c r="R166" s="881">
        <v>0</v>
      </c>
      <c r="S166" s="881"/>
      <c r="T166" s="881"/>
      <c r="U166" s="881"/>
      <c r="V166" s="881"/>
      <c r="W166" s="881"/>
      <c r="X166" s="881"/>
      <c r="Y166" s="881">
        <v>0</v>
      </c>
      <c r="Z166" s="881">
        <f t="shared" si="135"/>
        <v>0</v>
      </c>
      <c r="AA166" s="881"/>
      <c r="AB166" s="881"/>
      <c r="AC166" s="881">
        <f t="shared" si="136"/>
        <v>0</v>
      </c>
      <c r="AD166" s="881">
        <f t="shared" si="137"/>
        <v>0</v>
      </c>
      <c r="AE166" s="881">
        <f t="shared" si="138"/>
        <v>0</v>
      </c>
      <c r="AF166" s="881">
        <f t="shared" si="139"/>
        <v>0</v>
      </c>
      <c r="AG166" s="881">
        <f t="shared" si="139"/>
        <v>0</v>
      </c>
      <c r="AH166" s="914">
        <f t="shared" si="140"/>
        <v>0</v>
      </c>
      <c r="AI166" s="913">
        <f t="shared" si="141"/>
        <v>0</v>
      </c>
    </row>
    <row r="167" spans="1:35" ht="24.95" customHeight="1" x14ac:dyDescent="0.2">
      <c r="A167" s="870" t="s">
        <v>3889</v>
      </c>
      <c r="B167" s="880">
        <v>4</v>
      </c>
      <c r="C167" s="881">
        <f>(2590.96+1395.13)/B167</f>
        <v>996.52250000000004</v>
      </c>
      <c r="D167" s="881"/>
      <c r="E167" s="881"/>
      <c r="F167" s="881"/>
      <c r="G167" s="881"/>
      <c r="H167" s="881"/>
      <c r="I167" s="881"/>
      <c r="J167" s="881">
        <v>0</v>
      </c>
      <c r="K167" s="881">
        <f t="shared" si="131"/>
        <v>996.52250000000004</v>
      </c>
      <c r="L167" s="881">
        <v>1054</v>
      </c>
      <c r="M167" s="881"/>
      <c r="N167" s="881">
        <f t="shared" si="132"/>
        <v>1054</v>
      </c>
      <c r="O167" s="881">
        <f t="shared" si="133"/>
        <v>13012.27</v>
      </c>
      <c r="P167" s="913">
        <f t="shared" si="134"/>
        <v>52049.08</v>
      </c>
      <c r="Q167" s="880">
        <v>0</v>
      </c>
      <c r="R167" s="881">
        <v>0</v>
      </c>
      <c r="S167" s="881"/>
      <c r="T167" s="881"/>
      <c r="U167" s="881"/>
      <c r="V167" s="881"/>
      <c r="W167" s="881"/>
      <c r="X167" s="881"/>
      <c r="Y167" s="881">
        <v>0</v>
      </c>
      <c r="Z167" s="881">
        <f t="shared" si="135"/>
        <v>0</v>
      </c>
      <c r="AA167" s="881"/>
      <c r="AB167" s="881"/>
      <c r="AC167" s="881">
        <f t="shared" si="136"/>
        <v>0</v>
      </c>
      <c r="AD167" s="881">
        <f t="shared" si="137"/>
        <v>0</v>
      </c>
      <c r="AE167" s="881">
        <f t="shared" si="138"/>
        <v>0</v>
      </c>
      <c r="AF167" s="881">
        <f t="shared" si="139"/>
        <v>13012.27</v>
      </c>
      <c r="AG167" s="881">
        <f t="shared" si="139"/>
        <v>52049.08</v>
      </c>
      <c r="AH167" s="914">
        <f t="shared" si="140"/>
        <v>0</v>
      </c>
      <c r="AI167" s="913">
        <f t="shared" si="141"/>
        <v>0</v>
      </c>
    </row>
    <row r="168" spans="1:35" ht="24.95" customHeight="1" x14ac:dyDescent="0.2">
      <c r="A168" s="870" t="s">
        <v>3791</v>
      </c>
      <c r="B168" s="880">
        <v>639</v>
      </c>
      <c r="C168" s="881">
        <f>(314826.88+185710.63)/B168</f>
        <v>783.31378716744916</v>
      </c>
      <c r="D168" s="881"/>
      <c r="E168" s="881"/>
      <c r="F168" s="881"/>
      <c r="G168" s="881"/>
      <c r="H168" s="881"/>
      <c r="I168" s="881"/>
      <c r="J168" s="881">
        <v>0</v>
      </c>
      <c r="K168" s="881">
        <f t="shared" si="131"/>
        <v>783.31378716744916</v>
      </c>
      <c r="L168" s="881">
        <v>1054</v>
      </c>
      <c r="M168" s="881"/>
      <c r="N168" s="881">
        <f t="shared" si="132"/>
        <v>1054</v>
      </c>
      <c r="O168" s="881">
        <f t="shared" si="133"/>
        <v>10453.765446009391</v>
      </c>
      <c r="P168" s="913">
        <f t="shared" si="134"/>
        <v>6679956.120000001</v>
      </c>
      <c r="Q168" s="880">
        <v>0</v>
      </c>
      <c r="R168" s="881">
        <v>0</v>
      </c>
      <c r="S168" s="881"/>
      <c r="T168" s="881"/>
      <c r="U168" s="881"/>
      <c r="V168" s="881"/>
      <c r="W168" s="881"/>
      <c r="X168" s="881"/>
      <c r="Y168" s="881">
        <v>0</v>
      </c>
      <c r="Z168" s="881">
        <f t="shared" si="135"/>
        <v>0</v>
      </c>
      <c r="AA168" s="881"/>
      <c r="AB168" s="881"/>
      <c r="AC168" s="881">
        <f t="shared" si="136"/>
        <v>0</v>
      </c>
      <c r="AD168" s="881">
        <f t="shared" si="137"/>
        <v>0</v>
      </c>
      <c r="AE168" s="881">
        <f t="shared" si="138"/>
        <v>0</v>
      </c>
      <c r="AF168" s="881">
        <f t="shared" si="139"/>
        <v>10453.765446009391</v>
      </c>
      <c r="AG168" s="881">
        <f t="shared" si="139"/>
        <v>6679956.120000001</v>
      </c>
      <c r="AH168" s="914">
        <f t="shared" si="140"/>
        <v>0</v>
      </c>
      <c r="AI168" s="913">
        <f t="shared" si="141"/>
        <v>0</v>
      </c>
    </row>
    <row r="169" spans="1:35" ht="24.95" customHeight="1" x14ac:dyDescent="0.2">
      <c r="A169" s="870" t="s">
        <v>3890</v>
      </c>
      <c r="B169" s="880">
        <v>5</v>
      </c>
      <c r="C169" s="881">
        <f>(1442.35+988.28)/B169</f>
        <v>486.12600000000003</v>
      </c>
      <c r="D169" s="881"/>
      <c r="E169" s="881"/>
      <c r="F169" s="881"/>
      <c r="G169" s="881"/>
      <c r="H169" s="881"/>
      <c r="I169" s="881"/>
      <c r="J169" s="881">
        <v>0</v>
      </c>
      <c r="K169" s="881">
        <f t="shared" si="131"/>
        <v>486.12600000000003</v>
      </c>
      <c r="L169" s="881">
        <v>1054</v>
      </c>
      <c r="M169" s="881"/>
      <c r="N169" s="881">
        <f t="shared" si="132"/>
        <v>1054</v>
      </c>
      <c r="O169" s="881">
        <f t="shared" si="133"/>
        <v>6887.5120000000006</v>
      </c>
      <c r="P169" s="913">
        <f t="shared" si="134"/>
        <v>34437.560000000005</v>
      </c>
      <c r="Q169" s="880">
        <v>0</v>
      </c>
      <c r="R169" s="881">
        <v>0</v>
      </c>
      <c r="S169" s="881"/>
      <c r="T169" s="881"/>
      <c r="U169" s="881"/>
      <c r="V169" s="881"/>
      <c r="W169" s="881"/>
      <c r="X169" s="881"/>
      <c r="Y169" s="881">
        <v>0</v>
      </c>
      <c r="Z169" s="881">
        <f t="shared" si="135"/>
        <v>0</v>
      </c>
      <c r="AA169" s="881"/>
      <c r="AB169" s="881"/>
      <c r="AC169" s="881">
        <f t="shared" si="136"/>
        <v>0</v>
      </c>
      <c r="AD169" s="881">
        <f t="shared" si="137"/>
        <v>0</v>
      </c>
      <c r="AE169" s="881">
        <f t="shared" si="138"/>
        <v>0</v>
      </c>
      <c r="AF169" s="881">
        <f t="shared" si="139"/>
        <v>6887.5120000000006</v>
      </c>
      <c r="AG169" s="881">
        <f t="shared" si="139"/>
        <v>34437.560000000005</v>
      </c>
      <c r="AH169" s="914">
        <f t="shared" si="140"/>
        <v>0</v>
      </c>
      <c r="AI169" s="913">
        <f t="shared" si="141"/>
        <v>0</v>
      </c>
    </row>
    <row r="170" spans="1:35" ht="24.95" customHeight="1" x14ac:dyDescent="0.2">
      <c r="A170" s="870" t="s">
        <v>3828</v>
      </c>
      <c r="B170" s="880">
        <v>1778</v>
      </c>
      <c r="C170" s="881">
        <f>(745141.38+482293.61)/B170</f>
        <v>690.34588863892009</v>
      </c>
      <c r="D170" s="881"/>
      <c r="E170" s="881"/>
      <c r="F170" s="881"/>
      <c r="G170" s="881"/>
      <c r="H170" s="881"/>
      <c r="I170" s="881"/>
      <c r="J170" s="881">
        <v>0</v>
      </c>
      <c r="K170" s="881">
        <f t="shared" si="131"/>
        <v>690.34588863892009</v>
      </c>
      <c r="L170" s="881">
        <v>1054</v>
      </c>
      <c r="M170" s="881"/>
      <c r="N170" s="881">
        <f t="shared" si="132"/>
        <v>1054</v>
      </c>
      <c r="O170" s="881">
        <f t="shared" si="133"/>
        <v>9338.150663667042</v>
      </c>
      <c r="P170" s="913">
        <f t="shared" si="134"/>
        <v>16603231.880000001</v>
      </c>
      <c r="Q170" s="880">
        <v>0</v>
      </c>
      <c r="R170" s="881">
        <v>0</v>
      </c>
      <c r="S170" s="881"/>
      <c r="T170" s="881"/>
      <c r="U170" s="881"/>
      <c r="V170" s="881"/>
      <c r="W170" s="881"/>
      <c r="X170" s="881"/>
      <c r="Y170" s="881">
        <v>0</v>
      </c>
      <c r="Z170" s="881">
        <f t="shared" si="135"/>
        <v>0</v>
      </c>
      <c r="AA170" s="881"/>
      <c r="AB170" s="881"/>
      <c r="AC170" s="881">
        <f t="shared" si="136"/>
        <v>0</v>
      </c>
      <c r="AD170" s="881">
        <f t="shared" si="137"/>
        <v>0</v>
      </c>
      <c r="AE170" s="881">
        <f t="shared" si="138"/>
        <v>0</v>
      </c>
      <c r="AF170" s="881">
        <f t="shared" si="139"/>
        <v>9338.150663667042</v>
      </c>
      <c r="AG170" s="881">
        <f t="shared" si="139"/>
        <v>16603231.880000001</v>
      </c>
      <c r="AH170" s="914">
        <f t="shared" si="140"/>
        <v>0</v>
      </c>
      <c r="AI170" s="913">
        <f t="shared" si="141"/>
        <v>0</v>
      </c>
    </row>
    <row r="171" spans="1:35" ht="24.95" customHeight="1" x14ac:dyDescent="0.2">
      <c r="A171" s="870" t="s">
        <v>3789</v>
      </c>
      <c r="B171" s="880">
        <v>2241</v>
      </c>
      <c r="C171" s="881">
        <f>(1376230.47+949523.58)/B171</f>
        <v>1037.8197456492637</v>
      </c>
      <c r="D171" s="881"/>
      <c r="E171" s="881"/>
      <c r="F171" s="881"/>
      <c r="G171" s="881"/>
      <c r="H171" s="881"/>
      <c r="I171" s="881"/>
      <c r="J171" s="881">
        <v>0</v>
      </c>
      <c r="K171" s="881">
        <f t="shared" si="131"/>
        <v>1037.8197456492637</v>
      </c>
      <c r="L171" s="881">
        <v>1054</v>
      </c>
      <c r="M171" s="881"/>
      <c r="N171" s="881">
        <f t="shared" si="132"/>
        <v>1054</v>
      </c>
      <c r="O171" s="881">
        <f t="shared" si="133"/>
        <v>13507.836947791166</v>
      </c>
      <c r="P171" s="913">
        <f t="shared" si="134"/>
        <v>30271062.600000001</v>
      </c>
      <c r="Q171" s="880">
        <v>0</v>
      </c>
      <c r="R171" s="881">
        <v>0</v>
      </c>
      <c r="S171" s="881"/>
      <c r="T171" s="881"/>
      <c r="U171" s="881"/>
      <c r="V171" s="881"/>
      <c r="W171" s="881"/>
      <c r="X171" s="881"/>
      <c r="Y171" s="881">
        <v>0</v>
      </c>
      <c r="Z171" s="881">
        <f t="shared" si="135"/>
        <v>0</v>
      </c>
      <c r="AA171" s="881"/>
      <c r="AB171" s="881"/>
      <c r="AC171" s="881">
        <f t="shared" si="136"/>
        <v>0</v>
      </c>
      <c r="AD171" s="881">
        <f t="shared" si="137"/>
        <v>0</v>
      </c>
      <c r="AE171" s="881">
        <f t="shared" si="138"/>
        <v>0</v>
      </c>
      <c r="AF171" s="881">
        <f t="shared" si="139"/>
        <v>13507.836947791166</v>
      </c>
      <c r="AG171" s="881">
        <f t="shared" si="139"/>
        <v>30271062.600000001</v>
      </c>
      <c r="AH171" s="914">
        <f t="shared" si="140"/>
        <v>0</v>
      </c>
      <c r="AI171" s="913">
        <f t="shared" si="141"/>
        <v>0</v>
      </c>
    </row>
    <row r="172" spans="1:35" ht="24.95" customHeight="1" x14ac:dyDescent="0.2">
      <c r="A172" s="870" t="s">
        <v>3788</v>
      </c>
      <c r="B172" s="880">
        <v>89</v>
      </c>
      <c r="C172" s="881">
        <f>(87288.88+44691.83)/B172</f>
        <v>1482.9293258426969</v>
      </c>
      <c r="D172" s="881"/>
      <c r="E172" s="881"/>
      <c r="F172" s="881"/>
      <c r="G172" s="881"/>
      <c r="H172" s="881"/>
      <c r="I172" s="881"/>
      <c r="J172" s="881">
        <v>0</v>
      </c>
      <c r="K172" s="881">
        <f t="shared" si="131"/>
        <v>1482.9293258426969</v>
      </c>
      <c r="L172" s="881">
        <v>1054</v>
      </c>
      <c r="M172" s="881"/>
      <c r="N172" s="881">
        <f t="shared" si="132"/>
        <v>1054</v>
      </c>
      <c r="O172" s="881">
        <f t="shared" si="133"/>
        <v>18849.151910112363</v>
      </c>
      <c r="P172" s="913">
        <f t="shared" si="134"/>
        <v>1677574.5200000003</v>
      </c>
      <c r="Q172" s="880">
        <v>0</v>
      </c>
      <c r="R172" s="881">
        <v>0</v>
      </c>
      <c r="S172" s="881"/>
      <c r="T172" s="881"/>
      <c r="U172" s="881"/>
      <c r="V172" s="881"/>
      <c r="W172" s="881"/>
      <c r="X172" s="881"/>
      <c r="Y172" s="881">
        <v>0</v>
      </c>
      <c r="Z172" s="881">
        <f t="shared" si="135"/>
        <v>0</v>
      </c>
      <c r="AA172" s="881"/>
      <c r="AB172" s="881"/>
      <c r="AC172" s="881">
        <f t="shared" si="136"/>
        <v>0</v>
      </c>
      <c r="AD172" s="881">
        <f t="shared" si="137"/>
        <v>0</v>
      </c>
      <c r="AE172" s="881">
        <f t="shared" si="138"/>
        <v>0</v>
      </c>
      <c r="AF172" s="881">
        <f t="shared" si="139"/>
        <v>18849.151910112363</v>
      </c>
      <c r="AG172" s="881">
        <f t="shared" si="139"/>
        <v>1677574.5200000003</v>
      </c>
      <c r="AH172" s="914">
        <f t="shared" si="140"/>
        <v>0</v>
      </c>
      <c r="AI172" s="913">
        <f t="shared" si="141"/>
        <v>0</v>
      </c>
    </row>
    <row r="173" spans="1:35" ht="24.95" customHeight="1" x14ac:dyDescent="0.2">
      <c r="A173" s="870" t="s">
        <v>3829</v>
      </c>
      <c r="B173" s="880">
        <v>64</v>
      </c>
      <c r="C173" s="881">
        <f>(56261.65+34259.98)/B173</f>
        <v>1414.4004687500001</v>
      </c>
      <c r="D173" s="881"/>
      <c r="E173" s="881"/>
      <c r="F173" s="881"/>
      <c r="G173" s="881"/>
      <c r="H173" s="881"/>
      <c r="I173" s="881"/>
      <c r="J173" s="881">
        <v>0</v>
      </c>
      <c r="K173" s="881">
        <f t="shared" si="131"/>
        <v>1414.4004687500001</v>
      </c>
      <c r="L173" s="881">
        <v>1054</v>
      </c>
      <c r="M173" s="881"/>
      <c r="N173" s="881">
        <f t="shared" si="132"/>
        <v>1054</v>
      </c>
      <c r="O173" s="881">
        <f t="shared" si="133"/>
        <v>18026.805625000001</v>
      </c>
      <c r="P173" s="913">
        <f t="shared" si="134"/>
        <v>1153715.56</v>
      </c>
      <c r="Q173" s="880">
        <v>0</v>
      </c>
      <c r="R173" s="881">
        <v>0</v>
      </c>
      <c r="S173" s="881"/>
      <c r="T173" s="881"/>
      <c r="U173" s="881"/>
      <c r="V173" s="881"/>
      <c r="W173" s="881"/>
      <c r="X173" s="881"/>
      <c r="Y173" s="881">
        <v>0</v>
      </c>
      <c r="Z173" s="881">
        <f t="shared" si="135"/>
        <v>0</v>
      </c>
      <c r="AA173" s="881"/>
      <c r="AB173" s="881"/>
      <c r="AC173" s="881">
        <f t="shared" si="136"/>
        <v>0</v>
      </c>
      <c r="AD173" s="881">
        <f t="shared" si="137"/>
        <v>0</v>
      </c>
      <c r="AE173" s="881">
        <f t="shared" si="138"/>
        <v>0</v>
      </c>
      <c r="AF173" s="881">
        <f t="shared" si="139"/>
        <v>18026.805625000001</v>
      </c>
      <c r="AG173" s="881">
        <f t="shared" si="139"/>
        <v>1153715.56</v>
      </c>
      <c r="AH173" s="914">
        <f t="shared" si="140"/>
        <v>0</v>
      </c>
      <c r="AI173" s="913">
        <f t="shared" si="141"/>
        <v>0</v>
      </c>
    </row>
    <row r="174" spans="1:35" ht="24.95" customHeight="1" x14ac:dyDescent="0.2">
      <c r="A174" s="870" t="s">
        <v>3830</v>
      </c>
      <c r="B174" s="880">
        <v>117</v>
      </c>
      <c r="C174" s="881">
        <f>(125264.82+74016.99)/B174</f>
        <v>1703.2633333333333</v>
      </c>
      <c r="D174" s="881"/>
      <c r="E174" s="881"/>
      <c r="F174" s="881"/>
      <c r="G174" s="881"/>
      <c r="H174" s="881"/>
      <c r="I174" s="881"/>
      <c r="J174" s="881">
        <v>0</v>
      </c>
      <c r="K174" s="881">
        <f t="shared" si="131"/>
        <v>1703.2633333333333</v>
      </c>
      <c r="L174" s="881">
        <v>1054</v>
      </c>
      <c r="M174" s="881"/>
      <c r="N174" s="881">
        <f t="shared" si="132"/>
        <v>1054</v>
      </c>
      <c r="O174" s="881">
        <f t="shared" si="133"/>
        <v>21493.16</v>
      </c>
      <c r="P174" s="913">
        <f t="shared" si="134"/>
        <v>2514699.7200000002</v>
      </c>
      <c r="Q174" s="880">
        <v>0</v>
      </c>
      <c r="R174" s="881">
        <v>0</v>
      </c>
      <c r="S174" s="881"/>
      <c r="T174" s="881"/>
      <c r="U174" s="881"/>
      <c r="V174" s="881"/>
      <c r="W174" s="881"/>
      <c r="X174" s="881"/>
      <c r="Y174" s="881">
        <v>0</v>
      </c>
      <c r="Z174" s="881">
        <f t="shared" si="135"/>
        <v>0</v>
      </c>
      <c r="AA174" s="881"/>
      <c r="AB174" s="881"/>
      <c r="AC174" s="881">
        <f t="shared" si="136"/>
        <v>0</v>
      </c>
      <c r="AD174" s="881">
        <f t="shared" si="137"/>
        <v>0</v>
      </c>
      <c r="AE174" s="881">
        <f t="shared" si="138"/>
        <v>0</v>
      </c>
      <c r="AF174" s="881">
        <f t="shared" si="139"/>
        <v>21493.16</v>
      </c>
      <c r="AG174" s="881">
        <f t="shared" si="139"/>
        <v>2514699.7200000002</v>
      </c>
      <c r="AH174" s="914">
        <f t="shared" si="140"/>
        <v>0</v>
      </c>
      <c r="AI174" s="913">
        <f t="shared" si="141"/>
        <v>0</v>
      </c>
    </row>
    <row r="175" spans="1:35" ht="24.95" customHeight="1" x14ac:dyDescent="0.2">
      <c r="A175" s="870" t="s">
        <v>3832</v>
      </c>
      <c r="B175" s="880">
        <v>105</v>
      </c>
      <c r="C175" s="881">
        <f>(162865.94+97688.16)/B175</f>
        <v>2481.4676190476189</v>
      </c>
      <c r="D175" s="881"/>
      <c r="E175" s="881"/>
      <c r="F175" s="881"/>
      <c r="G175" s="881"/>
      <c r="H175" s="881"/>
      <c r="I175" s="881"/>
      <c r="J175" s="881">
        <v>0</v>
      </c>
      <c r="K175" s="881">
        <f t="shared" si="131"/>
        <v>2481.4676190476189</v>
      </c>
      <c r="L175" s="881">
        <v>1054</v>
      </c>
      <c r="M175" s="881"/>
      <c r="N175" s="881">
        <f t="shared" si="132"/>
        <v>1054</v>
      </c>
      <c r="O175" s="881">
        <f t="shared" si="133"/>
        <v>30831.611428571428</v>
      </c>
      <c r="P175" s="913">
        <f t="shared" si="134"/>
        <v>3237319.2</v>
      </c>
      <c r="Q175" s="880">
        <v>0</v>
      </c>
      <c r="R175" s="881">
        <v>0</v>
      </c>
      <c r="S175" s="881"/>
      <c r="T175" s="881"/>
      <c r="U175" s="881"/>
      <c r="V175" s="881"/>
      <c r="W175" s="881"/>
      <c r="X175" s="881"/>
      <c r="Y175" s="881">
        <v>0</v>
      </c>
      <c r="Z175" s="881">
        <f t="shared" si="135"/>
        <v>0</v>
      </c>
      <c r="AA175" s="881"/>
      <c r="AB175" s="881"/>
      <c r="AC175" s="881">
        <f t="shared" si="136"/>
        <v>0</v>
      </c>
      <c r="AD175" s="881">
        <f t="shared" si="137"/>
        <v>0</v>
      </c>
      <c r="AE175" s="881">
        <f t="shared" si="138"/>
        <v>0</v>
      </c>
      <c r="AF175" s="881">
        <f t="shared" si="139"/>
        <v>30831.611428571428</v>
      </c>
      <c r="AG175" s="881">
        <f t="shared" si="139"/>
        <v>3237319.2</v>
      </c>
      <c r="AH175" s="914">
        <f t="shared" si="140"/>
        <v>0</v>
      </c>
      <c r="AI175" s="913">
        <f t="shared" si="141"/>
        <v>0</v>
      </c>
    </row>
    <row r="176" spans="1:35" ht="24.95" customHeight="1" x14ac:dyDescent="0.2">
      <c r="A176" s="870" t="s">
        <v>3833</v>
      </c>
      <c r="B176" s="880">
        <v>953</v>
      </c>
      <c r="C176" s="881">
        <f>(738114.6+473571.48)/B176</f>
        <v>1271.443945435467</v>
      </c>
      <c r="D176" s="881"/>
      <c r="E176" s="881"/>
      <c r="F176" s="881"/>
      <c r="G176" s="881"/>
      <c r="H176" s="881"/>
      <c r="I176" s="881"/>
      <c r="J176" s="881">
        <v>0</v>
      </c>
      <c r="K176" s="881">
        <f t="shared" si="131"/>
        <v>1271.443945435467</v>
      </c>
      <c r="L176" s="881">
        <v>1054</v>
      </c>
      <c r="M176" s="881"/>
      <c r="N176" s="881">
        <f t="shared" si="132"/>
        <v>1054</v>
      </c>
      <c r="O176" s="881">
        <f t="shared" si="133"/>
        <v>16311.327345225603</v>
      </c>
      <c r="P176" s="913">
        <f t="shared" si="134"/>
        <v>15544694.960000001</v>
      </c>
      <c r="Q176" s="880">
        <v>0</v>
      </c>
      <c r="R176" s="881">
        <v>0</v>
      </c>
      <c r="S176" s="881"/>
      <c r="T176" s="881"/>
      <c r="U176" s="881"/>
      <c r="V176" s="881"/>
      <c r="W176" s="881"/>
      <c r="X176" s="881"/>
      <c r="Y176" s="881">
        <v>0</v>
      </c>
      <c r="Z176" s="881">
        <f t="shared" si="135"/>
        <v>0</v>
      </c>
      <c r="AA176" s="881"/>
      <c r="AB176" s="881"/>
      <c r="AC176" s="881">
        <f t="shared" si="136"/>
        <v>0</v>
      </c>
      <c r="AD176" s="881">
        <f t="shared" si="137"/>
        <v>0</v>
      </c>
      <c r="AE176" s="881">
        <f t="shared" si="138"/>
        <v>0</v>
      </c>
      <c r="AF176" s="881">
        <f t="shared" si="139"/>
        <v>16311.327345225603</v>
      </c>
      <c r="AG176" s="881">
        <f t="shared" si="139"/>
        <v>15544694.960000001</v>
      </c>
      <c r="AH176" s="914">
        <f t="shared" si="140"/>
        <v>0</v>
      </c>
      <c r="AI176" s="913">
        <f t="shared" si="141"/>
        <v>0</v>
      </c>
    </row>
    <row r="177" spans="1:35" ht="24.95" customHeight="1" x14ac:dyDescent="0.2">
      <c r="A177" s="870" t="s">
        <v>3834</v>
      </c>
      <c r="B177" s="880">
        <v>1184</v>
      </c>
      <c r="C177" s="881">
        <f>(1184412.3+843467.4)/B177</f>
        <v>1712.7362331081083</v>
      </c>
      <c r="D177" s="881"/>
      <c r="E177" s="881"/>
      <c r="F177" s="881"/>
      <c r="G177" s="881"/>
      <c r="H177" s="881"/>
      <c r="I177" s="881"/>
      <c r="J177" s="881">
        <v>0</v>
      </c>
      <c r="K177" s="881">
        <f t="shared" si="131"/>
        <v>1712.7362331081083</v>
      </c>
      <c r="L177" s="881">
        <v>1054</v>
      </c>
      <c r="M177" s="881"/>
      <c r="N177" s="881">
        <f t="shared" si="132"/>
        <v>1054</v>
      </c>
      <c r="O177" s="881">
        <f t="shared" si="133"/>
        <v>21606.834797297299</v>
      </c>
      <c r="P177" s="913">
        <f t="shared" si="134"/>
        <v>25582492.400000002</v>
      </c>
      <c r="Q177" s="880">
        <v>0</v>
      </c>
      <c r="R177" s="881">
        <v>0</v>
      </c>
      <c r="S177" s="881"/>
      <c r="T177" s="881"/>
      <c r="U177" s="881"/>
      <c r="V177" s="881"/>
      <c r="W177" s="881"/>
      <c r="X177" s="881"/>
      <c r="Y177" s="881">
        <v>0</v>
      </c>
      <c r="Z177" s="881">
        <f t="shared" si="135"/>
        <v>0</v>
      </c>
      <c r="AA177" s="881"/>
      <c r="AB177" s="881"/>
      <c r="AC177" s="881">
        <f t="shared" si="136"/>
        <v>0</v>
      </c>
      <c r="AD177" s="881">
        <f t="shared" si="137"/>
        <v>0</v>
      </c>
      <c r="AE177" s="881">
        <f t="shared" si="138"/>
        <v>0</v>
      </c>
      <c r="AF177" s="881">
        <f t="shared" si="139"/>
        <v>21606.834797297299</v>
      </c>
      <c r="AG177" s="881">
        <f t="shared" si="139"/>
        <v>25582492.400000002</v>
      </c>
      <c r="AH177" s="914">
        <f t="shared" si="140"/>
        <v>0</v>
      </c>
      <c r="AI177" s="913">
        <f t="shared" si="141"/>
        <v>0</v>
      </c>
    </row>
    <row r="178" spans="1:35" ht="24.95" customHeight="1" x14ac:dyDescent="0.2">
      <c r="A178" s="870" t="s">
        <v>3836</v>
      </c>
      <c r="B178" s="880">
        <v>191</v>
      </c>
      <c r="C178" s="881">
        <f>(279575.58+179704.24)/B178</f>
        <v>2404.606387434555</v>
      </c>
      <c r="D178" s="881"/>
      <c r="E178" s="881"/>
      <c r="F178" s="881"/>
      <c r="G178" s="881"/>
      <c r="H178" s="881"/>
      <c r="I178" s="881"/>
      <c r="J178" s="881">
        <v>0</v>
      </c>
      <c r="K178" s="881">
        <f t="shared" si="131"/>
        <v>2404.606387434555</v>
      </c>
      <c r="L178" s="881">
        <v>1054</v>
      </c>
      <c r="M178" s="881"/>
      <c r="N178" s="881">
        <f t="shared" si="132"/>
        <v>1054</v>
      </c>
      <c r="O178" s="881">
        <f t="shared" si="133"/>
        <v>29909.276649214662</v>
      </c>
      <c r="P178" s="913">
        <f t="shared" si="134"/>
        <v>5712671.8400000008</v>
      </c>
      <c r="Q178" s="880">
        <v>0</v>
      </c>
      <c r="R178" s="881">
        <v>0</v>
      </c>
      <c r="S178" s="881"/>
      <c r="T178" s="881"/>
      <c r="U178" s="881"/>
      <c r="V178" s="881"/>
      <c r="W178" s="881"/>
      <c r="X178" s="881"/>
      <c r="Y178" s="881">
        <v>0</v>
      </c>
      <c r="Z178" s="881">
        <f t="shared" si="135"/>
        <v>0</v>
      </c>
      <c r="AA178" s="881"/>
      <c r="AB178" s="881"/>
      <c r="AC178" s="881">
        <f t="shared" si="136"/>
        <v>0</v>
      </c>
      <c r="AD178" s="881">
        <f t="shared" si="137"/>
        <v>0</v>
      </c>
      <c r="AE178" s="881">
        <f t="shared" si="138"/>
        <v>0</v>
      </c>
      <c r="AF178" s="881">
        <f t="shared" si="139"/>
        <v>29909.276649214662</v>
      </c>
      <c r="AG178" s="881">
        <f t="shared" si="139"/>
        <v>5712671.8400000008</v>
      </c>
      <c r="AH178" s="914">
        <f t="shared" si="140"/>
        <v>0</v>
      </c>
      <c r="AI178" s="913">
        <f t="shared" si="141"/>
        <v>0</v>
      </c>
    </row>
    <row r="179" spans="1:35" ht="24.95" customHeight="1" x14ac:dyDescent="0.2">
      <c r="A179" s="870" t="s">
        <v>3837</v>
      </c>
      <c r="B179" s="880">
        <v>198</v>
      </c>
      <c r="C179" s="881">
        <f>(215863.09+124974.95)/B179</f>
        <v>1721.4042424242423</v>
      </c>
      <c r="D179" s="881"/>
      <c r="E179" s="881"/>
      <c r="F179" s="881"/>
      <c r="G179" s="881"/>
      <c r="H179" s="881"/>
      <c r="I179" s="881"/>
      <c r="J179" s="881">
        <v>0</v>
      </c>
      <c r="K179" s="881">
        <f t="shared" si="131"/>
        <v>1721.4042424242423</v>
      </c>
      <c r="L179" s="881">
        <v>1054</v>
      </c>
      <c r="M179" s="881"/>
      <c r="N179" s="881">
        <f t="shared" si="132"/>
        <v>1054</v>
      </c>
      <c r="O179" s="881">
        <f t="shared" si="133"/>
        <v>21710.850909090906</v>
      </c>
      <c r="P179" s="913">
        <f t="shared" si="134"/>
        <v>4298748.4799999995</v>
      </c>
      <c r="Q179" s="880">
        <v>0</v>
      </c>
      <c r="R179" s="881">
        <v>0</v>
      </c>
      <c r="S179" s="881"/>
      <c r="T179" s="881"/>
      <c r="U179" s="881"/>
      <c r="V179" s="881"/>
      <c r="W179" s="881"/>
      <c r="X179" s="881"/>
      <c r="Y179" s="881">
        <v>0</v>
      </c>
      <c r="Z179" s="881">
        <f t="shared" si="135"/>
        <v>0</v>
      </c>
      <c r="AA179" s="881"/>
      <c r="AB179" s="881"/>
      <c r="AC179" s="881">
        <f t="shared" si="136"/>
        <v>0</v>
      </c>
      <c r="AD179" s="881">
        <f t="shared" si="137"/>
        <v>0</v>
      </c>
      <c r="AE179" s="881">
        <f t="shared" si="138"/>
        <v>0</v>
      </c>
      <c r="AF179" s="881">
        <f t="shared" si="139"/>
        <v>21710.850909090906</v>
      </c>
      <c r="AG179" s="881">
        <f t="shared" si="139"/>
        <v>4298748.4799999995</v>
      </c>
      <c r="AH179" s="914">
        <f t="shared" si="140"/>
        <v>0</v>
      </c>
      <c r="AI179" s="913">
        <f t="shared" si="141"/>
        <v>0</v>
      </c>
    </row>
    <row r="180" spans="1:35" ht="24.95" customHeight="1" x14ac:dyDescent="0.2">
      <c r="A180" s="870" t="s">
        <v>3839</v>
      </c>
      <c r="B180" s="880">
        <v>445</v>
      </c>
      <c r="C180" s="881">
        <f>(601121.07+352164.24)/B180</f>
        <v>2142.2141797752806</v>
      </c>
      <c r="D180" s="881"/>
      <c r="E180" s="881"/>
      <c r="F180" s="881"/>
      <c r="G180" s="881"/>
      <c r="H180" s="881"/>
      <c r="I180" s="881"/>
      <c r="J180" s="881">
        <v>0</v>
      </c>
      <c r="K180" s="881">
        <f t="shared" si="131"/>
        <v>2142.2141797752806</v>
      </c>
      <c r="L180" s="881">
        <v>1054</v>
      </c>
      <c r="M180" s="881"/>
      <c r="N180" s="881">
        <f t="shared" si="132"/>
        <v>1054</v>
      </c>
      <c r="O180" s="881">
        <f t="shared" si="133"/>
        <v>26760.570157303366</v>
      </c>
      <c r="P180" s="913">
        <f t="shared" si="134"/>
        <v>11908453.719999997</v>
      </c>
      <c r="Q180" s="880">
        <v>0</v>
      </c>
      <c r="R180" s="881">
        <v>0</v>
      </c>
      <c r="S180" s="881"/>
      <c r="T180" s="881"/>
      <c r="U180" s="881"/>
      <c r="V180" s="881"/>
      <c r="W180" s="881"/>
      <c r="X180" s="881"/>
      <c r="Y180" s="881">
        <v>0</v>
      </c>
      <c r="Z180" s="881">
        <f t="shared" si="135"/>
        <v>0</v>
      </c>
      <c r="AA180" s="881"/>
      <c r="AB180" s="881"/>
      <c r="AC180" s="881">
        <f t="shared" si="136"/>
        <v>0</v>
      </c>
      <c r="AD180" s="881">
        <f t="shared" si="137"/>
        <v>0</v>
      </c>
      <c r="AE180" s="881">
        <f t="shared" si="138"/>
        <v>0</v>
      </c>
      <c r="AF180" s="881">
        <f t="shared" si="139"/>
        <v>26760.570157303366</v>
      </c>
      <c r="AG180" s="881">
        <f t="shared" si="139"/>
        <v>11908453.719999997</v>
      </c>
      <c r="AH180" s="914">
        <f t="shared" si="140"/>
        <v>0</v>
      </c>
      <c r="AI180" s="913">
        <f t="shared" si="141"/>
        <v>0</v>
      </c>
    </row>
    <row r="181" spans="1:35" ht="24.95" customHeight="1" x14ac:dyDescent="0.2">
      <c r="A181" s="870" t="s">
        <v>3840</v>
      </c>
      <c r="B181" s="880">
        <v>174</v>
      </c>
      <c r="C181" s="881">
        <f>(270751.53+186838.18)/B181</f>
        <v>2629.8259195402302</v>
      </c>
      <c r="D181" s="881"/>
      <c r="E181" s="881"/>
      <c r="F181" s="881"/>
      <c r="G181" s="881"/>
      <c r="H181" s="881"/>
      <c r="I181" s="881"/>
      <c r="J181" s="881">
        <v>0</v>
      </c>
      <c r="K181" s="881">
        <f t="shared" si="131"/>
        <v>2629.8259195402302</v>
      </c>
      <c r="L181" s="881">
        <v>1054</v>
      </c>
      <c r="M181" s="881"/>
      <c r="N181" s="881">
        <f t="shared" si="132"/>
        <v>1054</v>
      </c>
      <c r="O181" s="881">
        <f t="shared" si="133"/>
        <v>32611.911034482764</v>
      </c>
      <c r="P181" s="913">
        <f t="shared" si="134"/>
        <v>5674472.5200000014</v>
      </c>
      <c r="Q181" s="880">
        <v>0</v>
      </c>
      <c r="R181" s="881">
        <v>0</v>
      </c>
      <c r="S181" s="881"/>
      <c r="T181" s="881"/>
      <c r="U181" s="881"/>
      <c r="V181" s="881"/>
      <c r="W181" s="881"/>
      <c r="X181" s="881"/>
      <c r="Y181" s="881">
        <v>0</v>
      </c>
      <c r="Z181" s="881">
        <f t="shared" si="135"/>
        <v>0</v>
      </c>
      <c r="AA181" s="881"/>
      <c r="AB181" s="881"/>
      <c r="AC181" s="881">
        <f t="shared" si="136"/>
        <v>0</v>
      </c>
      <c r="AD181" s="881">
        <f t="shared" si="137"/>
        <v>0</v>
      </c>
      <c r="AE181" s="881">
        <f t="shared" si="138"/>
        <v>0</v>
      </c>
      <c r="AF181" s="881">
        <f t="shared" si="139"/>
        <v>32611.911034482764</v>
      </c>
      <c r="AG181" s="881">
        <f t="shared" si="139"/>
        <v>5674472.5200000014</v>
      </c>
      <c r="AH181" s="914">
        <f t="shared" si="140"/>
        <v>0</v>
      </c>
      <c r="AI181" s="913">
        <f t="shared" si="141"/>
        <v>0</v>
      </c>
    </row>
    <row r="182" spans="1:35" ht="24.95" customHeight="1" x14ac:dyDescent="0.2">
      <c r="A182" s="870" t="s">
        <v>3841</v>
      </c>
      <c r="B182" s="880">
        <v>2117</v>
      </c>
      <c r="C182" s="881">
        <f>(1593538.96+1066457.79)/B182</f>
        <v>1256.4935049598489</v>
      </c>
      <c r="D182" s="881"/>
      <c r="E182" s="881"/>
      <c r="F182" s="881"/>
      <c r="G182" s="881"/>
      <c r="H182" s="881"/>
      <c r="I182" s="881"/>
      <c r="J182" s="881">
        <v>0</v>
      </c>
      <c r="K182" s="881">
        <f t="shared" si="131"/>
        <v>1256.4935049598489</v>
      </c>
      <c r="L182" s="881">
        <v>1054</v>
      </c>
      <c r="M182" s="881"/>
      <c r="N182" s="881">
        <f t="shared" si="132"/>
        <v>1054</v>
      </c>
      <c r="O182" s="881">
        <f t="shared" si="133"/>
        <v>16131.922059518187</v>
      </c>
      <c r="P182" s="913">
        <f t="shared" si="134"/>
        <v>34151279</v>
      </c>
      <c r="Q182" s="880">
        <v>0</v>
      </c>
      <c r="R182" s="881">
        <v>0</v>
      </c>
      <c r="S182" s="881"/>
      <c r="T182" s="881"/>
      <c r="U182" s="881"/>
      <c r="V182" s="881"/>
      <c r="W182" s="881"/>
      <c r="X182" s="881"/>
      <c r="Y182" s="881">
        <v>0</v>
      </c>
      <c r="Z182" s="881">
        <f t="shared" si="135"/>
        <v>0</v>
      </c>
      <c r="AA182" s="881"/>
      <c r="AB182" s="881"/>
      <c r="AC182" s="881">
        <f t="shared" si="136"/>
        <v>0</v>
      </c>
      <c r="AD182" s="881">
        <f t="shared" si="137"/>
        <v>0</v>
      </c>
      <c r="AE182" s="881">
        <f t="shared" si="138"/>
        <v>0</v>
      </c>
      <c r="AF182" s="881">
        <f t="shared" si="139"/>
        <v>16131.922059518187</v>
      </c>
      <c r="AG182" s="881">
        <f t="shared" si="139"/>
        <v>34151279</v>
      </c>
      <c r="AH182" s="914">
        <f t="shared" si="140"/>
        <v>0</v>
      </c>
      <c r="AI182" s="913">
        <f t="shared" si="141"/>
        <v>0</v>
      </c>
    </row>
    <row r="183" spans="1:35" ht="24.95" customHeight="1" x14ac:dyDescent="0.2">
      <c r="A183" s="870" t="s">
        <v>3842</v>
      </c>
      <c r="B183" s="880">
        <v>4114</v>
      </c>
      <c r="C183" s="881">
        <f>(3834446.48+2492792.58)/B183</f>
        <v>1537.9774088478368</v>
      </c>
      <c r="D183" s="881"/>
      <c r="E183" s="881"/>
      <c r="F183" s="881"/>
      <c r="G183" s="881"/>
      <c r="H183" s="881"/>
      <c r="I183" s="881"/>
      <c r="J183" s="881">
        <v>0</v>
      </c>
      <c r="K183" s="881">
        <f t="shared" si="131"/>
        <v>1537.9774088478368</v>
      </c>
      <c r="L183" s="881">
        <v>1054</v>
      </c>
      <c r="M183" s="881"/>
      <c r="N183" s="881">
        <f t="shared" si="132"/>
        <v>1054</v>
      </c>
      <c r="O183" s="881">
        <f t="shared" si="133"/>
        <v>19509.728906174041</v>
      </c>
      <c r="P183" s="913">
        <f t="shared" si="134"/>
        <v>80263024.719999999</v>
      </c>
      <c r="Q183" s="880">
        <v>0</v>
      </c>
      <c r="R183" s="881">
        <v>0</v>
      </c>
      <c r="S183" s="881"/>
      <c r="T183" s="881"/>
      <c r="U183" s="881"/>
      <c r="V183" s="881"/>
      <c r="W183" s="881"/>
      <c r="X183" s="881"/>
      <c r="Y183" s="881">
        <v>0</v>
      </c>
      <c r="Z183" s="881">
        <f t="shared" si="135"/>
        <v>0</v>
      </c>
      <c r="AA183" s="881"/>
      <c r="AB183" s="881"/>
      <c r="AC183" s="881">
        <f t="shared" si="136"/>
        <v>0</v>
      </c>
      <c r="AD183" s="881">
        <f t="shared" si="137"/>
        <v>0</v>
      </c>
      <c r="AE183" s="881">
        <f t="shared" si="138"/>
        <v>0</v>
      </c>
      <c r="AF183" s="881">
        <f t="shared" si="139"/>
        <v>19509.728906174041</v>
      </c>
      <c r="AG183" s="881">
        <f t="shared" si="139"/>
        <v>80263024.719999999</v>
      </c>
      <c r="AH183" s="914">
        <f t="shared" si="140"/>
        <v>0</v>
      </c>
      <c r="AI183" s="913">
        <f t="shared" si="141"/>
        <v>0</v>
      </c>
    </row>
    <row r="184" spans="1:35" ht="24.95" customHeight="1" x14ac:dyDescent="0.2">
      <c r="A184" s="870" t="s">
        <v>3844</v>
      </c>
      <c r="B184" s="880">
        <v>808</v>
      </c>
      <c r="C184" s="881">
        <f>(864653.09+660754.88)/B184</f>
        <v>1887.8811509900991</v>
      </c>
      <c r="D184" s="881"/>
      <c r="E184" s="881"/>
      <c r="F184" s="881"/>
      <c r="G184" s="881"/>
      <c r="H184" s="881"/>
      <c r="I184" s="881"/>
      <c r="J184" s="881">
        <v>0</v>
      </c>
      <c r="K184" s="881">
        <f t="shared" si="131"/>
        <v>1887.8811509900991</v>
      </c>
      <c r="L184" s="881">
        <v>1054</v>
      </c>
      <c r="M184" s="881"/>
      <c r="N184" s="881">
        <f t="shared" si="132"/>
        <v>1054</v>
      </c>
      <c r="O184" s="881">
        <f t="shared" si="133"/>
        <v>23708.57381188119</v>
      </c>
      <c r="P184" s="913">
        <f t="shared" si="134"/>
        <v>19156527.640000001</v>
      </c>
      <c r="Q184" s="880">
        <v>0</v>
      </c>
      <c r="R184" s="881">
        <v>0</v>
      </c>
      <c r="S184" s="881"/>
      <c r="T184" s="881"/>
      <c r="U184" s="881"/>
      <c r="V184" s="881"/>
      <c r="W184" s="881"/>
      <c r="X184" s="881"/>
      <c r="Y184" s="881">
        <v>0</v>
      </c>
      <c r="Z184" s="881">
        <f t="shared" si="135"/>
        <v>0</v>
      </c>
      <c r="AA184" s="881"/>
      <c r="AB184" s="881"/>
      <c r="AC184" s="881">
        <f t="shared" si="136"/>
        <v>0</v>
      </c>
      <c r="AD184" s="881">
        <f t="shared" si="137"/>
        <v>0</v>
      </c>
      <c r="AE184" s="881">
        <f t="shared" si="138"/>
        <v>0</v>
      </c>
      <c r="AF184" s="881">
        <f t="shared" si="139"/>
        <v>23708.57381188119</v>
      </c>
      <c r="AG184" s="881">
        <f t="shared" si="139"/>
        <v>19156527.640000001</v>
      </c>
      <c r="AH184" s="914">
        <f t="shared" si="140"/>
        <v>0</v>
      </c>
      <c r="AI184" s="913">
        <f t="shared" si="141"/>
        <v>0</v>
      </c>
    </row>
    <row r="185" spans="1:35" ht="24.95" customHeight="1" x14ac:dyDescent="0.2">
      <c r="A185" s="870" t="s">
        <v>3891</v>
      </c>
      <c r="B185" s="880">
        <v>7</v>
      </c>
      <c r="C185" s="881">
        <f>(9948.76+5601.29)/B185</f>
        <v>2221.4357142857143</v>
      </c>
      <c r="D185" s="881"/>
      <c r="E185" s="881"/>
      <c r="F185" s="881"/>
      <c r="G185" s="881"/>
      <c r="H185" s="881"/>
      <c r="I185" s="881"/>
      <c r="J185" s="881">
        <v>0</v>
      </c>
      <c r="K185" s="881">
        <f t="shared" si="131"/>
        <v>2221.4357142857143</v>
      </c>
      <c r="L185" s="881">
        <v>1054</v>
      </c>
      <c r="M185" s="881"/>
      <c r="N185" s="881">
        <f t="shared" si="132"/>
        <v>1054</v>
      </c>
      <c r="O185" s="881">
        <f t="shared" si="133"/>
        <v>27711.228571428572</v>
      </c>
      <c r="P185" s="913">
        <f t="shared" si="134"/>
        <v>193978.6</v>
      </c>
      <c r="Q185" s="880">
        <v>0</v>
      </c>
      <c r="R185" s="881">
        <v>0</v>
      </c>
      <c r="S185" s="881"/>
      <c r="T185" s="881"/>
      <c r="U185" s="881"/>
      <c r="V185" s="881"/>
      <c r="W185" s="881"/>
      <c r="X185" s="881"/>
      <c r="Y185" s="881">
        <v>0</v>
      </c>
      <c r="Z185" s="881">
        <f t="shared" si="135"/>
        <v>0</v>
      </c>
      <c r="AA185" s="881"/>
      <c r="AB185" s="881"/>
      <c r="AC185" s="881">
        <f t="shared" si="136"/>
        <v>0</v>
      </c>
      <c r="AD185" s="881">
        <f t="shared" si="137"/>
        <v>0</v>
      </c>
      <c r="AE185" s="881">
        <f t="shared" si="138"/>
        <v>0</v>
      </c>
      <c r="AF185" s="881">
        <f t="shared" si="139"/>
        <v>27711.228571428572</v>
      </c>
      <c r="AG185" s="881">
        <f t="shared" si="139"/>
        <v>193978.6</v>
      </c>
      <c r="AH185" s="914">
        <f t="shared" si="140"/>
        <v>0</v>
      </c>
      <c r="AI185" s="913">
        <f t="shared" si="141"/>
        <v>0</v>
      </c>
    </row>
    <row r="186" spans="1:35" ht="24.95" customHeight="1" x14ac:dyDescent="0.2">
      <c r="A186" s="870" t="s">
        <v>3845</v>
      </c>
      <c r="B186" s="880">
        <v>53</v>
      </c>
      <c r="C186" s="881">
        <f>(67325.07+38571.83)/B186</f>
        <v>1998.0547169811323</v>
      </c>
      <c r="D186" s="881"/>
      <c r="E186" s="881"/>
      <c r="F186" s="881"/>
      <c r="G186" s="881"/>
      <c r="H186" s="881"/>
      <c r="I186" s="881"/>
      <c r="J186" s="881">
        <v>0</v>
      </c>
      <c r="K186" s="881">
        <f t="shared" si="131"/>
        <v>1998.0547169811323</v>
      </c>
      <c r="L186" s="881">
        <v>1054</v>
      </c>
      <c r="M186" s="881"/>
      <c r="N186" s="881">
        <f t="shared" si="132"/>
        <v>1054</v>
      </c>
      <c r="O186" s="881">
        <f t="shared" si="133"/>
        <v>25030.656603773587</v>
      </c>
      <c r="P186" s="913">
        <f t="shared" si="134"/>
        <v>1326624.8</v>
      </c>
      <c r="Q186" s="880">
        <v>0</v>
      </c>
      <c r="R186" s="881">
        <v>0</v>
      </c>
      <c r="S186" s="881"/>
      <c r="T186" s="881"/>
      <c r="U186" s="881"/>
      <c r="V186" s="881"/>
      <c r="W186" s="881"/>
      <c r="X186" s="881"/>
      <c r="Y186" s="881">
        <v>0</v>
      </c>
      <c r="Z186" s="881">
        <f t="shared" si="135"/>
        <v>0</v>
      </c>
      <c r="AA186" s="881"/>
      <c r="AB186" s="881"/>
      <c r="AC186" s="881">
        <f t="shared" si="136"/>
        <v>0</v>
      </c>
      <c r="AD186" s="881">
        <f t="shared" si="137"/>
        <v>0</v>
      </c>
      <c r="AE186" s="881">
        <f t="shared" si="138"/>
        <v>0</v>
      </c>
      <c r="AF186" s="881">
        <f t="shared" si="139"/>
        <v>25030.656603773587</v>
      </c>
      <c r="AG186" s="881">
        <f t="shared" si="139"/>
        <v>1326624.8</v>
      </c>
      <c r="AH186" s="914">
        <f t="shared" si="140"/>
        <v>0</v>
      </c>
      <c r="AI186" s="913">
        <f t="shared" si="141"/>
        <v>0</v>
      </c>
    </row>
    <row r="187" spans="1:35" ht="24.95" customHeight="1" x14ac:dyDescent="0.2">
      <c r="A187" s="870" t="s">
        <v>3846</v>
      </c>
      <c r="B187" s="880">
        <v>99</v>
      </c>
      <c r="C187" s="881">
        <f>(135533.34+76369.11)/B187</f>
        <v>2140.4287878787882</v>
      </c>
      <c r="D187" s="881"/>
      <c r="E187" s="881"/>
      <c r="F187" s="881"/>
      <c r="G187" s="881"/>
      <c r="H187" s="881"/>
      <c r="I187" s="881"/>
      <c r="J187" s="881">
        <v>0</v>
      </c>
      <c r="K187" s="881">
        <f t="shared" si="131"/>
        <v>2140.4287878787882</v>
      </c>
      <c r="L187" s="881">
        <v>1054</v>
      </c>
      <c r="M187" s="881"/>
      <c r="N187" s="881">
        <f t="shared" si="132"/>
        <v>1054</v>
      </c>
      <c r="O187" s="881">
        <f t="shared" si="133"/>
        <v>26739.145454545458</v>
      </c>
      <c r="P187" s="913">
        <f t="shared" si="134"/>
        <v>2647175.4000000004</v>
      </c>
      <c r="Q187" s="880">
        <v>0</v>
      </c>
      <c r="R187" s="881">
        <v>0</v>
      </c>
      <c r="S187" s="881"/>
      <c r="T187" s="881"/>
      <c r="U187" s="881"/>
      <c r="V187" s="881"/>
      <c r="W187" s="881"/>
      <c r="X187" s="881"/>
      <c r="Y187" s="881">
        <v>0</v>
      </c>
      <c r="Z187" s="881">
        <f t="shared" si="135"/>
        <v>0</v>
      </c>
      <c r="AA187" s="881"/>
      <c r="AB187" s="881"/>
      <c r="AC187" s="881">
        <f t="shared" si="136"/>
        <v>0</v>
      </c>
      <c r="AD187" s="881">
        <f t="shared" si="137"/>
        <v>0</v>
      </c>
      <c r="AE187" s="881">
        <f t="shared" si="138"/>
        <v>0</v>
      </c>
      <c r="AF187" s="881">
        <f t="shared" si="139"/>
        <v>26739.145454545458</v>
      </c>
      <c r="AG187" s="881">
        <f t="shared" si="139"/>
        <v>2647175.4000000004</v>
      </c>
      <c r="AH187" s="914">
        <f t="shared" si="140"/>
        <v>0</v>
      </c>
      <c r="AI187" s="913">
        <f t="shared" si="141"/>
        <v>0</v>
      </c>
    </row>
    <row r="188" spans="1:35" ht="24.95" customHeight="1" x14ac:dyDescent="0.2">
      <c r="A188" s="870" t="s">
        <v>3848</v>
      </c>
      <c r="B188" s="880">
        <v>101</v>
      </c>
      <c r="C188" s="881">
        <f>(196782.76+132070.84)/B188</f>
        <v>3255.9762376237622</v>
      </c>
      <c r="D188" s="881"/>
      <c r="E188" s="881"/>
      <c r="F188" s="881"/>
      <c r="G188" s="881"/>
      <c r="H188" s="881"/>
      <c r="I188" s="881"/>
      <c r="J188" s="881">
        <v>0</v>
      </c>
      <c r="K188" s="881">
        <f t="shared" si="131"/>
        <v>3255.9762376237622</v>
      </c>
      <c r="L188" s="881">
        <v>1054</v>
      </c>
      <c r="M188" s="881"/>
      <c r="N188" s="881">
        <f t="shared" si="132"/>
        <v>1054</v>
      </c>
      <c r="O188" s="881">
        <f t="shared" si="133"/>
        <v>40125.714851485143</v>
      </c>
      <c r="P188" s="913">
        <f t="shared" si="134"/>
        <v>4052697.1999999993</v>
      </c>
      <c r="Q188" s="880">
        <v>0</v>
      </c>
      <c r="R188" s="881">
        <v>0</v>
      </c>
      <c r="S188" s="881"/>
      <c r="T188" s="881"/>
      <c r="U188" s="881"/>
      <c r="V188" s="881"/>
      <c r="W188" s="881"/>
      <c r="X188" s="881"/>
      <c r="Y188" s="881">
        <v>0</v>
      </c>
      <c r="Z188" s="881">
        <f t="shared" si="135"/>
        <v>0</v>
      </c>
      <c r="AA188" s="881"/>
      <c r="AB188" s="881"/>
      <c r="AC188" s="881">
        <f t="shared" si="136"/>
        <v>0</v>
      </c>
      <c r="AD188" s="881">
        <f t="shared" si="137"/>
        <v>0</v>
      </c>
      <c r="AE188" s="881">
        <f t="shared" si="138"/>
        <v>0</v>
      </c>
      <c r="AF188" s="881">
        <f t="shared" si="139"/>
        <v>40125.714851485143</v>
      </c>
      <c r="AG188" s="881">
        <f t="shared" si="139"/>
        <v>4052697.1999999993</v>
      </c>
      <c r="AH188" s="914">
        <f t="shared" si="140"/>
        <v>0</v>
      </c>
      <c r="AI188" s="913">
        <f t="shared" si="141"/>
        <v>0</v>
      </c>
    </row>
    <row r="189" spans="1:35" ht="24.95" customHeight="1" x14ac:dyDescent="0.2">
      <c r="A189" s="869" t="s">
        <v>3892</v>
      </c>
      <c r="B189" s="871">
        <f t="shared" ref="B189:AI189" si="142">SUM(B155:B188)</f>
        <v>15689</v>
      </c>
      <c r="C189" s="877">
        <f t="shared" si="142"/>
        <v>48555.392061389561</v>
      </c>
      <c r="D189" s="877">
        <f t="shared" si="142"/>
        <v>0</v>
      </c>
      <c r="E189" s="877">
        <f t="shared" si="142"/>
        <v>0</v>
      </c>
      <c r="F189" s="877">
        <f t="shared" si="142"/>
        <v>0</v>
      </c>
      <c r="G189" s="877">
        <f t="shared" si="142"/>
        <v>0</v>
      </c>
      <c r="H189" s="877">
        <f t="shared" si="142"/>
        <v>0</v>
      </c>
      <c r="I189" s="877">
        <f t="shared" si="142"/>
        <v>0</v>
      </c>
      <c r="J189" s="877">
        <f t="shared" si="142"/>
        <v>0</v>
      </c>
      <c r="K189" s="877">
        <f t="shared" si="142"/>
        <v>48555.392061389561</v>
      </c>
      <c r="L189" s="877">
        <f t="shared" si="142"/>
        <v>33728</v>
      </c>
      <c r="M189" s="877">
        <f t="shared" si="142"/>
        <v>0</v>
      </c>
      <c r="N189" s="877">
        <f t="shared" si="142"/>
        <v>33728</v>
      </c>
      <c r="O189" s="877">
        <f t="shared" si="142"/>
        <v>616392.70473667467</v>
      </c>
      <c r="P189" s="878">
        <f t="shared" si="142"/>
        <v>275716629.55999994</v>
      </c>
      <c r="Q189" s="871">
        <f t="shared" si="142"/>
        <v>0</v>
      </c>
      <c r="R189" s="877">
        <f t="shared" si="142"/>
        <v>0</v>
      </c>
      <c r="S189" s="877">
        <f t="shared" si="142"/>
        <v>0</v>
      </c>
      <c r="T189" s="877">
        <f t="shared" si="142"/>
        <v>0</v>
      </c>
      <c r="U189" s="877">
        <f t="shared" si="142"/>
        <v>0</v>
      </c>
      <c r="V189" s="877">
        <f t="shared" si="142"/>
        <v>0</v>
      </c>
      <c r="W189" s="877">
        <f t="shared" si="142"/>
        <v>0</v>
      </c>
      <c r="X189" s="877">
        <f t="shared" si="142"/>
        <v>0</v>
      </c>
      <c r="Y189" s="877">
        <f t="shared" si="142"/>
        <v>0</v>
      </c>
      <c r="Z189" s="877">
        <f t="shared" si="142"/>
        <v>0</v>
      </c>
      <c r="AA189" s="877">
        <f t="shared" si="142"/>
        <v>0</v>
      </c>
      <c r="AB189" s="877">
        <f t="shared" si="142"/>
        <v>0</v>
      </c>
      <c r="AC189" s="877">
        <f t="shared" si="142"/>
        <v>0</v>
      </c>
      <c r="AD189" s="877">
        <f t="shared" si="142"/>
        <v>0</v>
      </c>
      <c r="AE189" s="877">
        <f t="shared" si="142"/>
        <v>0</v>
      </c>
      <c r="AF189" s="877">
        <f t="shared" si="142"/>
        <v>616392.70473667467</v>
      </c>
      <c r="AG189" s="877">
        <f t="shared" si="142"/>
        <v>275716629.55999994</v>
      </c>
      <c r="AH189" s="874">
        <f t="shared" si="142"/>
        <v>0</v>
      </c>
      <c r="AI189" s="878">
        <f t="shared" si="142"/>
        <v>0</v>
      </c>
    </row>
    <row r="190" spans="1:35" ht="24.95" customHeight="1" x14ac:dyDescent="0.2">
      <c r="A190" s="869" t="s">
        <v>3893</v>
      </c>
      <c r="B190" s="871">
        <f t="shared" ref="B190:AI190" si="143">SUM(B114+B148+B153+B189)</f>
        <v>21454</v>
      </c>
      <c r="C190" s="877">
        <f t="shared" si="143"/>
        <v>225926.35366239992</v>
      </c>
      <c r="D190" s="877">
        <f t="shared" si="143"/>
        <v>0</v>
      </c>
      <c r="E190" s="877">
        <f t="shared" si="143"/>
        <v>11517.818181818182</v>
      </c>
      <c r="F190" s="877">
        <f t="shared" si="143"/>
        <v>0</v>
      </c>
      <c r="G190" s="877">
        <f t="shared" si="143"/>
        <v>0</v>
      </c>
      <c r="H190" s="877">
        <f t="shared" si="143"/>
        <v>0</v>
      </c>
      <c r="I190" s="877">
        <f t="shared" si="143"/>
        <v>0</v>
      </c>
      <c r="J190" s="877">
        <f t="shared" si="143"/>
        <v>0</v>
      </c>
      <c r="K190" s="877">
        <f t="shared" si="143"/>
        <v>237444.1718442181</v>
      </c>
      <c r="L190" s="877">
        <f t="shared" si="143"/>
        <v>104346</v>
      </c>
      <c r="M190" s="877">
        <f t="shared" si="143"/>
        <v>0</v>
      </c>
      <c r="N190" s="877">
        <f t="shared" si="143"/>
        <v>104346</v>
      </c>
      <c r="O190" s="877">
        <f t="shared" si="143"/>
        <v>2953676.0621306179</v>
      </c>
      <c r="P190" s="878">
        <f t="shared" si="143"/>
        <v>462186576.31999993</v>
      </c>
      <c r="Q190" s="871">
        <f t="shared" si="143"/>
        <v>9457</v>
      </c>
      <c r="R190" s="877">
        <f t="shared" si="143"/>
        <v>243819.9350899127</v>
      </c>
      <c r="S190" s="877">
        <f t="shared" si="143"/>
        <v>0</v>
      </c>
      <c r="T190" s="877">
        <f t="shared" si="143"/>
        <v>25427.19282697541</v>
      </c>
      <c r="U190" s="877">
        <f t="shared" si="143"/>
        <v>0</v>
      </c>
      <c r="V190" s="877">
        <f t="shared" si="143"/>
        <v>0</v>
      </c>
      <c r="W190" s="877">
        <f t="shared" si="143"/>
        <v>0</v>
      </c>
      <c r="X190" s="877">
        <f t="shared" si="143"/>
        <v>0</v>
      </c>
      <c r="Y190" s="877">
        <f t="shared" si="143"/>
        <v>0</v>
      </c>
      <c r="Z190" s="877">
        <f t="shared" si="143"/>
        <v>269247.12791688822</v>
      </c>
      <c r="AA190" s="877">
        <f t="shared" si="143"/>
        <v>58603.544303797469</v>
      </c>
      <c r="AB190" s="877">
        <f t="shared" si="143"/>
        <v>0</v>
      </c>
      <c r="AC190" s="877">
        <f t="shared" si="143"/>
        <v>58603.544303797469</v>
      </c>
      <c r="AD190" s="877">
        <f t="shared" si="143"/>
        <v>3289569.0793064563</v>
      </c>
      <c r="AE190" s="877">
        <f t="shared" si="143"/>
        <v>436093194.75999999</v>
      </c>
      <c r="AF190" s="877">
        <f t="shared" si="143"/>
        <v>-335893.01717583812</v>
      </c>
      <c r="AG190" s="877">
        <f t="shared" si="143"/>
        <v>26093381.559999883</v>
      </c>
      <c r="AH190" s="874">
        <f t="shared" si="143"/>
        <v>9457</v>
      </c>
      <c r="AI190" s="878">
        <f t="shared" si="143"/>
        <v>436093194.75999999</v>
      </c>
    </row>
    <row r="191" spans="1:35" ht="24.95" customHeight="1" x14ac:dyDescent="0.2">
      <c r="A191" s="869" t="s">
        <v>3702</v>
      </c>
      <c r="B191" s="880"/>
      <c r="C191" s="881"/>
      <c r="D191" s="881"/>
      <c r="E191" s="881"/>
      <c r="F191" s="881"/>
      <c r="G191" s="881"/>
      <c r="H191" s="881"/>
      <c r="I191" s="881"/>
      <c r="J191" s="881"/>
      <c r="K191" s="881"/>
      <c r="L191" s="881"/>
      <c r="M191" s="881"/>
      <c r="N191" s="881"/>
      <c r="O191" s="881"/>
      <c r="P191" s="913"/>
      <c r="Q191" s="880"/>
      <c r="R191" s="881"/>
      <c r="S191" s="881"/>
      <c r="T191" s="881"/>
      <c r="U191" s="881"/>
      <c r="V191" s="881"/>
      <c r="W191" s="881"/>
      <c r="X191" s="881"/>
      <c r="Y191" s="881"/>
      <c r="Z191" s="881"/>
      <c r="AA191" s="881"/>
      <c r="AB191" s="881"/>
      <c r="AC191" s="881"/>
      <c r="AD191" s="881"/>
      <c r="AE191" s="881"/>
      <c r="AF191" s="881"/>
      <c r="AG191" s="881"/>
      <c r="AH191" s="914"/>
      <c r="AI191" s="913"/>
    </row>
    <row r="192" spans="1:35" ht="24.95" customHeight="1" x14ac:dyDescent="0.2">
      <c r="A192" s="869" t="s">
        <v>3671</v>
      </c>
      <c r="B192" s="880"/>
      <c r="C192" s="881"/>
      <c r="D192" s="881"/>
      <c r="E192" s="881"/>
      <c r="F192" s="881"/>
      <c r="G192" s="881"/>
      <c r="H192" s="881"/>
      <c r="I192" s="881"/>
      <c r="J192" s="881"/>
      <c r="K192" s="881"/>
      <c r="L192" s="881"/>
      <c r="M192" s="881"/>
      <c r="N192" s="881"/>
      <c r="O192" s="881"/>
      <c r="P192" s="913"/>
      <c r="Q192" s="880"/>
      <c r="R192" s="881"/>
      <c r="S192" s="881"/>
      <c r="T192" s="881"/>
      <c r="U192" s="881"/>
      <c r="V192" s="881"/>
      <c r="W192" s="881"/>
      <c r="X192" s="881"/>
      <c r="Y192" s="881"/>
      <c r="Z192" s="881"/>
      <c r="AA192" s="881"/>
      <c r="AB192" s="881"/>
      <c r="AC192" s="881"/>
      <c r="AD192" s="881"/>
      <c r="AE192" s="881"/>
      <c r="AF192" s="881"/>
      <c r="AG192" s="881"/>
      <c r="AH192" s="914"/>
      <c r="AI192" s="913"/>
    </row>
    <row r="193" spans="1:35" ht="24.95" customHeight="1" x14ac:dyDescent="0.2">
      <c r="A193" s="870" t="s">
        <v>3704</v>
      </c>
      <c r="B193" s="880">
        <v>15</v>
      </c>
      <c r="C193" s="881">
        <f>42789.4/B193</f>
        <v>2852.6266666666666</v>
      </c>
      <c r="D193" s="881"/>
      <c r="E193" s="881"/>
      <c r="F193" s="881"/>
      <c r="G193" s="881"/>
      <c r="H193" s="881"/>
      <c r="I193" s="881"/>
      <c r="J193" s="881">
        <v>0</v>
      </c>
      <c r="K193" s="881">
        <f>SUM(C193:J193)</f>
        <v>2852.6266666666666</v>
      </c>
      <c r="L193" s="881">
        <f>117628.2/B193</f>
        <v>7841.88</v>
      </c>
      <c r="M193" s="881">
        <f>46176.1/B193</f>
        <v>3078.4066666666668</v>
      </c>
      <c r="N193" s="881">
        <f>SUM(L193:M193)</f>
        <v>10920.286666666667</v>
      </c>
      <c r="O193" s="881">
        <f>(K193*12)+N193</f>
        <v>45151.806666666664</v>
      </c>
      <c r="P193" s="913">
        <f>(O193*B193)</f>
        <v>677277.1</v>
      </c>
      <c r="Q193" s="880">
        <v>15</v>
      </c>
      <c r="R193" s="881">
        <f>42789.4/Q193</f>
        <v>2852.6266666666666</v>
      </c>
      <c r="S193" s="881"/>
      <c r="T193" s="881"/>
      <c r="U193" s="881"/>
      <c r="V193" s="881"/>
      <c r="W193" s="881"/>
      <c r="X193" s="881"/>
      <c r="Y193" s="881">
        <v>0</v>
      </c>
      <c r="Z193" s="881">
        <f>SUM(R193:Y193)</f>
        <v>2852.6266666666666</v>
      </c>
      <c r="AA193" s="881">
        <f>117628.2/Q193</f>
        <v>7841.88</v>
      </c>
      <c r="AB193" s="881">
        <f>46176.1/Q193</f>
        <v>3078.4066666666668</v>
      </c>
      <c r="AC193" s="881">
        <f>SUM(AA193:AB193)</f>
        <v>10920.286666666667</v>
      </c>
      <c r="AD193" s="881">
        <f>(Z193*12)+AC193</f>
        <v>45151.806666666664</v>
      </c>
      <c r="AE193" s="881">
        <f>(AD193*Q193)</f>
        <v>677277.1</v>
      </c>
      <c r="AF193" s="881">
        <f t="shared" ref="AF193:AG196" si="144">O193-AD193</f>
        <v>0</v>
      </c>
      <c r="AG193" s="881">
        <f t="shared" si="144"/>
        <v>0</v>
      </c>
      <c r="AH193" s="914">
        <f t="shared" ref="AH193:AH196" si="145">Q193</f>
        <v>15</v>
      </c>
      <c r="AI193" s="913">
        <f t="shared" ref="AI193:AI196" si="146">AE193</f>
        <v>677277.1</v>
      </c>
    </row>
    <row r="194" spans="1:35" ht="24.95" customHeight="1" x14ac:dyDescent="0.2">
      <c r="A194" s="870" t="s">
        <v>3705</v>
      </c>
      <c r="B194" s="880">
        <v>7</v>
      </c>
      <c r="C194" s="881">
        <f>24730.37/B194</f>
        <v>3532.91</v>
      </c>
      <c r="D194" s="881"/>
      <c r="E194" s="881"/>
      <c r="F194" s="881"/>
      <c r="G194" s="881"/>
      <c r="H194" s="881"/>
      <c r="I194" s="881"/>
      <c r="J194" s="881">
        <v>0</v>
      </c>
      <c r="K194" s="881">
        <f>SUM(C194:J194)</f>
        <v>3532.91</v>
      </c>
      <c r="L194" s="881">
        <f>65121.11/B194</f>
        <v>9303.0157142857151</v>
      </c>
      <c r="M194" s="881">
        <f>25571.83/B194</f>
        <v>3653.1185714285716</v>
      </c>
      <c r="N194" s="881">
        <f>SUM(L194:M194)</f>
        <v>12956.134285714286</v>
      </c>
      <c r="O194" s="881">
        <f>(K194*12)+N194</f>
        <v>55351.054285714286</v>
      </c>
      <c r="P194" s="913">
        <f>(O194*B194)</f>
        <v>387457.38</v>
      </c>
      <c r="Q194" s="880">
        <v>7</v>
      </c>
      <c r="R194" s="881">
        <f>24730.37/Q194</f>
        <v>3532.91</v>
      </c>
      <c r="S194" s="881"/>
      <c r="T194" s="881"/>
      <c r="U194" s="881"/>
      <c r="V194" s="881"/>
      <c r="W194" s="881"/>
      <c r="X194" s="881"/>
      <c r="Y194" s="881">
        <v>0</v>
      </c>
      <c r="Z194" s="881">
        <f>SUM(R194:Y194)</f>
        <v>3532.91</v>
      </c>
      <c r="AA194" s="881">
        <f>65121.11/Q194</f>
        <v>9303.0157142857151</v>
      </c>
      <c r="AB194" s="881">
        <f>25571.83/Q194</f>
        <v>3653.1185714285716</v>
      </c>
      <c r="AC194" s="881">
        <f>SUM(AA194:AB194)</f>
        <v>12956.134285714286</v>
      </c>
      <c r="AD194" s="881">
        <f>(Z194*12)+AC194</f>
        <v>55351.054285714286</v>
      </c>
      <c r="AE194" s="881">
        <f>(AD194*Q194)</f>
        <v>387457.38</v>
      </c>
      <c r="AF194" s="881">
        <f t="shared" si="144"/>
        <v>0</v>
      </c>
      <c r="AG194" s="881">
        <f t="shared" si="144"/>
        <v>0</v>
      </c>
      <c r="AH194" s="914">
        <f t="shared" si="145"/>
        <v>7</v>
      </c>
      <c r="AI194" s="913">
        <f t="shared" si="146"/>
        <v>387457.38</v>
      </c>
    </row>
    <row r="195" spans="1:35" ht="24.95" customHeight="1" x14ac:dyDescent="0.2">
      <c r="A195" s="870" t="s">
        <v>3706</v>
      </c>
      <c r="B195" s="880">
        <v>7</v>
      </c>
      <c r="C195" s="881">
        <f>24960.9/B195</f>
        <v>3565.8428571428572</v>
      </c>
      <c r="D195" s="881"/>
      <c r="E195" s="881"/>
      <c r="F195" s="881"/>
      <c r="G195" s="881"/>
      <c r="H195" s="881"/>
      <c r="I195" s="881"/>
      <c r="J195" s="881">
        <v>0</v>
      </c>
      <c r="K195" s="881">
        <f>SUM(C195:J195)</f>
        <v>3565.8428571428572</v>
      </c>
      <c r="L195" s="881">
        <f>65317.7/B195</f>
        <v>9331.1</v>
      </c>
      <c r="M195" s="881">
        <f>25649.16/B195</f>
        <v>3664.1657142857143</v>
      </c>
      <c r="N195" s="881">
        <f>SUM(L195:M195)</f>
        <v>12995.265714285715</v>
      </c>
      <c r="O195" s="881">
        <f>(K195*12)+N195</f>
        <v>55785.38</v>
      </c>
      <c r="P195" s="913">
        <f>(O195*B195)</f>
        <v>390497.66</v>
      </c>
      <c r="Q195" s="880">
        <v>7</v>
      </c>
      <c r="R195" s="881">
        <f>24960.9/Q195</f>
        <v>3565.8428571428572</v>
      </c>
      <c r="S195" s="881"/>
      <c r="T195" s="881"/>
      <c r="U195" s="881"/>
      <c r="V195" s="881"/>
      <c r="W195" s="881"/>
      <c r="X195" s="881"/>
      <c r="Y195" s="881">
        <v>0</v>
      </c>
      <c r="Z195" s="881">
        <f>SUM(R195:Y195)</f>
        <v>3565.8428571428572</v>
      </c>
      <c r="AA195" s="881">
        <f>65317.7/Q195</f>
        <v>9331.1</v>
      </c>
      <c r="AB195" s="881">
        <f>25649.16/Q195</f>
        <v>3664.1657142857143</v>
      </c>
      <c r="AC195" s="881">
        <f>SUM(AA195:AB195)</f>
        <v>12995.265714285715</v>
      </c>
      <c r="AD195" s="881">
        <f>(Z195*12)+AC195</f>
        <v>55785.38</v>
      </c>
      <c r="AE195" s="881">
        <f>(AD195*Q195)</f>
        <v>390497.66</v>
      </c>
      <c r="AF195" s="881">
        <f t="shared" si="144"/>
        <v>0</v>
      </c>
      <c r="AG195" s="881">
        <f t="shared" si="144"/>
        <v>0</v>
      </c>
      <c r="AH195" s="914">
        <f t="shared" si="145"/>
        <v>7</v>
      </c>
      <c r="AI195" s="913">
        <f t="shared" si="146"/>
        <v>390497.66</v>
      </c>
    </row>
    <row r="196" spans="1:35" ht="24.95" customHeight="1" x14ac:dyDescent="0.2">
      <c r="A196" s="870" t="s">
        <v>3707</v>
      </c>
      <c r="B196" s="880">
        <v>3</v>
      </c>
      <c r="C196" s="881">
        <f>11645/B196</f>
        <v>3881.6666666666665</v>
      </c>
      <c r="D196" s="881"/>
      <c r="E196" s="881"/>
      <c r="F196" s="881"/>
      <c r="G196" s="881"/>
      <c r="H196" s="881"/>
      <c r="I196" s="881"/>
      <c r="J196" s="881">
        <v>0</v>
      </c>
      <c r="K196" s="881">
        <f>SUM(C196:J196)</f>
        <v>3881.6666666666665</v>
      </c>
      <c r="L196" s="881">
        <f>30885/B196</f>
        <v>10295</v>
      </c>
      <c r="M196" s="881">
        <f>12129.9/B196</f>
        <v>4043.2999999999997</v>
      </c>
      <c r="N196" s="881">
        <f>SUM(L196:M196)</f>
        <v>14338.3</v>
      </c>
      <c r="O196" s="881">
        <f>(K196*12)+N196</f>
        <v>60918.3</v>
      </c>
      <c r="P196" s="913">
        <f>(O196*B196)</f>
        <v>182754.90000000002</v>
      </c>
      <c r="Q196" s="880">
        <v>3</v>
      </c>
      <c r="R196" s="881">
        <f>11645/Q196</f>
        <v>3881.6666666666665</v>
      </c>
      <c r="S196" s="881"/>
      <c r="T196" s="881"/>
      <c r="U196" s="881"/>
      <c r="V196" s="881"/>
      <c r="W196" s="881"/>
      <c r="X196" s="881"/>
      <c r="Y196" s="881">
        <v>0</v>
      </c>
      <c r="Z196" s="881">
        <f>SUM(R196:Y196)</f>
        <v>3881.6666666666665</v>
      </c>
      <c r="AA196" s="881">
        <f>30885/Q196</f>
        <v>10295</v>
      </c>
      <c r="AB196" s="881">
        <f>12129.9/Q196</f>
        <v>4043.2999999999997</v>
      </c>
      <c r="AC196" s="881">
        <f>SUM(AA196:AB196)</f>
        <v>14338.3</v>
      </c>
      <c r="AD196" s="881">
        <f>(Z196*12)+AC196</f>
        <v>60918.3</v>
      </c>
      <c r="AE196" s="881">
        <f>(AD196*Q196)</f>
        <v>182754.90000000002</v>
      </c>
      <c r="AF196" s="881">
        <f t="shared" si="144"/>
        <v>0</v>
      </c>
      <c r="AG196" s="881">
        <f t="shared" si="144"/>
        <v>0</v>
      </c>
      <c r="AH196" s="914">
        <f t="shared" si="145"/>
        <v>3</v>
      </c>
      <c r="AI196" s="913">
        <f t="shared" si="146"/>
        <v>182754.90000000002</v>
      </c>
    </row>
    <row r="197" spans="1:35" ht="24.95" customHeight="1" x14ac:dyDescent="0.2">
      <c r="A197" s="869" t="s">
        <v>3800</v>
      </c>
      <c r="B197" s="871">
        <f>SUM(B193:B196)</f>
        <v>32</v>
      </c>
      <c r="C197" s="877">
        <f t="shared" ref="C197:P197" si="147">SUM(C193:C196)</f>
        <v>13833.046190476191</v>
      </c>
      <c r="D197" s="877">
        <f t="shared" si="147"/>
        <v>0</v>
      </c>
      <c r="E197" s="877">
        <f t="shared" si="147"/>
        <v>0</v>
      </c>
      <c r="F197" s="877">
        <f t="shared" si="147"/>
        <v>0</v>
      </c>
      <c r="G197" s="877">
        <f t="shared" si="147"/>
        <v>0</v>
      </c>
      <c r="H197" s="877">
        <f t="shared" si="147"/>
        <v>0</v>
      </c>
      <c r="I197" s="877">
        <f t="shared" si="147"/>
        <v>0</v>
      </c>
      <c r="J197" s="877">
        <f t="shared" si="147"/>
        <v>0</v>
      </c>
      <c r="K197" s="877">
        <f t="shared" si="147"/>
        <v>13833.046190476191</v>
      </c>
      <c r="L197" s="877">
        <f t="shared" si="147"/>
        <v>36770.995714285717</v>
      </c>
      <c r="M197" s="877">
        <f t="shared" si="147"/>
        <v>14438.990952380953</v>
      </c>
      <c r="N197" s="877">
        <f t="shared" si="147"/>
        <v>51209.986666666664</v>
      </c>
      <c r="O197" s="877">
        <f t="shared" si="147"/>
        <v>217206.54095238098</v>
      </c>
      <c r="P197" s="878">
        <f t="shared" si="147"/>
        <v>1637987.04</v>
      </c>
      <c r="Q197" s="871">
        <f>SUM(Q193:Q196)</f>
        <v>32</v>
      </c>
      <c r="R197" s="877">
        <f t="shared" ref="R197:AI197" si="148">SUM(R193:R196)</f>
        <v>13833.046190476191</v>
      </c>
      <c r="S197" s="877">
        <f t="shared" si="148"/>
        <v>0</v>
      </c>
      <c r="T197" s="877">
        <f t="shared" si="148"/>
        <v>0</v>
      </c>
      <c r="U197" s="877">
        <f t="shared" si="148"/>
        <v>0</v>
      </c>
      <c r="V197" s="877">
        <f t="shared" si="148"/>
        <v>0</v>
      </c>
      <c r="W197" s="877">
        <f t="shared" si="148"/>
        <v>0</v>
      </c>
      <c r="X197" s="877">
        <f t="shared" si="148"/>
        <v>0</v>
      </c>
      <c r="Y197" s="877">
        <f t="shared" si="148"/>
        <v>0</v>
      </c>
      <c r="Z197" s="877">
        <f t="shared" si="148"/>
        <v>13833.046190476191</v>
      </c>
      <c r="AA197" s="877">
        <f t="shared" si="148"/>
        <v>36770.995714285717</v>
      </c>
      <c r="AB197" s="877">
        <f t="shared" si="148"/>
        <v>14438.990952380953</v>
      </c>
      <c r="AC197" s="877">
        <f t="shared" si="148"/>
        <v>51209.986666666664</v>
      </c>
      <c r="AD197" s="877">
        <f t="shared" si="148"/>
        <v>217206.54095238098</v>
      </c>
      <c r="AE197" s="877">
        <f t="shared" si="148"/>
        <v>1637987.04</v>
      </c>
      <c r="AF197" s="877">
        <f>SUM(AF193:AF196)</f>
        <v>0</v>
      </c>
      <c r="AG197" s="877">
        <f>SUM(AG193:AG196)</f>
        <v>0</v>
      </c>
      <c r="AH197" s="874">
        <f t="shared" si="148"/>
        <v>32</v>
      </c>
      <c r="AI197" s="878">
        <f t="shared" si="148"/>
        <v>1637987.04</v>
      </c>
    </row>
    <row r="198" spans="1:35" ht="24.95" customHeight="1" x14ac:dyDescent="0.2">
      <c r="A198" s="869" t="s">
        <v>3679</v>
      </c>
      <c r="B198" s="880"/>
      <c r="C198" s="881"/>
      <c r="D198" s="881"/>
      <c r="E198" s="881"/>
      <c r="F198" s="881"/>
      <c r="G198" s="881"/>
      <c r="H198" s="881"/>
      <c r="I198" s="881"/>
      <c r="J198" s="881"/>
      <c r="K198" s="881"/>
      <c r="L198" s="881"/>
      <c r="M198" s="881"/>
      <c r="N198" s="881"/>
      <c r="O198" s="881"/>
      <c r="P198" s="913"/>
      <c r="Q198" s="880"/>
      <c r="R198" s="881"/>
      <c r="S198" s="881"/>
      <c r="T198" s="881"/>
      <c r="U198" s="881"/>
      <c r="V198" s="881"/>
      <c r="W198" s="881"/>
      <c r="X198" s="881"/>
      <c r="Y198" s="881"/>
      <c r="Z198" s="881"/>
      <c r="AA198" s="881"/>
      <c r="AB198" s="881"/>
      <c r="AC198" s="881"/>
      <c r="AD198" s="881"/>
      <c r="AE198" s="881"/>
      <c r="AF198" s="881"/>
      <c r="AG198" s="881"/>
      <c r="AH198" s="914"/>
      <c r="AI198" s="913"/>
    </row>
    <row r="199" spans="1:35" ht="24.95" customHeight="1" x14ac:dyDescent="0.2">
      <c r="A199" s="870" t="s">
        <v>3708</v>
      </c>
      <c r="B199" s="880">
        <v>1</v>
      </c>
      <c r="C199" s="881">
        <f>2125/B199</f>
        <v>2125</v>
      </c>
      <c r="D199" s="881"/>
      <c r="E199" s="881"/>
      <c r="F199" s="881"/>
      <c r="G199" s="881"/>
      <c r="H199" s="881"/>
      <c r="I199" s="881"/>
      <c r="J199" s="881">
        <v>0</v>
      </c>
      <c r="K199" s="881">
        <f>SUM(C199:J199)</f>
        <v>2125</v>
      </c>
      <c r="L199" s="881">
        <f>5345/B199</f>
        <v>5345</v>
      </c>
      <c r="M199" s="881">
        <f>2096.3/B199</f>
        <v>2096.3000000000002</v>
      </c>
      <c r="N199" s="881">
        <f>SUM(L199:M199)</f>
        <v>7441.3</v>
      </c>
      <c r="O199" s="881">
        <f>(K199*12)+N199</f>
        <v>32941.300000000003</v>
      </c>
      <c r="P199" s="913">
        <f>(O199*B199)</f>
        <v>32941.300000000003</v>
      </c>
      <c r="Q199" s="880">
        <v>1</v>
      </c>
      <c r="R199" s="881">
        <f>2125/Q199</f>
        <v>2125</v>
      </c>
      <c r="S199" s="881"/>
      <c r="T199" s="881"/>
      <c r="U199" s="881"/>
      <c r="V199" s="881"/>
      <c r="W199" s="881"/>
      <c r="X199" s="881"/>
      <c r="Y199" s="881">
        <v>0</v>
      </c>
      <c r="Z199" s="881">
        <f>SUM(R199:Y199)</f>
        <v>2125</v>
      </c>
      <c r="AA199" s="881">
        <f>5345/Q199</f>
        <v>5345</v>
      </c>
      <c r="AB199" s="881">
        <f>2096.3/Q199</f>
        <v>2096.3000000000002</v>
      </c>
      <c r="AC199" s="881">
        <f>SUM(AA199:AB199)</f>
        <v>7441.3</v>
      </c>
      <c r="AD199" s="881">
        <f>(Z199*12)+AC199</f>
        <v>32941.300000000003</v>
      </c>
      <c r="AE199" s="881">
        <f>(AD199*Q199)</f>
        <v>32941.300000000003</v>
      </c>
      <c r="AF199" s="881">
        <f t="shared" ref="AF199:AG203" si="149">O199-AD199</f>
        <v>0</v>
      </c>
      <c r="AG199" s="881">
        <f t="shared" si="149"/>
        <v>0</v>
      </c>
      <c r="AH199" s="914">
        <f t="shared" ref="AH199:AH203" si="150">Q199</f>
        <v>1</v>
      </c>
      <c r="AI199" s="913">
        <f t="shared" ref="AI199:AI203" si="151">AE199</f>
        <v>32941.300000000003</v>
      </c>
    </row>
    <row r="200" spans="1:35" ht="24.95" customHeight="1" x14ac:dyDescent="0.2">
      <c r="A200" s="870" t="s">
        <v>3709</v>
      </c>
      <c r="B200" s="880">
        <v>6</v>
      </c>
      <c r="C200" s="881">
        <f>13470/B200</f>
        <v>2245</v>
      </c>
      <c r="D200" s="881"/>
      <c r="E200" s="881"/>
      <c r="F200" s="881"/>
      <c r="G200" s="881"/>
      <c r="H200" s="881"/>
      <c r="I200" s="881"/>
      <c r="J200" s="881">
        <v>0</v>
      </c>
      <c r="K200" s="881">
        <f>SUM(C200:J200)</f>
        <v>2245</v>
      </c>
      <c r="L200" s="881">
        <f>33825/B200</f>
        <v>5637.5</v>
      </c>
      <c r="M200" s="881">
        <f>13268.1/B200</f>
        <v>2211.35</v>
      </c>
      <c r="N200" s="881">
        <f>SUM(L200:M200)</f>
        <v>7848.85</v>
      </c>
      <c r="O200" s="881">
        <f>(K200*12)+N200</f>
        <v>34788.85</v>
      </c>
      <c r="P200" s="913">
        <f>(O200*B200)</f>
        <v>208733.09999999998</v>
      </c>
      <c r="Q200" s="880">
        <v>6</v>
      </c>
      <c r="R200" s="881">
        <f>13470/Q200</f>
        <v>2245</v>
      </c>
      <c r="S200" s="881"/>
      <c r="T200" s="881"/>
      <c r="U200" s="881"/>
      <c r="V200" s="881"/>
      <c r="W200" s="881"/>
      <c r="X200" s="881"/>
      <c r="Y200" s="881">
        <v>0</v>
      </c>
      <c r="Z200" s="881">
        <f>SUM(R200:Y200)</f>
        <v>2245</v>
      </c>
      <c r="AA200" s="881">
        <f>33825/Q200</f>
        <v>5637.5</v>
      </c>
      <c r="AB200" s="881">
        <f>13268.1/Q200</f>
        <v>2211.35</v>
      </c>
      <c r="AC200" s="881">
        <f>SUM(AA200:AB200)</f>
        <v>7848.85</v>
      </c>
      <c r="AD200" s="881">
        <f>(Z200*12)+AC200</f>
        <v>34788.85</v>
      </c>
      <c r="AE200" s="881">
        <f>(AD200*Q200)</f>
        <v>208733.09999999998</v>
      </c>
      <c r="AF200" s="881">
        <f t="shared" si="149"/>
        <v>0</v>
      </c>
      <c r="AG200" s="881">
        <f t="shared" si="149"/>
        <v>0</v>
      </c>
      <c r="AH200" s="914">
        <f t="shared" si="150"/>
        <v>6</v>
      </c>
      <c r="AI200" s="913">
        <f t="shared" si="151"/>
        <v>208733.09999999998</v>
      </c>
    </row>
    <row r="201" spans="1:35" ht="24.95" customHeight="1" x14ac:dyDescent="0.2">
      <c r="A201" s="870" t="s">
        <v>3710</v>
      </c>
      <c r="B201" s="880">
        <v>10</v>
      </c>
      <c r="C201" s="881">
        <f>22890/B201</f>
        <v>2289</v>
      </c>
      <c r="D201" s="881"/>
      <c r="E201" s="881"/>
      <c r="F201" s="881"/>
      <c r="G201" s="881"/>
      <c r="H201" s="881"/>
      <c r="I201" s="881"/>
      <c r="J201" s="881">
        <v>0</v>
      </c>
      <c r="K201" s="881">
        <f>SUM(C201:J201)</f>
        <v>2289</v>
      </c>
      <c r="L201" s="881">
        <f>59450/B201</f>
        <v>5945</v>
      </c>
      <c r="M201" s="881">
        <f>23323/B201</f>
        <v>2332.3000000000002</v>
      </c>
      <c r="N201" s="881">
        <f>SUM(L201:M201)</f>
        <v>8277.2999999999993</v>
      </c>
      <c r="O201" s="881">
        <f>(K201*12)+N201</f>
        <v>35745.300000000003</v>
      </c>
      <c r="P201" s="913">
        <f>(O201*B201)</f>
        <v>357453</v>
      </c>
      <c r="Q201" s="880">
        <v>10</v>
      </c>
      <c r="R201" s="881">
        <f>22890/Q201</f>
        <v>2289</v>
      </c>
      <c r="S201" s="881"/>
      <c r="T201" s="881"/>
      <c r="U201" s="881"/>
      <c r="V201" s="881"/>
      <c r="W201" s="881"/>
      <c r="X201" s="881"/>
      <c r="Y201" s="881">
        <v>0</v>
      </c>
      <c r="Z201" s="881">
        <f>SUM(R201:Y201)</f>
        <v>2289</v>
      </c>
      <c r="AA201" s="881">
        <f>59450/Q201</f>
        <v>5945</v>
      </c>
      <c r="AB201" s="881">
        <f>23323/Q201</f>
        <v>2332.3000000000002</v>
      </c>
      <c r="AC201" s="881">
        <f>SUM(AA201:AB201)</f>
        <v>8277.2999999999993</v>
      </c>
      <c r="AD201" s="881">
        <f>(Z201*12)+AC201</f>
        <v>35745.300000000003</v>
      </c>
      <c r="AE201" s="881">
        <f>(AD201*Q201)</f>
        <v>357453</v>
      </c>
      <c r="AF201" s="881">
        <f t="shared" si="149"/>
        <v>0</v>
      </c>
      <c r="AG201" s="881">
        <f t="shared" si="149"/>
        <v>0</v>
      </c>
      <c r="AH201" s="914">
        <f t="shared" si="150"/>
        <v>10</v>
      </c>
      <c r="AI201" s="913">
        <f t="shared" si="151"/>
        <v>357453</v>
      </c>
    </row>
    <row r="202" spans="1:35" ht="24.95" customHeight="1" x14ac:dyDescent="0.2">
      <c r="A202" s="870" t="s">
        <v>3711</v>
      </c>
      <c r="B202" s="880">
        <v>22</v>
      </c>
      <c r="C202" s="881">
        <f>51682.86/B202</f>
        <v>2349.2209090909091</v>
      </c>
      <c r="D202" s="881"/>
      <c r="E202" s="881"/>
      <c r="F202" s="881"/>
      <c r="G202" s="881"/>
      <c r="H202" s="881"/>
      <c r="I202" s="881"/>
      <c r="J202" s="881">
        <v>0</v>
      </c>
      <c r="K202" s="881">
        <f>SUM(C202:J202)</f>
        <v>2349.2209090909091</v>
      </c>
      <c r="L202" s="881">
        <f>139258.58/B202</f>
        <v>6329.9354545454544</v>
      </c>
      <c r="M202" s="881">
        <f>54641.54/B202</f>
        <v>2483.7063636363637</v>
      </c>
      <c r="N202" s="881">
        <f>SUM(L202:M202)</f>
        <v>8813.641818181819</v>
      </c>
      <c r="O202" s="881">
        <f>(K202*12)+N202</f>
        <v>37004.292727272725</v>
      </c>
      <c r="P202" s="913">
        <f>(O202*B202)</f>
        <v>814094.44</v>
      </c>
      <c r="Q202" s="880">
        <v>22</v>
      </c>
      <c r="R202" s="881">
        <f>51682.86/Q202</f>
        <v>2349.2209090909091</v>
      </c>
      <c r="S202" s="881"/>
      <c r="T202" s="881"/>
      <c r="U202" s="881"/>
      <c r="V202" s="881"/>
      <c r="W202" s="881"/>
      <c r="X202" s="881"/>
      <c r="Y202" s="881">
        <v>0</v>
      </c>
      <c r="Z202" s="881">
        <f>SUM(R202:Y202)</f>
        <v>2349.2209090909091</v>
      </c>
      <c r="AA202" s="881">
        <f>139258.58/Q202</f>
        <v>6329.9354545454544</v>
      </c>
      <c r="AB202" s="881">
        <f>54641.54/Q202</f>
        <v>2483.7063636363637</v>
      </c>
      <c r="AC202" s="881">
        <f>SUM(AA202:AB202)</f>
        <v>8813.641818181819</v>
      </c>
      <c r="AD202" s="881">
        <f>(Z202*12)+AC202</f>
        <v>37004.292727272725</v>
      </c>
      <c r="AE202" s="881">
        <f>(AD202*Q202)</f>
        <v>814094.44</v>
      </c>
      <c r="AF202" s="881">
        <f t="shared" si="149"/>
        <v>0</v>
      </c>
      <c r="AG202" s="881">
        <f t="shared" si="149"/>
        <v>0</v>
      </c>
      <c r="AH202" s="914">
        <f t="shared" si="150"/>
        <v>22</v>
      </c>
      <c r="AI202" s="913">
        <f t="shared" si="151"/>
        <v>814094.44</v>
      </c>
    </row>
    <row r="203" spans="1:35" ht="24.95" customHeight="1" x14ac:dyDescent="0.2">
      <c r="A203" s="870" t="s">
        <v>3712</v>
      </c>
      <c r="B203" s="880">
        <v>25</v>
      </c>
      <c r="C203" s="881">
        <f>64273.13/B203</f>
        <v>2570.9251999999997</v>
      </c>
      <c r="D203" s="881"/>
      <c r="E203" s="881"/>
      <c r="F203" s="881"/>
      <c r="G203" s="881"/>
      <c r="H203" s="881"/>
      <c r="I203" s="881"/>
      <c r="J203" s="881">
        <v>0</v>
      </c>
      <c r="K203" s="881">
        <f>SUM(C203:J203)</f>
        <v>2570.9251999999997</v>
      </c>
      <c r="L203" s="881">
        <f>167204.39/B203</f>
        <v>6688.1756000000005</v>
      </c>
      <c r="M203" s="881">
        <f>65615.39/B203</f>
        <v>2624.6156000000001</v>
      </c>
      <c r="N203" s="881">
        <f>SUM(L203:M203)</f>
        <v>9312.7911999999997</v>
      </c>
      <c r="O203" s="881">
        <f>(K203*12)+N203</f>
        <v>40163.893599999996</v>
      </c>
      <c r="P203" s="913">
        <f>(O203*B203)</f>
        <v>1004097.3399999999</v>
      </c>
      <c r="Q203" s="880">
        <v>25</v>
      </c>
      <c r="R203" s="881">
        <f>64273.13/Q203</f>
        <v>2570.9251999999997</v>
      </c>
      <c r="S203" s="881"/>
      <c r="T203" s="881"/>
      <c r="U203" s="881"/>
      <c r="V203" s="881"/>
      <c r="W203" s="881"/>
      <c r="X203" s="881"/>
      <c r="Y203" s="881">
        <v>0</v>
      </c>
      <c r="Z203" s="881">
        <f>SUM(R203:Y203)</f>
        <v>2570.9251999999997</v>
      </c>
      <c r="AA203" s="881">
        <f>167204.39/Q203</f>
        <v>6688.1756000000005</v>
      </c>
      <c r="AB203" s="881">
        <f>65615.39/Q203</f>
        <v>2624.6156000000001</v>
      </c>
      <c r="AC203" s="881">
        <f>SUM(AA203:AB203)</f>
        <v>9312.7911999999997</v>
      </c>
      <c r="AD203" s="881">
        <f>(Z203*12)+AC203</f>
        <v>40163.893599999996</v>
      </c>
      <c r="AE203" s="881">
        <f>(AD203*Q203)</f>
        <v>1004097.3399999999</v>
      </c>
      <c r="AF203" s="881">
        <f t="shared" si="149"/>
        <v>0</v>
      </c>
      <c r="AG203" s="881">
        <f t="shared" si="149"/>
        <v>0</v>
      </c>
      <c r="AH203" s="914">
        <f t="shared" si="150"/>
        <v>25</v>
      </c>
      <c r="AI203" s="913">
        <f t="shared" si="151"/>
        <v>1004097.3399999999</v>
      </c>
    </row>
    <row r="204" spans="1:35" ht="24.95" customHeight="1" x14ac:dyDescent="0.2">
      <c r="A204" s="869" t="s">
        <v>3801</v>
      </c>
      <c r="B204" s="871">
        <f>SUM(B199:B203)</f>
        <v>64</v>
      </c>
      <c r="C204" s="877">
        <f t="shared" ref="C204:P204" si="152">SUM(C199:C203)</f>
        <v>11579.146109090909</v>
      </c>
      <c r="D204" s="877">
        <f t="shared" si="152"/>
        <v>0</v>
      </c>
      <c r="E204" s="877">
        <f t="shared" si="152"/>
        <v>0</v>
      </c>
      <c r="F204" s="877">
        <f t="shared" si="152"/>
        <v>0</v>
      </c>
      <c r="G204" s="877">
        <f t="shared" si="152"/>
        <v>0</v>
      </c>
      <c r="H204" s="877">
        <f t="shared" si="152"/>
        <v>0</v>
      </c>
      <c r="I204" s="877">
        <f t="shared" si="152"/>
        <v>0</v>
      </c>
      <c r="J204" s="877">
        <f t="shared" si="152"/>
        <v>0</v>
      </c>
      <c r="K204" s="877">
        <f t="shared" si="152"/>
        <v>11579.146109090909</v>
      </c>
      <c r="L204" s="877">
        <f t="shared" si="152"/>
        <v>29945.611054545458</v>
      </c>
      <c r="M204" s="877">
        <f t="shared" si="152"/>
        <v>11748.271963636365</v>
      </c>
      <c r="N204" s="877">
        <f t="shared" si="152"/>
        <v>41693.883018181819</v>
      </c>
      <c r="O204" s="877">
        <f t="shared" si="152"/>
        <v>180643.63632727275</v>
      </c>
      <c r="P204" s="878">
        <f t="shared" si="152"/>
        <v>2417319.1799999997</v>
      </c>
      <c r="Q204" s="871">
        <f>SUM(Q199:Q203)</f>
        <v>64</v>
      </c>
      <c r="R204" s="877">
        <f t="shared" ref="R204:AI204" si="153">SUM(R199:R203)</f>
        <v>11579.146109090909</v>
      </c>
      <c r="S204" s="877">
        <f t="shared" si="153"/>
        <v>0</v>
      </c>
      <c r="T204" s="877">
        <f t="shared" si="153"/>
        <v>0</v>
      </c>
      <c r="U204" s="877">
        <f t="shared" si="153"/>
        <v>0</v>
      </c>
      <c r="V204" s="877">
        <f t="shared" si="153"/>
        <v>0</v>
      </c>
      <c r="W204" s="877">
        <f t="shared" si="153"/>
        <v>0</v>
      </c>
      <c r="X204" s="877">
        <f t="shared" si="153"/>
        <v>0</v>
      </c>
      <c r="Y204" s="877">
        <f t="shared" si="153"/>
        <v>0</v>
      </c>
      <c r="Z204" s="877">
        <f t="shared" si="153"/>
        <v>11579.146109090909</v>
      </c>
      <c r="AA204" s="877">
        <f t="shared" si="153"/>
        <v>29945.611054545458</v>
      </c>
      <c r="AB204" s="877">
        <f t="shared" si="153"/>
        <v>11748.271963636365</v>
      </c>
      <c r="AC204" s="877">
        <f t="shared" si="153"/>
        <v>41693.883018181819</v>
      </c>
      <c r="AD204" s="877">
        <f t="shared" si="153"/>
        <v>180643.63632727275</v>
      </c>
      <c r="AE204" s="877">
        <f t="shared" si="153"/>
        <v>2417319.1799999997</v>
      </c>
      <c r="AF204" s="877">
        <f>SUM(AF199:AF203)</f>
        <v>0</v>
      </c>
      <c r="AG204" s="877">
        <f>SUM(AG199:AG203)</f>
        <v>0</v>
      </c>
      <c r="AH204" s="874">
        <f t="shared" si="153"/>
        <v>64</v>
      </c>
      <c r="AI204" s="878">
        <f t="shared" si="153"/>
        <v>2417319.1799999997</v>
      </c>
    </row>
    <row r="205" spans="1:35" ht="24.95" customHeight="1" x14ac:dyDescent="0.2">
      <c r="A205" s="869" t="s">
        <v>3686</v>
      </c>
      <c r="B205" s="880"/>
      <c r="C205" s="881"/>
      <c r="D205" s="881"/>
      <c r="E205" s="881"/>
      <c r="F205" s="881"/>
      <c r="G205" s="881"/>
      <c r="H205" s="881"/>
      <c r="I205" s="881"/>
      <c r="J205" s="881"/>
      <c r="K205" s="881"/>
      <c r="L205" s="881"/>
      <c r="M205" s="881"/>
      <c r="N205" s="881"/>
      <c r="O205" s="881"/>
      <c r="P205" s="913"/>
      <c r="Q205" s="880"/>
      <c r="R205" s="881"/>
      <c r="S205" s="881"/>
      <c r="T205" s="881"/>
      <c r="U205" s="881"/>
      <c r="V205" s="881"/>
      <c r="W205" s="881"/>
      <c r="X205" s="881"/>
      <c r="Y205" s="881"/>
      <c r="Z205" s="881"/>
      <c r="AA205" s="881"/>
      <c r="AB205" s="881"/>
      <c r="AC205" s="881"/>
      <c r="AD205" s="881"/>
      <c r="AE205" s="881"/>
      <c r="AF205" s="881"/>
      <c r="AG205" s="881"/>
      <c r="AH205" s="914"/>
      <c r="AI205" s="913"/>
    </row>
    <row r="206" spans="1:35" ht="24.95" customHeight="1" x14ac:dyDescent="0.2">
      <c r="A206" s="870" t="s">
        <v>3713</v>
      </c>
      <c r="B206" s="880">
        <v>5</v>
      </c>
      <c r="C206" s="881">
        <f>7560.81/B206</f>
        <v>1512.162</v>
      </c>
      <c r="D206" s="881"/>
      <c r="E206" s="881"/>
      <c r="F206" s="881"/>
      <c r="G206" s="881"/>
      <c r="H206" s="881"/>
      <c r="I206" s="881"/>
      <c r="J206" s="881">
        <v>0</v>
      </c>
      <c r="K206" s="881">
        <f>SUM(C206:J206)</f>
        <v>1512.162</v>
      </c>
      <c r="L206" s="881">
        <f>22632.43/B206</f>
        <v>4526.4859999999999</v>
      </c>
      <c r="M206" s="881">
        <f>8871.77/B206</f>
        <v>1774.354</v>
      </c>
      <c r="N206" s="881">
        <f>SUM(L206:M206)</f>
        <v>6300.84</v>
      </c>
      <c r="O206" s="881">
        <f>(K206*12)+N206</f>
        <v>24446.784</v>
      </c>
      <c r="P206" s="913">
        <f>(O206*B206)</f>
        <v>122233.92</v>
      </c>
      <c r="Q206" s="880">
        <v>5</v>
      </c>
      <c r="R206" s="881">
        <f>7560.81/Q206</f>
        <v>1512.162</v>
      </c>
      <c r="S206" s="881"/>
      <c r="T206" s="881"/>
      <c r="U206" s="881"/>
      <c r="V206" s="881"/>
      <c r="W206" s="881"/>
      <c r="X206" s="881"/>
      <c r="Y206" s="881">
        <v>0</v>
      </c>
      <c r="Z206" s="881">
        <f>SUM(R206:Y206)</f>
        <v>1512.162</v>
      </c>
      <c r="AA206" s="881">
        <f>22632.43/Q206</f>
        <v>4526.4859999999999</v>
      </c>
      <c r="AB206" s="881">
        <f>8871.77/Q206</f>
        <v>1774.354</v>
      </c>
      <c r="AC206" s="881">
        <f>SUM(AA206:AB206)</f>
        <v>6300.84</v>
      </c>
      <c r="AD206" s="881">
        <f>(Z206*12)+AC206</f>
        <v>24446.784</v>
      </c>
      <c r="AE206" s="881">
        <f>(AD206*Q206)</f>
        <v>122233.92</v>
      </c>
      <c r="AF206" s="881">
        <f t="shared" ref="AF206:AG208" si="154">O206-AD206</f>
        <v>0</v>
      </c>
      <c r="AG206" s="881">
        <f t="shared" si="154"/>
        <v>0</v>
      </c>
      <c r="AH206" s="914">
        <f t="shared" ref="AH206:AH208" si="155">Q206</f>
        <v>5</v>
      </c>
      <c r="AI206" s="913">
        <f t="shared" ref="AI206:AI208" si="156">AE206</f>
        <v>122233.92</v>
      </c>
    </row>
    <row r="207" spans="1:35" ht="24.95" customHeight="1" x14ac:dyDescent="0.2">
      <c r="A207" s="870" t="s">
        <v>3714</v>
      </c>
      <c r="B207" s="880">
        <v>11</v>
      </c>
      <c r="C207" s="881">
        <f>19941.12/B207</f>
        <v>1812.8290909090908</v>
      </c>
      <c r="D207" s="881"/>
      <c r="E207" s="881"/>
      <c r="F207" s="881"/>
      <c r="G207" s="881"/>
      <c r="H207" s="881"/>
      <c r="I207" s="881"/>
      <c r="J207" s="881">
        <v>0</v>
      </c>
      <c r="K207" s="881">
        <f>SUM(C207:J207)</f>
        <v>1812.8290909090908</v>
      </c>
      <c r="L207" s="881">
        <f>54973.36/B207</f>
        <v>4997.5781818181822</v>
      </c>
      <c r="M207" s="881">
        <f>21556.14/B207</f>
        <v>1959.6490909090908</v>
      </c>
      <c r="N207" s="881">
        <f>SUM(L207:M207)</f>
        <v>6957.227272727273</v>
      </c>
      <c r="O207" s="881">
        <f>(K207*12)+N207</f>
        <v>28711.176363636361</v>
      </c>
      <c r="P207" s="913">
        <f>(O207*B207)</f>
        <v>315822.93999999994</v>
      </c>
      <c r="Q207" s="880">
        <v>11</v>
      </c>
      <c r="R207" s="881">
        <f>19941.12/Q207</f>
        <v>1812.8290909090908</v>
      </c>
      <c r="S207" s="881"/>
      <c r="T207" s="881"/>
      <c r="U207" s="881"/>
      <c r="V207" s="881"/>
      <c r="W207" s="881"/>
      <c r="X207" s="881"/>
      <c r="Y207" s="881">
        <v>0</v>
      </c>
      <c r="Z207" s="881">
        <f>SUM(R207:Y207)</f>
        <v>1812.8290909090908</v>
      </c>
      <c r="AA207" s="881">
        <f>54973.36/Q207</f>
        <v>4997.5781818181822</v>
      </c>
      <c r="AB207" s="881">
        <f>21556.14/Q207</f>
        <v>1959.6490909090908</v>
      </c>
      <c r="AC207" s="881">
        <f>SUM(AA207:AB207)</f>
        <v>6957.227272727273</v>
      </c>
      <c r="AD207" s="881">
        <f>(Z207*12)+AC207</f>
        <v>28711.176363636361</v>
      </c>
      <c r="AE207" s="881">
        <f>(AD207*Q207)</f>
        <v>315822.93999999994</v>
      </c>
      <c r="AF207" s="881">
        <f t="shared" si="154"/>
        <v>0</v>
      </c>
      <c r="AG207" s="881">
        <f t="shared" si="154"/>
        <v>0</v>
      </c>
      <c r="AH207" s="914">
        <f t="shared" si="155"/>
        <v>11</v>
      </c>
      <c r="AI207" s="913">
        <f t="shared" si="156"/>
        <v>315822.93999999994</v>
      </c>
    </row>
    <row r="208" spans="1:35" ht="24.95" customHeight="1" x14ac:dyDescent="0.2">
      <c r="A208" s="870" t="s">
        <v>3715</v>
      </c>
      <c r="B208" s="880">
        <v>18</v>
      </c>
      <c r="C208" s="881">
        <f>36638.61/B208</f>
        <v>2035.4783333333335</v>
      </c>
      <c r="D208" s="881"/>
      <c r="E208" s="881"/>
      <c r="F208" s="881"/>
      <c r="G208" s="881"/>
      <c r="H208" s="881"/>
      <c r="I208" s="881"/>
      <c r="J208" s="881">
        <v>0</v>
      </c>
      <c r="K208" s="881">
        <f>SUM(C208:J208)</f>
        <v>2035.4783333333335</v>
      </c>
      <c r="L208" s="881">
        <f>93805.83/B208</f>
        <v>5211.4350000000004</v>
      </c>
      <c r="M208" s="881">
        <f>36787.75/B208</f>
        <v>2043.7638888888889</v>
      </c>
      <c r="N208" s="881">
        <f>SUM(L208:M208)</f>
        <v>7255.1988888888891</v>
      </c>
      <c r="O208" s="881">
        <f>(K208*12)+N208</f>
        <v>31680.93888888889</v>
      </c>
      <c r="P208" s="913">
        <f>(O208*B208)</f>
        <v>570256.9</v>
      </c>
      <c r="Q208" s="880">
        <v>18</v>
      </c>
      <c r="R208" s="881">
        <f>36638.61/Q208</f>
        <v>2035.4783333333335</v>
      </c>
      <c r="S208" s="881"/>
      <c r="T208" s="881"/>
      <c r="U208" s="881"/>
      <c r="V208" s="881"/>
      <c r="W208" s="881"/>
      <c r="X208" s="881"/>
      <c r="Y208" s="881">
        <v>0</v>
      </c>
      <c r="Z208" s="881">
        <f>SUM(R208:Y208)</f>
        <v>2035.4783333333335</v>
      </c>
      <c r="AA208" s="881">
        <f>93805.83/Q208</f>
        <v>5211.4350000000004</v>
      </c>
      <c r="AB208" s="881">
        <f>36787.75/Q208</f>
        <v>2043.7638888888889</v>
      </c>
      <c r="AC208" s="881">
        <f>SUM(AA208:AB208)</f>
        <v>7255.1988888888891</v>
      </c>
      <c r="AD208" s="881">
        <f>(Z208*12)+AC208</f>
        <v>31680.93888888889</v>
      </c>
      <c r="AE208" s="881">
        <f>(AD208*Q208)</f>
        <v>570256.9</v>
      </c>
      <c r="AF208" s="881">
        <f t="shared" si="154"/>
        <v>0</v>
      </c>
      <c r="AG208" s="881">
        <f t="shared" si="154"/>
        <v>0</v>
      </c>
      <c r="AH208" s="914">
        <f t="shared" si="155"/>
        <v>18</v>
      </c>
      <c r="AI208" s="913">
        <f t="shared" si="156"/>
        <v>570256.9</v>
      </c>
    </row>
    <row r="209" spans="1:35" ht="24.95" customHeight="1" x14ac:dyDescent="0.2">
      <c r="A209" s="869" t="s">
        <v>3808</v>
      </c>
      <c r="B209" s="871">
        <f t="shared" ref="B209:P209" si="157">SUM(B206:B208)</f>
        <v>34</v>
      </c>
      <c r="C209" s="877">
        <f t="shared" ref="C209:M209" si="158">SUM(C206:C208)</f>
        <v>5360.4694242424248</v>
      </c>
      <c r="D209" s="877">
        <f t="shared" si="158"/>
        <v>0</v>
      </c>
      <c r="E209" s="877">
        <f t="shared" si="158"/>
        <v>0</v>
      </c>
      <c r="F209" s="877">
        <f t="shared" si="158"/>
        <v>0</v>
      </c>
      <c r="G209" s="877">
        <f t="shared" si="158"/>
        <v>0</v>
      </c>
      <c r="H209" s="877">
        <f t="shared" si="158"/>
        <v>0</v>
      </c>
      <c r="I209" s="877">
        <f t="shared" si="158"/>
        <v>0</v>
      </c>
      <c r="J209" s="877">
        <f t="shared" si="158"/>
        <v>0</v>
      </c>
      <c r="K209" s="877">
        <f t="shared" si="158"/>
        <v>5360.4694242424248</v>
      </c>
      <c r="L209" s="877">
        <f t="shared" si="158"/>
        <v>14735.499181818184</v>
      </c>
      <c r="M209" s="877">
        <f t="shared" si="158"/>
        <v>5777.7669797979797</v>
      </c>
      <c r="N209" s="877">
        <f t="shared" si="157"/>
        <v>20513.26616161616</v>
      </c>
      <c r="O209" s="877">
        <f t="shared" si="157"/>
        <v>84838.899252525254</v>
      </c>
      <c r="P209" s="878">
        <f t="shared" si="157"/>
        <v>1008313.76</v>
      </c>
      <c r="Q209" s="871">
        <f t="shared" ref="Q209:AI209" si="159">SUM(Q206:Q208)</f>
        <v>34</v>
      </c>
      <c r="R209" s="877">
        <f t="shared" si="159"/>
        <v>5360.4694242424248</v>
      </c>
      <c r="S209" s="877">
        <f t="shared" si="159"/>
        <v>0</v>
      </c>
      <c r="T209" s="877">
        <f t="shared" si="159"/>
        <v>0</v>
      </c>
      <c r="U209" s="877">
        <f t="shared" si="159"/>
        <v>0</v>
      </c>
      <c r="V209" s="877">
        <f t="shared" si="159"/>
        <v>0</v>
      </c>
      <c r="W209" s="877">
        <f t="shared" si="159"/>
        <v>0</v>
      </c>
      <c r="X209" s="877">
        <f t="shared" si="159"/>
        <v>0</v>
      </c>
      <c r="Y209" s="877">
        <f t="shared" si="159"/>
        <v>0</v>
      </c>
      <c r="Z209" s="877">
        <f t="shared" si="159"/>
        <v>5360.4694242424248</v>
      </c>
      <c r="AA209" s="877">
        <f t="shared" si="159"/>
        <v>14735.499181818184</v>
      </c>
      <c r="AB209" s="877">
        <f t="shared" si="159"/>
        <v>5777.7669797979797</v>
      </c>
      <c r="AC209" s="877">
        <f t="shared" si="159"/>
        <v>20513.26616161616</v>
      </c>
      <c r="AD209" s="877">
        <f t="shared" si="159"/>
        <v>84838.899252525254</v>
      </c>
      <c r="AE209" s="877">
        <f t="shared" si="159"/>
        <v>1008313.76</v>
      </c>
      <c r="AF209" s="877">
        <f>SUM(AF206:AF208)</f>
        <v>0</v>
      </c>
      <c r="AG209" s="877">
        <f>SUM(AG206:AG208)</f>
        <v>0</v>
      </c>
      <c r="AH209" s="874">
        <f t="shared" si="159"/>
        <v>34</v>
      </c>
      <c r="AI209" s="878">
        <f t="shared" si="159"/>
        <v>1008313.76</v>
      </c>
    </row>
    <row r="210" spans="1:35" ht="24.95" customHeight="1" x14ac:dyDescent="0.2">
      <c r="A210" s="869" t="s">
        <v>3693</v>
      </c>
      <c r="B210" s="880"/>
      <c r="C210" s="881"/>
      <c r="D210" s="881"/>
      <c r="E210" s="881"/>
      <c r="F210" s="881"/>
      <c r="G210" s="881"/>
      <c r="H210" s="881"/>
      <c r="I210" s="881"/>
      <c r="J210" s="881"/>
      <c r="K210" s="881"/>
      <c r="L210" s="881"/>
      <c r="M210" s="881"/>
      <c r="N210" s="881"/>
      <c r="O210" s="881"/>
      <c r="P210" s="913"/>
      <c r="Q210" s="880"/>
      <c r="R210" s="881"/>
      <c r="S210" s="881"/>
      <c r="T210" s="881"/>
      <c r="U210" s="881"/>
      <c r="V210" s="881"/>
      <c r="W210" s="881"/>
      <c r="X210" s="881"/>
      <c r="Y210" s="881"/>
      <c r="Z210" s="881"/>
      <c r="AA210" s="881"/>
      <c r="AB210" s="881"/>
      <c r="AC210" s="881"/>
      <c r="AD210" s="881"/>
      <c r="AE210" s="881"/>
      <c r="AF210" s="881"/>
      <c r="AG210" s="881"/>
      <c r="AH210" s="914"/>
      <c r="AI210" s="913"/>
    </row>
    <row r="211" spans="1:35" ht="24.95" customHeight="1" x14ac:dyDescent="0.2">
      <c r="A211" s="870" t="s">
        <v>3716</v>
      </c>
      <c r="B211" s="880">
        <v>3</v>
      </c>
      <c r="C211" s="881">
        <f>3999/B211</f>
        <v>1333</v>
      </c>
      <c r="D211" s="881"/>
      <c r="E211" s="881"/>
      <c r="F211" s="881"/>
      <c r="G211" s="881"/>
      <c r="H211" s="881"/>
      <c r="I211" s="881"/>
      <c r="J211" s="881">
        <v>0</v>
      </c>
      <c r="K211" s="881">
        <f>SUM(C211:J211)</f>
        <v>1333</v>
      </c>
      <c r="L211" s="881">
        <f>10095/B211</f>
        <v>3365</v>
      </c>
      <c r="M211" s="881">
        <f>3952.5/B211</f>
        <v>1317.5</v>
      </c>
      <c r="N211" s="881">
        <f>SUM(L211:M211)</f>
        <v>4682.5</v>
      </c>
      <c r="O211" s="881">
        <f>(K211*12)+N211</f>
        <v>20678.5</v>
      </c>
      <c r="P211" s="913">
        <f>(O211*B211)</f>
        <v>62035.5</v>
      </c>
      <c r="Q211" s="880">
        <v>3</v>
      </c>
      <c r="R211" s="881">
        <f>3999/Q211</f>
        <v>1333</v>
      </c>
      <c r="S211" s="881"/>
      <c r="T211" s="881"/>
      <c r="U211" s="881"/>
      <c r="V211" s="881"/>
      <c r="W211" s="881"/>
      <c r="X211" s="881"/>
      <c r="Y211" s="881">
        <v>0</v>
      </c>
      <c r="Z211" s="881">
        <f>SUM(R211:Y211)</f>
        <v>1333</v>
      </c>
      <c r="AA211" s="881">
        <f>10095/Q211</f>
        <v>3365</v>
      </c>
      <c r="AB211" s="881">
        <f>3952.5/Q211</f>
        <v>1317.5</v>
      </c>
      <c r="AC211" s="881">
        <f>SUM(AA211:AB211)</f>
        <v>4682.5</v>
      </c>
      <c r="AD211" s="881">
        <f>(Z211*12)+AC211</f>
        <v>20678.5</v>
      </c>
      <c r="AE211" s="881">
        <f>(AD211*Q211)</f>
        <v>62035.5</v>
      </c>
      <c r="AF211" s="881">
        <f t="shared" ref="AF211:AG213" si="160">O211-AD211</f>
        <v>0</v>
      </c>
      <c r="AG211" s="881">
        <f t="shared" si="160"/>
        <v>0</v>
      </c>
      <c r="AH211" s="914">
        <f t="shared" ref="AH211:AH213" si="161">Q211</f>
        <v>3</v>
      </c>
      <c r="AI211" s="913">
        <f t="shared" ref="AI211:AI213" si="162">AE211</f>
        <v>62035.5</v>
      </c>
    </row>
    <row r="212" spans="1:35" ht="24.95" customHeight="1" x14ac:dyDescent="0.2">
      <c r="A212" s="870" t="s">
        <v>3717</v>
      </c>
      <c r="B212" s="880">
        <v>1</v>
      </c>
      <c r="C212" s="881">
        <f>1429/B212</f>
        <v>1429</v>
      </c>
      <c r="D212" s="881"/>
      <c r="E212" s="881"/>
      <c r="F212" s="881"/>
      <c r="G212" s="881"/>
      <c r="H212" s="881"/>
      <c r="I212" s="881"/>
      <c r="J212" s="881">
        <v>0</v>
      </c>
      <c r="K212" s="881">
        <f>SUM(C212:J212)</f>
        <v>1429</v>
      </c>
      <c r="L212" s="881">
        <f>3605/B212</f>
        <v>3605</v>
      </c>
      <c r="M212" s="881">
        <f>1411.9/B212</f>
        <v>1411.9</v>
      </c>
      <c r="N212" s="881">
        <f>SUM(L212:M212)</f>
        <v>5016.8999999999996</v>
      </c>
      <c r="O212" s="881">
        <f>(K212*12)+N212</f>
        <v>22164.9</v>
      </c>
      <c r="P212" s="913">
        <f>(O212*B212)</f>
        <v>22164.9</v>
      </c>
      <c r="Q212" s="880">
        <v>1</v>
      </c>
      <c r="R212" s="881">
        <f>1429/Q212</f>
        <v>1429</v>
      </c>
      <c r="S212" s="881"/>
      <c r="T212" s="881"/>
      <c r="U212" s="881"/>
      <c r="V212" s="881"/>
      <c r="W212" s="881"/>
      <c r="X212" s="881"/>
      <c r="Y212" s="881">
        <v>0</v>
      </c>
      <c r="Z212" s="881">
        <f>SUM(R212:Y212)</f>
        <v>1429</v>
      </c>
      <c r="AA212" s="881">
        <f>3605/Q212</f>
        <v>3605</v>
      </c>
      <c r="AB212" s="881">
        <f>1411.9/Q212</f>
        <v>1411.9</v>
      </c>
      <c r="AC212" s="881">
        <f>SUM(AA212:AB212)</f>
        <v>5016.8999999999996</v>
      </c>
      <c r="AD212" s="881">
        <f>(Z212*12)+AC212</f>
        <v>22164.9</v>
      </c>
      <c r="AE212" s="881">
        <f>(AD212*Q212)</f>
        <v>22164.9</v>
      </c>
      <c r="AF212" s="881">
        <f t="shared" si="160"/>
        <v>0</v>
      </c>
      <c r="AG212" s="881">
        <f t="shared" si="160"/>
        <v>0</v>
      </c>
      <c r="AH212" s="914">
        <f t="shared" si="161"/>
        <v>1</v>
      </c>
      <c r="AI212" s="913">
        <f t="shared" si="162"/>
        <v>22164.9</v>
      </c>
    </row>
    <row r="213" spans="1:35" ht="24.95" customHeight="1" x14ac:dyDescent="0.2">
      <c r="A213" s="870" t="s">
        <v>3718</v>
      </c>
      <c r="B213" s="880">
        <v>2</v>
      </c>
      <c r="C213" s="881">
        <f>3050/B213</f>
        <v>1525</v>
      </c>
      <c r="D213" s="881"/>
      <c r="E213" s="881"/>
      <c r="F213" s="881"/>
      <c r="G213" s="881"/>
      <c r="H213" s="881"/>
      <c r="I213" s="881"/>
      <c r="J213" s="881">
        <v>0</v>
      </c>
      <c r="K213" s="881">
        <f>SUM(C213:J213)</f>
        <v>1525</v>
      </c>
      <c r="L213" s="881">
        <f>7690/B213</f>
        <v>3845</v>
      </c>
      <c r="M213" s="881">
        <f>3012.6/B213</f>
        <v>1506.3</v>
      </c>
      <c r="N213" s="881">
        <f>SUM(L213:M213)</f>
        <v>5351.3</v>
      </c>
      <c r="O213" s="881">
        <f>(K213*12)+N213</f>
        <v>23651.3</v>
      </c>
      <c r="P213" s="913">
        <f>(O213*B213)</f>
        <v>47302.6</v>
      </c>
      <c r="Q213" s="880">
        <v>2</v>
      </c>
      <c r="R213" s="881">
        <f>3050/Q213</f>
        <v>1525</v>
      </c>
      <c r="S213" s="881"/>
      <c r="T213" s="881"/>
      <c r="U213" s="881"/>
      <c r="V213" s="881"/>
      <c r="W213" s="881"/>
      <c r="X213" s="881"/>
      <c r="Y213" s="881">
        <v>0</v>
      </c>
      <c r="Z213" s="881">
        <f>SUM(R213:Y213)</f>
        <v>1525</v>
      </c>
      <c r="AA213" s="881">
        <f>7690/Q213</f>
        <v>3845</v>
      </c>
      <c r="AB213" s="881">
        <f>3012.6/Q213</f>
        <v>1506.3</v>
      </c>
      <c r="AC213" s="881">
        <f>SUM(AA213:AB213)</f>
        <v>5351.3</v>
      </c>
      <c r="AD213" s="881">
        <f>(Z213*12)+AC213</f>
        <v>23651.3</v>
      </c>
      <c r="AE213" s="881">
        <f>(AD213*Q213)</f>
        <v>47302.6</v>
      </c>
      <c r="AF213" s="881">
        <f t="shared" si="160"/>
        <v>0</v>
      </c>
      <c r="AG213" s="881">
        <f t="shared" si="160"/>
        <v>0</v>
      </c>
      <c r="AH213" s="914">
        <f t="shared" si="161"/>
        <v>2</v>
      </c>
      <c r="AI213" s="913">
        <f t="shared" si="162"/>
        <v>47302.6</v>
      </c>
    </row>
    <row r="214" spans="1:35" ht="24.95" customHeight="1" x14ac:dyDescent="0.2">
      <c r="A214" s="869" t="s">
        <v>3809</v>
      </c>
      <c r="B214" s="871">
        <f>SUM(B211:B213)</f>
        <v>6</v>
      </c>
      <c r="C214" s="877">
        <f t="shared" ref="C214:P214" si="163">SUM(C211:C213)</f>
        <v>4287</v>
      </c>
      <c r="D214" s="877">
        <f t="shared" si="163"/>
        <v>0</v>
      </c>
      <c r="E214" s="877">
        <f t="shared" si="163"/>
        <v>0</v>
      </c>
      <c r="F214" s="877">
        <f t="shared" si="163"/>
        <v>0</v>
      </c>
      <c r="G214" s="877">
        <f t="shared" si="163"/>
        <v>0</v>
      </c>
      <c r="H214" s="877">
        <f t="shared" si="163"/>
        <v>0</v>
      </c>
      <c r="I214" s="877">
        <f t="shared" si="163"/>
        <v>0</v>
      </c>
      <c r="J214" s="877">
        <f t="shared" si="163"/>
        <v>0</v>
      </c>
      <c r="K214" s="877">
        <f t="shared" si="163"/>
        <v>4287</v>
      </c>
      <c r="L214" s="877">
        <f t="shared" si="163"/>
        <v>10815</v>
      </c>
      <c r="M214" s="877">
        <f t="shared" si="163"/>
        <v>4235.7</v>
      </c>
      <c r="N214" s="877">
        <f t="shared" si="163"/>
        <v>15050.7</v>
      </c>
      <c r="O214" s="877">
        <f t="shared" si="163"/>
        <v>66494.7</v>
      </c>
      <c r="P214" s="878">
        <f t="shared" si="163"/>
        <v>131503</v>
      </c>
      <c r="Q214" s="871">
        <f>SUM(Q211:Q213)</f>
        <v>6</v>
      </c>
      <c r="R214" s="877">
        <f t="shared" ref="R214:AI214" si="164">SUM(R211:R213)</f>
        <v>4287</v>
      </c>
      <c r="S214" s="877">
        <f t="shared" si="164"/>
        <v>0</v>
      </c>
      <c r="T214" s="877">
        <f t="shared" si="164"/>
        <v>0</v>
      </c>
      <c r="U214" s="877">
        <f t="shared" si="164"/>
        <v>0</v>
      </c>
      <c r="V214" s="877">
        <f t="shared" si="164"/>
        <v>0</v>
      </c>
      <c r="W214" s="877">
        <f t="shared" si="164"/>
        <v>0</v>
      </c>
      <c r="X214" s="877">
        <f t="shared" si="164"/>
        <v>0</v>
      </c>
      <c r="Y214" s="877">
        <f t="shared" si="164"/>
        <v>0</v>
      </c>
      <c r="Z214" s="877">
        <f t="shared" si="164"/>
        <v>4287</v>
      </c>
      <c r="AA214" s="877">
        <f t="shared" si="164"/>
        <v>10815</v>
      </c>
      <c r="AB214" s="877">
        <f t="shared" si="164"/>
        <v>4235.7</v>
      </c>
      <c r="AC214" s="877">
        <f t="shared" si="164"/>
        <v>15050.7</v>
      </c>
      <c r="AD214" s="877">
        <f t="shared" si="164"/>
        <v>66494.7</v>
      </c>
      <c r="AE214" s="877">
        <f t="shared" si="164"/>
        <v>131503</v>
      </c>
      <c r="AF214" s="877">
        <f>SUM(AF211:AF213)</f>
        <v>0</v>
      </c>
      <c r="AG214" s="877">
        <f>SUM(AG211:AG213)</f>
        <v>0</v>
      </c>
      <c r="AH214" s="874">
        <f t="shared" si="164"/>
        <v>6</v>
      </c>
      <c r="AI214" s="878">
        <f t="shared" si="164"/>
        <v>131503</v>
      </c>
    </row>
    <row r="215" spans="1:35" ht="24.95" customHeight="1" x14ac:dyDescent="0.2">
      <c r="A215" s="869" t="s">
        <v>3894</v>
      </c>
      <c r="B215" s="871">
        <f>SUM(B197+B204+B209+B214)</f>
        <v>136</v>
      </c>
      <c r="C215" s="877">
        <f t="shared" ref="C215:P215" si="165">SUM(C197+C204+C209+C214)</f>
        <v>35059.66172380952</v>
      </c>
      <c r="D215" s="877">
        <f t="shared" si="165"/>
        <v>0</v>
      </c>
      <c r="E215" s="877">
        <f t="shared" si="165"/>
        <v>0</v>
      </c>
      <c r="F215" s="877">
        <f t="shared" si="165"/>
        <v>0</v>
      </c>
      <c r="G215" s="877">
        <f t="shared" si="165"/>
        <v>0</v>
      </c>
      <c r="H215" s="877">
        <f t="shared" si="165"/>
        <v>0</v>
      </c>
      <c r="I215" s="877">
        <f t="shared" si="165"/>
        <v>0</v>
      </c>
      <c r="J215" s="877">
        <f t="shared" si="165"/>
        <v>0</v>
      </c>
      <c r="K215" s="877">
        <f t="shared" si="165"/>
        <v>35059.66172380952</v>
      </c>
      <c r="L215" s="877">
        <f t="shared" si="165"/>
        <v>92267.105950649362</v>
      </c>
      <c r="M215" s="877">
        <f t="shared" si="165"/>
        <v>36200.729895815297</v>
      </c>
      <c r="N215" s="877">
        <f t="shared" si="165"/>
        <v>128467.83584646464</v>
      </c>
      <c r="O215" s="877">
        <f t="shared" si="165"/>
        <v>549183.77653217898</v>
      </c>
      <c r="P215" s="878">
        <f t="shared" si="165"/>
        <v>5195122.9799999995</v>
      </c>
      <c r="Q215" s="871">
        <f>SUM(Q197+Q204+Q209+Q214)</f>
        <v>136</v>
      </c>
      <c r="R215" s="877">
        <f t="shared" ref="R215:AI215" si="166">SUM(R197+R204+R209+R214)</f>
        <v>35059.66172380952</v>
      </c>
      <c r="S215" s="877">
        <f t="shared" si="166"/>
        <v>0</v>
      </c>
      <c r="T215" s="877">
        <f t="shared" si="166"/>
        <v>0</v>
      </c>
      <c r="U215" s="877">
        <f t="shared" si="166"/>
        <v>0</v>
      </c>
      <c r="V215" s="877">
        <f t="shared" si="166"/>
        <v>0</v>
      </c>
      <c r="W215" s="877">
        <f t="shared" si="166"/>
        <v>0</v>
      </c>
      <c r="X215" s="877">
        <f t="shared" si="166"/>
        <v>0</v>
      </c>
      <c r="Y215" s="877">
        <f t="shared" si="166"/>
        <v>0</v>
      </c>
      <c r="Z215" s="877">
        <f t="shared" si="166"/>
        <v>35059.66172380952</v>
      </c>
      <c r="AA215" s="877">
        <f t="shared" si="166"/>
        <v>92267.105950649362</v>
      </c>
      <c r="AB215" s="877">
        <f t="shared" si="166"/>
        <v>36200.729895815297</v>
      </c>
      <c r="AC215" s="877">
        <f t="shared" si="166"/>
        <v>128467.83584646464</v>
      </c>
      <c r="AD215" s="877">
        <f t="shared" si="166"/>
        <v>549183.77653217898</v>
      </c>
      <c r="AE215" s="877">
        <f t="shared" si="166"/>
        <v>5195122.9799999995</v>
      </c>
      <c r="AF215" s="877">
        <f>SUM(AF197+AF204+AF209+AF214)</f>
        <v>0</v>
      </c>
      <c r="AG215" s="877">
        <f>SUM(AG197+AG204+AG209+AG214)</f>
        <v>0</v>
      </c>
      <c r="AH215" s="874">
        <f t="shared" si="166"/>
        <v>136</v>
      </c>
      <c r="AI215" s="878">
        <f t="shared" si="166"/>
        <v>5195122.9799999995</v>
      </c>
    </row>
    <row r="216" spans="1:35" ht="24.95" customHeight="1" x14ac:dyDescent="0.2">
      <c r="A216" s="869" t="s">
        <v>3895</v>
      </c>
      <c r="B216" s="871">
        <f t="shared" ref="B216:AI216" si="167">SUM(B42+B68+B190+B215)</f>
        <v>27617</v>
      </c>
      <c r="C216" s="877">
        <f t="shared" si="167"/>
        <v>332224.57533900859</v>
      </c>
      <c r="D216" s="877">
        <f t="shared" si="167"/>
        <v>28245.972829003411</v>
      </c>
      <c r="E216" s="877">
        <f t="shared" si="167"/>
        <v>17277.818181818184</v>
      </c>
      <c r="F216" s="877">
        <f t="shared" si="167"/>
        <v>0</v>
      </c>
      <c r="G216" s="877">
        <f t="shared" si="167"/>
        <v>0</v>
      </c>
      <c r="H216" s="877">
        <f t="shared" si="167"/>
        <v>0</v>
      </c>
      <c r="I216" s="877">
        <f t="shared" si="167"/>
        <v>0</v>
      </c>
      <c r="J216" s="877">
        <f t="shared" si="167"/>
        <v>0</v>
      </c>
      <c r="K216" s="877">
        <f t="shared" si="167"/>
        <v>377748.36634983029</v>
      </c>
      <c r="L216" s="877">
        <f t="shared" si="167"/>
        <v>239827.10595064936</v>
      </c>
      <c r="M216" s="877">
        <f t="shared" si="167"/>
        <v>36200.729895815297</v>
      </c>
      <c r="N216" s="877">
        <f t="shared" si="167"/>
        <v>276027.83584646462</v>
      </c>
      <c r="O216" s="877">
        <f t="shared" si="167"/>
        <v>4809008.2320444277</v>
      </c>
      <c r="P216" s="878">
        <f t="shared" si="167"/>
        <v>584006988.01999998</v>
      </c>
      <c r="Q216" s="871">
        <f t="shared" si="167"/>
        <v>13242</v>
      </c>
      <c r="R216" s="877">
        <f t="shared" si="167"/>
        <v>346972.48597477016</v>
      </c>
      <c r="S216" s="877">
        <f t="shared" si="167"/>
        <v>30217.110374747848</v>
      </c>
      <c r="T216" s="877">
        <f t="shared" si="167"/>
        <v>29720.167709038913</v>
      </c>
      <c r="U216" s="877">
        <f t="shared" si="167"/>
        <v>0</v>
      </c>
      <c r="V216" s="877">
        <f t="shared" si="167"/>
        <v>0</v>
      </c>
      <c r="W216" s="877">
        <f t="shared" si="167"/>
        <v>0</v>
      </c>
      <c r="X216" s="877">
        <f t="shared" si="167"/>
        <v>0</v>
      </c>
      <c r="Y216" s="877">
        <f t="shared" si="167"/>
        <v>0</v>
      </c>
      <c r="Z216" s="877">
        <f t="shared" si="167"/>
        <v>406909.76405855711</v>
      </c>
      <c r="AA216" s="877">
        <f t="shared" si="167"/>
        <v>193030.65025444684</v>
      </c>
      <c r="AB216" s="877">
        <f t="shared" si="167"/>
        <v>36200.729895815297</v>
      </c>
      <c r="AC216" s="877">
        <f t="shared" si="167"/>
        <v>229231.38015026212</v>
      </c>
      <c r="AD216" s="877">
        <f t="shared" si="167"/>
        <v>5112148.5488529466</v>
      </c>
      <c r="AE216" s="877">
        <f t="shared" si="167"/>
        <v>563780315.53999996</v>
      </c>
      <c r="AF216" s="877">
        <f t="shared" si="167"/>
        <v>-303140.31680851878</v>
      </c>
      <c r="AG216" s="877">
        <f t="shared" si="167"/>
        <v>20226672.479999892</v>
      </c>
      <c r="AH216" s="874">
        <f t="shared" si="167"/>
        <v>13242</v>
      </c>
      <c r="AI216" s="878">
        <f t="shared" si="167"/>
        <v>563780315.53999996</v>
      </c>
    </row>
    <row r="217" spans="1:35" ht="24.95" customHeight="1" x14ac:dyDescent="0.2">
      <c r="A217" s="876" t="s">
        <v>12</v>
      </c>
      <c r="B217" s="871"/>
      <c r="C217" s="877"/>
      <c r="D217" s="877"/>
      <c r="E217" s="877"/>
      <c r="F217" s="877"/>
      <c r="G217" s="877"/>
      <c r="H217" s="877"/>
      <c r="I217" s="877"/>
      <c r="J217" s="877"/>
      <c r="K217" s="877"/>
      <c r="L217" s="877"/>
      <c r="M217" s="877"/>
      <c r="N217" s="877"/>
      <c r="O217" s="877"/>
      <c r="P217" s="878"/>
      <c r="Q217" s="871"/>
      <c r="R217" s="877"/>
      <c r="S217" s="877"/>
      <c r="T217" s="877"/>
      <c r="U217" s="877"/>
      <c r="V217" s="877"/>
      <c r="W217" s="877"/>
      <c r="X217" s="877"/>
      <c r="Y217" s="877"/>
      <c r="Z217" s="877"/>
      <c r="AA217" s="877"/>
      <c r="AB217" s="877"/>
      <c r="AC217" s="877"/>
      <c r="AD217" s="877"/>
      <c r="AE217" s="877"/>
      <c r="AF217" s="877"/>
      <c r="AG217" s="877"/>
      <c r="AH217" s="874"/>
      <c r="AI217" s="878"/>
    </row>
    <row r="218" spans="1:35" ht="24.95" customHeight="1" x14ac:dyDescent="0.2">
      <c r="A218" s="869" t="s">
        <v>3799</v>
      </c>
      <c r="B218" s="871"/>
      <c r="C218" s="877"/>
      <c r="D218" s="877"/>
      <c r="E218" s="877"/>
      <c r="F218" s="877"/>
      <c r="G218" s="877"/>
      <c r="H218" s="877"/>
      <c r="I218" s="877"/>
      <c r="J218" s="877"/>
      <c r="K218" s="877"/>
      <c r="L218" s="877"/>
      <c r="M218" s="877"/>
      <c r="N218" s="877"/>
      <c r="O218" s="877"/>
      <c r="P218" s="878"/>
      <c r="Q218" s="871"/>
      <c r="R218" s="877"/>
      <c r="S218" s="877"/>
      <c r="T218" s="877"/>
      <c r="U218" s="877"/>
      <c r="V218" s="877"/>
      <c r="W218" s="877"/>
      <c r="X218" s="877"/>
      <c r="Y218" s="877"/>
      <c r="Z218" s="877"/>
      <c r="AA218" s="877"/>
      <c r="AB218" s="877"/>
      <c r="AC218" s="877"/>
      <c r="AD218" s="877"/>
      <c r="AE218" s="877"/>
      <c r="AF218" s="877"/>
      <c r="AG218" s="877"/>
      <c r="AH218" s="874"/>
      <c r="AI218" s="878"/>
    </row>
    <row r="219" spans="1:35" ht="24.95" customHeight="1" x14ac:dyDescent="0.2">
      <c r="A219" s="879" t="s">
        <v>3896</v>
      </c>
      <c r="B219" s="880">
        <v>50</v>
      </c>
      <c r="C219" s="881">
        <v>0</v>
      </c>
      <c r="D219" s="881">
        <v>0</v>
      </c>
      <c r="E219" s="881">
        <v>0</v>
      </c>
      <c r="F219" s="881">
        <v>0</v>
      </c>
      <c r="G219" s="881">
        <v>0</v>
      </c>
      <c r="H219" s="881">
        <v>0</v>
      </c>
      <c r="I219" s="881">
        <v>0</v>
      </c>
      <c r="J219" s="881">
        <f>46826.68/B219</f>
        <v>936.53359999999998</v>
      </c>
      <c r="K219" s="881">
        <f>SUM(C219:J219)</f>
        <v>936.53359999999998</v>
      </c>
      <c r="L219" s="881">
        <v>654</v>
      </c>
      <c r="M219" s="881"/>
      <c r="N219" s="881">
        <f>SUM(L219:M219)</f>
        <v>654</v>
      </c>
      <c r="O219" s="881">
        <f>(K219*12)+N219</f>
        <v>11892.403200000001</v>
      </c>
      <c r="P219" s="913">
        <f>(O219*B219)</f>
        <v>594620.16000000003</v>
      </c>
      <c r="Q219" s="880">
        <v>37</v>
      </c>
      <c r="R219" s="881">
        <f>25848/Q219</f>
        <v>698.59459459459458</v>
      </c>
      <c r="S219" s="881">
        <v>0</v>
      </c>
      <c r="T219" s="881">
        <f>24297.72/Q219</f>
        <v>656.69513513513516</v>
      </c>
      <c r="U219" s="881">
        <v>0</v>
      </c>
      <c r="V219" s="881">
        <v>0</v>
      </c>
      <c r="W219" s="881">
        <v>0</v>
      </c>
      <c r="X219" s="881">
        <v>0</v>
      </c>
      <c r="Y219" s="881"/>
      <c r="Z219" s="881">
        <f>SUM(R219:Y219)</f>
        <v>1355.2897297297297</v>
      </c>
      <c r="AA219" s="881">
        <v>0</v>
      </c>
      <c r="AB219" s="881"/>
      <c r="AC219" s="881">
        <f>SUM(AA219:AB219)</f>
        <v>0</v>
      </c>
      <c r="AD219" s="881">
        <f>(Z219*12)+AC219</f>
        <v>16263.476756756758</v>
      </c>
      <c r="AE219" s="881">
        <f>(AD219*Q219)</f>
        <v>601748.64</v>
      </c>
      <c r="AF219" s="881">
        <f t="shared" ref="AF219:AG221" si="168">O219-AD219</f>
        <v>-4371.0735567567572</v>
      </c>
      <c r="AG219" s="881">
        <f t="shared" si="168"/>
        <v>-7128.4799999999814</v>
      </c>
      <c r="AH219" s="914">
        <f t="shared" ref="AH219:AH221" si="169">Q219</f>
        <v>37</v>
      </c>
      <c r="AI219" s="913">
        <f t="shared" ref="AI219:AI221" si="170">AE219</f>
        <v>601748.64</v>
      </c>
    </row>
    <row r="220" spans="1:35" ht="24.95" customHeight="1" x14ac:dyDescent="0.2">
      <c r="A220" s="879" t="s">
        <v>3766</v>
      </c>
      <c r="B220" s="880">
        <v>71</v>
      </c>
      <c r="C220" s="881"/>
      <c r="D220" s="881"/>
      <c r="E220" s="881"/>
      <c r="F220" s="881"/>
      <c r="G220" s="881"/>
      <c r="H220" s="881"/>
      <c r="I220" s="881"/>
      <c r="J220" s="881">
        <f>(150239+173638.31)/B220</f>
        <v>4561.652253521127</v>
      </c>
      <c r="K220" s="881">
        <f>SUM(C220:J220)</f>
        <v>4561.652253521127</v>
      </c>
      <c r="L220" s="881">
        <v>654</v>
      </c>
      <c r="M220" s="881"/>
      <c r="N220" s="881">
        <f>SUM(L220:M220)</f>
        <v>654</v>
      </c>
      <c r="O220" s="881">
        <f>(K220*12)+N220</f>
        <v>55393.827042253528</v>
      </c>
      <c r="P220" s="913">
        <f>(O220*B220)</f>
        <v>3932961.7200000007</v>
      </c>
      <c r="Q220" s="880">
        <v>71</v>
      </c>
      <c r="R220" s="881">
        <f>378452/Q220</f>
        <v>5330.3098591549297</v>
      </c>
      <c r="S220" s="881"/>
      <c r="T220" s="881">
        <f>31049.31/Q220</f>
        <v>437.31422535211271</v>
      </c>
      <c r="U220" s="881"/>
      <c r="V220" s="881"/>
      <c r="W220" s="881"/>
      <c r="X220" s="881"/>
      <c r="Y220" s="881"/>
      <c r="Z220" s="881">
        <f>SUM(R220:Y220)</f>
        <v>5767.6240845070424</v>
      </c>
      <c r="AA220" s="881">
        <f>71000/Q220</f>
        <v>1000</v>
      </c>
      <c r="AB220" s="881"/>
      <c r="AC220" s="881">
        <f>SUM(AA220:AB220)</f>
        <v>1000</v>
      </c>
      <c r="AD220" s="881">
        <f>(Z220*12)+AC220</f>
        <v>70211.489014084509</v>
      </c>
      <c r="AE220" s="881">
        <f>(AD220*Q220)</f>
        <v>4985015.72</v>
      </c>
      <c r="AF220" s="881">
        <f t="shared" si="168"/>
        <v>-14817.661971830981</v>
      </c>
      <c r="AG220" s="881">
        <f t="shared" si="168"/>
        <v>-1052053.9999999991</v>
      </c>
      <c r="AH220" s="914">
        <f t="shared" si="169"/>
        <v>71</v>
      </c>
      <c r="AI220" s="913">
        <f t="shared" si="170"/>
        <v>4985015.72</v>
      </c>
    </row>
    <row r="221" spans="1:35" ht="24.95" customHeight="1" x14ac:dyDescent="0.2">
      <c r="A221" s="879" t="s">
        <v>3897</v>
      </c>
      <c r="B221" s="880">
        <v>1125</v>
      </c>
      <c r="C221" s="881"/>
      <c r="D221" s="881"/>
      <c r="E221" s="881"/>
      <c r="F221" s="881"/>
      <c r="G221" s="881"/>
      <c r="H221" s="881"/>
      <c r="I221" s="881"/>
      <c r="J221" s="881">
        <f>(691085.09+432184.99)/B221</f>
        <v>998.46229333333338</v>
      </c>
      <c r="K221" s="881">
        <f>SUM(C221:J221)</f>
        <v>998.46229333333338</v>
      </c>
      <c r="L221" s="881">
        <v>654</v>
      </c>
      <c r="M221" s="881"/>
      <c r="N221" s="881">
        <f>SUM(L221:M221)</f>
        <v>654</v>
      </c>
      <c r="O221" s="881">
        <f>(K221*12)+N221</f>
        <v>12635.54752</v>
      </c>
      <c r="P221" s="913">
        <f>(O221*B221)</f>
        <v>14214990.960000001</v>
      </c>
      <c r="Q221" s="880">
        <v>146</v>
      </c>
      <c r="R221" s="881">
        <f>233690/Q221</f>
        <v>1600.6164383561643</v>
      </c>
      <c r="S221" s="881"/>
      <c r="T221" s="881"/>
      <c r="U221" s="881"/>
      <c r="V221" s="881"/>
      <c r="W221" s="881"/>
      <c r="X221" s="881"/>
      <c r="Y221" s="881"/>
      <c r="Z221" s="881">
        <f t="shared" ref="Z221" si="171">SUM(R221:Y221)</f>
        <v>1600.6164383561643</v>
      </c>
      <c r="AA221" s="881">
        <f>55600/Q221</f>
        <v>380.82191780821915</v>
      </c>
      <c r="AB221" s="881"/>
      <c r="AC221" s="881">
        <f>SUM(AA221:AB221)</f>
        <v>380.82191780821915</v>
      </c>
      <c r="AD221" s="881">
        <f>(Z221*12)+AC221</f>
        <v>19588.219178082189</v>
      </c>
      <c r="AE221" s="881">
        <f>(AD221*Q221)</f>
        <v>2859879.9999999995</v>
      </c>
      <c r="AF221" s="881">
        <f t="shared" si="168"/>
        <v>-6952.6716580821885</v>
      </c>
      <c r="AG221" s="881">
        <f t="shared" si="168"/>
        <v>11355110.960000001</v>
      </c>
      <c r="AH221" s="914">
        <f t="shared" si="169"/>
        <v>146</v>
      </c>
      <c r="AI221" s="913">
        <f t="shared" si="170"/>
        <v>2859879.9999999995</v>
      </c>
    </row>
    <row r="222" spans="1:35" ht="24.95" customHeight="1" x14ac:dyDescent="0.2">
      <c r="A222" s="869" t="s">
        <v>3898</v>
      </c>
      <c r="B222" s="871">
        <f>SUM(B219:B221)</f>
        <v>1246</v>
      </c>
      <c r="C222" s="877">
        <f t="shared" ref="C222:P222" si="172">SUM(C219:C221)</f>
        <v>0</v>
      </c>
      <c r="D222" s="877">
        <f t="shared" si="172"/>
        <v>0</v>
      </c>
      <c r="E222" s="877">
        <f t="shared" si="172"/>
        <v>0</v>
      </c>
      <c r="F222" s="877">
        <f t="shared" si="172"/>
        <v>0</v>
      </c>
      <c r="G222" s="877">
        <f t="shared" si="172"/>
        <v>0</v>
      </c>
      <c r="H222" s="877">
        <f t="shared" si="172"/>
        <v>0</v>
      </c>
      <c r="I222" s="877">
        <f t="shared" si="172"/>
        <v>0</v>
      </c>
      <c r="J222" s="877">
        <f t="shared" si="172"/>
        <v>6496.6481468544598</v>
      </c>
      <c r="K222" s="877">
        <f t="shared" si="172"/>
        <v>6496.6481468544598</v>
      </c>
      <c r="L222" s="877">
        <f t="shared" si="172"/>
        <v>1962</v>
      </c>
      <c r="M222" s="877">
        <f t="shared" si="172"/>
        <v>0</v>
      </c>
      <c r="N222" s="877">
        <f t="shared" si="172"/>
        <v>1962</v>
      </c>
      <c r="O222" s="877">
        <f t="shared" si="172"/>
        <v>79921.777762253536</v>
      </c>
      <c r="P222" s="878">
        <f t="shared" si="172"/>
        <v>18742572.840000004</v>
      </c>
      <c r="Q222" s="871">
        <f>SUM(Q219:Q221)</f>
        <v>254</v>
      </c>
      <c r="R222" s="877">
        <f t="shared" ref="R222:AI222" si="173">SUM(R219:R221)</f>
        <v>7629.5208921056892</v>
      </c>
      <c r="S222" s="877">
        <f t="shared" si="173"/>
        <v>0</v>
      </c>
      <c r="T222" s="877">
        <f t="shared" si="173"/>
        <v>1094.0093604872479</v>
      </c>
      <c r="U222" s="877">
        <f t="shared" si="173"/>
        <v>0</v>
      </c>
      <c r="V222" s="877">
        <f t="shared" si="173"/>
        <v>0</v>
      </c>
      <c r="W222" s="877">
        <f t="shared" si="173"/>
        <v>0</v>
      </c>
      <c r="X222" s="877">
        <f t="shared" si="173"/>
        <v>0</v>
      </c>
      <c r="Y222" s="877">
        <f t="shared" si="173"/>
        <v>0</v>
      </c>
      <c r="Z222" s="877">
        <f t="shared" si="173"/>
        <v>8723.5302525929364</v>
      </c>
      <c r="AA222" s="877">
        <f t="shared" si="173"/>
        <v>1380.821917808219</v>
      </c>
      <c r="AB222" s="877">
        <f t="shared" si="173"/>
        <v>0</v>
      </c>
      <c r="AC222" s="877">
        <f t="shared" si="173"/>
        <v>1380.821917808219</v>
      </c>
      <c r="AD222" s="877">
        <f t="shared" si="173"/>
        <v>106063.18494892346</v>
      </c>
      <c r="AE222" s="877">
        <f t="shared" si="173"/>
        <v>8446644.3599999994</v>
      </c>
      <c r="AF222" s="877">
        <f>SUM(AF219:AF221)</f>
        <v>-26141.407186669927</v>
      </c>
      <c r="AG222" s="877">
        <f>SUM(AG219:AG221)</f>
        <v>10295928.480000002</v>
      </c>
      <c r="AH222" s="874">
        <f t="shared" si="173"/>
        <v>254</v>
      </c>
      <c r="AI222" s="878">
        <f t="shared" si="173"/>
        <v>8446644.3599999994</v>
      </c>
    </row>
    <row r="223" spans="1:35" ht="24.95" customHeight="1" x14ac:dyDescent="0.2">
      <c r="A223" s="869" t="s">
        <v>3899</v>
      </c>
      <c r="B223" s="871"/>
      <c r="C223" s="877"/>
      <c r="D223" s="877"/>
      <c r="E223" s="877"/>
      <c r="F223" s="877"/>
      <c r="G223" s="877"/>
      <c r="H223" s="877"/>
      <c r="I223" s="877"/>
      <c r="J223" s="877"/>
      <c r="K223" s="877"/>
      <c r="L223" s="877"/>
      <c r="M223" s="877"/>
      <c r="N223" s="877"/>
      <c r="O223" s="877"/>
      <c r="P223" s="878"/>
      <c r="Q223" s="871"/>
      <c r="R223" s="877"/>
      <c r="S223" s="877"/>
      <c r="T223" s="877"/>
      <c r="U223" s="877"/>
      <c r="V223" s="877"/>
      <c r="W223" s="877"/>
      <c r="X223" s="877"/>
      <c r="Y223" s="877"/>
      <c r="Z223" s="877"/>
      <c r="AA223" s="877"/>
      <c r="AB223" s="877"/>
      <c r="AC223" s="877"/>
      <c r="AD223" s="877"/>
      <c r="AE223" s="877"/>
      <c r="AF223" s="877"/>
      <c r="AG223" s="877"/>
      <c r="AH223" s="874"/>
      <c r="AI223" s="878"/>
    </row>
    <row r="224" spans="1:35" ht="24.95" customHeight="1" thickBot="1" x14ac:dyDescent="0.25">
      <c r="A224" s="882" t="s">
        <v>3900</v>
      </c>
      <c r="B224" s="883">
        <v>21</v>
      </c>
      <c r="C224" s="884"/>
      <c r="D224" s="884"/>
      <c r="E224" s="884"/>
      <c r="F224" s="884"/>
      <c r="G224" s="884"/>
      <c r="H224" s="884"/>
      <c r="I224" s="884"/>
      <c r="J224" s="884">
        <f>(90090)/B224</f>
        <v>4290</v>
      </c>
      <c r="K224" s="884">
        <f>SUM(C224:J224)</f>
        <v>4290</v>
      </c>
      <c r="L224" s="884"/>
      <c r="M224" s="884"/>
      <c r="N224" s="884">
        <f>SUM(L224:M224)</f>
        <v>0</v>
      </c>
      <c r="O224" s="884">
        <f>(K224*12)+N224</f>
        <v>51480</v>
      </c>
      <c r="P224" s="916">
        <f>(O224*B224)</f>
        <v>1081080</v>
      </c>
      <c r="Q224" s="883">
        <v>21</v>
      </c>
      <c r="R224" s="884">
        <f>90090/Q224</f>
        <v>4290</v>
      </c>
      <c r="S224" s="884"/>
      <c r="T224" s="884"/>
      <c r="U224" s="884"/>
      <c r="V224" s="884"/>
      <c r="W224" s="884"/>
      <c r="X224" s="884"/>
      <c r="Y224" s="884"/>
      <c r="Z224" s="884">
        <f>SUM(R224:Y224)</f>
        <v>4290</v>
      </c>
      <c r="AA224" s="884"/>
      <c r="AB224" s="884"/>
      <c r="AC224" s="884">
        <f>SUM(AA224:AB224)</f>
        <v>0</v>
      </c>
      <c r="AD224" s="884">
        <f>(Z224*12)+AC224</f>
        <v>51480</v>
      </c>
      <c r="AE224" s="884">
        <f>(AD224*Q224)</f>
        <v>1081080</v>
      </c>
      <c r="AF224" s="884">
        <f>SUM(AD224-O224)</f>
        <v>0</v>
      </c>
      <c r="AG224" s="884">
        <f>SUM(AE224-P224)</f>
        <v>0</v>
      </c>
      <c r="AH224" s="917">
        <f>SUM(AD224-O224)</f>
        <v>0</v>
      </c>
      <c r="AI224" s="916">
        <f>SUM(AE224-P224)</f>
        <v>0</v>
      </c>
    </row>
    <row r="225" spans="1:35" ht="33" customHeight="1" x14ac:dyDescent="0.2">
      <c r="A225" s="888"/>
      <c r="B225" s="889">
        <f t="shared" ref="B225:AI225" si="174">B224</f>
        <v>21</v>
      </c>
      <c r="C225" s="890">
        <f t="shared" si="174"/>
        <v>0</v>
      </c>
      <c r="D225" s="890">
        <f t="shared" si="174"/>
        <v>0</v>
      </c>
      <c r="E225" s="890">
        <f t="shared" si="174"/>
        <v>0</v>
      </c>
      <c r="F225" s="890">
        <f t="shared" si="174"/>
        <v>0</v>
      </c>
      <c r="G225" s="890">
        <f t="shared" si="174"/>
        <v>0</v>
      </c>
      <c r="H225" s="890">
        <f t="shared" si="174"/>
        <v>0</v>
      </c>
      <c r="I225" s="890">
        <f t="shared" si="174"/>
        <v>0</v>
      </c>
      <c r="J225" s="890">
        <f t="shared" si="174"/>
        <v>4290</v>
      </c>
      <c r="K225" s="890">
        <f t="shared" si="174"/>
        <v>4290</v>
      </c>
      <c r="L225" s="890">
        <f t="shared" si="174"/>
        <v>0</v>
      </c>
      <c r="M225" s="890">
        <f t="shared" si="174"/>
        <v>0</v>
      </c>
      <c r="N225" s="890">
        <f t="shared" si="174"/>
        <v>0</v>
      </c>
      <c r="O225" s="890">
        <f t="shared" si="174"/>
        <v>51480</v>
      </c>
      <c r="P225" s="891">
        <f t="shared" si="174"/>
        <v>1081080</v>
      </c>
      <c r="Q225" s="889">
        <f t="shared" si="174"/>
        <v>21</v>
      </c>
      <c r="R225" s="890">
        <f t="shared" si="174"/>
        <v>4290</v>
      </c>
      <c r="S225" s="890">
        <f t="shared" si="174"/>
        <v>0</v>
      </c>
      <c r="T225" s="890">
        <f t="shared" si="174"/>
        <v>0</v>
      </c>
      <c r="U225" s="890">
        <f t="shared" si="174"/>
        <v>0</v>
      </c>
      <c r="V225" s="890">
        <f t="shared" si="174"/>
        <v>0</v>
      </c>
      <c r="W225" s="890">
        <f t="shared" si="174"/>
        <v>0</v>
      </c>
      <c r="X225" s="890">
        <f t="shared" si="174"/>
        <v>0</v>
      </c>
      <c r="Y225" s="890">
        <f t="shared" si="174"/>
        <v>0</v>
      </c>
      <c r="Z225" s="890">
        <f t="shared" si="174"/>
        <v>4290</v>
      </c>
      <c r="AA225" s="890">
        <f t="shared" si="174"/>
        <v>0</v>
      </c>
      <c r="AB225" s="890">
        <f t="shared" si="174"/>
        <v>0</v>
      </c>
      <c r="AC225" s="890">
        <f t="shared" si="174"/>
        <v>0</v>
      </c>
      <c r="AD225" s="890">
        <f t="shared" si="174"/>
        <v>51480</v>
      </c>
      <c r="AE225" s="891">
        <f t="shared" si="174"/>
        <v>1081080</v>
      </c>
      <c r="AF225" s="892">
        <f>AF224</f>
        <v>0</v>
      </c>
      <c r="AG225" s="893">
        <f>AG224</f>
        <v>0</v>
      </c>
      <c r="AH225" s="894">
        <f t="shared" si="174"/>
        <v>0</v>
      </c>
      <c r="AI225" s="893">
        <f t="shared" si="174"/>
        <v>0</v>
      </c>
    </row>
    <row r="226" spans="1:35" ht="33" customHeight="1" x14ac:dyDescent="0.2">
      <c r="A226" s="895"/>
      <c r="B226" s="896">
        <f t="shared" ref="B226:AI226" si="175">SUM(B222+B225)</f>
        <v>1267</v>
      </c>
      <c r="C226" s="897">
        <f t="shared" si="175"/>
        <v>0</v>
      </c>
      <c r="D226" s="897">
        <f t="shared" si="175"/>
        <v>0</v>
      </c>
      <c r="E226" s="897">
        <f t="shared" si="175"/>
        <v>0</v>
      </c>
      <c r="F226" s="897">
        <f t="shared" si="175"/>
        <v>0</v>
      </c>
      <c r="G226" s="897">
        <f t="shared" si="175"/>
        <v>0</v>
      </c>
      <c r="H226" s="897">
        <f t="shared" si="175"/>
        <v>0</v>
      </c>
      <c r="I226" s="897">
        <f t="shared" si="175"/>
        <v>0</v>
      </c>
      <c r="J226" s="897">
        <f t="shared" si="175"/>
        <v>10786.648146854459</v>
      </c>
      <c r="K226" s="897">
        <f t="shared" si="175"/>
        <v>10786.648146854459</v>
      </c>
      <c r="L226" s="897">
        <f t="shared" si="175"/>
        <v>1962</v>
      </c>
      <c r="M226" s="897">
        <f t="shared" si="175"/>
        <v>0</v>
      </c>
      <c r="N226" s="897">
        <f t="shared" si="175"/>
        <v>1962</v>
      </c>
      <c r="O226" s="897">
        <f t="shared" si="175"/>
        <v>131401.77776225354</v>
      </c>
      <c r="P226" s="898">
        <f t="shared" si="175"/>
        <v>19823652.840000004</v>
      </c>
      <c r="Q226" s="896">
        <f t="shared" si="175"/>
        <v>275</v>
      </c>
      <c r="R226" s="897">
        <f t="shared" si="175"/>
        <v>11919.520892105689</v>
      </c>
      <c r="S226" s="897">
        <f t="shared" si="175"/>
        <v>0</v>
      </c>
      <c r="T226" s="897">
        <f t="shared" si="175"/>
        <v>1094.0093604872479</v>
      </c>
      <c r="U226" s="897">
        <f t="shared" si="175"/>
        <v>0</v>
      </c>
      <c r="V226" s="897">
        <f t="shared" si="175"/>
        <v>0</v>
      </c>
      <c r="W226" s="897">
        <f t="shared" si="175"/>
        <v>0</v>
      </c>
      <c r="X226" s="897">
        <f t="shared" si="175"/>
        <v>0</v>
      </c>
      <c r="Y226" s="897">
        <f t="shared" si="175"/>
        <v>0</v>
      </c>
      <c r="Z226" s="897">
        <f t="shared" si="175"/>
        <v>13013.530252592936</v>
      </c>
      <c r="AA226" s="897">
        <f t="shared" si="175"/>
        <v>1380.821917808219</v>
      </c>
      <c r="AB226" s="897">
        <f t="shared" si="175"/>
        <v>0</v>
      </c>
      <c r="AC226" s="897">
        <f t="shared" si="175"/>
        <v>1380.821917808219</v>
      </c>
      <c r="AD226" s="897">
        <f t="shared" si="175"/>
        <v>157543.18494892347</v>
      </c>
      <c r="AE226" s="898">
        <f t="shared" si="175"/>
        <v>9527724.3599999994</v>
      </c>
      <c r="AF226" s="899">
        <f>SUM(AF222+AF225)</f>
        <v>-26141.407186669927</v>
      </c>
      <c r="AG226" s="900">
        <f>SUM(AG222+AG225)</f>
        <v>10295928.480000002</v>
      </c>
      <c r="AH226" s="901">
        <f t="shared" si="175"/>
        <v>254</v>
      </c>
      <c r="AI226" s="900">
        <f t="shared" si="175"/>
        <v>8446644.3599999994</v>
      </c>
    </row>
    <row r="227" spans="1:35" ht="34.5" customHeight="1" thickBot="1" x14ac:dyDescent="0.25">
      <c r="A227" s="908" t="s">
        <v>0</v>
      </c>
      <c r="B227" s="902">
        <f>B216+B226</f>
        <v>28884</v>
      </c>
      <c r="C227" s="903">
        <f t="shared" ref="C227:AI227" si="176">C216+C226</f>
        <v>332224.57533900859</v>
      </c>
      <c r="D227" s="903">
        <f t="shared" si="176"/>
        <v>28245.972829003411</v>
      </c>
      <c r="E227" s="903">
        <f t="shared" si="176"/>
        <v>17277.818181818184</v>
      </c>
      <c r="F227" s="903">
        <f t="shared" si="176"/>
        <v>0</v>
      </c>
      <c r="G227" s="903">
        <f t="shared" si="176"/>
        <v>0</v>
      </c>
      <c r="H227" s="903">
        <f t="shared" si="176"/>
        <v>0</v>
      </c>
      <c r="I227" s="903">
        <f t="shared" si="176"/>
        <v>0</v>
      </c>
      <c r="J227" s="903">
        <f t="shared" si="176"/>
        <v>10786.648146854459</v>
      </c>
      <c r="K227" s="903">
        <f t="shared" si="176"/>
        <v>388535.01449668477</v>
      </c>
      <c r="L227" s="903">
        <f t="shared" si="176"/>
        <v>241789.10595064936</v>
      </c>
      <c r="M227" s="903">
        <f t="shared" si="176"/>
        <v>36200.729895815297</v>
      </c>
      <c r="N227" s="903">
        <f t="shared" si="176"/>
        <v>277989.83584646462</v>
      </c>
      <c r="O227" s="903">
        <f t="shared" si="176"/>
        <v>4940410.0098066814</v>
      </c>
      <c r="P227" s="904">
        <f t="shared" si="176"/>
        <v>603830640.86000001</v>
      </c>
      <c r="Q227" s="902">
        <f t="shared" si="176"/>
        <v>13517</v>
      </c>
      <c r="R227" s="903">
        <f t="shared" si="176"/>
        <v>358892.00686687586</v>
      </c>
      <c r="S227" s="903">
        <f t="shared" si="176"/>
        <v>30217.110374747848</v>
      </c>
      <c r="T227" s="903">
        <f t="shared" si="176"/>
        <v>30814.177069526162</v>
      </c>
      <c r="U227" s="903">
        <f t="shared" si="176"/>
        <v>0</v>
      </c>
      <c r="V227" s="903">
        <f t="shared" si="176"/>
        <v>0</v>
      </c>
      <c r="W227" s="903">
        <f t="shared" si="176"/>
        <v>0</v>
      </c>
      <c r="X227" s="903">
        <f t="shared" si="176"/>
        <v>0</v>
      </c>
      <c r="Y227" s="903">
        <f t="shared" si="176"/>
        <v>0</v>
      </c>
      <c r="Z227" s="903">
        <f t="shared" si="176"/>
        <v>419923.29431115004</v>
      </c>
      <c r="AA227" s="903">
        <f t="shared" si="176"/>
        <v>194411.47217225505</v>
      </c>
      <c r="AB227" s="903">
        <f t="shared" si="176"/>
        <v>36200.729895815297</v>
      </c>
      <c r="AC227" s="903">
        <f t="shared" si="176"/>
        <v>230612.20206807033</v>
      </c>
      <c r="AD227" s="903">
        <f t="shared" si="176"/>
        <v>5269691.7338018697</v>
      </c>
      <c r="AE227" s="904">
        <f t="shared" si="176"/>
        <v>573308039.89999998</v>
      </c>
      <c r="AF227" s="905">
        <f>AF216+AF226</f>
        <v>-329281.72399518872</v>
      </c>
      <c r="AG227" s="906">
        <f>AG216+AG226</f>
        <v>30522600.959999897</v>
      </c>
      <c r="AH227" s="907">
        <f t="shared" si="176"/>
        <v>13496</v>
      </c>
      <c r="AI227" s="906">
        <f t="shared" si="176"/>
        <v>572226959.89999998</v>
      </c>
    </row>
    <row r="228" spans="1:35" x14ac:dyDescent="0.2">
      <c r="A228" s="81" t="s">
        <v>55</v>
      </c>
      <c r="B228" s="81"/>
      <c r="C228" s="81"/>
      <c r="D228" s="81"/>
      <c r="E228" s="81"/>
      <c r="F228" s="81"/>
      <c r="G228" s="81"/>
      <c r="H228" s="81"/>
      <c r="I228" s="81"/>
      <c r="J228" s="81"/>
      <c r="K228" s="81"/>
      <c r="L228" s="81"/>
      <c r="M228" s="81"/>
      <c r="N228" s="81"/>
      <c r="O228" s="81"/>
      <c r="P228" s="81"/>
      <c r="Q228" s="81"/>
      <c r="R228" s="81"/>
      <c r="S228" s="81"/>
      <c r="T228" s="81"/>
      <c r="U228" s="81"/>
      <c r="V228" s="81"/>
      <c r="W228" s="81"/>
      <c r="X228" s="81"/>
      <c r="Y228" s="81"/>
      <c r="Z228" s="81"/>
      <c r="AA228" s="81"/>
      <c r="AB228" s="81"/>
      <c r="AC228" s="81"/>
      <c r="AD228" s="81"/>
      <c r="AE228" s="81"/>
      <c r="AH228" s="885"/>
      <c r="AI228" s="81"/>
    </row>
    <row r="229" spans="1:35" x14ac:dyDescent="0.2">
      <c r="A229" s="81" t="s">
        <v>56</v>
      </c>
      <c r="B229" s="81" t="s">
        <v>148</v>
      </c>
      <c r="C229" s="81"/>
      <c r="D229" s="81"/>
      <c r="E229" s="81"/>
      <c r="F229" s="81"/>
      <c r="G229" s="81"/>
      <c r="H229" s="81"/>
      <c r="I229" s="81"/>
      <c r="J229" s="81"/>
      <c r="K229" s="81"/>
      <c r="L229" s="81"/>
      <c r="M229" s="81"/>
      <c r="N229" s="81"/>
      <c r="O229" s="81"/>
      <c r="P229" s="81"/>
      <c r="Q229" s="81"/>
      <c r="R229" s="81"/>
      <c r="S229" s="81"/>
      <c r="T229" s="81"/>
      <c r="U229" s="81"/>
      <c r="V229" s="81"/>
      <c r="W229" s="81"/>
      <c r="X229" s="81"/>
      <c r="Y229" s="81"/>
      <c r="Z229" s="81"/>
      <c r="AA229" s="81"/>
      <c r="AB229" s="81"/>
      <c r="AC229" s="81"/>
      <c r="AD229" s="81"/>
      <c r="AE229" s="81"/>
      <c r="AH229" s="885"/>
      <c r="AI229" s="81"/>
    </row>
    <row r="230" spans="1:35" x14ac:dyDescent="0.2">
      <c r="A230" s="81" t="s">
        <v>57</v>
      </c>
      <c r="B230" s="81" t="s">
        <v>58</v>
      </c>
      <c r="C230" s="81"/>
      <c r="D230" s="81"/>
      <c r="E230" s="81"/>
      <c r="F230" s="81"/>
      <c r="G230" s="81"/>
      <c r="H230" s="81"/>
      <c r="I230" s="81"/>
      <c r="J230" s="81"/>
      <c r="K230" s="81"/>
      <c r="L230" s="81"/>
      <c r="M230" s="81"/>
      <c r="N230" s="81"/>
      <c r="O230" s="81"/>
      <c r="P230" s="81"/>
      <c r="Q230" s="81"/>
      <c r="R230" s="81"/>
      <c r="S230" s="81"/>
      <c r="T230" s="81"/>
      <c r="U230" s="81"/>
      <c r="V230" s="81"/>
      <c r="W230" s="81"/>
      <c r="X230" s="81"/>
      <c r="Y230" s="81"/>
      <c r="Z230" s="81"/>
      <c r="AA230" s="81"/>
      <c r="AB230" s="81"/>
      <c r="AC230" s="81"/>
      <c r="AD230" s="81"/>
      <c r="AE230" s="81"/>
      <c r="AH230" s="885"/>
      <c r="AI230" s="81"/>
    </row>
    <row r="231" spans="1:35" x14ac:dyDescent="0.2">
      <c r="A231" s="81" t="s">
        <v>59</v>
      </c>
      <c r="B231" s="81" t="s">
        <v>60</v>
      </c>
      <c r="C231" s="81"/>
      <c r="D231" s="81"/>
      <c r="E231" s="81"/>
      <c r="F231" s="81"/>
      <c r="G231" s="81"/>
      <c r="H231" s="81"/>
      <c r="I231" s="81"/>
      <c r="J231" s="81"/>
      <c r="K231" s="81"/>
      <c r="L231" s="81"/>
      <c r="M231" s="81"/>
      <c r="N231" s="81"/>
      <c r="O231" s="81"/>
      <c r="P231" s="81"/>
      <c r="Q231" s="81"/>
      <c r="R231" s="81"/>
      <c r="S231" s="81"/>
      <c r="T231" s="81"/>
      <c r="U231" s="81"/>
      <c r="V231" s="81"/>
      <c r="W231" s="81"/>
      <c r="X231" s="81"/>
      <c r="Y231" s="81"/>
      <c r="Z231" s="81"/>
      <c r="AA231" s="81"/>
      <c r="AB231" s="81"/>
      <c r="AC231" s="81"/>
      <c r="AD231" s="81"/>
      <c r="AE231" s="81"/>
      <c r="AH231" s="885"/>
      <c r="AI231" s="81"/>
    </row>
    <row r="232" spans="1:35" x14ac:dyDescent="0.2">
      <c r="A232" s="81" t="s">
        <v>61</v>
      </c>
      <c r="B232" s="81" t="s">
        <v>62</v>
      </c>
      <c r="C232" s="81"/>
      <c r="D232" s="81"/>
      <c r="E232" s="81"/>
      <c r="F232" s="81"/>
      <c r="G232" s="81"/>
      <c r="H232" s="81"/>
      <c r="I232" s="81"/>
      <c r="J232" s="81"/>
      <c r="K232" s="81"/>
      <c r="L232" s="81"/>
      <c r="M232" s="81"/>
      <c r="N232" s="81"/>
      <c r="O232" s="81"/>
      <c r="P232" s="81"/>
      <c r="Q232" s="81"/>
      <c r="R232" s="81"/>
      <c r="S232" s="81"/>
      <c r="T232" s="81"/>
      <c r="U232" s="81"/>
      <c r="V232" s="81"/>
      <c r="W232" s="81"/>
      <c r="X232" s="81"/>
      <c r="Y232" s="81"/>
      <c r="Z232" s="81"/>
      <c r="AA232" s="81"/>
      <c r="AB232" s="81"/>
      <c r="AC232" s="81"/>
      <c r="AD232" s="81"/>
      <c r="AE232" s="81"/>
      <c r="AH232" s="885"/>
      <c r="AI232" s="81"/>
    </row>
    <row r="233" spans="1:35" x14ac:dyDescent="0.2">
      <c r="A233" s="81"/>
      <c r="B233" s="81" t="s">
        <v>63</v>
      </c>
      <c r="C233" s="81"/>
      <c r="D233" s="81"/>
      <c r="E233" s="81"/>
      <c r="F233" s="81"/>
      <c r="G233" s="81"/>
      <c r="H233" s="81"/>
      <c r="I233" s="81"/>
      <c r="J233" s="81"/>
      <c r="K233" s="81"/>
      <c r="L233" s="81"/>
      <c r="M233" s="81"/>
      <c r="N233" s="81"/>
      <c r="O233" s="81"/>
      <c r="P233" s="81"/>
      <c r="Q233" s="81"/>
      <c r="R233" s="81"/>
      <c r="S233" s="81"/>
      <c r="T233" s="81"/>
      <c r="U233" s="81"/>
      <c r="V233" s="81"/>
      <c r="W233" s="81"/>
      <c r="X233" s="81"/>
      <c r="Y233" s="81"/>
      <c r="Z233" s="81"/>
      <c r="AA233" s="81"/>
      <c r="AB233" s="81"/>
      <c r="AC233" s="81"/>
      <c r="AD233" s="81"/>
      <c r="AE233" s="81"/>
      <c r="AH233" s="885"/>
      <c r="AI233" s="81"/>
    </row>
    <row r="234" spans="1:35" x14ac:dyDescent="0.2">
      <c r="A234" s="81" t="s">
        <v>64</v>
      </c>
      <c r="B234" s="81" t="s">
        <v>139</v>
      </c>
      <c r="C234" s="81"/>
      <c r="D234" s="81"/>
      <c r="E234" s="81"/>
      <c r="F234" s="81"/>
      <c r="G234" s="81"/>
      <c r="H234" s="81"/>
      <c r="I234" s="81"/>
      <c r="J234" s="81"/>
      <c r="K234" s="81"/>
      <c r="L234" s="81"/>
      <c r="M234" s="81"/>
      <c r="N234" s="81"/>
      <c r="O234" s="81"/>
      <c r="P234" s="81"/>
      <c r="Q234" s="81"/>
      <c r="R234" s="81"/>
      <c r="S234" s="81"/>
      <c r="T234" s="81"/>
      <c r="U234" s="81"/>
      <c r="V234" s="81"/>
      <c r="W234" s="81"/>
      <c r="X234" s="81"/>
      <c r="Y234" s="81"/>
      <c r="Z234" s="81"/>
      <c r="AA234" s="81"/>
      <c r="AB234" s="81"/>
      <c r="AC234" s="81"/>
      <c r="AD234" s="81"/>
      <c r="AE234" s="81"/>
      <c r="AH234" s="885"/>
      <c r="AI234" s="81"/>
    </row>
    <row r="235" spans="1:35" x14ac:dyDescent="0.2">
      <c r="A235" s="81"/>
      <c r="B235" s="81" t="s">
        <v>65</v>
      </c>
      <c r="C235" s="81"/>
      <c r="D235" s="81"/>
      <c r="E235" s="81"/>
      <c r="F235" s="81"/>
      <c r="G235" s="81"/>
      <c r="H235" s="81"/>
      <c r="I235" s="81"/>
      <c r="J235" s="81"/>
      <c r="K235" s="81"/>
      <c r="L235" s="81"/>
      <c r="M235" s="81"/>
      <c r="N235" s="81"/>
      <c r="O235" s="81"/>
      <c r="P235" s="81"/>
      <c r="Q235" s="81"/>
      <c r="R235" s="81"/>
      <c r="S235" s="81"/>
      <c r="T235" s="81"/>
      <c r="U235" s="81"/>
      <c r="V235" s="81"/>
      <c r="W235" s="81"/>
      <c r="X235" s="81"/>
      <c r="Y235" s="81"/>
      <c r="Z235" s="81"/>
      <c r="AA235" s="81"/>
      <c r="AB235" s="81"/>
      <c r="AC235" s="81"/>
      <c r="AD235" s="81"/>
      <c r="AE235" s="81"/>
      <c r="AH235" s="885"/>
      <c r="AI235" s="81"/>
    </row>
    <row r="236" spans="1:35" x14ac:dyDescent="0.2">
      <c r="A236" s="81"/>
      <c r="B236" s="81" t="s">
        <v>66</v>
      </c>
      <c r="C236" s="81"/>
      <c r="D236" s="81"/>
      <c r="E236" s="81"/>
      <c r="F236" s="81"/>
      <c r="G236" s="81"/>
      <c r="H236" s="81"/>
      <c r="I236" s="81"/>
      <c r="J236" s="81"/>
      <c r="K236" s="81"/>
      <c r="L236" s="81"/>
      <c r="M236" s="81"/>
      <c r="N236" s="81"/>
      <c r="O236" s="81"/>
      <c r="P236" s="81"/>
      <c r="Q236" s="81"/>
      <c r="R236" s="81"/>
      <c r="S236" s="81"/>
      <c r="T236" s="81"/>
      <c r="U236" s="81"/>
      <c r="V236" s="81"/>
      <c r="W236" s="81"/>
      <c r="X236" s="81"/>
      <c r="Y236" s="81"/>
      <c r="Z236" s="81"/>
      <c r="AA236" s="81"/>
      <c r="AB236" s="81"/>
      <c r="AC236" s="81"/>
      <c r="AD236" s="81"/>
      <c r="AE236" s="81"/>
      <c r="AH236" s="885"/>
      <c r="AI236" s="81"/>
    </row>
    <row r="237" spans="1:35" x14ac:dyDescent="0.2">
      <c r="A237" s="81"/>
      <c r="B237" s="81" t="s">
        <v>67</v>
      </c>
      <c r="C237" s="81"/>
      <c r="D237" s="81"/>
      <c r="E237" s="81"/>
      <c r="F237" s="81"/>
      <c r="G237" s="81"/>
      <c r="H237" s="81"/>
      <c r="I237" s="81"/>
      <c r="J237" s="81"/>
      <c r="K237" s="81"/>
      <c r="L237" s="81"/>
      <c r="M237" s="81"/>
      <c r="N237" s="81"/>
      <c r="O237" s="81"/>
      <c r="P237" s="81"/>
      <c r="Q237" s="81"/>
      <c r="R237" s="81"/>
      <c r="S237" s="81"/>
      <c r="T237" s="81"/>
      <c r="U237" s="81"/>
      <c r="V237" s="81"/>
      <c r="W237" s="81"/>
      <c r="X237" s="81"/>
      <c r="Y237" s="81"/>
      <c r="Z237" s="81"/>
      <c r="AA237" s="81"/>
      <c r="AB237" s="81"/>
      <c r="AC237" s="81"/>
      <c r="AD237" s="81"/>
      <c r="AE237" s="81"/>
      <c r="AH237" s="885"/>
      <c r="AI237" s="81"/>
    </row>
    <row r="238" spans="1:35" x14ac:dyDescent="0.2">
      <c r="A238" s="81" t="s">
        <v>173</v>
      </c>
      <c r="B238" s="81" t="s">
        <v>174</v>
      </c>
      <c r="C238" s="81"/>
      <c r="D238" s="81"/>
      <c r="E238" s="81"/>
      <c r="F238" s="81"/>
      <c r="G238" s="81"/>
      <c r="H238" s="81"/>
      <c r="I238" s="81"/>
      <c r="J238" s="81"/>
      <c r="K238" s="81"/>
      <c r="L238" s="81"/>
      <c r="M238" s="81"/>
      <c r="N238" s="81"/>
      <c r="O238" s="81"/>
      <c r="P238" s="81"/>
      <c r="Q238" s="81"/>
      <c r="R238" s="81"/>
      <c r="S238" s="81"/>
      <c r="T238" s="81"/>
      <c r="U238" s="81"/>
      <c r="V238" s="81"/>
      <c r="W238" s="81"/>
      <c r="X238" s="81"/>
      <c r="Y238" s="81"/>
      <c r="Z238" s="81"/>
      <c r="AA238" s="81"/>
      <c r="AB238" s="81"/>
      <c r="AC238" s="81"/>
      <c r="AD238" s="81"/>
      <c r="AE238" s="81"/>
      <c r="AH238" s="885"/>
      <c r="AI238" s="81"/>
    </row>
    <row r="239" spans="1:35" x14ac:dyDescent="0.2">
      <c r="A239" s="81" t="s">
        <v>175</v>
      </c>
      <c r="B239" s="81" t="s">
        <v>144</v>
      </c>
      <c r="C239" s="81"/>
      <c r="D239" s="81"/>
      <c r="E239" s="81"/>
      <c r="F239" s="81"/>
      <c r="G239" s="81"/>
      <c r="H239" s="81"/>
      <c r="I239" s="81"/>
      <c r="J239" s="81"/>
      <c r="K239" s="81"/>
      <c r="L239" s="81"/>
      <c r="M239" s="81"/>
      <c r="N239" s="81"/>
      <c r="O239" s="81"/>
      <c r="P239" s="81"/>
      <c r="Q239" s="81"/>
      <c r="R239" s="81"/>
      <c r="S239" s="81"/>
      <c r="T239" s="81"/>
      <c r="U239" s="81"/>
      <c r="V239" s="81"/>
      <c r="W239" s="81"/>
      <c r="X239" s="81"/>
      <c r="Y239" s="81"/>
      <c r="Z239" s="81"/>
      <c r="AA239" s="81"/>
      <c r="AB239" s="81"/>
      <c r="AC239" s="81"/>
      <c r="AD239" s="81"/>
      <c r="AE239" s="81"/>
      <c r="AH239" s="885"/>
      <c r="AI239" s="81"/>
    </row>
    <row r="240" spans="1:35" x14ac:dyDescent="0.2">
      <c r="A240" s="81" t="s">
        <v>176</v>
      </c>
      <c r="B240" s="81" t="s">
        <v>140</v>
      </c>
      <c r="C240" s="81"/>
      <c r="D240" s="81"/>
      <c r="E240" s="81"/>
      <c r="F240" s="81"/>
      <c r="G240" s="81"/>
      <c r="H240" s="81"/>
      <c r="I240" s="81"/>
      <c r="J240" s="81"/>
      <c r="K240" s="81"/>
      <c r="L240" s="81"/>
      <c r="M240" s="81"/>
      <c r="N240" s="81"/>
      <c r="O240" s="81"/>
      <c r="P240" s="81"/>
      <c r="Q240" s="81"/>
      <c r="R240" s="81"/>
      <c r="S240" s="81"/>
      <c r="T240" s="81"/>
      <c r="U240" s="81"/>
      <c r="V240" s="81"/>
      <c r="W240" s="81"/>
      <c r="X240" s="81"/>
      <c r="Y240" s="81"/>
      <c r="Z240" s="81"/>
      <c r="AA240" s="81"/>
      <c r="AB240" s="81"/>
      <c r="AC240" s="81"/>
      <c r="AD240" s="81"/>
      <c r="AE240" s="81"/>
      <c r="AH240" s="885"/>
      <c r="AI240" s="81"/>
    </row>
    <row r="241" spans="1:35" x14ac:dyDescent="0.2">
      <c r="A241" s="81"/>
      <c r="B241" s="81" t="s">
        <v>65</v>
      </c>
      <c r="C241" s="81"/>
      <c r="D241" s="81"/>
      <c r="E241" s="81"/>
      <c r="F241" s="81"/>
      <c r="G241" s="81"/>
      <c r="H241" s="81"/>
      <c r="I241" s="81"/>
      <c r="J241" s="81"/>
      <c r="K241" s="81"/>
      <c r="L241" s="81"/>
      <c r="M241" s="81"/>
      <c r="N241" s="81"/>
      <c r="O241" s="81"/>
      <c r="P241" s="81"/>
      <c r="Q241" s="81"/>
      <c r="R241" s="81"/>
      <c r="S241" s="81"/>
      <c r="T241" s="81"/>
      <c r="U241" s="81"/>
      <c r="V241" s="81"/>
      <c r="W241" s="81"/>
      <c r="X241" s="81"/>
      <c r="Y241" s="81"/>
      <c r="Z241" s="81"/>
      <c r="AA241" s="81"/>
      <c r="AB241" s="81"/>
      <c r="AC241" s="81"/>
      <c r="AD241" s="81"/>
      <c r="AE241" s="81"/>
      <c r="AH241" s="885"/>
      <c r="AI241" s="81"/>
    </row>
    <row r="242" spans="1:35" x14ac:dyDescent="0.2">
      <c r="A242" s="81"/>
      <c r="B242" s="81" t="s">
        <v>66</v>
      </c>
      <c r="C242" s="81"/>
      <c r="D242" s="81"/>
      <c r="E242" s="81"/>
      <c r="F242" s="81"/>
      <c r="G242" s="81"/>
      <c r="H242" s="81"/>
      <c r="I242" s="81"/>
      <c r="J242" s="81"/>
      <c r="K242" s="81"/>
      <c r="L242" s="81"/>
      <c r="M242" s="81"/>
      <c r="N242" s="81"/>
      <c r="O242" s="81"/>
      <c r="P242" s="81"/>
      <c r="Q242" s="81"/>
      <c r="R242" s="81"/>
      <c r="S242" s="81"/>
      <c r="T242" s="81"/>
      <c r="U242" s="81"/>
      <c r="V242" s="81"/>
      <c r="W242" s="81"/>
      <c r="X242" s="81"/>
      <c r="Y242" s="81"/>
      <c r="Z242" s="81"/>
      <c r="AA242" s="81"/>
      <c r="AB242" s="81"/>
      <c r="AC242" s="81"/>
      <c r="AD242" s="81"/>
      <c r="AE242" s="81"/>
      <c r="AH242" s="885"/>
      <c r="AI242" s="81"/>
    </row>
    <row r="243" spans="1:35" x14ac:dyDescent="0.2">
      <c r="A243" s="81"/>
      <c r="B243" s="81" t="s">
        <v>104</v>
      </c>
      <c r="C243" s="81"/>
      <c r="D243" s="81"/>
      <c r="E243" s="81"/>
      <c r="F243" s="81"/>
      <c r="G243" s="81"/>
      <c r="H243" s="81"/>
      <c r="I243" s="81"/>
      <c r="J243" s="81"/>
      <c r="K243" s="81"/>
      <c r="L243" s="81"/>
      <c r="M243" s="81"/>
      <c r="N243" s="81"/>
      <c r="O243" s="81"/>
      <c r="P243" s="81"/>
      <c r="Q243" s="81"/>
      <c r="R243" s="81"/>
      <c r="S243" s="81"/>
      <c r="T243" s="81"/>
      <c r="U243" s="81"/>
      <c r="V243" s="81"/>
      <c r="W243" s="81"/>
      <c r="X243" s="81"/>
      <c r="Y243" s="81"/>
      <c r="Z243" s="81"/>
      <c r="AA243" s="81"/>
      <c r="AB243" s="81"/>
      <c r="AC243" s="81"/>
      <c r="AD243" s="81"/>
      <c r="AE243" s="81"/>
      <c r="AH243" s="885"/>
      <c r="AI243" s="81"/>
    </row>
    <row r="244" spans="1:35" x14ac:dyDescent="0.2">
      <c r="A244" s="81" t="s">
        <v>182</v>
      </c>
      <c r="B244" s="81" t="s">
        <v>183</v>
      </c>
      <c r="C244" s="81"/>
      <c r="D244" s="81"/>
      <c r="E244" s="81"/>
      <c r="F244" s="81"/>
      <c r="G244" s="81"/>
      <c r="H244" s="81"/>
      <c r="I244" s="81"/>
      <c r="J244" s="81"/>
      <c r="K244" s="81"/>
      <c r="L244" s="81"/>
      <c r="M244" s="81"/>
      <c r="N244" s="81"/>
      <c r="O244" s="81"/>
      <c r="P244" s="81"/>
      <c r="Q244" s="81"/>
      <c r="R244" s="81"/>
      <c r="S244" s="81"/>
      <c r="T244" s="81"/>
      <c r="U244" s="81"/>
      <c r="V244" s="81"/>
      <c r="W244" s="81"/>
      <c r="X244" s="81"/>
      <c r="Y244" s="81"/>
      <c r="Z244" s="81"/>
      <c r="AA244" s="81"/>
      <c r="AB244" s="81"/>
      <c r="AC244" s="81"/>
      <c r="AD244" s="81"/>
      <c r="AE244" s="81"/>
      <c r="AH244" s="885"/>
      <c r="AI244" s="81"/>
    </row>
  </sheetData>
  <mergeCells count="5">
    <mergeCell ref="AH4:AI4"/>
    <mergeCell ref="A4:A6"/>
    <mergeCell ref="B4:P4"/>
    <mergeCell ref="Q4:AE4"/>
    <mergeCell ref="AF4:AG4"/>
  </mergeCells>
  <phoneticPr fontId="13" type="noConversion"/>
  <printOptions horizontalCentered="1"/>
  <pageMargins left="0.23622047244094491" right="0.23622047244094491" top="0.74803149606299213" bottom="0.74803149606299213" header="0.31496062992125984" footer="0.31496062992125984"/>
  <pageSetup paperSize="9" scale="37" orientation="landscape" r:id="rId1"/>
  <headerFooter alignWithMargins="0">
    <oddHeader xml:space="preserve">&amp;C&amp;"Arial,Negrita"&amp;18PROYECTO DE PRESUPUESTO 2021
</oddHeader>
    <oddFooter>&amp;L&amp;"Arial,Negrita"&amp;8PROYECTO DE PRESUPUESTO PARA EL AÑO FISCAL 2020
INFORMACIÓN PARA LA COMISIÓN DE PRESUPUESTO Y CUENTA GENERAL DE LA REPÚBLICA DEL CONGRESO DE LA REPÚBLICA</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7">
    <tabColor theme="9" tint="-0.249977111117893"/>
  </sheetPr>
  <dimension ref="A1:U453"/>
  <sheetViews>
    <sheetView zoomScaleNormal="100" zoomScaleSheetLayoutView="80" workbookViewId="0">
      <selection activeCell="B262" sqref="B262"/>
    </sheetView>
  </sheetViews>
  <sheetFormatPr baseColWidth="10" defaultRowHeight="12" x14ac:dyDescent="0.2"/>
  <cols>
    <col min="1" max="1" width="57.140625" style="3" customWidth="1"/>
    <col min="2" max="2" width="15.5703125" style="3" customWidth="1"/>
    <col min="3" max="3" width="13.85546875" style="3" customWidth="1"/>
    <col min="4" max="4" width="14.85546875" style="3" customWidth="1"/>
    <col min="5" max="5" width="15" style="3" customWidth="1"/>
    <col min="6" max="6" width="14" style="3" customWidth="1"/>
    <col min="7" max="7" width="14.28515625" style="3" customWidth="1"/>
    <col min="8" max="8" width="12.7109375" style="3" customWidth="1"/>
    <col min="9" max="9" width="15" style="3" customWidth="1"/>
    <col min="10" max="10" width="12.7109375" style="3" customWidth="1"/>
    <col min="11" max="16384" width="11.42578125" style="3"/>
  </cols>
  <sheetData>
    <row r="1" spans="1:21" s="63" customFormat="1" x14ac:dyDescent="0.2">
      <c r="A1" s="82" t="s">
        <v>418</v>
      </c>
      <c r="B1" s="82"/>
      <c r="C1" s="82"/>
      <c r="D1" s="82"/>
      <c r="E1" s="82"/>
      <c r="F1" s="82"/>
      <c r="G1" s="82"/>
      <c r="H1" s="82"/>
      <c r="I1" s="82"/>
    </row>
    <row r="2" spans="1:21" s="5" customFormat="1" x14ac:dyDescent="0.2">
      <c r="A2" s="82" t="s">
        <v>453</v>
      </c>
      <c r="B2" s="82"/>
      <c r="C2" s="82"/>
      <c r="D2" s="82"/>
      <c r="E2" s="82"/>
      <c r="F2" s="82"/>
      <c r="G2" s="82"/>
      <c r="H2" s="82"/>
      <c r="I2" s="82"/>
      <c r="J2" s="82"/>
      <c r="K2" s="82"/>
      <c r="L2" s="82"/>
      <c r="M2" s="82"/>
      <c r="N2" s="82"/>
      <c r="O2" s="82"/>
      <c r="P2" s="82"/>
      <c r="Q2" s="82"/>
      <c r="R2" s="82"/>
      <c r="S2" s="82"/>
      <c r="T2" s="82"/>
      <c r="U2" s="82"/>
    </row>
    <row r="3" spans="1:21" s="81" customFormat="1" ht="15" customHeight="1" thickBot="1" x14ac:dyDescent="0.25">
      <c r="A3" s="719" t="s">
        <v>3434</v>
      </c>
      <c r="B3" s="713"/>
      <c r="E3" s="713"/>
    </row>
    <row r="4" spans="1:21" ht="12" customHeight="1" thickBot="1" x14ac:dyDescent="0.25">
      <c r="A4" s="1298" t="s">
        <v>23</v>
      </c>
      <c r="B4" s="1300" t="s">
        <v>348</v>
      </c>
      <c r="C4" s="1296" t="s">
        <v>419</v>
      </c>
      <c r="D4" s="1301" t="s">
        <v>420</v>
      </c>
      <c r="E4" s="1293" t="s">
        <v>421</v>
      </c>
      <c r="F4" s="1289" t="s">
        <v>422</v>
      </c>
      <c r="G4" s="1291" t="s">
        <v>349</v>
      </c>
      <c r="H4" s="1293" t="s">
        <v>350</v>
      </c>
      <c r="I4" s="1291" t="s">
        <v>424</v>
      </c>
      <c r="J4" s="1296" t="s">
        <v>423</v>
      </c>
    </row>
    <row r="5" spans="1:21" ht="42.75" customHeight="1" thickBot="1" x14ac:dyDescent="0.25">
      <c r="A5" s="1299"/>
      <c r="B5" s="1299"/>
      <c r="C5" s="1297"/>
      <c r="D5" s="1302"/>
      <c r="E5" s="1303"/>
      <c r="F5" s="1290"/>
      <c r="G5" s="1292"/>
      <c r="H5" s="1294"/>
      <c r="I5" s="1295"/>
      <c r="J5" s="1297"/>
    </row>
    <row r="6" spans="1:21" x14ac:dyDescent="0.2">
      <c r="A6" s="395" t="s">
        <v>26</v>
      </c>
      <c r="B6" s="387">
        <v>15816757</v>
      </c>
      <c r="C6" s="388">
        <v>19552921</v>
      </c>
      <c r="D6" s="401">
        <v>15770541</v>
      </c>
      <c r="E6" s="402">
        <v>21250809</v>
      </c>
      <c r="F6" s="954">
        <v>15488767</v>
      </c>
      <c r="G6" s="405">
        <f>+B6-D6</f>
        <v>46216</v>
      </c>
      <c r="H6" s="952">
        <f>+G6/B6*100</f>
        <v>0.29219643445239751</v>
      </c>
      <c r="I6" s="401">
        <f>+D6-F6</f>
        <v>281774</v>
      </c>
      <c r="J6" s="952">
        <f>+I6/D6*100</f>
        <v>1.7867110582953367</v>
      </c>
    </row>
    <row r="7" spans="1:21" x14ac:dyDescent="0.2">
      <c r="A7" s="386" t="s">
        <v>259</v>
      </c>
      <c r="B7" s="391">
        <v>804283</v>
      </c>
      <c r="C7" s="392">
        <v>2698030</v>
      </c>
      <c r="D7" s="403">
        <v>1726076</v>
      </c>
      <c r="E7" s="404">
        <v>2166386</v>
      </c>
      <c r="F7" s="955">
        <v>1056395</v>
      </c>
      <c r="G7" s="406">
        <f>+B7-D7</f>
        <v>-921793</v>
      </c>
      <c r="H7" s="948">
        <f>+G7/B7*100</f>
        <v>-114.61052888100333</v>
      </c>
      <c r="I7" s="947">
        <f>+D7-F7</f>
        <v>669681</v>
      </c>
      <c r="J7" s="948">
        <f>+I7/D7*100</f>
        <v>38.797886072223939</v>
      </c>
    </row>
    <row r="8" spans="1:21" x14ac:dyDescent="0.2">
      <c r="A8" s="386" t="s">
        <v>25</v>
      </c>
      <c r="B8" s="389"/>
      <c r="C8" s="390"/>
      <c r="D8" s="403"/>
      <c r="E8" s="404"/>
      <c r="F8" s="955"/>
      <c r="G8" s="406">
        <f t="shared" ref="G8:G37" si="0">+B8-D8</f>
        <v>0</v>
      </c>
      <c r="H8" s="949"/>
      <c r="I8" s="947">
        <f t="shared" ref="I8:I37" si="1">+D8-F8</f>
        <v>0</v>
      </c>
      <c r="J8" s="327"/>
    </row>
    <row r="9" spans="1:21" x14ac:dyDescent="0.2">
      <c r="A9" s="386" t="s">
        <v>19</v>
      </c>
      <c r="B9" s="389"/>
      <c r="C9" s="390"/>
      <c r="D9" s="403"/>
      <c r="E9" s="404"/>
      <c r="F9" s="955"/>
      <c r="G9" s="406">
        <f t="shared" si="0"/>
        <v>0</v>
      </c>
      <c r="H9" s="949"/>
      <c r="I9" s="947">
        <f t="shared" si="1"/>
        <v>0</v>
      </c>
      <c r="J9" s="327"/>
    </row>
    <row r="10" spans="1:21" x14ac:dyDescent="0.2">
      <c r="A10" s="386" t="s">
        <v>16</v>
      </c>
      <c r="B10" s="389"/>
      <c r="C10" s="390"/>
      <c r="D10" s="403"/>
      <c r="E10" s="404"/>
      <c r="F10" s="955"/>
      <c r="G10" s="406">
        <f t="shared" si="0"/>
        <v>0</v>
      </c>
      <c r="H10" s="949"/>
      <c r="I10" s="947">
        <f t="shared" si="1"/>
        <v>0</v>
      </c>
      <c r="J10" s="327"/>
    </row>
    <row r="11" spans="1:21" x14ac:dyDescent="0.2">
      <c r="A11" s="386" t="s">
        <v>256</v>
      </c>
      <c r="B11" s="391">
        <v>3936443</v>
      </c>
      <c r="C11" s="392">
        <v>5293812</v>
      </c>
      <c r="D11" s="403">
        <v>4466045</v>
      </c>
      <c r="E11" s="404">
        <v>7527935</v>
      </c>
      <c r="F11" s="955">
        <v>3586924</v>
      </c>
      <c r="G11" s="406">
        <f t="shared" si="0"/>
        <v>-529602</v>
      </c>
      <c r="H11" s="948">
        <f t="shared" ref="H11:H35" si="2">+G11/B11*100</f>
        <v>-13.453821127347709</v>
      </c>
      <c r="I11" s="947">
        <f t="shared" si="1"/>
        <v>879121</v>
      </c>
      <c r="J11" s="948">
        <f t="shared" ref="J11:J17" si="3">+I11/D11*100</f>
        <v>19.684553111309892</v>
      </c>
    </row>
    <row r="12" spans="1:21" x14ac:dyDescent="0.2">
      <c r="A12" s="386" t="s">
        <v>269</v>
      </c>
      <c r="B12" s="391">
        <v>2400820</v>
      </c>
      <c r="C12" s="392">
        <v>4953647</v>
      </c>
      <c r="D12" s="403">
        <v>3926346</v>
      </c>
      <c r="E12" s="404">
        <v>4452137</v>
      </c>
      <c r="F12" s="955">
        <v>3298902</v>
      </c>
      <c r="G12" s="406">
        <f t="shared" si="0"/>
        <v>-1525526</v>
      </c>
      <c r="H12" s="948">
        <f t="shared" si="2"/>
        <v>-63.541873193325614</v>
      </c>
      <c r="I12" s="947">
        <f t="shared" si="1"/>
        <v>627444</v>
      </c>
      <c r="J12" s="948">
        <f t="shared" si="3"/>
        <v>15.980354253038321</v>
      </c>
    </row>
    <row r="13" spans="1:21" x14ac:dyDescent="0.2">
      <c r="A13" s="386" t="s">
        <v>21</v>
      </c>
      <c r="B13" s="389"/>
      <c r="C13" s="390"/>
      <c r="D13" s="403"/>
      <c r="E13" s="404"/>
      <c r="F13" s="955"/>
      <c r="G13" s="406">
        <f t="shared" si="0"/>
        <v>0</v>
      </c>
      <c r="H13" s="948"/>
      <c r="I13" s="947"/>
      <c r="J13" s="948"/>
    </row>
    <row r="14" spans="1:21" x14ac:dyDescent="0.2">
      <c r="A14" s="386" t="s">
        <v>265</v>
      </c>
      <c r="B14" s="391">
        <v>107681474</v>
      </c>
      <c r="C14" s="392">
        <v>112783787</v>
      </c>
      <c r="D14" s="403">
        <v>114281283</v>
      </c>
      <c r="E14" s="404">
        <v>144512368</v>
      </c>
      <c r="F14" s="955">
        <v>78056158</v>
      </c>
      <c r="G14" s="406">
        <f t="shared" si="0"/>
        <v>-6599809</v>
      </c>
      <c r="H14" s="948">
        <f t="shared" si="2"/>
        <v>-6.1290106411433412</v>
      </c>
      <c r="I14" s="947">
        <f t="shared" si="1"/>
        <v>36225125</v>
      </c>
      <c r="J14" s="948">
        <f t="shared" si="3"/>
        <v>31.698213433603122</v>
      </c>
    </row>
    <row r="15" spans="1:21" x14ac:dyDescent="0.2">
      <c r="A15" s="386" t="s">
        <v>263</v>
      </c>
      <c r="B15" s="391">
        <v>245324</v>
      </c>
      <c r="C15" s="392">
        <v>405602</v>
      </c>
      <c r="D15" s="403">
        <v>294661</v>
      </c>
      <c r="E15" s="404">
        <v>121114</v>
      </c>
      <c r="F15" s="955">
        <v>211534</v>
      </c>
      <c r="G15" s="406">
        <f t="shared" si="0"/>
        <v>-49337</v>
      </c>
      <c r="H15" s="948">
        <f t="shared" si="2"/>
        <v>-20.110955308082374</v>
      </c>
      <c r="I15" s="947">
        <f t="shared" si="1"/>
        <v>83127</v>
      </c>
      <c r="J15" s="948">
        <f t="shared" si="3"/>
        <v>28.211062882430998</v>
      </c>
    </row>
    <row r="16" spans="1:21" x14ac:dyDescent="0.2">
      <c r="A16" s="386" t="s">
        <v>260</v>
      </c>
      <c r="B16" s="391">
        <v>12344440</v>
      </c>
      <c r="C16" s="392">
        <v>16955424</v>
      </c>
      <c r="D16" s="403">
        <v>10024251</v>
      </c>
      <c r="E16" s="404">
        <v>14447565</v>
      </c>
      <c r="F16" s="955">
        <v>10030099</v>
      </c>
      <c r="G16" s="406">
        <f t="shared" si="0"/>
        <v>2320189</v>
      </c>
      <c r="H16" s="948">
        <f t="shared" si="2"/>
        <v>18.795417208071001</v>
      </c>
      <c r="I16" s="947">
        <f t="shared" si="1"/>
        <v>-5848</v>
      </c>
      <c r="J16" s="948">
        <f t="shared" si="3"/>
        <v>-5.8338523247273039E-2</v>
      </c>
    </row>
    <row r="17" spans="1:10" x14ac:dyDescent="0.2">
      <c r="A17" s="386" t="s">
        <v>267</v>
      </c>
      <c r="B17" s="391">
        <v>10950592</v>
      </c>
      <c r="C17" s="392">
        <v>14228242</v>
      </c>
      <c r="D17" s="403">
        <v>5528376</v>
      </c>
      <c r="E17" s="404">
        <v>5034554</v>
      </c>
      <c r="F17" s="955">
        <v>3176909</v>
      </c>
      <c r="G17" s="406">
        <f t="shared" si="0"/>
        <v>5422216</v>
      </c>
      <c r="H17" s="948">
        <f t="shared" si="2"/>
        <v>49.515277347562581</v>
      </c>
      <c r="I17" s="947">
        <f t="shared" si="1"/>
        <v>2351467</v>
      </c>
      <c r="J17" s="948">
        <f t="shared" si="3"/>
        <v>42.534498377100256</v>
      </c>
    </row>
    <row r="18" spans="1:10" x14ac:dyDescent="0.2">
      <c r="A18" s="386" t="s">
        <v>28</v>
      </c>
      <c r="B18" s="391"/>
      <c r="C18" s="392"/>
      <c r="D18" s="403"/>
      <c r="E18" s="404"/>
      <c r="F18" s="955"/>
      <c r="G18" s="406">
        <f t="shared" si="0"/>
        <v>0</v>
      </c>
      <c r="H18" s="948" t="s">
        <v>83</v>
      </c>
      <c r="I18" s="947">
        <f t="shared" si="1"/>
        <v>0</v>
      </c>
      <c r="J18" s="327"/>
    </row>
    <row r="19" spans="1:10" x14ac:dyDescent="0.2">
      <c r="A19" s="386" t="s">
        <v>24</v>
      </c>
      <c r="B19" s="391"/>
      <c r="C19" s="392"/>
      <c r="D19" s="403"/>
      <c r="E19" s="404"/>
      <c r="F19" s="955"/>
      <c r="G19" s="406">
        <f t="shared" si="0"/>
        <v>0</v>
      </c>
      <c r="H19" s="948" t="s">
        <v>83</v>
      </c>
      <c r="I19" s="947">
        <f t="shared" si="1"/>
        <v>0</v>
      </c>
      <c r="J19" s="327"/>
    </row>
    <row r="20" spans="1:10" s="66" customFormat="1" x14ac:dyDescent="0.2">
      <c r="A20" s="386" t="s">
        <v>20</v>
      </c>
      <c r="B20" s="391"/>
      <c r="C20" s="392"/>
      <c r="D20" s="403"/>
      <c r="E20" s="404"/>
      <c r="F20" s="955"/>
      <c r="G20" s="406">
        <f t="shared" si="0"/>
        <v>0</v>
      </c>
      <c r="H20" s="948" t="s">
        <v>83</v>
      </c>
      <c r="I20" s="947">
        <f t="shared" si="1"/>
        <v>0</v>
      </c>
      <c r="J20" s="327"/>
    </row>
    <row r="21" spans="1:10" s="66" customFormat="1" x14ac:dyDescent="0.2">
      <c r="A21" s="386" t="s">
        <v>18</v>
      </c>
      <c r="B21" s="391"/>
      <c r="C21" s="392"/>
      <c r="D21" s="403"/>
      <c r="E21" s="404"/>
      <c r="F21" s="955"/>
      <c r="G21" s="406">
        <f t="shared" si="0"/>
        <v>0</v>
      </c>
      <c r="H21" s="948" t="s">
        <v>83</v>
      </c>
      <c r="I21" s="947">
        <f t="shared" si="1"/>
        <v>0</v>
      </c>
      <c r="J21" s="327"/>
    </row>
    <row r="22" spans="1:10" s="66" customFormat="1" x14ac:dyDescent="0.2">
      <c r="A22" s="386" t="s">
        <v>261</v>
      </c>
      <c r="B22" s="391">
        <v>638119</v>
      </c>
      <c r="C22" s="392">
        <v>1504082</v>
      </c>
      <c r="D22" s="403">
        <v>1004037</v>
      </c>
      <c r="E22" s="404">
        <v>2393425</v>
      </c>
      <c r="F22" s="955">
        <v>707775</v>
      </c>
      <c r="G22" s="406">
        <f t="shared" si="0"/>
        <v>-365918</v>
      </c>
      <c r="H22" s="948">
        <f t="shared" si="2"/>
        <v>-57.343222815807081</v>
      </c>
      <c r="I22" s="947">
        <f t="shared" si="1"/>
        <v>296262</v>
      </c>
      <c r="J22" s="948">
        <f t="shared" ref="J22" si="4">+I22/D22*100</f>
        <v>29.507079918369545</v>
      </c>
    </row>
    <row r="23" spans="1:10" s="66" customFormat="1" x14ac:dyDescent="0.2">
      <c r="A23" s="386" t="s">
        <v>29</v>
      </c>
      <c r="B23" s="391"/>
      <c r="C23" s="392"/>
      <c r="D23" s="403"/>
      <c r="E23" s="404"/>
      <c r="F23" s="955"/>
      <c r="G23" s="406">
        <f t="shared" si="0"/>
        <v>0</v>
      </c>
      <c r="H23" s="948" t="s">
        <v>83</v>
      </c>
      <c r="I23" s="947">
        <f t="shared" si="1"/>
        <v>0</v>
      </c>
      <c r="J23" s="327"/>
    </row>
    <row r="24" spans="1:10" s="66" customFormat="1" x14ac:dyDescent="0.2">
      <c r="A24" s="386" t="s">
        <v>32</v>
      </c>
      <c r="B24" s="391"/>
      <c r="C24" s="392"/>
      <c r="D24" s="403"/>
      <c r="E24" s="404"/>
      <c r="F24" s="955"/>
      <c r="G24" s="406">
        <f t="shared" si="0"/>
        <v>0</v>
      </c>
      <c r="H24" s="948" t="s">
        <v>83</v>
      </c>
      <c r="I24" s="947">
        <f t="shared" si="1"/>
        <v>0</v>
      </c>
      <c r="J24" s="327"/>
    </row>
    <row r="25" spans="1:10" s="66" customFormat="1" x14ac:dyDescent="0.2">
      <c r="A25" s="386" t="s">
        <v>258</v>
      </c>
      <c r="B25" s="391">
        <v>10958396</v>
      </c>
      <c r="C25" s="392">
        <v>31793835</v>
      </c>
      <c r="D25" s="403">
        <v>44138650</v>
      </c>
      <c r="E25" s="404">
        <v>48186344</v>
      </c>
      <c r="F25" s="955">
        <v>16670439</v>
      </c>
      <c r="G25" s="406">
        <f t="shared" si="0"/>
        <v>-33180254</v>
      </c>
      <c r="H25" s="948">
        <f t="shared" si="2"/>
        <v>-302.78385632349847</v>
      </c>
      <c r="I25" s="947">
        <f t="shared" si="1"/>
        <v>27468211</v>
      </c>
      <c r="J25" s="948">
        <f t="shared" ref="J25:J35" si="5">+I25/D25*100</f>
        <v>62.231651851608518</v>
      </c>
    </row>
    <row r="26" spans="1:10" s="66" customFormat="1" x14ac:dyDescent="0.2">
      <c r="A26" s="386" t="s">
        <v>262</v>
      </c>
      <c r="B26" s="391">
        <v>849801</v>
      </c>
      <c r="C26" s="392">
        <v>606065</v>
      </c>
      <c r="D26" s="403">
        <v>1201265</v>
      </c>
      <c r="E26" s="404">
        <v>1269293</v>
      </c>
      <c r="F26" s="955">
        <v>966121</v>
      </c>
      <c r="G26" s="406">
        <f t="shared" si="0"/>
        <v>-351464</v>
      </c>
      <c r="H26" s="948">
        <f t="shared" si="2"/>
        <v>-41.35838861098069</v>
      </c>
      <c r="I26" s="947">
        <f t="shared" si="1"/>
        <v>235144</v>
      </c>
      <c r="J26" s="948">
        <f t="shared" si="5"/>
        <v>19.57469833883448</v>
      </c>
    </row>
    <row r="27" spans="1:10" s="66" customFormat="1" x14ac:dyDescent="0.2">
      <c r="A27" s="386" t="s">
        <v>255</v>
      </c>
      <c r="B27" s="391">
        <v>15865914</v>
      </c>
      <c r="C27" s="392">
        <v>19203997</v>
      </c>
      <c r="D27" s="403">
        <v>17450714</v>
      </c>
      <c r="E27" s="404">
        <v>17566735</v>
      </c>
      <c r="F27" s="955">
        <v>17496599</v>
      </c>
      <c r="G27" s="406">
        <f t="shared" si="0"/>
        <v>-1584800</v>
      </c>
      <c r="H27" s="948">
        <f t="shared" si="2"/>
        <v>-9.9887091282607479</v>
      </c>
      <c r="I27" s="947">
        <f t="shared" si="1"/>
        <v>-45885</v>
      </c>
      <c r="J27" s="948">
        <f t="shared" si="5"/>
        <v>-0.26294053068544931</v>
      </c>
    </row>
    <row r="28" spans="1:10" s="66" customFormat="1" x14ac:dyDescent="0.2">
      <c r="A28" s="386" t="s">
        <v>257</v>
      </c>
      <c r="B28" s="391">
        <v>1665242</v>
      </c>
      <c r="C28" s="392">
        <v>1133355</v>
      </c>
      <c r="D28" s="403">
        <v>1458216</v>
      </c>
      <c r="E28" s="404">
        <v>1733521</v>
      </c>
      <c r="F28" s="955">
        <v>1419042</v>
      </c>
      <c r="G28" s="406">
        <f t="shared" si="0"/>
        <v>207026</v>
      </c>
      <c r="H28" s="948">
        <f t="shared" si="2"/>
        <v>12.432187033476215</v>
      </c>
      <c r="I28" s="947">
        <f t="shared" si="1"/>
        <v>39174</v>
      </c>
      <c r="J28" s="948">
        <f t="shared" si="5"/>
        <v>2.6864332856037789</v>
      </c>
    </row>
    <row r="29" spans="1:10" s="66" customFormat="1" x14ac:dyDescent="0.2">
      <c r="A29" s="386" t="s">
        <v>17</v>
      </c>
      <c r="B29" s="391"/>
      <c r="C29" s="392"/>
      <c r="D29" s="403"/>
      <c r="E29" s="404"/>
      <c r="F29" s="955"/>
      <c r="G29" s="406">
        <f t="shared" si="0"/>
        <v>0</v>
      </c>
      <c r="H29" s="948" t="s">
        <v>83</v>
      </c>
      <c r="I29" s="947">
        <f t="shared" si="1"/>
        <v>0</v>
      </c>
      <c r="J29" s="948" t="s">
        <v>83</v>
      </c>
    </row>
    <row r="30" spans="1:10" s="66" customFormat="1" x14ac:dyDescent="0.2">
      <c r="A30" s="386" t="s">
        <v>264</v>
      </c>
      <c r="B30" s="391">
        <v>33981920</v>
      </c>
      <c r="C30" s="392">
        <v>47949564</v>
      </c>
      <c r="D30" s="403">
        <v>44291995</v>
      </c>
      <c r="E30" s="404">
        <v>48026971</v>
      </c>
      <c r="F30" s="955">
        <v>17895265</v>
      </c>
      <c r="G30" s="406">
        <f t="shared" si="0"/>
        <v>-10310075</v>
      </c>
      <c r="H30" s="948">
        <f t="shared" si="2"/>
        <v>-30.33988367932124</v>
      </c>
      <c r="I30" s="947">
        <f t="shared" si="1"/>
        <v>26396730</v>
      </c>
      <c r="J30" s="948">
        <f t="shared" si="5"/>
        <v>59.597067144977323</v>
      </c>
    </row>
    <row r="31" spans="1:10" s="66" customFormat="1" x14ac:dyDescent="0.2">
      <c r="A31" s="386" t="s">
        <v>266</v>
      </c>
      <c r="B31" s="391">
        <v>9624162</v>
      </c>
      <c r="C31" s="392">
        <v>50693869</v>
      </c>
      <c r="D31" s="403">
        <v>11332966</v>
      </c>
      <c r="E31" s="404">
        <v>50890492</v>
      </c>
      <c r="F31" s="955">
        <v>8755539</v>
      </c>
      <c r="G31" s="406">
        <f t="shared" si="0"/>
        <v>-1708804</v>
      </c>
      <c r="H31" s="948">
        <f t="shared" si="2"/>
        <v>-17.755353660921337</v>
      </c>
      <c r="I31" s="947">
        <f t="shared" si="1"/>
        <v>2577427</v>
      </c>
      <c r="J31" s="948">
        <f t="shared" si="5"/>
        <v>22.742740073516501</v>
      </c>
    </row>
    <row r="32" spans="1:10" s="66" customFormat="1" x14ac:dyDescent="0.2">
      <c r="A32" s="386" t="s">
        <v>254</v>
      </c>
      <c r="B32" s="391">
        <v>446719</v>
      </c>
      <c r="C32" s="392">
        <v>1181295</v>
      </c>
      <c r="D32" s="403">
        <v>532084</v>
      </c>
      <c r="E32" s="404">
        <v>2073436</v>
      </c>
      <c r="F32" s="955">
        <v>350033</v>
      </c>
      <c r="G32" s="406">
        <f t="shared" si="0"/>
        <v>-85365</v>
      </c>
      <c r="H32" s="948">
        <f t="shared" si="2"/>
        <v>-19.109328235423163</v>
      </c>
      <c r="I32" s="947">
        <f t="shared" si="1"/>
        <v>182051</v>
      </c>
      <c r="J32" s="948">
        <f t="shared" si="5"/>
        <v>34.214710459250796</v>
      </c>
    </row>
    <row r="33" spans="1:10" s="66" customFormat="1" x14ac:dyDescent="0.2">
      <c r="A33" s="386" t="s">
        <v>268</v>
      </c>
      <c r="B33" s="391">
        <v>685394</v>
      </c>
      <c r="C33" s="392">
        <v>494850</v>
      </c>
      <c r="D33" s="403">
        <v>803157</v>
      </c>
      <c r="E33" s="404">
        <v>847546</v>
      </c>
      <c r="F33" s="955">
        <v>338715</v>
      </c>
      <c r="G33" s="406">
        <f t="shared" si="0"/>
        <v>-117763</v>
      </c>
      <c r="H33" s="948">
        <f t="shared" si="2"/>
        <v>-17.18179616395825</v>
      </c>
      <c r="I33" s="947">
        <f t="shared" si="1"/>
        <v>464442</v>
      </c>
      <c r="J33" s="948">
        <f t="shared" si="5"/>
        <v>57.827050003922018</v>
      </c>
    </row>
    <row r="34" spans="1:10" s="66" customFormat="1" x14ac:dyDescent="0.2">
      <c r="A34" s="386" t="s">
        <v>27</v>
      </c>
      <c r="B34" s="391"/>
      <c r="C34" s="392"/>
      <c r="D34" s="403"/>
      <c r="E34" s="404"/>
      <c r="F34" s="955"/>
      <c r="G34" s="406">
        <f t="shared" si="0"/>
        <v>0</v>
      </c>
      <c r="H34" s="948" t="s">
        <v>83</v>
      </c>
      <c r="I34" s="947">
        <f t="shared" si="1"/>
        <v>0</v>
      </c>
      <c r="J34" s="948" t="s">
        <v>83</v>
      </c>
    </row>
    <row r="35" spans="1:10" s="66" customFormat="1" x14ac:dyDescent="0.2">
      <c r="A35" s="386" t="s">
        <v>253</v>
      </c>
      <c r="B35" s="391">
        <v>16795901</v>
      </c>
      <c r="C35" s="392">
        <v>14994952</v>
      </c>
      <c r="D35" s="403">
        <v>14407914</v>
      </c>
      <c r="E35" s="404">
        <v>5717595</v>
      </c>
      <c r="F35" s="955">
        <v>6476691</v>
      </c>
      <c r="G35" s="406">
        <f t="shared" si="0"/>
        <v>2387987</v>
      </c>
      <c r="H35" s="948">
        <f t="shared" si="2"/>
        <v>14.217677277330939</v>
      </c>
      <c r="I35" s="947">
        <f t="shared" si="1"/>
        <v>7931223</v>
      </c>
      <c r="J35" s="948">
        <f t="shared" si="5"/>
        <v>55.047684210219472</v>
      </c>
    </row>
    <row r="36" spans="1:10" s="66" customFormat="1" x14ac:dyDescent="0.2">
      <c r="A36" s="386" t="s">
        <v>30</v>
      </c>
      <c r="B36" s="391"/>
      <c r="C36" s="392"/>
      <c r="D36" s="403"/>
      <c r="E36" s="404"/>
      <c r="F36" s="955"/>
      <c r="G36" s="406">
        <f t="shared" si="0"/>
        <v>0</v>
      </c>
      <c r="H36" s="948" t="s">
        <v>83</v>
      </c>
      <c r="I36" s="947">
        <f t="shared" si="1"/>
        <v>0</v>
      </c>
      <c r="J36" s="327"/>
    </row>
    <row r="37" spans="1:10" ht="12.75" thickBot="1" x14ac:dyDescent="0.25">
      <c r="A37" s="396"/>
      <c r="B37" s="393"/>
      <c r="C37" s="394"/>
      <c r="D37" s="397"/>
      <c r="E37" s="398"/>
      <c r="F37" s="399"/>
      <c r="G37" s="950">
        <f t="shared" si="0"/>
        <v>0</v>
      </c>
      <c r="H37" s="951"/>
      <c r="I37" s="947">
        <f t="shared" si="1"/>
        <v>0</v>
      </c>
      <c r="J37" s="400"/>
    </row>
    <row r="38" spans="1:10" ht="33.75" customHeight="1" thickBot="1" x14ac:dyDescent="0.25">
      <c r="A38" s="23" t="s">
        <v>45</v>
      </c>
      <c r="B38" s="385">
        <f>SUM(B6:B37)</f>
        <v>245691701</v>
      </c>
      <c r="C38" s="385">
        <f t="shared" ref="C38:I38" si="6">SUM(C6:C37)</f>
        <v>346427329</v>
      </c>
      <c r="D38" s="385">
        <f t="shared" si="6"/>
        <v>292638577</v>
      </c>
      <c r="E38" s="385">
        <f t="shared" si="6"/>
        <v>378218226</v>
      </c>
      <c r="F38" s="385">
        <f t="shared" si="6"/>
        <v>185981907</v>
      </c>
      <c r="G38" s="385">
        <f t="shared" si="6"/>
        <v>-46946876</v>
      </c>
      <c r="H38" s="953">
        <f>+G38/B38*100</f>
        <v>-19.108043051075622</v>
      </c>
      <c r="I38" s="407">
        <f t="shared" si="6"/>
        <v>106656670</v>
      </c>
      <c r="J38" s="960">
        <f>+I38/D38*100</f>
        <v>36.44655161099967</v>
      </c>
    </row>
    <row r="39" spans="1:10" x14ac:dyDescent="0.2">
      <c r="A39" s="1" t="s">
        <v>46</v>
      </c>
      <c r="B39" s="956"/>
      <c r="C39" s="956"/>
      <c r="D39" s="956"/>
      <c r="E39" s="956"/>
      <c r="F39" s="956"/>
      <c r="G39" s="2"/>
      <c r="H39" s="2"/>
      <c r="I39" s="2"/>
    </row>
    <row r="40" spans="1:10" s="48" customFormat="1" x14ac:dyDescent="0.2">
      <c r="A40" s="1" t="s">
        <v>11912</v>
      </c>
      <c r="B40" s="41"/>
      <c r="C40" s="41"/>
      <c r="D40" s="41"/>
      <c r="E40" s="41"/>
      <c r="F40" s="41"/>
      <c r="G40" s="41"/>
      <c r="H40" s="41"/>
      <c r="I40" s="41"/>
    </row>
    <row r="41" spans="1:10" x14ac:dyDescent="0.2">
      <c r="A41" s="1" t="s">
        <v>149</v>
      </c>
      <c r="B41" s="2"/>
      <c r="C41" s="2"/>
      <c r="D41" s="2"/>
      <c r="E41" s="2"/>
      <c r="F41" s="2"/>
      <c r="G41" s="2"/>
      <c r="H41" s="2"/>
      <c r="I41" s="2"/>
    </row>
    <row r="42" spans="1:10" x14ac:dyDescent="0.2">
      <c r="A42" s="1"/>
      <c r="B42" s="2"/>
      <c r="C42" s="2"/>
      <c r="D42" s="2"/>
      <c r="E42" s="2"/>
      <c r="F42" s="2"/>
      <c r="G42" s="2"/>
      <c r="H42" s="2"/>
      <c r="I42" s="2"/>
    </row>
    <row r="43" spans="1:10" s="81" customFormat="1" x14ac:dyDescent="0.2">
      <c r="A43" s="719" t="s">
        <v>418</v>
      </c>
      <c r="B43" s="719"/>
      <c r="C43" s="719"/>
      <c r="D43" s="719"/>
      <c r="E43" s="719"/>
      <c r="F43" s="719"/>
      <c r="G43" s="719"/>
      <c r="H43" s="719"/>
      <c r="I43" s="719"/>
      <c r="J43" s="63"/>
    </row>
    <row r="44" spans="1:10" s="81" customFormat="1" x14ac:dyDescent="0.2">
      <c r="A44" s="719" t="s">
        <v>453</v>
      </c>
      <c r="B44" s="719"/>
      <c r="C44" s="719"/>
      <c r="D44" s="719"/>
      <c r="E44" s="719"/>
      <c r="F44" s="719"/>
      <c r="G44" s="719"/>
      <c r="H44" s="719"/>
      <c r="I44" s="719"/>
      <c r="J44" s="719"/>
    </row>
    <row r="45" spans="1:10" s="81" customFormat="1" ht="12.75" thickBot="1" x14ac:dyDescent="0.25">
      <c r="A45" s="719" t="s">
        <v>11907</v>
      </c>
      <c r="B45" s="713"/>
      <c r="E45" s="713"/>
    </row>
    <row r="46" spans="1:10" s="81" customFormat="1" ht="12.75" thickBot="1" x14ac:dyDescent="0.25">
      <c r="A46" s="1298" t="s">
        <v>23</v>
      </c>
      <c r="B46" s="1300" t="s">
        <v>348</v>
      </c>
      <c r="C46" s="1296" t="s">
        <v>419</v>
      </c>
      <c r="D46" s="1301" t="s">
        <v>420</v>
      </c>
      <c r="E46" s="1293" t="s">
        <v>421</v>
      </c>
      <c r="F46" s="1289" t="s">
        <v>422</v>
      </c>
      <c r="G46" s="1291" t="s">
        <v>349</v>
      </c>
      <c r="H46" s="1293" t="s">
        <v>350</v>
      </c>
      <c r="I46" s="1291" t="s">
        <v>424</v>
      </c>
      <c r="J46" s="1296" t="s">
        <v>423</v>
      </c>
    </row>
    <row r="47" spans="1:10" s="81" customFormat="1" ht="38.25" customHeight="1" thickBot="1" x14ac:dyDescent="0.25">
      <c r="A47" s="1299"/>
      <c r="B47" s="1299"/>
      <c r="C47" s="1297"/>
      <c r="D47" s="1302"/>
      <c r="E47" s="1303"/>
      <c r="F47" s="1290"/>
      <c r="G47" s="1292"/>
      <c r="H47" s="1294"/>
      <c r="I47" s="1295"/>
      <c r="J47" s="1297"/>
    </row>
    <row r="48" spans="1:10" s="81" customFormat="1" x14ac:dyDescent="0.2">
      <c r="A48" s="395" t="s">
        <v>26</v>
      </c>
      <c r="B48" s="387">
        <v>5548602</v>
      </c>
      <c r="C48" s="388">
        <v>6867984</v>
      </c>
      <c r="D48" s="401">
        <v>5212004</v>
      </c>
      <c r="E48" s="402">
        <v>7331404</v>
      </c>
      <c r="F48" s="954">
        <v>5246191</v>
      </c>
      <c r="G48" s="405">
        <f>+B48-D48</f>
        <v>336598</v>
      </c>
      <c r="H48" s="952">
        <f>+G48/B48*100</f>
        <v>6.0663568949439872</v>
      </c>
      <c r="I48" s="401">
        <f>+D48-F48</f>
        <v>-34187</v>
      </c>
      <c r="J48" s="952">
        <f>+I48/D48*100</f>
        <v>-0.65592812284871616</v>
      </c>
    </row>
    <row r="49" spans="1:10" s="81" customFormat="1" x14ac:dyDescent="0.2">
      <c r="A49" s="386" t="s">
        <v>259</v>
      </c>
      <c r="B49" s="391">
        <v>213383</v>
      </c>
      <c r="C49" s="392">
        <v>267597</v>
      </c>
      <c r="D49" s="403">
        <v>655079</v>
      </c>
      <c r="E49" s="404">
        <v>485197</v>
      </c>
      <c r="F49" s="955">
        <v>219857</v>
      </c>
      <c r="G49" s="406">
        <f>+B49-D49</f>
        <v>-441696</v>
      </c>
      <c r="H49" s="948">
        <f>+G49/B49*100</f>
        <v>-206.99680855550815</v>
      </c>
      <c r="I49" s="947">
        <f>+D49-F49</f>
        <v>435222</v>
      </c>
      <c r="J49" s="948">
        <f>+I49/D49*100</f>
        <v>66.438093726100206</v>
      </c>
    </row>
    <row r="50" spans="1:10" s="81" customFormat="1" x14ac:dyDescent="0.2">
      <c r="A50" s="386" t="s">
        <v>25</v>
      </c>
      <c r="B50" s="389"/>
      <c r="C50" s="390"/>
      <c r="D50" s="403"/>
      <c r="E50" s="404"/>
      <c r="F50" s="955"/>
      <c r="G50" s="406">
        <f t="shared" ref="G50:G79" si="7">+B50-D50</f>
        <v>0</v>
      </c>
      <c r="H50" s="949"/>
      <c r="I50" s="947">
        <f t="shared" ref="I50:I79" si="8">+D50-F50</f>
        <v>0</v>
      </c>
      <c r="J50" s="327"/>
    </row>
    <row r="51" spans="1:10" s="81" customFormat="1" x14ac:dyDescent="0.2">
      <c r="A51" s="386" t="s">
        <v>19</v>
      </c>
      <c r="B51" s="389"/>
      <c r="C51" s="390"/>
      <c r="D51" s="403"/>
      <c r="E51" s="404"/>
      <c r="F51" s="955"/>
      <c r="G51" s="406">
        <f t="shared" si="7"/>
        <v>0</v>
      </c>
      <c r="H51" s="949"/>
      <c r="I51" s="947">
        <f t="shared" si="8"/>
        <v>0</v>
      </c>
      <c r="J51" s="327"/>
    </row>
    <row r="52" spans="1:10" s="81" customFormat="1" x14ac:dyDescent="0.2">
      <c r="A52" s="386" t="s">
        <v>16</v>
      </c>
      <c r="B52" s="389"/>
      <c r="C52" s="390"/>
      <c r="D52" s="403"/>
      <c r="E52" s="404"/>
      <c r="F52" s="955"/>
      <c r="G52" s="406">
        <f t="shared" si="7"/>
        <v>0</v>
      </c>
      <c r="H52" s="949"/>
      <c r="I52" s="947">
        <f t="shared" si="8"/>
        <v>0</v>
      </c>
      <c r="J52" s="327"/>
    </row>
    <row r="53" spans="1:10" s="81" customFormat="1" x14ac:dyDescent="0.2">
      <c r="A53" s="386" t="s">
        <v>256</v>
      </c>
      <c r="B53" s="391">
        <v>2709292</v>
      </c>
      <c r="C53" s="392">
        <v>2194735</v>
      </c>
      <c r="D53" s="403">
        <v>3038899</v>
      </c>
      <c r="E53" s="404">
        <v>4106149</v>
      </c>
      <c r="F53" s="955">
        <v>2952838</v>
      </c>
      <c r="G53" s="406">
        <f t="shared" si="7"/>
        <v>-329607</v>
      </c>
      <c r="H53" s="948">
        <f t="shared" ref="H53:H54" si="9">+G53/B53*100</f>
        <v>-12.165798297119689</v>
      </c>
      <c r="I53" s="947">
        <f t="shared" si="8"/>
        <v>86061</v>
      </c>
      <c r="J53" s="948">
        <f t="shared" ref="J53:J54" si="10">+I53/D53*100</f>
        <v>2.8319796084042279</v>
      </c>
    </row>
    <row r="54" spans="1:10" s="81" customFormat="1" x14ac:dyDescent="0.2">
      <c r="A54" s="386" t="s">
        <v>269</v>
      </c>
      <c r="B54" s="391">
        <v>1028392</v>
      </c>
      <c r="C54" s="392">
        <v>1693708</v>
      </c>
      <c r="D54" s="403">
        <v>2261793</v>
      </c>
      <c r="E54" s="404">
        <v>1751537</v>
      </c>
      <c r="F54" s="955">
        <v>1946032</v>
      </c>
      <c r="G54" s="406">
        <f t="shared" si="7"/>
        <v>-1233401</v>
      </c>
      <c r="H54" s="948">
        <f t="shared" si="9"/>
        <v>-119.93490808952228</v>
      </c>
      <c r="I54" s="947">
        <f t="shared" si="8"/>
        <v>315761</v>
      </c>
      <c r="J54" s="948">
        <f t="shared" si="10"/>
        <v>13.960649803054478</v>
      </c>
    </row>
    <row r="55" spans="1:10" s="81" customFormat="1" x14ac:dyDescent="0.2">
      <c r="A55" s="386" t="s">
        <v>21</v>
      </c>
      <c r="B55" s="389"/>
      <c r="C55" s="390"/>
      <c r="D55" s="403"/>
      <c r="E55" s="404"/>
      <c r="F55" s="955"/>
      <c r="G55" s="406">
        <f t="shared" si="7"/>
        <v>0</v>
      </c>
      <c r="H55" s="948"/>
      <c r="I55" s="947"/>
      <c r="J55" s="948"/>
    </row>
    <row r="56" spans="1:10" s="81" customFormat="1" x14ac:dyDescent="0.2">
      <c r="A56" s="386" t="s">
        <v>265</v>
      </c>
      <c r="B56" s="391">
        <v>107681474</v>
      </c>
      <c r="C56" s="392">
        <v>108591713</v>
      </c>
      <c r="D56" s="403">
        <v>114168386</v>
      </c>
      <c r="E56" s="404">
        <v>138411294</v>
      </c>
      <c r="F56" s="955">
        <v>77943261</v>
      </c>
      <c r="G56" s="406">
        <f t="shared" si="7"/>
        <v>-6486912</v>
      </c>
      <c r="H56" s="948">
        <f t="shared" ref="H56:H59" si="11">+G56/B56*100</f>
        <v>-6.0241671654680351</v>
      </c>
      <c r="I56" s="947">
        <f t="shared" si="8"/>
        <v>36225125</v>
      </c>
      <c r="J56" s="948">
        <f t="shared" ref="J56:J59" si="12">+I56/D56*100</f>
        <v>31.729558653829095</v>
      </c>
    </row>
    <row r="57" spans="1:10" s="81" customFormat="1" x14ac:dyDescent="0.2">
      <c r="A57" s="386" t="s">
        <v>263</v>
      </c>
      <c r="B57" s="391">
        <v>227048</v>
      </c>
      <c r="C57" s="392">
        <v>318553</v>
      </c>
      <c r="D57" s="403">
        <v>184723</v>
      </c>
      <c r="E57" s="404">
        <v>95109</v>
      </c>
      <c r="F57" s="955">
        <v>196596</v>
      </c>
      <c r="G57" s="406">
        <f t="shared" si="7"/>
        <v>42325</v>
      </c>
      <c r="H57" s="948">
        <f t="shared" si="11"/>
        <v>18.641432648602937</v>
      </c>
      <c r="I57" s="947">
        <f t="shared" si="8"/>
        <v>-11873</v>
      </c>
      <c r="J57" s="948">
        <f t="shared" si="12"/>
        <v>-6.4274616588080535</v>
      </c>
    </row>
    <row r="58" spans="1:10" s="81" customFormat="1" x14ac:dyDescent="0.2">
      <c r="A58" s="386" t="s">
        <v>260</v>
      </c>
      <c r="B58" s="391">
        <v>5464276</v>
      </c>
      <c r="C58" s="392">
        <v>8877222</v>
      </c>
      <c r="D58" s="403">
        <v>6784763</v>
      </c>
      <c r="E58" s="404">
        <v>8177714</v>
      </c>
      <c r="F58" s="955">
        <v>7786331</v>
      </c>
      <c r="G58" s="406">
        <f t="shared" si="7"/>
        <v>-1320487</v>
      </c>
      <c r="H58" s="948">
        <f t="shared" si="11"/>
        <v>-24.165818124853136</v>
      </c>
      <c r="I58" s="947">
        <f t="shared" si="8"/>
        <v>-1001568</v>
      </c>
      <c r="J58" s="948">
        <f t="shared" si="12"/>
        <v>-14.762018953351797</v>
      </c>
    </row>
    <row r="59" spans="1:10" s="81" customFormat="1" x14ac:dyDescent="0.2">
      <c r="A59" s="386" t="s">
        <v>267</v>
      </c>
      <c r="B59" s="391">
        <v>10892364</v>
      </c>
      <c r="C59" s="392">
        <v>13558419</v>
      </c>
      <c r="D59" s="403">
        <v>5517018</v>
      </c>
      <c r="E59" s="404">
        <v>4849893</v>
      </c>
      <c r="F59" s="955">
        <v>3171869</v>
      </c>
      <c r="G59" s="406">
        <f t="shared" si="7"/>
        <v>5375346</v>
      </c>
      <c r="H59" s="948">
        <f t="shared" si="11"/>
        <v>49.349672853386096</v>
      </c>
      <c r="I59" s="947">
        <f t="shared" si="8"/>
        <v>2345149</v>
      </c>
      <c r="J59" s="948">
        <f t="shared" si="12"/>
        <v>42.507546649294966</v>
      </c>
    </row>
    <row r="60" spans="1:10" s="81" customFormat="1" x14ac:dyDescent="0.2">
      <c r="A60" s="386" t="s">
        <v>28</v>
      </c>
      <c r="B60" s="391"/>
      <c r="C60" s="392"/>
      <c r="D60" s="403"/>
      <c r="E60" s="404"/>
      <c r="F60" s="955"/>
      <c r="G60" s="406">
        <f t="shared" si="7"/>
        <v>0</v>
      </c>
      <c r="H60" s="948"/>
      <c r="I60" s="947">
        <f t="shared" si="8"/>
        <v>0</v>
      </c>
      <c r="J60" s="327"/>
    </row>
    <row r="61" spans="1:10" s="81" customFormat="1" x14ac:dyDescent="0.2">
      <c r="A61" s="386" t="s">
        <v>24</v>
      </c>
      <c r="B61" s="391"/>
      <c r="C61" s="392"/>
      <c r="D61" s="403"/>
      <c r="E61" s="404"/>
      <c r="F61" s="955"/>
      <c r="G61" s="406">
        <f t="shared" si="7"/>
        <v>0</v>
      </c>
      <c r="H61" s="948"/>
      <c r="I61" s="947">
        <f t="shared" si="8"/>
        <v>0</v>
      </c>
      <c r="J61" s="327"/>
    </row>
    <row r="62" spans="1:10" s="81" customFormat="1" x14ac:dyDescent="0.2">
      <c r="A62" s="386" t="s">
        <v>20</v>
      </c>
      <c r="B62" s="391"/>
      <c r="C62" s="392"/>
      <c r="D62" s="403"/>
      <c r="E62" s="404"/>
      <c r="F62" s="955"/>
      <c r="G62" s="406">
        <f t="shared" si="7"/>
        <v>0</v>
      </c>
      <c r="H62" s="948"/>
      <c r="I62" s="947">
        <f t="shared" si="8"/>
        <v>0</v>
      </c>
      <c r="J62" s="327"/>
    </row>
    <row r="63" spans="1:10" s="81" customFormat="1" x14ac:dyDescent="0.2">
      <c r="A63" s="386" t="s">
        <v>18</v>
      </c>
      <c r="B63" s="391"/>
      <c r="C63" s="392"/>
      <c r="D63" s="403"/>
      <c r="E63" s="404"/>
      <c r="F63" s="955"/>
      <c r="G63" s="406">
        <f t="shared" si="7"/>
        <v>0</v>
      </c>
      <c r="H63" s="948"/>
      <c r="I63" s="947">
        <f t="shared" si="8"/>
        <v>0</v>
      </c>
      <c r="J63" s="327"/>
    </row>
    <row r="64" spans="1:10" s="81" customFormat="1" x14ac:dyDescent="0.2">
      <c r="A64" s="386" t="s">
        <v>261</v>
      </c>
      <c r="B64" s="391">
        <v>353236</v>
      </c>
      <c r="C64" s="392">
        <v>604300</v>
      </c>
      <c r="D64" s="403">
        <v>405880</v>
      </c>
      <c r="E64" s="404">
        <v>1129481</v>
      </c>
      <c r="F64" s="955">
        <v>457009</v>
      </c>
      <c r="G64" s="406">
        <f t="shared" si="7"/>
        <v>-52644</v>
      </c>
      <c r="H64" s="948">
        <f t="shared" ref="H64" si="13">+G64/B64*100</f>
        <v>-14.903350734353237</v>
      </c>
      <c r="I64" s="947">
        <f t="shared" si="8"/>
        <v>-51129</v>
      </c>
      <c r="J64" s="948">
        <f t="shared" ref="J64" si="14">+I64/D64*100</f>
        <v>-12.5970730265103</v>
      </c>
    </row>
    <row r="65" spans="1:10" s="81" customFormat="1" x14ac:dyDescent="0.2">
      <c r="A65" s="386" t="s">
        <v>29</v>
      </c>
      <c r="B65" s="391"/>
      <c r="C65" s="392"/>
      <c r="D65" s="403"/>
      <c r="E65" s="404"/>
      <c r="F65" s="955"/>
      <c r="G65" s="406">
        <f t="shared" si="7"/>
        <v>0</v>
      </c>
      <c r="H65" s="948"/>
      <c r="I65" s="947">
        <f t="shared" si="8"/>
        <v>0</v>
      </c>
      <c r="J65" s="327"/>
    </row>
    <row r="66" spans="1:10" s="81" customFormat="1" x14ac:dyDescent="0.2">
      <c r="A66" s="386" t="s">
        <v>32</v>
      </c>
      <c r="B66" s="391"/>
      <c r="C66" s="392"/>
      <c r="D66" s="403"/>
      <c r="E66" s="404"/>
      <c r="F66" s="955"/>
      <c r="G66" s="406">
        <f t="shared" si="7"/>
        <v>0</v>
      </c>
      <c r="H66" s="948">
        <v>0</v>
      </c>
      <c r="I66" s="947">
        <f t="shared" si="8"/>
        <v>0</v>
      </c>
      <c r="J66" s="327"/>
    </row>
    <row r="67" spans="1:10" s="81" customFormat="1" x14ac:dyDescent="0.2">
      <c r="A67" s="386" t="s">
        <v>258</v>
      </c>
      <c r="B67" s="391">
        <v>3654979</v>
      </c>
      <c r="C67" s="392">
        <v>14493533</v>
      </c>
      <c r="D67" s="403">
        <v>20023951</v>
      </c>
      <c r="E67" s="404">
        <v>21889244</v>
      </c>
      <c r="F67" s="955">
        <v>1147301</v>
      </c>
      <c r="G67" s="406">
        <f t="shared" si="7"/>
        <v>-16368972</v>
      </c>
      <c r="H67" s="948">
        <f t="shared" ref="H67:H70" si="15">+G67/B67*100</f>
        <v>-447.85406427779748</v>
      </c>
      <c r="I67" s="947">
        <f t="shared" si="8"/>
        <v>18876650</v>
      </c>
      <c r="J67" s="948">
        <f t="shared" ref="J67:J70" si="16">+I67/D67*100</f>
        <v>94.27035653453207</v>
      </c>
    </row>
    <row r="68" spans="1:10" s="81" customFormat="1" x14ac:dyDescent="0.2">
      <c r="A68" s="386" t="s">
        <v>262</v>
      </c>
      <c r="B68" s="391">
        <v>631523</v>
      </c>
      <c r="C68" s="392">
        <v>397985</v>
      </c>
      <c r="D68" s="403">
        <v>668996</v>
      </c>
      <c r="E68" s="404">
        <v>613152</v>
      </c>
      <c r="F68" s="955">
        <v>748606</v>
      </c>
      <c r="G68" s="406">
        <f t="shared" si="7"/>
        <v>-37473</v>
      </c>
      <c r="H68" s="948">
        <f t="shared" si="15"/>
        <v>-5.9337506314100992</v>
      </c>
      <c r="I68" s="947">
        <f t="shared" si="8"/>
        <v>-79610</v>
      </c>
      <c r="J68" s="948">
        <f t="shared" si="16"/>
        <v>-11.899921673672189</v>
      </c>
    </row>
    <row r="69" spans="1:10" s="81" customFormat="1" x14ac:dyDescent="0.2">
      <c r="A69" s="386" t="s">
        <v>255</v>
      </c>
      <c r="B69" s="391">
        <v>14687807</v>
      </c>
      <c r="C69" s="392">
        <v>17508241</v>
      </c>
      <c r="D69" s="403">
        <v>16557721</v>
      </c>
      <c r="E69" s="404">
        <v>15969590</v>
      </c>
      <c r="F69" s="955">
        <v>16515969</v>
      </c>
      <c r="G69" s="406">
        <f t="shared" si="7"/>
        <v>-1869914</v>
      </c>
      <c r="H69" s="948">
        <f t="shared" si="15"/>
        <v>-12.731063255392721</v>
      </c>
      <c r="I69" s="947">
        <f t="shared" si="8"/>
        <v>41752</v>
      </c>
      <c r="J69" s="948">
        <f t="shared" si="16"/>
        <v>0.25216030636100223</v>
      </c>
    </row>
    <row r="70" spans="1:10" s="81" customFormat="1" x14ac:dyDescent="0.2">
      <c r="A70" s="386" t="s">
        <v>257</v>
      </c>
      <c r="B70" s="391">
        <v>1164974</v>
      </c>
      <c r="C70" s="392">
        <v>918774</v>
      </c>
      <c r="D70" s="403">
        <v>1238831</v>
      </c>
      <c r="E70" s="404">
        <v>1327016</v>
      </c>
      <c r="F70" s="955">
        <v>1281657</v>
      </c>
      <c r="G70" s="406">
        <f t="shared" si="7"/>
        <v>-73857</v>
      </c>
      <c r="H70" s="948">
        <f t="shared" si="15"/>
        <v>-6.3397981414177487</v>
      </c>
      <c r="I70" s="947">
        <f t="shared" si="8"/>
        <v>-42826</v>
      </c>
      <c r="J70" s="948">
        <f t="shared" si="16"/>
        <v>-3.4569687067889001</v>
      </c>
    </row>
    <row r="71" spans="1:10" s="81" customFormat="1" x14ac:dyDescent="0.2">
      <c r="A71" s="386" t="s">
        <v>17</v>
      </c>
      <c r="B71" s="391"/>
      <c r="C71" s="392"/>
      <c r="D71" s="403"/>
      <c r="E71" s="404"/>
      <c r="F71" s="955"/>
      <c r="G71" s="406">
        <f t="shared" si="7"/>
        <v>0</v>
      </c>
      <c r="H71" s="948"/>
      <c r="I71" s="947">
        <f t="shared" si="8"/>
        <v>0</v>
      </c>
      <c r="J71" s="948" t="s">
        <v>83</v>
      </c>
    </row>
    <row r="72" spans="1:10" s="81" customFormat="1" x14ac:dyDescent="0.2">
      <c r="A72" s="386" t="s">
        <v>264</v>
      </c>
      <c r="B72" s="391">
        <v>23740279</v>
      </c>
      <c r="C72" s="392">
        <v>25422567</v>
      </c>
      <c r="D72" s="403">
        <v>28686478</v>
      </c>
      <c r="E72" s="404">
        <v>26971459</v>
      </c>
      <c r="F72" s="955">
        <v>9203830</v>
      </c>
      <c r="G72" s="406">
        <f t="shared" si="7"/>
        <v>-4946199</v>
      </c>
      <c r="H72" s="948">
        <f t="shared" ref="H72:H75" si="17">+G72/B72*100</f>
        <v>-20.834628775845474</v>
      </c>
      <c r="I72" s="947">
        <f t="shared" si="8"/>
        <v>19482648</v>
      </c>
      <c r="J72" s="948">
        <f t="shared" ref="J72:J75" si="18">+I72/D72*100</f>
        <v>67.915789453135375</v>
      </c>
    </row>
    <row r="73" spans="1:10" s="81" customFormat="1" x14ac:dyDescent="0.2">
      <c r="A73" s="386" t="s">
        <v>266</v>
      </c>
      <c r="B73" s="391">
        <v>3010774</v>
      </c>
      <c r="C73" s="392">
        <v>2560919</v>
      </c>
      <c r="D73" s="403">
        <v>3556982</v>
      </c>
      <c r="E73" s="404">
        <v>8019156</v>
      </c>
      <c r="F73" s="955">
        <v>3897386</v>
      </c>
      <c r="G73" s="406">
        <f t="shared" si="7"/>
        <v>-546208</v>
      </c>
      <c r="H73" s="948">
        <f t="shared" si="17"/>
        <v>-18.141780153541916</v>
      </c>
      <c r="I73" s="947">
        <f t="shared" si="8"/>
        <v>-340404</v>
      </c>
      <c r="J73" s="948">
        <f t="shared" si="18"/>
        <v>-9.5700231263469995</v>
      </c>
    </row>
    <row r="74" spans="1:10" s="81" customFormat="1" x14ac:dyDescent="0.2">
      <c r="A74" s="386" t="s">
        <v>254</v>
      </c>
      <c r="B74" s="391">
        <v>298975</v>
      </c>
      <c r="C74" s="392">
        <v>244394</v>
      </c>
      <c r="D74" s="403">
        <v>239065</v>
      </c>
      <c r="E74" s="404">
        <v>284016</v>
      </c>
      <c r="F74" s="955">
        <v>158848</v>
      </c>
      <c r="G74" s="406">
        <f t="shared" si="7"/>
        <v>59910</v>
      </c>
      <c r="H74" s="948">
        <f t="shared" si="17"/>
        <v>20.038464754578143</v>
      </c>
      <c r="I74" s="947">
        <f t="shared" si="8"/>
        <v>80217</v>
      </c>
      <c r="J74" s="948">
        <f t="shared" si="18"/>
        <v>33.554472632965933</v>
      </c>
    </row>
    <row r="75" spans="1:10" s="81" customFormat="1" x14ac:dyDescent="0.2">
      <c r="A75" s="386" t="s">
        <v>268</v>
      </c>
      <c r="B75" s="391">
        <v>283394</v>
      </c>
      <c r="C75" s="392">
        <v>247319</v>
      </c>
      <c r="D75" s="403">
        <v>288990</v>
      </c>
      <c r="E75" s="404">
        <v>325735</v>
      </c>
      <c r="F75" s="955">
        <v>273215</v>
      </c>
      <c r="G75" s="406">
        <f t="shared" si="7"/>
        <v>-5596</v>
      </c>
      <c r="H75" s="948">
        <f t="shared" si="17"/>
        <v>-1.974636019111202</v>
      </c>
      <c r="I75" s="947">
        <f t="shared" si="8"/>
        <v>15775</v>
      </c>
      <c r="J75" s="948">
        <f t="shared" si="18"/>
        <v>5.458666389840479</v>
      </c>
    </row>
    <row r="76" spans="1:10" s="81" customFormat="1" x14ac:dyDescent="0.2">
      <c r="A76" s="386" t="s">
        <v>27</v>
      </c>
      <c r="B76" s="391"/>
      <c r="C76" s="392"/>
      <c r="D76" s="403"/>
      <c r="E76" s="404"/>
      <c r="F76" s="955"/>
      <c r="G76" s="406">
        <f t="shared" si="7"/>
        <v>0</v>
      </c>
      <c r="H76" s="948" t="s">
        <v>83</v>
      </c>
      <c r="I76" s="947">
        <f t="shared" si="8"/>
        <v>0</v>
      </c>
      <c r="J76" s="948" t="s">
        <v>83</v>
      </c>
    </row>
    <row r="77" spans="1:10" s="81" customFormat="1" x14ac:dyDescent="0.2">
      <c r="A77" s="386" t="s">
        <v>253</v>
      </c>
      <c r="B77" s="391">
        <v>13765959</v>
      </c>
      <c r="C77" s="392">
        <v>10327377</v>
      </c>
      <c r="D77" s="403">
        <v>11816226</v>
      </c>
      <c r="E77" s="404">
        <v>2764407</v>
      </c>
      <c r="F77" s="955">
        <v>4925267</v>
      </c>
      <c r="G77" s="406">
        <f t="shared" si="7"/>
        <v>1949733</v>
      </c>
      <c r="H77" s="948">
        <f t="shared" ref="H77" si="19">+G77/B77*100</f>
        <v>14.163437505516324</v>
      </c>
      <c r="I77" s="947">
        <f t="shared" si="8"/>
        <v>6890959</v>
      </c>
      <c r="J77" s="948">
        <f t="shared" ref="J77" si="20">+I77/D77*100</f>
        <v>58.317765757019203</v>
      </c>
    </row>
    <row r="78" spans="1:10" s="81" customFormat="1" x14ac:dyDescent="0.2">
      <c r="A78" s="386" t="s">
        <v>30</v>
      </c>
      <c r="B78" s="391"/>
      <c r="C78" s="392"/>
      <c r="D78" s="403"/>
      <c r="E78" s="404"/>
      <c r="F78" s="955"/>
      <c r="G78" s="406">
        <f t="shared" si="7"/>
        <v>0</v>
      </c>
      <c r="H78" s="948" t="s">
        <v>83</v>
      </c>
      <c r="I78" s="947">
        <f t="shared" si="8"/>
        <v>0</v>
      </c>
      <c r="J78" s="327"/>
    </row>
    <row r="79" spans="1:10" s="81" customFormat="1" ht="12.75" thickBot="1" x14ac:dyDescent="0.25">
      <c r="A79" s="396"/>
      <c r="B79" s="393"/>
      <c r="C79" s="394"/>
      <c r="D79" s="397"/>
      <c r="E79" s="398"/>
      <c r="F79" s="399"/>
      <c r="G79" s="950">
        <f t="shared" si="7"/>
        <v>0</v>
      </c>
      <c r="H79" s="951"/>
      <c r="I79" s="947">
        <f t="shared" si="8"/>
        <v>0</v>
      </c>
      <c r="J79" s="400"/>
    </row>
    <row r="80" spans="1:10" s="81" customFormat="1" ht="42" customHeight="1" thickBot="1" x14ac:dyDescent="0.25">
      <c r="A80" s="23" t="s">
        <v>45</v>
      </c>
      <c r="B80" s="385">
        <f>SUM(B48:B79)</f>
        <v>195356731</v>
      </c>
      <c r="C80" s="385">
        <f t="shared" ref="C80:G80" si="21">SUM(C48:C79)</f>
        <v>215095340</v>
      </c>
      <c r="D80" s="385">
        <f t="shared" si="21"/>
        <v>221305785</v>
      </c>
      <c r="E80" s="385">
        <f t="shared" si="21"/>
        <v>244501553</v>
      </c>
      <c r="F80" s="385">
        <f t="shared" si="21"/>
        <v>138072063</v>
      </c>
      <c r="G80" s="385">
        <f t="shared" si="21"/>
        <v>-25949054</v>
      </c>
      <c r="H80" s="953">
        <f>+G80/B80*100</f>
        <v>-13.282907564623406</v>
      </c>
      <c r="I80" s="407">
        <f t="shared" ref="I80" si="22">SUM(I48:I79)</f>
        <v>83233722</v>
      </c>
      <c r="J80" s="960">
        <f>+I80/D80*100</f>
        <v>37.610278466059981</v>
      </c>
    </row>
    <row r="81" spans="1:10" s="81" customFormat="1" x14ac:dyDescent="0.2">
      <c r="A81" s="711" t="s">
        <v>46</v>
      </c>
      <c r="B81" s="712"/>
      <c r="C81" s="712"/>
      <c r="D81" s="712"/>
      <c r="E81" s="712"/>
      <c r="F81" s="712"/>
      <c r="G81" s="712"/>
      <c r="H81" s="712"/>
      <c r="I81" s="712"/>
    </row>
    <row r="82" spans="1:10" s="81" customFormat="1" x14ac:dyDescent="0.2">
      <c r="A82" s="711" t="s">
        <v>11912</v>
      </c>
      <c r="B82" s="41"/>
      <c r="C82" s="41"/>
      <c r="D82" s="41"/>
      <c r="E82" s="41"/>
      <c r="F82" s="41"/>
      <c r="G82" s="41"/>
      <c r="H82" s="41"/>
      <c r="I82" s="41"/>
    </row>
    <row r="83" spans="1:10" s="81" customFormat="1" x14ac:dyDescent="0.2">
      <c r="A83" s="711" t="s">
        <v>149</v>
      </c>
      <c r="B83" s="712"/>
      <c r="C83" s="712"/>
      <c r="D83" s="712"/>
      <c r="E83" s="712"/>
      <c r="F83" s="712"/>
      <c r="G83" s="712"/>
      <c r="H83" s="712"/>
      <c r="I83" s="712"/>
    </row>
    <row r="84" spans="1:10" s="81" customFormat="1" x14ac:dyDescent="0.2">
      <c r="A84" s="711"/>
      <c r="B84" s="712"/>
      <c r="C84" s="712"/>
      <c r="D84" s="712"/>
      <c r="E84" s="712"/>
      <c r="F84" s="712"/>
      <c r="G84" s="712"/>
      <c r="H84" s="712"/>
      <c r="I84" s="712"/>
    </row>
    <row r="85" spans="1:10" s="81" customFormat="1" x14ac:dyDescent="0.2">
      <c r="A85" s="711"/>
      <c r="B85" s="712"/>
      <c r="C85" s="712"/>
      <c r="D85" s="712"/>
      <c r="E85" s="712"/>
      <c r="F85" s="712"/>
      <c r="G85" s="712"/>
      <c r="H85" s="712"/>
      <c r="I85" s="712"/>
    </row>
    <row r="86" spans="1:10" s="81" customFormat="1" x14ac:dyDescent="0.2">
      <c r="A86" s="711"/>
      <c r="B86" s="712"/>
      <c r="C86" s="712"/>
      <c r="D86" s="712"/>
      <c r="E86" s="712"/>
      <c r="F86" s="712"/>
      <c r="G86" s="712"/>
      <c r="H86" s="712"/>
      <c r="I86" s="712"/>
    </row>
    <row r="87" spans="1:10" s="81" customFormat="1" x14ac:dyDescent="0.2">
      <c r="A87" s="719" t="s">
        <v>418</v>
      </c>
      <c r="B87" s="719"/>
      <c r="C87" s="719"/>
      <c r="D87" s="719"/>
      <c r="E87" s="719"/>
      <c r="F87" s="719"/>
      <c r="G87" s="719"/>
      <c r="H87" s="719"/>
      <c r="I87" s="719"/>
      <c r="J87" s="63"/>
    </row>
    <row r="88" spans="1:10" s="81" customFormat="1" x14ac:dyDescent="0.2">
      <c r="A88" s="719" t="s">
        <v>453</v>
      </c>
      <c r="B88" s="719"/>
      <c r="C88" s="719"/>
      <c r="D88" s="719"/>
      <c r="E88" s="719"/>
      <c r="F88" s="719"/>
      <c r="G88" s="719"/>
      <c r="H88" s="719"/>
      <c r="I88" s="719"/>
      <c r="J88" s="719"/>
    </row>
    <row r="89" spans="1:10" s="81" customFormat="1" ht="12.75" thickBot="1" x14ac:dyDescent="0.25">
      <c r="A89" s="719" t="s">
        <v>11908</v>
      </c>
      <c r="B89" s="713"/>
      <c r="E89" s="713"/>
    </row>
    <row r="90" spans="1:10" s="81" customFormat="1" ht="12.75" thickBot="1" x14ac:dyDescent="0.25">
      <c r="A90" s="1298" t="s">
        <v>23</v>
      </c>
      <c r="B90" s="1300" t="s">
        <v>348</v>
      </c>
      <c r="C90" s="1296" t="s">
        <v>419</v>
      </c>
      <c r="D90" s="1301" t="s">
        <v>420</v>
      </c>
      <c r="E90" s="1293" t="s">
        <v>421</v>
      </c>
      <c r="F90" s="1289" t="s">
        <v>422</v>
      </c>
      <c r="G90" s="1291" t="s">
        <v>349</v>
      </c>
      <c r="H90" s="1293" t="s">
        <v>350</v>
      </c>
      <c r="I90" s="1291" t="s">
        <v>424</v>
      </c>
      <c r="J90" s="1296" t="s">
        <v>423</v>
      </c>
    </row>
    <row r="91" spans="1:10" s="81" customFormat="1" ht="45.75" customHeight="1" thickBot="1" x14ac:dyDescent="0.25">
      <c r="A91" s="1299"/>
      <c r="B91" s="1299"/>
      <c r="C91" s="1297"/>
      <c r="D91" s="1302"/>
      <c r="E91" s="1303"/>
      <c r="F91" s="1290"/>
      <c r="G91" s="1292"/>
      <c r="H91" s="1294"/>
      <c r="I91" s="1295"/>
      <c r="J91" s="1297"/>
    </row>
    <row r="92" spans="1:10" s="81" customFormat="1" x14ac:dyDescent="0.2">
      <c r="A92" s="395" t="s">
        <v>26</v>
      </c>
      <c r="B92" s="387">
        <v>10268155</v>
      </c>
      <c r="C92" s="388">
        <v>11484925</v>
      </c>
      <c r="D92" s="401">
        <v>10557991</v>
      </c>
      <c r="E92" s="402">
        <v>12517590</v>
      </c>
      <c r="F92" s="954">
        <v>10242030</v>
      </c>
      <c r="G92" s="405">
        <f>+B92-D92</f>
        <v>-289836</v>
      </c>
      <c r="H92" s="952">
        <f>+G92/B92*100</f>
        <v>-2.8226687267576307</v>
      </c>
      <c r="I92" s="401">
        <f>+D92-F92</f>
        <v>315961</v>
      </c>
      <c r="J92" s="952">
        <f>+I92/D92*100</f>
        <v>2.9926242596721289</v>
      </c>
    </row>
    <row r="93" spans="1:10" s="81" customFormat="1" x14ac:dyDescent="0.2">
      <c r="A93" s="386" t="s">
        <v>259</v>
      </c>
      <c r="B93" s="391">
        <v>590900</v>
      </c>
      <c r="C93" s="392">
        <v>876105</v>
      </c>
      <c r="D93" s="403">
        <v>1070997</v>
      </c>
      <c r="E93" s="404">
        <v>1069129</v>
      </c>
      <c r="F93" s="955">
        <v>836538</v>
      </c>
      <c r="G93" s="406">
        <f>+B93-D93</f>
        <v>-480097</v>
      </c>
      <c r="H93" s="948">
        <f>+G93/B93*100</f>
        <v>-81.248434591301404</v>
      </c>
      <c r="I93" s="947">
        <f>+D93-F93</f>
        <v>234459</v>
      </c>
      <c r="J93" s="948">
        <f>+I93/D93*100</f>
        <v>21.891657959826219</v>
      </c>
    </row>
    <row r="94" spans="1:10" s="81" customFormat="1" x14ac:dyDescent="0.2">
      <c r="A94" s="386" t="s">
        <v>25</v>
      </c>
      <c r="B94" s="389"/>
      <c r="C94" s="390"/>
      <c r="D94" s="403"/>
      <c r="E94" s="404"/>
      <c r="F94" s="955"/>
      <c r="G94" s="406">
        <f t="shared" ref="G94:G123" si="23">+B94-D94</f>
        <v>0</v>
      </c>
      <c r="H94" s="949"/>
      <c r="I94" s="947">
        <f t="shared" ref="I94:I123" si="24">+D94-F94</f>
        <v>0</v>
      </c>
      <c r="J94" s="327"/>
    </row>
    <row r="95" spans="1:10" s="81" customFormat="1" x14ac:dyDescent="0.2">
      <c r="A95" s="386" t="s">
        <v>19</v>
      </c>
      <c r="B95" s="389"/>
      <c r="C95" s="390"/>
      <c r="D95" s="403"/>
      <c r="E95" s="404"/>
      <c r="F95" s="955"/>
      <c r="G95" s="406">
        <f t="shared" si="23"/>
        <v>0</v>
      </c>
      <c r="H95" s="949"/>
      <c r="I95" s="947">
        <f t="shared" si="24"/>
        <v>0</v>
      </c>
      <c r="J95" s="327"/>
    </row>
    <row r="96" spans="1:10" s="81" customFormat="1" x14ac:dyDescent="0.2">
      <c r="A96" s="386" t="s">
        <v>16</v>
      </c>
      <c r="B96" s="389"/>
      <c r="C96" s="390"/>
      <c r="D96" s="403"/>
      <c r="E96" s="404"/>
      <c r="F96" s="955"/>
      <c r="G96" s="406">
        <f t="shared" si="23"/>
        <v>0</v>
      </c>
      <c r="H96" s="949"/>
      <c r="I96" s="947">
        <f t="shared" si="24"/>
        <v>0</v>
      </c>
      <c r="J96" s="327"/>
    </row>
    <row r="97" spans="1:10" s="81" customFormat="1" x14ac:dyDescent="0.2">
      <c r="A97" s="386" t="s">
        <v>256</v>
      </c>
      <c r="B97" s="391">
        <v>1227149</v>
      </c>
      <c r="C97" s="392">
        <v>1154716</v>
      </c>
      <c r="D97" s="403">
        <v>1427146</v>
      </c>
      <c r="E97" s="404">
        <v>1429413</v>
      </c>
      <c r="F97" s="955">
        <v>634086</v>
      </c>
      <c r="G97" s="406">
        <f t="shared" si="23"/>
        <v>-199997</v>
      </c>
      <c r="H97" s="948">
        <f t="shared" ref="H97:H98" si="25">+G97/B97*100</f>
        <v>-16.297694900945199</v>
      </c>
      <c r="I97" s="947">
        <f t="shared" si="24"/>
        <v>793060</v>
      </c>
      <c r="J97" s="948">
        <f t="shared" ref="J97:J98" si="26">+I97/D97*100</f>
        <v>55.569647394169905</v>
      </c>
    </row>
    <row r="98" spans="1:10" s="81" customFormat="1" x14ac:dyDescent="0.2">
      <c r="A98" s="386" t="s">
        <v>269</v>
      </c>
      <c r="B98" s="391">
        <v>1372428</v>
      </c>
      <c r="C98" s="392">
        <v>1818949</v>
      </c>
      <c r="D98" s="403">
        <v>1555067</v>
      </c>
      <c r="E98" s="404">
        <v>1571071</v>
      </c>
      <c r="F98" s="955">
        <v>1294852</v>
      </c>
      <c r="G98" s="406">
        <f t="shared" si="23"/>
        <v>-182639</v>
      </c>
      <c r="H98" s="948">
        <f t="shared" si="25"/>
        <v>-13.307729075769368</v>
      </c>
      <c r="I98" s="947">
        <f t="shared" si="24"/>
        <v>260215</v>
      </c>
      <c r="J98" s="948">
        <f t="shared" si="26"/>
        <v>16.733362613958114</v>
      </c>
    </row>
    <row r="99" spans="1:10" s="81" customFormat="1" x14ac:dyDescent="0.2">
      <c r="A99" s="386" t="s">
        <v>21</v>
      </c>
      <c r="B99" s="389"/>
      <c r="C99" s="390"/>
      <c r="D99" s="403"/>
      <c r="E99" s="404"/>
      <c r="F99" s="955"/>
      <c r="G99" s="406">
        <f t="shared" si="23"/>
        <v>0</v>
      </c>
      <c r="H99" s="948">
        <v>0</v>
      </c>
      <c r="I99" s="947">
        <f t="shared" si="24"/>
        <v>0</v>
      </c>
      <c r="J99" s="948">
        <v>0</v>
      </c>
    </row>
    <row r="100" spans="1:10" s="81" customFormat="1" x14ac:dyDescent="0.2">
      <c r="A100" s="386" t="s">
        <v>265</v>
      </c>
      <c r="B100" s="391">
        <v>0</v>
      </c>
      <c r="C100" s="392">
        <v>4028972</v>
      </c>
      <c r="D100" s="403">
        <v>112897</v>
      </c>
      <c r="E100" s="404">
        <v>1406681</v>
      </c>
      <c r="F100" s="955">
        <v>112897</v>
      </c>
      <c r="G100" s="406">
        <f t="shared" si="23"/>
        <v>-112897</v>
      </c>
      <c r="H100" s="948">
        <v>0</v>
      </c>
      <c r="I100" s="947">
        <f t="shared" si="24"/>
        <v>0</v>
      </c>
      <c r="J100" s="948">
        <f t="shared" ref="J100:J103" si="27">+I100/D100*100</f>
        <v>0</v>
      </c>
    </row>
    <row r="101" spans="1:10" s="81" customFormat="1" x14ac:dyDescent="0.2">
      <c r="A101" s="386" t="s">
        <v>263</v>
      </c>
      <c r="B101" s="391">
        <v>18278</v>
      </c>
      <c r="C101" s="392">
        <v>16738</v>
      </c>
      <c r="D101" s="403">
        <v>99938</v>
      </c>
      <c r="E101" s="404">
        <v>18182</v>
      </c>
      <c r="F101" s="955">
        <v>14938</v>
      </c>
      <c r="G101" s="406">
        <f t="shared" si="23"/>
        <v>-81660</v>
      </c>
      <c r="H101" s="948">
        <f t="shared" ref="H101:H103" si="28">+G101/B101*100</f>
        <v>-446.76660466134149</v>
      </c>
      <c r="I101" s="947">
        <f t="shared" si="24"/>
        <v>85000</v>
      </c>
      <c r="J101" s="948">
        <f t="shared" si="27"/>
        <v>85.052732694270446</v>
      </c>
    </row>
    <row r="102" spans="1:10" s="81" customFormat="1" x14ac:dyDescent="0.2">
      <c r="A102" s="386" t="s">
        <v>260</v>
      </c>
      <c r="B102" s="391">
        <v>6880164</v>
      </c>
      <c r="C102" s="392">
        <v>4264923</v>
      </c>
      <c r="D102" s="403">
        <v>2568554</v>
      </c>
      <c r="E102" s="404">
        <v>2353663</v>
      </c>
      <c r="F102" s="955">
        <v>2179982</v>
      </c>
      <c r="G102" s="406">
        <f t="shared" si="23"/>
        <v>4311610</v>
      </c>
      <c r="H102" s="948">
        <f t="shared" si="28"/>
        <v>62.667256187497856</v>
      </c>
      <c r="I102" s="947">
        <f t="shared" si="24"/>
        <v>388572</v>
      </c>
      <c r="J102" s="948">
        <f t="shared" si="27"/>
        <v>15.12804480653317</v>
      </c>
    </row>
    <row r="103" spans="1:10" s="81" customFormat="1" x14ac:dyDescent="0.2">
      <c r="A103" s="386" t="s">
        <v>267</v>
      </c>
      <c r="B103" s="391">
        <v>58228</v>
      </c>
      <c r="C103" s="392">
        <v>19790</v>
      </c>
      <c r="D103" s="403">
        <v>11358</v>
      </c>
      <c r="E103" s="404">
        <v>10923</v>
      </c>
      <c r="F103" s="955">
        <v>5040</v>
      </c>
      <c r="G103" s="406">
        <f t="shared" si="23"/>
        <v>46870</v>
      </c>
      <c r="H103" s="948">
        <f t="shared" si="28"/>
        <v>80.493920450642293</v>
      </c>
      <c r="I103" s="947">
        <f t="shared" si="24"/>
        <v>6318</v>
      </c>
      <c r="J103" s="948">
        <f t="shared" si="27"/>
        <v>55.625990491283673</v>
      </c>
    </row>
    <row r="104" spans="1:10" s="81" customFormat="1" x14ac:dyDescent="0.2">
      <c r="A104" s="386" t="s">
        <v>28</v>
      </c>
      <c r="B104" s="391"/>
      <c r="C104" s="392"/>
      <c r="D104" s="403"/>
      <c r="E104" s="404"/>
      <c r="F104" s="955"/>
      <c r="G104" s="406">
        <f t="shared" si="23"/>
        <v>0</v>
      </c>
      <c r="H104" s="948"/>
      <c r="I104" s="947">
        <f t="shared" si="24"/>
        <v>0</v>
      </c>
      <c r="J104" s="327"/>
    </row>
    <row r="105" spans="1:10" s="81" customFormat="1" x14ac:dyDescent="0.2">
      <c r="A105" s="386" t="s">
        <v>24</v>
      </c>
      <c r="B105" s="391"/>
      <c r="C105" s="392"/>
      <c r="D105" s="403"/>
      <c r="E105" s="404"/>
      <c r="F105" s="955"/>
      <c r="G105" s="406">
        <f t="shared" si="23"/>
        <v>0</v>
      </c>
      <c r="H105" s="948"/>
      <c r="I105" s="947">
        <f t="shared" si="24"/>
        <v>0</v>
      </c>
      <c r="J105" s="327"/>
    </row>
    <row r="106" spans="1:10" s="81" customFormat="1" x14ac:dyDescent="0.2">
      <c r="A106" s="386" t="s">
        <v>20</v>
      </c>
      <c r="B106" s="391"/>
      <c r="C106" s="392"/>
      <c r="D106" s="403"/>
      <c r="E106" s="404"/>
      <c r="F106" s="955"/>
      <c r="G106" s="406">
        <f t="shared" si="23"/>
        <v>0</v>
      </c>
      <c r="H106" s="948"/>
      <c r="I106" s="947">
        <f t="shared" si="24"/>
        <v>0</v>
      </c>
      <c r="J106" s="327"/>
    </row>
    <row r="107" spans="1:10" s="81" customFormat="1" x14ac:dyDescent="0.2">
      <c r="A107" s="386" t="s">
        <v>18</v>
      </c>
      <c r="B107" s="391"/>
      <c r="C107" s="392"/>
      <c r="D107" s="403"/>
      <c r="E107" s="404"/>
      <c r="F107" s="955"/>
      <c r="G107" s="406">
        <f t="shared" si="23"/>
        <v>0</v>
      </c>
      <c r="H107" s="948"/>
      <c r="I107" s="947">
        <f t="shared" si="24"/>
        <v>0</v>
      </c>
      <c r="J107" s="327"/>
    </row>
    <row r="108" spans="1:10" s="81" customFormat="1" x14ac:dyDescent="0.2">
      <c r="A108" s="386" t="s">
        <v>261</v>
      </c>
      <c r="B108" s="391">
        <v>284883</v>
      </c>
      <c r="C108" s="392">
        <v>414721</v>
      </c>
      <c r="D108" s="403">
        <v>598157</v>
      </c>
      <c r="E108" s="404">
        <v>700727</v>
      </c>
      <c r="F108" s="955">
        <v>230766</v>
      </c>
      <c r="G108" s="406">
        <f t="shared" si="23"/>
        <v>-313274</v>
      </c>
      <c r="H108" s="948">
        <f t="shared" ref="H108" si="29">+G108/B108*100</f>
        <v>-109.96584562785425</v>
      </c>
      <c r="I108" s="947">
        <f t="shared" si="24"/>
        <v>367391</v>
      </c>
      <c r="J108" s="948">
        <f t="shared" ref="J108" si="30">+I108/D108*100</f>
        <v>61.420496625467891</v>
      </c>
    </row>
    <row r="109" spans="1:10" s="81" customFormat="1" x14ac:dyDescent="0.2">
      <c r="A109" s="386" t="s">
        <v>29</v>
      </c>
      <c r="B109" s="391"/>
      <c r="C109" s="392"/>
      <c r="D109" s="403"/>
      <c r="E109" s="404"/>
      <c r="F109" s="955"/>
      <c r="G109" s="406">
        <f t="shared" si="23"/>
        <v>0</v>
      </c>
      <c r="H109" s="948"/>
      <c r="I109" s="947">
        <f t="shared" si="24"/>
        <v>0</v>
      </c>
      <c r="J109" s="327"/>
    </row>
    <row r="110" spans="1:10" s="81" customFormat="1" x14ac:dyDescent="0.2">
      <c r="A110" s="386" t="s">
        <v>32</v>
      </c>
      <c r="B110" s="391"/>
      <c r="C110" s="392"/>
      <c r="D110" s="403"/>
      <c r="E110" s="404"/>
      <c r="F110" s="955"/>
      <c r="G110" s="406">
        <f t="shared" si="23"/>
        <v>0</v>
      </c>
      <c r="H110" s="948"/>
      <c r="I110" s="947">
        <f t="shared" si="24"/>
        <v>0</v>
      </c>
      <c r="J110" s="327"/>
    </row>
    <row r="111" spans="1:10" s="81" customFormat="1" x14ac:dyDescent="0.2">
      <c r="A111" s="386" t="s">
        <v>258</v>
      </c>
      <c r="B111" s="391">
        <v>850821</v>
      </c>
      <c r="C111" s="392">
        <v>1319901</v>
      </c>
      <c r="D111" s="403">
        <v>601636</v>
      </c>
      <c r="E111" s="404">
        <v>850765</v>
      </c>
      <c r="F111" s="955">
        <v>388138</v>
      </c>
      <c r="G111" s="406">
        <f t="shared" si="23"/>
        <v>249185</v>
      </c>
      <c r="H111" s="948">
        <f t="shared" ref="H111:H114" si="31">+G111/B111*100</f>
        <v>29.28759398275313</v>
      </c>
      <c r="I111" s="947">
        <f t="shared" si="24"/>
        <v>213498</v>
      </c>
      <c r="J111" s="948">
        <f t="shared" ref="J111:J114" si="32">+I111/D111*100</f>
        <v>35.486240849949141</v>
      </c>
    </row>
    <row r="112" spans="1:10" s="81" customFormat="1" x14ac:dyDescent="0.2">
      <c r="A112" s="386" t="s">
        <v>262</v>
      </c>
      <c r="B112" s="391">
        <v>218278</v>
      </c>
      <c r="C112" s="392">
        <v>151435</v>
      </c>
      <c r="D112" s="403">
        <v>532269</v>
      </c>
      <c r="E112" s="404">
        <v>562251</v>
      </c>
      <c r="F112" s="955">
        <v>217515</v>
      </c>
      <c r="G112" s="406">
        <f t="shared" si="23"/>
        <v>-313991</v>
      </c>
      <c r="H112" s="948">
        <f t="shared" si="31"/>
        <v>-143.84912817599576</v>
      </c>
      <c r="I112" s="947">
        <f t="shared" si="24"/>
        <v>314754</v>
      </c>
      <c r="J112" s="948">
        <f t="shared" si="32"/>
        <v>59.134385057179742</v>
      </c>
    </row>
    <row r="113" spans="1:10" s="81" customFormat="1" x14ac:dyDescent="0.2">
      <c r="A113" s="386" t="s">
        <v>255</v>
      </c>
      <c r="B113" s="391">
        <v>1178107</v>
      </c>
      <c r="C113" s="392">
        <v>1368092</v>
      </c>
      <c r="D113" s="403">
        <v>892993</v>
      </c>
      <c r="E113" s="404">
        <v>1067290</v>
      </c>
      <c r="F113" s="955">
        <v>980630</v>
      </c>
      <c r="G113" s="406">
        <f t="shared" si="23"/>
        <v>285114</v>
      </c>
      <c r="H113" s="948">
        <f t="shared" si="31"/>
        <v>24.201027580686642</v>
      </c>
      <c r="I113" s="947">
        <f t="shared" si="24"/>
        <v>-87637</v>
      </c>
      <c r="J113" s="948">
        <f t="shared" si="32"/>
        <v>-9.8138507244737649</v>
      </c>
    </row>
    <row r="114" spans="1:10" s="81" customFormat="1" x14ac:dyDescent="0.2">
      <c r="A114" s="386" t="s">
        <v>257</v>
      </c>
      <c r="B114" s="391">
        <v>500268</v>
      </c>
      <c r="C114" s="392">
        <v>203085</v>
      </c>
      <c r="D114" s="403">
        <v>219385</v>
      </c>
      <c r="E114" s="404">
        <v>406505</v>
      </c>
      <c r="F114" s="955">
        <v>137385</v>
      </c>
      <c r="G114" s="406">
        <f t="shared" si="23"/>
        <v>280883</v>
      </c>
      <c r="H114" s="948">
        <f t="shared" si="31"/>
        <v>56.146505473066433</v>
      </c>
      <c r="I114" s="947">
        <f t="shared" si="24"/>
        <v>82000</v>
      </c>
      <c r="J114" s="948">
        <f t="shared" si="32"/>
        <v>37.377213574310005</v>
      </c>
    </row>
    <row r="115" spans="1:10" s="81" customFormat="1" x14ac:dyDescent="0.2">
      <c r="A115" s="386" t="s">
        <v>17</v>
      </c>
      <c r="B115" s="391"/>
      <c r="C115" s="392"/>
      <c r="D115" s="403"/>
      <c r="E115" s="404"/>
      <c r="F115" s="955"/>
      <c r="G115" s="406">
        <f t="shared" si="23"/>
        <v>0</v>
      </c>
      <c r="H115" s="948"/>
      <c r="I115" s="947">
        <f t="shared" si="24"/>
        <v>0</v>
      </c>
      <c r="J115" s="948"/>
    </row>
    <row r="116" spans="1:10" s="81" customFormat="1" x14ac:dyDescent="0.2">
      <c r="A116" s="386" t="s">
        <v>264</v>
      </c>
      <c r="B116" s="391">
        <v>10241641</v>
      </c>
      <c r="C116" s="392">
        <v>11938252</v>
      </c>
      <c r="D116" s="403">
        <v>11619906</v>
      </c>
      <c r="E116" s="404">
        <v>10865360</v>
      </c>
      <c r="F116" s="955">
        <v>6189741</v>
      </c>
      <c r="G116" s="406">
        <f t="shared" si="23"/>
        <v>-1378265</v>
      </c>
      <c r="H116" s="948">
        <f t="shared" ref="H116:H119" si="33">+G116/B116*100</f>
        <v>-13.457462529686403</v>
      </c>
      <c r="I116" s="947">
        <f t="shared" si="24"/>
        <v>5430165</v>
      </c>
      <c r="J116" s="948">
        <f t="shared" ref="J116:J119" si="34">+I116/D116*100</f>
        <v>46.731574248535232</v>
      </c>
    </row>
    <row r="117" spans="1:10" s="81" customFormat="1" x14ac:dyDescent="0.2">
      <c r="A117" s="386" t="s">
        <v>266</v>
      </c>
      <c r="B117" s="391">
        <v>6613388</v>
      </c>
      <c r="C117" s="392">
        <v>7781029</v>
      </c>
      <c r="D117" s="403">
        <v>6525893</v>
      </c>
      <c r="E117" s="404">
        <v>7182491</v>
      </c>
      <c r="F117" s="955">
        <v>3575202</v>
      </c>
      <c r="G117" s="406">
        <f t="shared" si="23"/>
        <v>87495</v>
      </c>
      <c r="H117" s="948">
        <f t="shared" si="33"/>
        <v>1.3229981365073393</v>
      </c>
      <c r="I117" s="947">
        <f t="shared" si="24"/>
        <v>2950691</v>
      </c>
      <c r="J117" s="948">
        <f t="shared" si="34"/>
        <v>45.215129944668107</v>
      </c>
    </row>
    <row r="118" spans="1:10" s="81" customFormat="1" x14ac:dyDescent="0.2">
      <c r="A118" s="386" t="s">
        <v>254</v>
      </c>
      <c r="B118" s="391">
        <v>147744</v>
      </c>
      <c r="C118" s="392">
        <v>243757</v>
      </c>
      <c r="D118" s="403">
        <v>290659</v>
      </c>
      <c r="E118" s="404">
        <v>348552</v>
      </c>
      <c r="F118" s="955">
        <v>188825</v>
      </c>
      <c r="G118" s="406">
        <f t="shared" si="23"/>
        <v>-142915</v>
      </c>
      <c r="H118" s="948">
        <f t="shared" si="33"/>
        <v>-96.731508555338962</v>
      </c>
      <c r="I118" s="947">
        <f t="shared" si="24"/>
        <v>101834</v>
      </c>
      <c r="J118" s="948">
        <f t="shared" si="34"/>
        <v>35.035557130520644</v>
      </c>
    </row>
    <row r="119" spans="1:10" s="81" customFormat="1" x14ac:dyDescent="0.2">
      <c r="A119" s="386" t="s">
        <v>268</v>
      </c>
      <c r="B119" s="391">
        <v>402000</v>
      </c>
      <c r="C119" s="392">
        <v>247531</v>
      </c>
      <c r="D119" s="403">
        <v>514167</v>
      </c>
      <c r="E119" s="404">
        <v>514611</v>
      </c>
      <c r="F119" s="955">
        <v>65500</v>
      </c>
      <c r="G119" s="406">
        <f t="shared" si="23"/>
        <v>-112167</v>
      </c>
      <c r="H119" s="948">
        <f t="shared" si="33"/>
        <v>-27.902238805970146</v>
      </c>
      <c r="I119" s="947">
        <f t="shared" si="24"/>
        <v>448667</v>
      </c>
      <c r="J119" s="948">
        <f t="shared" si="34"/>
        <v>87.260948291119419</v>
      </c>
    </row>
    <row r="120" spans="1:10" s="81" customFormat="1" x14ac:dyDescent="0.2">
      <c r="A120" s="386" t="s">
        <v>27</v>
      </c>
      <c r="B120" s="391"/>
      <c r="C120" s="392"/>
      <c r="D120" s="403"/>
      <c r="E120" s="404"/>
      <c r="F120" s="955"/>
      <c r="G120" s="406">
        <f t="shared" si="23"/>
        <v>0</v>
      </c>
      <c r="H120" s="948"/>
      <c r="I120" s="947">
        <f t="shared" si="24"/>
        <v>0</v>
      </c>
      <c r="J120" s="948"/>
    </row>
    <row r="121" spans="1:10" s="81" customFormat="1" x14ac:dyDescent="0.2">
      <c r="A121" s="386" t="s">
        <v>253</v>
      </c>
      <c r="B121" s="391">
        <v>3029942</v>
      </c>
      <c r="C121" s="392">
        <v>2817141</v>
      </c>
      <c r="D121" s="403">
        <v>2552455</v>
      </c>
      <c r="E121" s="404">
        <v>2398081</v>
      </c>
      <c r="F121" s="955">
        <v>1514069</v>
      </c>
      <c r="G121" s="406">
        <f t="shared" si="23"/>
        <v>477487</v>
      </c>
      <c r="H121" s="948">
        <f t="shared" ref="H121" si="35">+G121/B121*100</f>
        <v>15.758948521126806</v>
      </c>
      <c r="I121" s="947">
        <f t="shared" si="24"/>
        <v>1038386</v>
      </c>
      <c r="J121" s="948">
        <f t="shared" ref="J121" si="36">+I121/D121*100</f>
        <v>40.681853352948437</v>
      </c>
    </row>
    <row r="122" spans="1:10" s="81" customFormat="1" x14ac:dyDescent="0.2">
      <c r="A122" s="386" t="s">
        <v>30</v>
      </c>
      <c r="B122" s="391"/>
      <c r="C122" s="392"/>
      <c r="D122" s="403"/>
      <c r="E122" s="404"/>
      <c r="F122" s="955"/>
      <c r="G122" s="406">
        <f t="shared" si="23"/>
        <v>0</v>
      </c>
      <c r="H122" s="948"/>
      <c r="I122" s="947">
        <f t="shared" si="24"/>
        <v>0</v>
      </c>
      <c r="J122" s="327"/>
    </row>
    <row r="123" spans="1:10" s="81" customFormat="1" ht="12.75" thickBot="1" x14ac:dyDescent="0.25">
      <c r="A123" s="396"/>
      <c r="B123" s="393"/>
      <c r="C123" s="394"/>
      <c r="D123" s="397"/>
      <c r="E123" s="398"/>
      <c r="F123" s="399"/>
      <c r="G123" s="950">
        <f t="shared" si="23"/>
        <v>0</v>
      </c>
      <c r="H123" s="951"/>
      <c r="I123" s="947">
        <f t="shared" si="24"/>
        <v>0</v>
      </c>
      <c r="J123" s="400"/>
    </row>
    <row r="124" spans="1:10" s="81" customFormat="1" ht="33.75" customHeight="1" thickBot="1" x14ac:dyDescent="0.25">
      <c r="A124" s="23" t="s">
        <v>45</v>
      </c>
      <c r="B124" s="385">
        <f>SUM(B92:B123)</f>
        <v>43882374</v>
      </c>
      <c r="C124" s="385">
        <f t="shared" ref="C124:G124" si="37">SUM(C92:C123)</f>
        <v>50150062</v>
      </c>
      <c r="D124" s="385">
        <f t="shared" si="37"/>
        <v>41751468</v>
      </c>
      <c r="E124" s="385">
        <f t="shared" si="37"/>
        <v>45273285</v>
      </c>
      <c r="F124" s="385">
        <f t="shared" si="37"/>
        <v>28808134</v>
      </c>
      <c r="G124" s="385">
        <f t="shared" si="37"/>
        <v>2130906</v>
      </c>
      <c r="H124" s="953">
        <f>+G124/B124*100</f>
        <v>4.8559496803887594</v>
      </c>
      <c r="I124" s="407">
        <f t="shared" ref="I124" si="38">SUM(I92:I123)</f>
        <v>12943334</v>
      </c>
      <c r="J124" s="960">
        <f>+I124/D124*100</f>
        <v>31.000907560903006</v>
      </c>
    </row>
    <row r="125" spans="1:10" s="81" customFormat="1" x14ac:dyDescent="0.2">
      <c r="A125" s="711" t="s">
        <v>46</v>
      </c>
      <c r="B125" s="712"/>
      <c r="C125" s="712"/>
      <c r="D125" s="712"/>
      <c r="E125" s="712"/>
      <c r="F125" s="712"/>
      <c r="G125" s="712"/>
      <c r="H125" s="712"/>
      <c r="I125" s="712"/>
    </row>
    <row r="126" spans="1:10" s="81" customFormat="1" x14ac:dyDescent="0.2">
      <c r="A126" s="711" t="s">
        <v>11912</v>
      </c>
      <c r="B126" s="41"/>
      <c r="C126" s="41"/>
      <c r="D126" s="41"/>
      <c r="E126" s="41"/>
      <c r="F126" s="41"/>
      <c r="G126" s="41"/>
      <c r="H126" s="41"/>
      <c r="I126" s="41"/>
    </row>
    <row r="127" spans="1:10" s="81" customFormat="1" x14ac:dyDescent="0.2">
      <c r="A127" s="711" t="s">
        <v>149</v>
      </c>
      <c r="B127" s="712"/>
      <c r="C127" s="712"/>
      <c r="D127" s="712"/>
      <c r="E127" s="712"/>
      <c r="F127" s="712"/>
      <c r="G127" s="712"/>
      <c r="H127" s="712"/>
      <c r="I127" s="712"/>
    </row>
    <row r="128" spans="1:10" s="81" customFormat="1" x14ac:dyDescent="0.2">
      <c r="A128" s="711"/>
      <c r="B128" s="712"/>
      <c r="C128" s="712"/>
      <c r="D128" s="712"/>
      <c r="E128" s="712"/>
      <c r="F128" s="712"/>
      <c r="G128" s="712"/>
      <c r="H128" s="712"/>
      <c r="I128" s="712"/>
    </row>
    <row r="129" spans="1:10" s="81" customFormat="1" x14ac:dyDescent="0.2">
      <c r="A129" s="711"/>
      <c r="B129" s="712"/>
      <c r="C129" s="712"/>
      <c r="D129" s="712"/>
      <c r="E129" s="712"/>
      <c r="F129" s="712"/>
      <c r="G129" s="712"/>
      <c r="H129" s="712"/>
      <c r="I129" s="712"/>
    </row>
    <row r="130" spans="1:10" s="81" customFormat="1" x14ac:dyDescent="0.2">
      <c r="A130" s="711"/>
      <c r="B130" s="712"/>
      <c r="C130" s="712"/>
      <c r="D130" s="712"/>
      <c r="E130" s="712"/>
      <c r="F130" s="712"/>
      <c r="G130" s="712"/>
      <c r="H130" s="712"/>
      <c r="I130" s="712"/>
    </row>
    <row r="131" spans="1:10" s="81" customFormat="1" x14ac:dyDescent="0.2">
      <c r="A131" s="711"/>
      <c r="B131" s="712"/>
      <c r="C131" s="712"/>
      <c r="D131" s="712"/>
      <c r="E131" s="712"/>
      <c r="F131" s="712"/>
      <c r="G131" s="712"/>
      <c r="H131" s="712"/>
      <c r="I131" s="712"/>
    </row>
    <row r="132" spans="1:10" s="81" customFormat="1" x14ac:dyDescent="0.2">
      <c r="A132" s="719" t="s">
        <v>418</v>
      </c>
      <c r="B132" s="719"/>
      <c r="C132" s="719"/>
      <c r="D132" s="719"/>
      <c r="E132" s="719"/>
      <c r="F132" s="719"/>
      <c r="G132" s="719"/>
      <c r="H132" s="719"/>
      <c r="I132" s="719"/>
      <c r="J132" s="63"/>
    </row>
    <row r="133" spans="1:10" s="81" customFormat="1" x14ac:dyDescent="0.2">
      <c r="A133" s="719" t="s">
        <v>453</v>
      </c>
      <c r="B133" s="719"/>
      <c r="C133" s="719"/>
      <c r="D133" s="719"/>
      <c r="E133" s="719"/>
      <c r="F133" s="719"/>
      <c r="G133" s="719"/>
      <c r="H133" s="719"/>
      <c r="I133" s="719"/>
      <c r="J133" s="719"/>
    </row>
    <row r="134" spans="1:10" s="81" customFormat="1" ht="12.75" thickBot="1" x14ac:dyDescent="0.25">
      <c r="A134" s="719" t="s">
        <v>11909</v>
      </c>
      <c r="B134" s="713"/>
      <c r="E134" s="713"/>
    </row>
    <row r="135" spans="1:10" s="81" customFormat="1" ht="12.75" thickBot="1" x14ac:dyDescent="0.25">
      <c r="A135" s="1298" t="s">
        <v>23</v>
      </c>
      <c r="B135" s="1300" t="s">
        <v>348</v>
      </c>
      <c r="C135" s="1296" t="s">
        <v>419</v>
      </c>
      <c r="D135" s="1301" t="s">
        <v>420</v>
      </c>
      <c r="E135" s="1293" t="s">
        <v>421</v>
      </c>
      <c r="F135" s="1289" t="s">
        <v>422</v>
      </c>
      <c r="G135" s="1291" t="s">
        <v>349</v>
      </c>
      <c r="H135" s="1293" t="s">
        <v>350</v>
      </c>
      <c r="I135" s="1291" t="s">
        <v>424</v>
      </c>
      <c r="J135" s="1296" t="s">
        <v>423</v>
      </c>
    </row>
    <row r="136" spans="1:10" s="81" customFormat="1" ht="46.5" customHeight="1" thickBot="1" x14ac:dyDescent="0.25">
      <c r="A136" s="1299"/>
      <c r="B136" s="1299"/>
      <c r="C136" s="1297"/>
      <c r="D136" s="1302"/>
      <c r="E136" s="1303"/>
      <c r="F136" s="1290"/>
      <c r="G136" s="1292"/>
      <c r="H136" s="1294"/>
      <c r="I136" s="1295"/>
      <c r="J136" s="1297"/>
    </row>
    <row r="137" spans="1:10" s="81" customFormat="1" x14ac:dyDescent="0.2">
      <c r="A137" s="395" t="s">
        <v>26</v>
      </c>
      <c r="B137" s="17"/>
      <c r="C137" s="958"/>
      <c r="D137" s="401"/>
      <c r="E137" s="402"/>
      <c r="F137" s="954"/>
      <c r="G137" s="405">
        <f t="shared" ref="G137:G168" si="39">+B187-D137</f>
        <v>0</v>
      </c>
      <c r="H137" s="952"/>
      <c r="I137" s="401"/>
      <c r="J137" s="952"/>
    </row>
    <row r="138" spans="1:10" s="81" customFormat="1" x14ac:dyDescent="0.2">
      <c r="A138" s="386" t="s">
        <v>259</v>
      </c>
      <c r="B138" s="4"/>
      <c r="C138" s="35"/>
      <c r="D138" s="403"/>
      <c r="E138" s="404"/>
      <c r="F138" s="955"/>
      <c r="G138" s="406">
        <f t="shared" si="39"/>
        <v>0</v>
      </c>
      <c r="H138" s="948"/>
      <c r="I138" s="947"/>
      <c r="J138" s="948"/>
    </row>
    <row r="139" spans="1:10" s="81" customFormat="1" x14ac:dyDescent="0.2">
      <c r="A139" s="386" t="s">
        <v>25</v>
      </c>
      <c r="B139" s="4"/>
      <c r="C139" s="35"/>
      <c r="D139" s="403"/>
      <c r="E139" s="404"/>
      <c r="F139" s="955"/>
      <c r="G139" s="406">
        <f t="shared" si="39"/>
        <v>0</v>
      </c>
      <c r="H139" s="949"/>
      <c r="I139" s="947"/>
      <c r="J139" s="327"/>
    </row>
    <row r="140" spans="1:10" s="81" customFormat="1" x14ac:dyDescent="0.2">
      <c r="A140" s="386" t="s">
        <v>19</v>
      </c>
      <c r="B140" s="4"/>
      <c r="C140" s="35"/>
      <c r="D140" s="403"/>
      <c r="E140" s="404"/>
      <c r="F140" s="955"/>
      <c r="G140" s="406">
        <f t="shared" si="39"/>
        <v>0</v>
      </c>
      <c r="H140" s="949"/>
      <c r="I140" s="947"/>
      <c r="J140" s="327"/>
    </row>
    <row r="141" spans="1:10" s="81" customFormat="1" x14ac:dyDescent="0.2">
      <c r="A141" s="386" t="s">
        <v>16</v>
      </c>
      <c r="B141" s="4"/>
      <c r="C141" s="35"/>
      <c r="D141" s="403"/>
      <c r="E141" s="404"/>
      <c r="F141" s="955"/>
      <c r="G141" s="406">
        <f t="shared" si="39"/>
        <v>0</v>
      </c>
      <c r="H141" s="949"/>
      <c r="I141" s="947"/>
      <c r="J141" s="327"/>
    </row>
    <row r="142" spans="1:10" s="81" customFormat="1" x14ac:dyDescent="0.2">
      <c r="A142" s="386" t="s">
        <v>256</v>
      </c>
      <c r="B142" s="4"/>
      <c r="C142" s="35"/>
      <c r="D142" s="403"/>
      <c r="E142" s="404"/>
      <c r="F142" s="955"/>
      <c r="G142" s="406">
        <f t="shared" si="39"/>
        <v>0</v>
      </c>
      <c r="H142" s="948"/>
      <c r="I142" s="947"/>
      <c r="J142" s="948"/>
    </row>
    <row r="143" spans="1:10" s="81" customFormat="1" x14ac:dyDescent="0.2">
      <c r="A143" s="386" t="s">
        <v>269</v>
      </c>
      <c r="B143" s="4"/>
      <c r="C143" s="35"/>
      <c r="D143" s="403"/>
      <c r="E143" s="404"/>
      <c r="F143" s="955"/>
      <c r="G143" s="406">
        <f t="shared" si="39"/>
        <v>0</v>
      </c>
      <c r="H143" s="948"/>
      <c r="I143" s="947"/>
      <c r="J143" s="948"/>
    </row>
    <row r="144" spans="1:10" s="81" customFormat="1" x14ac:dyDescent="0.2">
      <c r="A144" s="386" t="s">
        <v>21</v>
      </c>
      <c r="B144" s="4"/>
      <c r="C144" s="35"/>
      <c r="D144" s="403"/>
      <c r="E144" s="404"/>
      <c r="F144" s="955"/>
      <c r="G144" s="406">
        <f t="shared" si="39"/>
        <v>0</v>
      </c>
      <c r="H144" s="948"/>
      <c r="I144" s="947"/>
      <c r="J144" s="948"/>
    </row>
    <row r="145" spans="1:10" s="81" customFormat="1" x14ac:dyDescent="0.2">
      <c r="A145" s="386" t="s">
        <v>265</v>
      </c>
      <c r="B145" s="4"/>
      <c r="C145" s="35"/>
      <c r="D145" s="403"/>
      <c r="E145" s="404">
        <v>3076399</v>
      </c>
      <c r="F145" s="955"/>
      <c r="G145" s="406">
        <f t="shared" si="39"/>
        <v>0</v>
      </c>
      <c r="H145" s="948"/>
      <c r="I145" s="947"/>
      <c r="J145" s="948"/>
    </row>
    <row r="146" spans="1:10" s="81" customFormat="1" x14ac:dyDescent="0.2">
      <c r="A146" s="386" t="s">
        <v>263</v>
      </c>
      <c r="B146" s="4"/>
      <c r="C146" s="35"/>
      <c r="D146" s="403"/>
      <c r="E146" s="404"/>
      <c r="F146" s="955"/>
      <c r="G146" s="406">
        <f t="shared" si="39"/>
        <v>0</v>
      </c>
      <c r="H146" s="948"/>
      <c r="I146" s="947"/>
      <c r="J146" s="948"/>
    </row>
    <row r="147" spans="1:10" s="81" customFormat="1" x14ac:dyDescent="0.2">
      <c r="A147" s="386" t="s">
        <v>260</v>
      </c>
      <c r="B147" s="4"/>
      <c r="C147" s="35"/>
      <c r="D147" s="403"/>
      <c r="E147" s="404"/>
      <c r="F147" s="955"/>
      <c r="G147" s="406">
        <f t="shared" si="39"/>
        <v>0</v>
      </c>
      <c r="H147" s="948"/>
      <c r="I147" s="947"/>
      <c r="J147" s="948"/>
    </row>
    <row r="148" spans="1:10" s="81" customFormat="1" x14ac:dyDescent="0.2">
      <c r="A148" s="386" t="s">
        <v>267</v>
      </c>
      <c r="B148" s="4"/>
      <c r="C148" s="35"/>
      <c r="D148" s="403"/>
      <c r="E148" s="404"/>
      <c r="F148" s="955"/>
      <c r="G148" s="406">
        <f t="shared" si="39"/>
        <v>0</v>
      </c>
      <c r="H148" s="948"/>
      <c r="I148" s="947"/>
      <c r="J148" s="948"/>
    </row>
    <row r="149" spans="1:10" s="81" customFormat="1" x14ac:dyDescent="0.2">
      <c r="A149" s="386" t="s">
        <v>28</v>
      </c>
      <c r="B149" s="4"/>
      <c r="C149" s="35"/>
      <c r="D149" s="403"/>
      <c r="E149" s="404"/>
      <c r="F149" s="955"/>
      <c r="G149" s="406">
        <f t="shared" si="39"/>
        <v>0</v>
      </c>
      <c r="H149" s="948"/>
      <c r="I149" s="947"/>
      <c r="J149" s="327"/>
    </row>
    <row r="150" spans="1:10" s="81" customFormat="1" x14ac:dyDescent="0.2">
      <c r="A150" s="386" t="s">
        <v>24</v>
      </c>
      <c r="B150" s="4"/>
      <c r="C150" s="35"/>
      <c r="D150" s="403"/>
      <c r="E150" s="404"/>
      <c r="F150" s="955"/>
      <c r="G150" s="406">
        <f t="shared" si="39"/>
        <v>0</v>
      </c>
      <c r="H150" s="948"/>
      <c r="I150" s="947"/>
      <c r="J150" s="327"/>
    </row>
    <row r="151" spans="1:10" s="81" customFormat="1" x14ac:dyDescent="0.2">
      <c r="A151" s="386" t="s">
        <v>20</v>
      </c>
      <c r="B151" s="4"/>
      <c r="C151" s="35"/>
      <c r="D151" s="403"/>
      <c r="E151" s="404"/>
      <c r="F151" s="955"/>
      <c r="G151" s="406">
        <f t="shared" si="39"/>
        <v>0</v>
      </c>
      <c r="H151" s="948"/>
      <c r="I151" s="947"/>
      <c r="J151" s="327"/>
    </row>
    <row r="152" spans="1:10" s="81" customFormat="1" x14ac:dyDescent="0.2">
      <c r="A152" s="386" t="s">
        <v>18</v>
      </c>
      <c r="B152" s="4"/>
      <c r="C152" s="35"/>
      <c r="D152" s="403"/>
      <c r="E152" s="404"/>
      <c r="F152" s="955"/>
      <c r="G152" s="406">
        <f t="shared" si="39"/>
        <v>0</v>
      </c>
      <c r="H152" s="948"/>
      <c r="I152" s="947"/>
      <c r="J152" s="327"/>
    </row>
    <row r="153" spans="1:10" s="81" customFormat="1" x14ac:dyDescent="0.2">
      <c r="A153" s="386" t="s">
        <v>261</v>
      </c>
      <c r="B153" s="4"/>
      <c r="C153" s="35"/>
      <c r="D153" s="403"/>
      <c r="E153" s="404"/>
      <c r="F153" s="955"/>
      <c r="G153" s="406">
        <f t="shared" si="39"/>
        <v>0</v>
      </c>
      <c r="H153" s="948"/>
      <c r="I153" s="947"/>
      <c r="J153" s="948"/>
    </row>
    <row r="154" spans="1:10" s="81" customFormat="1" x14ac:dyDescent="0.2">
      <c r="A154" s="386" t="s">
        <v>29</v>
      </c>
      <c r="B154" s="4"/>
      <c r="C154" s="35"/>
      <c r="D154" s="403"/>
      <c r="E154" s="404"/>
      <c r="F154" s="955"/>
      <c r="G154" s="406">
        <f t="shared" si="39"/>
        <v>0</v>
      </c>
      <c r="H154" s="948"/>
      <c r="I154" s="947"/>
      <c r="J154" s="327"/>
    </row>
    <row r="155" spans="1:10" s="81" customFormat="1" x14ac:dyDescent="0.2">
      <c r="A155" s="386" t="s">
        <v>32</v>
      </c>
      <c r="B155" s="4"/>
      <c r="C155" s="35"/>
      <c r="D155" s="403"/>
      <c r="E155" s="404"/>
      <c r="F155" s="955"/>
      <c r="G155" s="406">
        <f t="shared" si="39"/>
        <v>0</v>
      </c>
      <c r="H155" s="948"/>
      <c r="I155" s="947"/>
      <c r="J155" s="327"/>
    </row>
    <row r="156" spans="1:10" s="81" customFormat="1" x14ac:dyDescent="0.2">
      <c r="A156" s="386" t="s">
        <v>258</v>
      </c>
      <c r="B156" s="4"/>
      <c r="C156" s="35"/>
      <c r="D156" s="403"/>
      <c r="E156" s="404"/>
      <c r="F156" s="955"/>
      <c r="G156" s="406">
        <f t="shared" si="39"/>
        <v>0</v>
      </c>
      <c r="H156" s="948"/>
      <c r="I156" s="947"/>
      <c r="J156" s="948"/>
    </row>
    <row r="157" spans="1:10" s="81" customFormat="1" x14ac:dyDescent="0.2">
      <c r="A157" s="386" t="s">
        <v>262</v>
      </c>
      <c r="B157" s="4"/>
      <c r="C157" s="35"/>
      <c r="D157" s="403"/>
      <c r="E157" s="404"/>
      <c r="F157" s="955"/>
      <c r="G157" s="406">
        <f t="shared" si="39"/>
        <v>0</v>
      </c>
      <c r="H157" s="948"/>
      <c r="I157" s="947"/>
      <c r="J157" s="948"/>
    </row>
    <row r="158" spans="1:10" s="81" customFormat="1" x14ac:dyDescent="0.2">
      <c r="A158" s="386" t="s">
        <v>255</v>
      </c>
      <c r="B158" s="4"/>
      <c r="C158" s="35"/>
      <c r="D158" s="403"/>
      <c r="E158" s="404"/>
      <c r="F158" s="955"/>
      <c r="G158" s="406">
        <f t="shared" si="39"/>
        <v>0</v>
      </c>
      <c r="H158" s="948"/>
      <c r="I158" s="947"/>
      <c r="J158" s="948"/>
    </row>
    <row r="159" spans="1:10" s="81" customFormat="1" x14ac:dyDescent="0.2">
      <c r="A159" s="386" t="s">
        <v>257</v>
      </c>
      <c r="B159" s="4"/>
      <c r="C159" s="35"/>
      <c r="D159" s="403"/>
      <c r="E159" s="404"/>
      <c r="F159" s="955"/>
      <c r="G159" s="406">
        <f t="shared" si="39"/>
        <v>0</v>
      </c>
      <c r="H159" s="948"/>
      <c r="I159" s="947"/>
      <c r="J159" s="948"/>
    </row>
    <row r="160" spans="1:10" s="81" customFormat="1" x14ac:dyDescent="0.2">
      <c r="A160" s="386" t="s">
        <v>17</v>
      </c>
      <c r="B160" s="4"/>
      <c r="C160" s="35"/>
      <c r="D160" s="403"/>
      <c r="E160" s="404"/>
      <c r="F160" s="955"/>
      <c r="G160" s="406">
        <f t="shared" si="39"/>
        <v>0</v>
      </c>
      <c r="H160" s="948"/>
      <c r="I160" s="947"/>
      <c r="J160" s="948"/>
    </row>
    <row r="161" spans="1:10" s="81" customFormat="1" x14ac:dyDescent="0.2">
      <c r="A161" s="386" t="s">
        <v>264</v>
      </c>
      <c r="B161" s="4"/>
      <c r="C161" s="35"/>
      <c r="D161" s="403"/>
      <c r="E161" s="404"/>
      <c r="F161" s="955"/>
      <c r="G161" s="406">
        <f t="shared" si="39"/>
        <v>0</v>
      </c>
      <c r="H161" s="948"/>
      <c r="I161" s="947"/>
      <c r="J161" s="948"/>
    </row>
    <row r="162" spans="1:10" s="81" customFormat="1" x14ac:dyDescent="0.2">
      <c r="A162" s="386" t="s">
        <v>266</v>
      </c>
      <c r="B162" s="4"/>
      <c r="C162" s="35"/>
      <c r="D162" s="403"/>
      <c r="E162" s="404"/>
      <c r="F162" s="955"/>
      <c r="G162" s="406">
        <f t="shared" si="39"/>
        <v>0</v>
      </c>
      <c r="H162" s="948"/>
      <c r="I162" s="947"/>
      <c r="J162" s="948"/>
    </row>
    <row r="163" spans="1:10" s="81" customFormat="1" x14ac:dyDescent="0.2">
      <c r="A163" s="386" t="s">
        <v>254</v>
      </c>
      <c r="B163" s="4"/>
      <c r="C163" s="35"/>
      <c r="D163" s="403"/>
      <c r="E163" s="404"/>
      <c r="F163" s="955"/>
      <c r="G163" s="406">
        <f t="shared" si="39"/>
        <v>0</v>
      </c>
      <c r="H163" s="948"/>
      <c r="I163" s="947"/>
      <c r="J163" s="948"/>
    </row>
    <row r="164" spans="1:10" s="81" customFormat="1" x14ac:dyDescent="0.2">
      <c r="A164" s="386" t="s">
        <v>268</v>
      </c>
      <c r="B164" s="4"/>
      <c r="C164" s="35"/>
      <c r="D164" s="403"/>
      <c r="E164" s="404"/>
      <c r="F164" s="955"/>
      <c r="G164" s="406">
        <f t="shared" si="39"/>
        <v>0</v>
      </c>
      <c r="H164" s="948"/>
      <c r="I164" s="947"/>
      <c r="J164" s="948"/>
    </row>
    <row r="165" spans="1:10" s="81" customFormat="1" x14ac:dyDescent="0.2">
      <c r="A165" s="386" t="s">
        <v>27</v>
      </c>
      <c r="B165" s="4"/>
      <c r="C165" s="35"/>
      <c r="D165" s="403"/>
      <c r="E165" s="404"/>
      <c r="F165" s="955"/>
      <c r="G165" s="406">
        <f t="shared" si="39"/>
        <v>0</v>
      </c>
      <c r="H165" s="948"/>
      <c r="I165" s="947"/>
      <c r="J165" s="948"/>
    </row>
    <row r="166" spans="1:10" s="81" customFormat="1" x14ac:dyDescent="0.2">
      <c r="A166" s="386" t="s">
        <v>253</v>
      </c>
      <c r="B166" s="4"/>
      <c r="C166" s="35"/>
      <c r="D166" s="403"/>
      <c r="E166" s="404"/>
      <c r="F166" s="955"/>
      <c r="G166" s="406">
        <f t="shared" si="39"/>
        <v>0</v>
      </c>
      <c r="H166" s="948"/>
      <c r="I166" s="947"/>
      <c r="J166" s="948"/>
    </row>
    <row r="167" spans="1:10" s="81" customFormat="1" x14ac:dyDescent="0.2">
      <c r="A167" s="386" t="s">
        <v>30</v>
      </c>
      <c r="B167" s="4"/>
      <c r="C167" s="35"/>
      <c r="D167" s="403"/>
      <c r="E167" s="404"/>
      <c r="F167" s="955"/>
      <c r="G167" s="406">
        <f t="shared" si="39"/>
        <v>0</v>
      </c>
      <c r="H167" s="948"/>
      <c r="I167" s="947"/>
      <c r="J167" s="327"/>
    </row>
    <row r="168" spans="1:10" s="81" customFormat="1" ht="12.75" thickBot="1" x14ac:dyDescent="0.25">
      <c r="A168" s="396"/>
      <c r="B168" s="957"/>
      <c r="C168" s="959"/>
      <c r="D168" s="397"/>
      <c r="E168" s="398"/>
      <c r="F168" s="399"/>
      <c r="G168" s="950">
        <f t="shared" si="39"/>
        <v>0</v>
      </c>
      <c r="H168" s="951"/>
      <c r="I168" s="947">
        <f t="shared" ref="I168" si="40">+D168-F168</f>
        <v>0</v>
      </c>
      <c r="J168" s="400"/>
    </row>
    <row r="169" spans="1:10" s="81" customFormat="1" ht="34.5" customHeight="1" thickBot="1" x14ac:dyDescent="0.25">
      <c r="A169" s="23" t="s">
        <v>45</v>
      </c>
      <c r="B169" s="385">
        <f>SUM(B187:B218)</f>
        <v>0</v>
      </c>
      <c r="C169" s="385">
        <v>0</v>
      </c>
      <c r="D169" s="385">
        <v>0</v>
      </c>
      <c r="E169" s="385">
        <f t="shared" ref="E169:G169" si="41">SUM(E137:E168)</f>
        <v>3076399</v>
      </c>
      <c r="F169" s="385">
        <f t="shared" si="41"/>
        <v>0</v>
      </c>
      <c r="G169" s="385">
        <f t="shared" si="41"/>
        <v>0</v>
      </c>
      <c r="H169" s="953">
        <v>0</v>
      </c>
      <c r="I169" s="407">
        <f t="shared" ref="I169" si="42">SUM(I137:I168)</f>
        <v>0</v>
      </c>
      <c r="J169" s="960">
        <v>0</v>
      </c>
    </row>
    <row r="170" spans="1:10" s="81" customFormat="1" x14ac:dyDescent="0.2">
      <c r="A170" s="711" t="s">
        <v>46</v>
      </c>
      <c r="B170" s="712"/>
      <c r="C170" s="712"/>
      <c r="D170" s="712"/>
      <c r="E170" s="712"/>
      <c r="F170" s="712"/>
      <c r="G170" s="712"/>
      <c r="H170" s="712"/>
      <c r="I170" s="712"/>
    </row>
    <row r="171" spans="1:10" s="81" customFormat="1" x14ac:dyDescent="0.2">
      <c r="A171" s="711" t="s">
        <v>11912</v>
      </c>
      <c r="B171" s="41"/>
      <c r="C171" s="41"/>
      <c r="D171" s="41"/>
      <c r="E171" s="41"/>
      <c r="F171" s="41"/>
      <c r="G171" s="41"/>
      <c r="H171" s="41"/>
      <c r="I171" s="41"/>
    </row>
    <row r="172" spans="1:10" s="81" customFormat="1" x14ac:dyDescent="0.2">
      <c r="A172" s="711" t="s">
        <v>149</v>
      </c>
      <c r="B172" s="712"/>
      <c r="C172" s="712"/>
      <c r="D172" s="712"/>
      <c r="E172" s="712"/>
      <c r="F172" s="712"/>
      <c r="G172" s="712"/>
      <c r="H172" s="712"/>
      <c r="I172" s="712"/>
    </row>
    <row r="173" spans="1:10" s="81" customFormat="1" x14ac:dyDescent="0.2">
      <c r="A173" s="711"/>
      <c r="B173" s="712"/>
      <c r="C173" s="712"/>
      <c r="D173" s="712"/>
      <c r="E173" s="712"/>
      <c r="F173" s="712"/>
      <c r="G173" s="712"/>
      <c r="H173" s="712"/>
      <c r="I173" s="712"/>
    </row>
    <row r="174" spans="1:10" s="81" customFormat="1" x14ac:dyDescent="0.2">
      <c r="A174" s="711"/>
      <c r="B174" s="712"/>
      <c r="C174" s="712"/>
      <c r="D174" s="712"/>
      <c r="E174" s="712"/>
      <c r="F174" s="712"/>
      <c r="G174" s="712"/>
      <c r="H174" s="712"/>
      <c r="I174" s="712"/>
    </row>
    <row r="175" spans="1:10" s="81" customFormat="1" x14ac:dyDescent="0.2">
      <c r="A175" s="711"/>
      <c r="B175" s="712"/>
      <c r="C175" s="712"/>
      <c r="D175" s="712"/>
      <c r="E175" s="712"/>
      <c r="F175" s="712"/>
      <c r="G175" s="712"/>
      <c r="H175" s="712"/>
      <c r="I175" s="712"/>
    </row>
    <row r="176" spans="1:10" s="81" customFormat="1" x14ac:dyDescent="0.2">
      <c r="A176" s="711"/>
      <c r="B176" s="712"/>
      <c r="C176" s="712"/>
      <c r="D176" s="712"/>
      <c r="E176" s="712"/>
      <c r="F176" s="712"/>
      <c r="G176" s="712"/>
      <c r="H176" s="712"/>
      <c r="I176" s="712"/>
    </row>
    <row r="177" spans="1:10" s="81" customFormat="1" x14ac:dyDescent="0.2">
      <c r="A177" s="711"/>
      <c r="B177" s="712"/>
      <c r="C177" s="712"/>
      <c r="D177" s="712"/>
      <c r="E177" s="712"/>
      <c r="F177" s="712"/>
      <c r="G177" s="712"/>
      <c r="H177" s="712"/>
      <c r="I177" s="712"/>
    </row>
    <row r="178" spans="1:10" s="81" customFormat="1" x14ac:dyDescent="0.2">
      <c r="A178" s="711"/>
      <c r="B178" s="712"/>
      <c r="C178" s="712"/>
      <c r="D178" s="712"/>
      <c r="E178" s="712"/>
      <c r="F178" s="712"/>
      <c r="G178" s="712"/>
      <c r="H178" s="712"/>
      <c r="I178" s="712"/>
    </row>
    <row r="179" spans="1:10" s="81" customFormat="1" x14ac:dyDescent="0.2">
      <c r="A179" s="711"/>
      <c r="B179" s="712"/>
      <c r="C179" s="712"/>
      <c r="D179" s="712"/>
      <c r="E179" s="712"/>
      <c r="F179" s="712"/>
      <c r="G179" s="712"/>
      <c r="H179" s="712"/>
      <c r="I179" s="712"/>
    </row>
    <row r="180" spans="1:10" s="81" customFormat="1" x14ac:dyDescent="0.2">
      <c r="A180" s="711"/>
      <c r="B180" s="712"/>
      <c r="C180" s="712"/>
      <c r="D180" s="712"/>
      <c r="E180" s="712"/>
      <c r="F180" s="712"/>
      <c r="G180" s="712"/>
      <c r="H180" s="712"/>
      <c r="I180" s="712"/>
    </row>
    <row r="181" spans="1:10" s="81" customFormat="1" x14ac:dyDescent="0.2">
      <c r="A181" s="711"/>
      <c r="B181" s="712"/>
      <c r="C181" s="712"/>
      <c r="D181" s="712"/>
      <c r="E181" s="712"/>
      <c r="F181" s="712"/>
      <c r="G181" s="712"/>
      <c r="H181" s="712"/>
      <c r="I181" s="712"/>
    </row>
    <row r="182" spans="1:10" s="81" customFormat="1" x14ac:dyDescent="0.2">
      <c r="A182" s="719" t="s">
        <v>418</v>
      </c>
      <c r="B182" s="719"/>
      <c r="C182" s="719"/>
      <c r="D182" s="719"/>
      <c r="E182" s="719"/>
      <c r="F182" s="719"/>
      <c r="G182" s="719"/>
      <c r="H182" s="719"/>
      <c r="I182" s="719"/>
      <c r="J182" s="63"/>
    </row>
    <row r="183" spans="1:10" s="81" customFormat="1" x14ac:dyDescent="0.2">
      <c r="A183" s="719" t="s">
        <v>453</v>
      </c>
      <c r="B183" s="719"/>
      <c r="C183" s="719"/>
      <c r="D183" s="719"/>
      <c r="E183" s="719"/>
      <c r="F183" s="719"/>
      <c r="G183" s="719"/>
      <c r="H183" s="719"/>
      <c r="I183" s="719"/>
      <c r="J183" s="719"/>
    </row>
    <row r="184" spans="1:10" s="81" customFormat="1" ht="12.75" thickBot="1" x14ac:dyDescent="0.25">
      <c r="A184" s="719" t="s">
        <v>11910</v>
      </c>
      <c r="B184" s="713"/>
      <c r="E184" s="713"/>
    </row>
    <row r="185" spans="1:10" s="81" customFormat="1" ht="12.75" thickBot="1" x14ac:dyDescent="0.25">
      <c r="A185" s="1298" t="s">
        <v>23</v>
      </c>
      <c r="B185" s="1300" t="s">
        <v>348</v>
      </c>
      <c r="C185" s="1296" t="s">
        <v>419</v>
      </c>
      <c r="D185" s="1301" t="s">
        <v>420</v>
      </c>
      <c r="E185" s="1293" t="s">
        <v>421</v>
      </c>
      <c r="F185" s="1289" t="s">
        <v>422</v>
      </c>
      <c r="G185" s="1291" t="s">
        <v>349</v>
      </c>
      <c r="H185" s="1293" t="s">
        <v>350</v>
      </c>
      <c r="I185" s="1291" t="s">
        <v>424</v>
      </c>
      <c r="J185" s="1296" t="s">
        <v>423</v>
      </c>
    </row>
    <row r="186" spans="1:10" s="81" customFormat="1" ht="45.75" customHeight="1" thickBot="1" x14ac:dyDescent="0.25">
      <c r="A186" s="1299"/>
      <c r="B186" s="1299"/>
      <c r="C186" s="1297"/>
      <c r="D186" s="1302"/>
      <c r="E186" s="1303"/>
      <c r="F186" s="1290"/>
      <c r="G186" s="1292"/>
      <c r="H186" s="1294"/>
      <c r="I186" s="1295"/>
      <c r="J186" s="1297"/>
    </row>
    <row r="187" spans="1:10" s="81" customFormat="1" x14ac:dyDescent="0.2">
      <c r="A187" s="395" t="s">
        <v>26</v>
      </c>
      <c r="B187" s="387">
        <v>0</v>
      </c>
      <c r="C187" s="388">
        <v>1105830</v>
      </c>
      <c r="D187" s="401">
        <v>546</v>
      </c>
      <c r="E187" s="402">
        <v>1401350</v>
      </c>
      <c r="F187" s="954">
        <v>546</v>
      </c>
      <c r="G187" s="405">
        <f>+B187-C187</f>
        <v>-1105830</v>
      </c>
      <c r="H187" s="952">
        <v>0</v>
      </c>
      <c r="I187" s="401">
        <f>+D187-F187</f>
        <v>0</v>
      </c>
      <c r="J187" s="952"/>
    </row>
    <row r="188" spans="1:10" s="81" customFormat="1" x14ac:dyDescent="0.2">
      <c r="A188" s="386" t="s">
        <v>259</v>
      </c>
      <c r="B188" s="391">
        <v>0</v>
      </c>
      <c r="C188" s="392">
        <v>1358540</v>
      </c>
      <c r="D188" s="403"/>
      <c r="E188" s="404">
        <v>427460</v>
      </c>
      <c r="F188" s="955"/>
      <c r="G188" s="406">
        <f>+B188-C188</f>
        <v>-1358540</v>
      </c>
      <c r="H188" s="948">
        <v>0</v>
      </c>
      <c r="I188" s="947">
        <f>+D188-F188</f>
        <v>0</v>
      </c>
      <c r="J188" s="948"/>
    </row>
    <row r="189" spans="1:10" s="81" customFormat="1" x14ac:dyDescent="0.2">
      <c r="A189" s="386" t="s">
        <v>25</v>
      </c>
      <c r="B189" s="389">
        <v>0</v>
      </c>
      <c r="C189" s="390"/>
      <c r="D189" s="403"/>
      <c r="E189" s="404"/>
      <c r="F189" s="955"/>
      <c r="G189" s="406">
        <f t="shared" ref="G189:G218" si="43">+B189-C189</f>
        <v>0</v>
      </c>
      <c r="H189" s="949"/>
      <c r="I189" s="947">
        <f t="shared" ref="I189:I218" si="44">+D189-F189</f>
        <v>0</v>
      </c>
      <c r="J189" s="327"/>
    </row>
    <row r="190" spans="1:10" s="81" customFormat="1" x14ac:dyDescent="0.2">
      <c r="A190" s="386" t="s">
        <v>19</v>
      </c>
      <c r="B190" s="389"/>
      <c r="C190" s="390"/>
      <c r="D190" s="403"/>
      <c r="E190" s="404"/>
      <c r="F190" s="955"/>
      <c r="G190" s="406">
        <f t="shared" si="43"/>
        <v>0</v>
      </c>
      <c r="H190" s="949"/>
      <c r="I190" s="947">
        <f t="shared" si="44"/>
        <v>0</v>
      </c>
      <c r="J190" s="327"/>
    </row>
    <row r="191" spans="1:10" s="81" customFormat="1" x14ac:dyDescent="0.2">
      <c r="A191" s="386" t="s">
        <v>16</v>
      </c>
      <c r="B191" s="389"/>
      <c r="C191" s="390"/>
      <c r="D191" s="403"/>
      <c r="E191" s="404"/>
      <c r="F191" s="955"/>
      <c r="G191" s="406">
        <f t="shared" si="43"/>
        <v>0</v>
      </c>
      <c r="H191" s="949"/>
      <c r="I191" s="947">
        <f t="shared" si="44"/>
        <v>0</v>
      </c>
      <c r="J191" s="327"/>
    </row>
    <row r="192" spans="1:10" s="81" customFormat="1" x14ac:dyDescent="0.2">
      <c r="A192" s="386" t="s">
        <v>256</v>
      </c>
      <c r="B192" s="391">
        <v>0</v>
      </c>
      <c r="C192" s="392">
        <v>1527912</v>
      </c>
      <c r="D192" s="403"/>
      <c r="E192" s="404">
        <v>1650770</v>
      </c>
      <c r="F192" s="955"/>
      <c r="G192" s="406">
        <f t="shared" si="43"/>
        <v>-1527912</v>
      </c>
      <c r="H192" s="948">
        <v>0</v>
      </c>
      <c r="I192" s="947">
        <f t="shared" si="44"/>
        <v>0</v>
      </c>
      <c r="J192" s="948"/>
    </row>
    <row r="193" spans="1:10" s="81" customFormat="1" x14ac:dyDescent="0.2">
      <c r="A193" s="386" t="s">
        <v>269</v>
      </c>
      <c r="B193" s="391">
        <v>0</v>
      </c>
      <c r="C193" s="392">
        <v>1184391</v>
      </c>
      <c r="D193" s="403">
        <v>109486</v>
      </c>
      <c r="E193" s="404">
        <v>1118577</v>
      </c>
      <c r="F193" s="955">
        <v>58018</v>
      </c>
      <c r="G193" s="406">
        <f t="shared" si="43"/>
        <v>-1184391</v>
      </c>
      <c r="H193" s="948">
        <v>0</v>
      </c>
      <c r="I193" s="947">
        <f t="shared" si="44"/>
        <v>51468</v>
      </c>
      <c r="J193" s="948">
        <f t="shared" ref="J193" si="45">+I193/D193*100</f>
        <v>47.008749977166033</v>
      </c>
    </row>
    <row r="194" spans="1:10" s="81" customFormat="1" x14ac:dyDescent="0.2">
      <c r="A194" s="386" t="s">
        <v>21</v>
      </c>
      <c r="B194" s="391">
        <v>0</v>
      </c>
      <c r="C194" s="390"/>
      <c r="D194" s="403"/>
      <c r="E194" s="404"/>
      <c r="F194" s="955"/>
      <c r="G194" s="406">
        <f t="shared" si="43"/>
        <v>0</v>
      </c>
      <c r="H194" s="948" t="s">
        <v>83</v>
      </c>
      <c r="I194" s="947">
        <f t="shared" si="44"/>
        <v>0</v>
      </c>
      <c r="J194" s="948" t="s">
        <v>83</v>
      </c>
    </row>
    <row r="195" spans="1:10" s="81" customFormat="1" x14ac:dyDescent="0.2">
      <c r="A195" s="386" t="s">
        <v>265</v>
      </c>
      <c r="B195" s="391">
        <v>0</v>
      </c>
      <c r="C195" s="392">
        <v>163102</v>
      </c>
      <c r="D195" s="403"/>
      <c r="E195" s="404">
        <v>1617994</v>
      </c>
      <c r="F195" s="955"/>
      <c r="G195" s="406">
        <f t="shared" si="43"/>
        <v>-163102</v>
      </c>
      <c r="H195" s="948">
        <v>0</v>
      </c>
      <c r="I195" s="947">
        <f t="shared" si="44"/>
        <v>0</v>
      </c>
      <c r="J195" s="948" t="s">
        <v>83</v>
      </c>
    </row>
    <row r="196" spans="1:10" s="81" customFormat="1" x14ac:dyDescent="0.2">
      <c r="A196" s="386" t="s">
        <v>263</v>
      </c>
      <c r="B196" s="391">
        <v>0</v>
      </c>
      <c r="C196" s="392">
        <v>14700</v>
      </c>
      <c r="D196" s="403"/>
      <c r="E196" s="404"/>
      <c r="F196" s="955"/>
      <c r="G196" s="406">
        <f t="shared" si="43"/>
        <v>-14700</v>
      </c>
      <c r="H196" s="948">
        <v>0</v>
      </c>
      <c r="I196" s="947">
        <f t="shared" si="44"/>
        <v>0</v>
      </c>
      <c r="J196" s="948" t="s">
        <v>83</v>
      </c>
    </row>
    <row r="197" spans="1:10" s="81" customFormat="1" x14ac:dyDescent="0.2">
      <c r="A197" s="386" t="s">
        <v>260</v>
      </c>
      <c r="B197" s="391">
        <v>0</v>
      </c>
      <c r="C197" s="392">
        <v>3509506</v>
      </c>
      <c r="D197" s="403">
        <v>670934</v>
      </c>
      <c r="E197" s="404">
        <v>3846907</v>
      </c>
      <c r="F197" s="955">
        <v>63786</v>
      </c>
      <c r="G197" s="406">
        <f t="shared" si="43"/>
        <v>-3509506</v>
      </c>
      <c r="H197" s="948">
        <v>0</v>
      </c>
      <c r="I197" s="947">
        <f t="shared" si="44"/>
        <v>607148</v>
      </c>
      <c r="J197" s="948">
        <f t="shared" ref="J197" si="46">+I197/D197*100</f>
        <v>90.492954597620638</v>
      </c>
    </row>
    <row r="198" spans="1:10" s="81" customFormat="1" x14ac:dyDescent="0.2">
      <c r="A198" s="386" t="s">
        <v>267</v>
      </c>
      <c r="B198" s="391">
        <v>0</v>
      </c>
      <c r="C198" s="392"/>
      <c r="D198" s="403"/>
      <c r="E198" s="404"/>
      <c r="F198" s="955"/>
      <c r="G198" s="406">
        <f t="shared" si="43"/>
        <v>0</v>
      </c>
      <c r="H198" s="948" t="s">
        <v>83</v>
      </c>
      <c r="I198" s="947">
        <f t="shared" si="44"/>
        <v>0</v>
      </c>
      <c r="J198" s="948" t="s">
        <v>83</v>
      </c>
    </row>
    <row r="199" spans="1:10" s="81" customFormat="1" x14ac:dyDescent="0.2">
      <c r="A199" s="386" t="s">
        <v>28</v>
      </c>
      <c r="B199" s="391">
        <v>0</v>
      </c>
      <c r="C199" s="392"/>
      <c r="D199" s="403"/>
      <c r="E199" s="404"/>
      <c r="F199" s="955"/>
      <c r="G199" s="406">
        <f t="shared" si="43"/>
        <v>0</v>
      </c>
      <c r="H199" s="948" t="s">
        <v>83</v>
      </c>
      <c r="I199" s="947">
        <f t="shared" si="44"/>
        <v>0</v>
      </c>
      <c r="J199" s="327"/>
    </row>
    <row r="200" spans="1:10" s="81" customFormat="1" x14ac:dyDescent="0.2">
      <c r="A200" s="386" t="s">
        <v>24</v>
      </c>
      <c r="B200" s="391">
        <v>0</v>
      </c>
      <c r="C200" s="392"/>
      <c r="D200" s="403"/>
      <c r="E200" s="404"/>
      <c r="F200" s="955"/>
      <c r="G200" s="406">
        <f t="shared" si="43"/>
        <v>0</v>
      </c>
      <c r="H200" s="948" t="s">
        <v>83</v>
      </c>
      <c r="I200" s="947">
        <f t="shared" si="44"/>
        <v>0</v>
      </c>
      <c r="J200" s="327"/>
    </row>
    <row r="201" spans="1:10" s="81" customFormat="1" x14ac:dyDescent="0.2">
      <c r="A201" s="386" t="s">
        <v>20</v>
      </c>
      <c r="B201" s="391">
        <v>0</v>
      </c>
      <c r="C201" s="392"/>
      <c r="D201" s="403"/>
      <c r="E201" s="404"/>
      <c r="F201" s="955"/>
      <c r="G201" s="406">
        <f t="shared" si="43"/>
        <v>0</v>
      </c>
      <c r="H201" s="948" t="s">
        <v>83</v>
      </c>
      <c r="I201" s="947">
        <f t="shared" si="44"/>
        <v>0</v>
      </c>
      <c r="J201" s="327"/>
    </row>
    <row r="202" spans="1:10" s="81" customFormat="1" x14ac:dyDescent="0.2">
      <c r="A202" s="386" t="s">
        <v>18</v>
      </c>
      <c r="B202" s="391">
        <v>0</v>
      </c>
      <c r="C202" s="392"/>
      <c r="D202" s="403"/>
      <c r="E202" s="404"/>
      <c r="F202" s="955"/>
      <c r="G202" s="406">
        <f t="shared" si="43"/>
        <v>0</v>
      </c>
      <c r="H202" s="948" t="s">
        <v>83</v>
      </c>
      <c r="I202" s="947">
        <f t="shared" si="44"/>
        <v>0</v>
      </c>
      <c r="J202" s="327"/>
    </row>
    <row r="203" spans="1:10" s="81" customFormat="1" x14ac:dyDescent="0.2">
      <c r="A203" s="386" t="s">
        <v>261</v>
      </c>
      <c r="B203" s="391">
        <v>0</v>
      </c>
      <c r="C203" s="392">
        <v>411841</v>
      </c>
      <c r="D203" s="403"/>
      <c r="E203" s="404">
        <v>524827</v>
      </c>
      <c r="F203" s="955">
        <v>20000</v>
      </c>
      <c r="G203" s="406">
        <f t="shared" si="43"/>
        <v>-411841</v>
      </c>
      <c r="H203" s="948">
        <v>0</v>
      </c>
      <c r="I203" s="947">
        <f t="shared" si="44"/>
        <v>-20000</v>
      </c>
      <c r="J203" s="948">
        <v>0</v>
      </c>
    </row>
    <row r="204" spans="1:10" s="81" customFormat="1" x14ac:dyDescent="0.2">
      <c r="A204" s="386" t="s">
        <v>29</v>
      </c>
      <c r="B204" s="391">
        <v>0</v>
      </c>
      <c r="C204" s="392"/>
      <c r="D204" s="403"/>
      <c r="E204" s="404"/>
      <c r="F204" s="955"/>
      <c r="G204" s="406">
        <f t="shared" si="43"/>
        <v>0</v>
      </c>
      <c r="H204" s="948" t="s">
        <v>83</v>
      </c>
      <c r="I204" s="947">
        <f t="shared" si="44"/>
        <v>0</v>
      </c>
      <c r="J204" s="327"/>
    </row>
    <row r="205" spans="1:10" s="81" customFormat="1" x14ac:dyDescent="0.2">
      <c r="A205" s="386" t="s">
        <v>32</v>
      </c>
      <c r="B205" s="391">
        <v>0</v>
      </c>
      <c r="C205" s="392"/>
      <c r="D205" s="403"/>
      <c r="E205" s="404"/>
      <c r="F205" s="955">
        <v>135000</v>
      </c>
      <c r="G205" s="406">
        <f t="shared" si="43"/>
        <v>0</v>
      </c>
      <c r="H205" s="948" t="s">
        <v>83</v>
      </c>
      <c r="I205" s="947">
        <f t="shared" si="44"/>
        <v>-135000</v>
      </c>
      <c r="J205" s="948">
        <v>0</v>
      </c>
    </row>
    <row r="206" spans="1:10" s="81" customFormat="1" x14ac:dyDescent="0.2">
      <c r="A206" s="386" t="s">
        <v>258</v>
      </c>
      <c r="B206" s="391">
        <v>0</v>
      </c>
      <c r="C206" s="392">
        <v>2630752</v>
      </c>
      <c r="D206" s="403">
        <v>135000</v>
      </c>
      <c r="E206" s="404">
        <v>1486789</v>
      </c>
      <c r="F206" s="955"/>
      <c r="G206" s="406">
        <f t="shared" si="43"/>
        <v>-2630752</v>
      </c>
      <c r="H206" s="948">
        <v>0</v>
      </c>
      <c r="I206" s="947">
        <f t="shared" si="44"/>
        <v>135000</v>
      </c>
      <c r="J206" s="948">
        <f t="shared" ref="J206" si="47">+I206/D206*100</f>
        <v>100</v>
      </c>
    </row>
    <row r="207" spans="1:10" s="81" customFormat="1" x14ac:dyDescent="0.2">
      <c r="A207" s="386" t="s">
        <v>262</v>
      </c>
      <c r="B207" s="391">
        <v>0</v>
      </c>
      <c r="C207" s="392">
        <v>36645</v>
      </c>
      <c r="D207" s="403"/>
      <c r="E207" s="404">
        <v>83980</v>
      </c>
      <c r="F207" s="955"/>
      <c r="G207" s="406">
        <f t="shared" si="43"/>
        <v>-36645</v>
      </c>
      <c r="H207" s="948">
        <v>0</v>
      </c>
      <c r="I207" s="947">
        <f t="shared" si="44"/>
        <v>0</v>
      </c>
      <c r="J207" s="948">
        <v>0</v>
      </c>
    </row>
    <row r="208" spans="1:10" s="81" customFormat="1" x14ac:dyDescent="0.2">
      <c r="A208" s="386" t="s">
        <v>255</v>
      </c>
      <c r="B208" s="391">
        <v>0</v>
      </c>
      <c r="C208" s="392">
        <v>307142</v>
      </c>
      <c r="D208" s="403"/>
      <c r="E208" s="404">
        <v>514855</v>
      </c>
      <c r="F208" s="955"/>
      <c r="G208" s="406">
        <f t="shared" si="43"/>
        <v>-307142</v>
      </c>
      <c r="H208" s="948">
        <v>0</v>
      </c>
      <c r="I208" s="947">
        <f t="shared" si="44"/>
        <v>0</v>
      </c>
      <c r="J208" s="948">
        <v>0</v>
      </c>
    </row>
    <row r="209" spans="1:10" s="81" customFormat="1" x14ac:dyDescent="0.2">
      <c r="A209" s="386" t="s">
        <v>257</v>
      </c>
      <c r="B209" s="391">
        <v>0</v>
      </c>
      <c r="C209" s="392">
        <v>11496</v>
      </c>
      <c r="D209" s="403"/>
      <c r="E209" s="404"/>
      <c r="F209" s="955"/>
      <c r="G209" s="406">
        <f t="shared" si="43"/>
        <v>-11496</v>
      </c>
      <c r="H209" s="948">
        <v>0</v>
      </c>
      <c r="I209" s="947">
        <f t="shared" si="44"/>
        <v>0</v>
      </c>
      <c r="J209" s="948">
        <v>0</v>
      </c>
    </row>
    <row r="210" spans="1:10" s="81" customFormat="1" x14ac:dyDescent="0.2">
      <c r="A210" s="386" t="s">
        <v>17</v>
      </c>
      <c r="B210" s="391">
        <v>0</v>
      </c>
      <c r="C210" s="392"/>
      <c r="D210" s="403"/>
      <c r="E210" s="404"/>
      <c r="F210" s="955"/>
      <c r="G210" s="406">
        <f t="shared" si="43"/>
        <v>0</v>
      </c>
      <c r="H210" s="948" t="s">
        <v>83</v>
      </c>
      <c r="I210" s="947">
        <f t="shared" si="44"/>
        <v>0</v>
      </c>
      <c r="J210" s="948" t="s">
        <v>83</v>
      </c>
    </row>
    <row r="211" spans="1:10" s="81" customFormat="1" x14ac:dyDescent="0.2">
      <c r="A211" s="386" t="s">
        <v>264</v>
      </c>
      <c r="B211" s="391">
        <v>0</v>
      </c>
      <c r="C211" s="392">
        <v>7683566</v>
      </c>
      <c r="D211" s="403">
        <v>61517</v>
      </c>
      <c r="E211" s="404">
        <v>8155170</v>
      </c>
      <c r="F211" s="955">
        <v>37549</v>
      </c>
      <c r="G211" s="406">
        <f t="shared" si="43"/>
        <v>-7683566</v>
      </c>
      <c r="H211" s="948">
        <v>0</v>
      </c>
      <c r="I211" s="947">
        <f t="shared" si="44"/>
        <v>23968</v>
      </c>
      <c r="J211" s="948">
        <f t="shared" ref="J211:J213" si="48">+I211/D211*100</f>
        <v>38.961587853764001</v>
      </c>
    </row>
    <row r="212" spans="1:10" s="81" customFormat="1" x14ac:dyDescent="0.2">
      <c r="A212" s="386" t="s">
        <v>266</v>
      </c>
      <c r="B212" s="391">
        <v>0</v>
      </c>
      <c r="C212" s="392">
        <v>40159901</v>
      </c>
      <c r="D212" s="403">
        <v>1250091</v>
      </c>
      <c r="E212" s="404">
        <v>35659162</v>
      </c>
      <c r="F212" s="955">
        <v>1282951</v>
      </c>
      <c r="G212" s="406">
        <f t="shared" si="43"/>
        <v>-40159901</v>
      </c>
      <c r="H212" s="948">
        <v>0</v>
      </c>
      <c r="I212" s="947">
        <f t="shared" si="44"/>
        <v>-32860</v>
      </c>
      <c r="J212" s="948">
        <f t="shared" si="48"/>
        <v>-2.6286086372912054</v>
      </c>
    </row>
    <row r="213" spans="1:10" s="81" customFormat="1" x14ac:dyDescent="0.2">
      <c r="A213" s="386" t="s">
        <v>254</v>
      </c>
      <c r="B213" s="391">
        <v>0</v>
      </c>
      <c r="C213" s="392"/>
      <c r="D213" s="403">
        <v>2360</v>
      </c>
      <c r="E213" s="404">
        <v>39977</v>
      </c>
      <c r="F213" s="955">
        <v>2360</v>
      </c>
      <c r="G213" s="406">
        <f t="shared" si="43"/>
        <v>0</v>
      </c>
      <c r="H213" s="948">
        <v>0</v>
      </c>
      <c r="I213" s="947">
        <f t="shared" si="44"/>
        <v>0</v>
      </c>
      <c r="J213" s="948">
        <f t="shared" si="48"/>
        <v>0</v>
      </c>
    </row>
    <row r="214" spans="1:10" s="81" customFormat="1" x14ac:dyDescent="0.2">
      <c r="A214" s="386" t="s">
        <v>268</v>
      </c>
      <c r="B214" s="391">
        <v>0</v>
      </c>
      <c r="C214" s="392"/>
      <c r="D214" s="403"/>
      <c r="E214" s="404">
        <v>7200</v>
      </c>
      <c r="F214" s="955"/>
      <c r="G214" s="406">
        <f t="shared" si="43"/>
        <v>0</v>
      </c>
      <c r="H214" s="948">
        <v>0</v>
      </c>
      <c r="I214" s="947">
        <f t="shared" si="44"/>
        <v>0</v>
      </c>
      <c r="J214" s="948" t="s">
        <v>83</v>
      </c>
    </row>
    <row r="215" spans="1:10" s="81" customFormat="1" x14ac:dyDescent="0.2">
      <c r="A215" s="386" t="s">
        <v>27</v>
      </c>
      <c r="B215" s="391">
        <v>0</v>
      </c>
      <c r="C215" s="392"/>
      <c r="D215" s="403"/>
      <c r="E215" s="404"/>
      <c r="F215" s="955"/>
      <c r="G215" s="406">
        <f t="shared" si="43"/>
        <v>0</v>
      </c>
      <c r="H215" s="948" t="s">
        <v>83</v>
      </c>
      <c r="I215" s="947">
        <f t="shared" si="44"/>
        <v>0</v>
      </c>
      <c r="J215" s="948" t="s">
        <v>83</v>
      </c>
    </row>
    <row r="216" spans="1:10" s="81" customFormat="1" x14ac:dyDescent="0.2">
      <c r="A216" s="386" t="s">
        <v>253</v>
      </c>
      <c r="B216" s="391">
        <v>0</v>
      </c>
      <c r="C216" s="392">
        <v>925905</v>
      </c>
      <c r="D216" s="403">
        <v>39233</v>
      </c>
      <c r="E216" s="404">
        <v>430449</v>
      </c>
      <c r="F216" s="955">
        <v>37355</v>
      </c>
      <c r="G216" s="406">
        <f t="shared" si="43"/>
        <v>-925905</v>
      </c>
      <c r="H216" s="948">
        <v>0</v>
      </c>
      <c r="I216" s="947">
        <f t="shared" si="44"/>
        <v>1878</v>
      </c>
      <c r="J216" s="948">
        <f t="shared" ref="J216" si="49">+I216/D216*100</f>
        <v>4.7867866337012215</v>
      </c>
    </row>
    <row r="217" spans="1:10" s="81" customFormat="1" x14ac:dyDescent="0.2">
      <c r="A217" s="386" t="s">
        <v>30</v>
      </c>
      <c r="B217" s="391">
        <v>0</v>
      </c>
      <c r="C217" s="392"/>
      <c r="D217" s="403"/>
      <c r="E217" s="404"/>
      <c r="F217" s="955"/>
      <c r="G217" s="406">
        <f t="shared" si="43"/>
        <v>0</v>
      </c>
      <c r="H217" s="948" t="s">
        <v>83</v>
      </c>
      <c r="I217" s="947">
        <f t="shared" si="44"/>
        <v>0</v>
      </c>
      <c r="J217" s="327"/>
    </row>
    <row r="218" spans="1:10" s="81" customFormat="1" ht="12.75" thickBot="1" x14ac:dyDescent="0.25">
      <c r="A218" s="396"/>
      <c r="B218" s="393"/>
      <c r="C218" s="394"/>
      <c r="D218" s="397"/>
      <c r="E218" s="398"/>
      <c r="F218" s="399"/>
      <c r="G218" s="406">
        <f t="shared" si="43"/>
        <v>0</v>
      </c>
      <c r="H218" s="951"/>
      <c r="I218" s="947">
        <f t="shared" si="44"/>
        <v>0</v>
      </c>
      <c r="J218" s="400"/>
    </row>
    <row r="219" spans="1:10" s="81" customFormat="1" ht="31.5" customHeight="1" thickBot="1" x14ac:dyDescent="0.25">
      <c r="A219" s="23" t="s">
        <v>45</v>
      </c>
      <c r="B219" s="385">
        <v>0</v>
      </c>
      <c r="C219" s="385">
        <f>SUM(C187:C218)</f>
        <v>61031229</v>
      </c>
      <c r="D219" s="385">
        <f t="shared" ref="D219:G219" si="50">SUM(D187:D218)</f>
        <v>2269167</v>
      </c>
      <c r="E219" s="385">
        <f t="shared" si="50"/>
        <v>56965467</v>
      </c>
      <c r="F219" s="385">
        <f t="shared" si="50"/>
        <v>1637565</v>
      </c>
      <c r="G219" s="385">
        <f t="shared" si="50"/>
        <v>-61031229</v>
      </c>
      <c r="H219" s="953">
        <v>0</v>
      </c>
      <c r="I219" s="407">
        <f t="shared" ref="I219" si="51">SUM(I187:I218)</f>
        <v>631602</v>
      </c>
      <c r="J219" s="960">
        <f>+I219/D219*100</f>
        <v>27.834090659700234</v>
      </c>
    </row>
    <row r="220" spans="1:10" s="81" customFormat="1" x14ac:dyDescent="0.2">
      <c r="A220" s="711" t="s">
        <v>46</v>
      </c>
      <c r="B220" s="712"/>
      <c r="C220" s="712"/>
      <c r="D220" s="712"/>
      <c r="E220" s="712"/>
      <c r="F220" s="712"/>
      <c r="G220" s="712"/>
      <c r="H220" s="712"/>
      <c r="I220" s="712"/>
    </row>
    <row r="221" spans="1:10" s="81" customFormat="1" x14ac:dyDescent="0.2">
      <c r="A221" s="711" t="s">
        <v>11912</v>
      </c>
      <c r="B221" s="41"/>
      <c r="C221" s="41"/>
      <c r="D221" s="41"/>
      <c r="E221" s="41"/>
      <c r="F221" s="41"/>
      <c r="G221" s="41"/>
      <c r="H221" s="41"/>
      <c r="I221" s="41"/>
    </row>
    <row r="222" spans="1:10" s="81" customFormat="1" x14ac:dyDescent="0.2">
      <c r="A222" s="711" t="s">
        <v>149</v>
      </c>
      <c r="B222" s="712"/>
      <c r="C222" s="712"/>
      <c r="D222" s="712"/>
      <c r="E222" s="712"/>
      <c r="F222" s="712"/>
      <c r="G222" s="712"/>
      <c r="H222" s="712"/>
      <c r="I222" s="712"/>
    </row>
    <row r="223" spans="1:10" s="81" customFormat="1" x14ac:dyDescent="0.2">
      <c r="A223" s="711"/>
      <c r="B223" s="712"/>
      <c r="C223" s="712"/>
      <c r="D223" s="712"/>
      <c r="E223" s="712"/>
      <c r="F223" s="712"/>
      <c r="G223" s="712"/>
      <c r="H223" s="712"/>
      <c r="I223" s="712"/>
    </row>
    <row r="224" spans="1:10" s="81" customFormat="1" x14ac:dyDescent="0.2">
      <c r="A224" s="711"/>
      <c r="B224" s="712"/>
      <c r="C224" s="712"/>
      <c r="D224" s="712"/>
      <c r="E224" s="712"/>
      <c r="F224" s="712"/>
      <c r="G224" s="712"/>
      <c r="H224" s="712"/>
      <c r="I224" s="712"/>
    </row>
    <row r="225" spans="1:10" s="81" customFormat="1" x14ac:dyDescent="0.2">
      <c r="A225" s="711"/>
      <c r="B225" s="712"/>
      <c r="C225" s="712"/>
      <c r="D225" s="712"/>
      <c r="E225" s="712"/>
      <c r="F225" s="712"/>
      <c r="G225" s="712"/>
      <c r="H225" s="712"/>
      <c r="I225" s="712"/>
    </row>
    <row r="226" spans="1:10" s="81" customFormat="1" x14ac:dyDescent="0.2">
      <c r="A226" s="711"/>
      <c r="B226" s="712"/>
      <c r="C226" s="712"/>
      <c r="D226" s="712"/>
      <c r="E226" s="712"/>
      <c r="F226" s="712"/>
      <c r="G226" s="712"/>
      <c r="H226" s="712"/>
      <c r="I226" s="712"/>
    </row>
    <row r="227" spans="1:10" s="81" customFormat="1" x14ac:dyDescent="0.2">
      <c r="A227" s="711"/>
      <c r="B227" s="712"/>
      <c r="C227" s="712"/>
      <c r="D227" s="712"/>
      <c r="E227" s="712"/>
      <c r="F227" s="712"/>
      <c r="G227" s="712"/>
      <c r="H227" s="712"/>
      <c r="I227" s="712"/>
    </row>
    <row r="228" spans="1:10" s="81" customFormat="1" x14ac:dyDescent="0.2">
      <c r="A228" s="711"/>
      <c r="B228" s="712"/>
      <c r="C228" s="712"/>
      <c r="D228" s="712"/>
      <c r="E228" s="712"/>
      <c r="F228" s="712"/>
      <c r="G228" s="712"/>
      <c r="H228" s="712"/>
      <c r="I228" s="712"/>
    </row>
    <row r="229" spans="1:10" s="81" customFormat="1" x14ac:dyDescent="0.2">
      <c r="A229" s="711"/>
      <c r="B229" s="712"/>
      <c r="C229" s="712"/>
      <c r="D229" s="712"/>
      <c r="E229" s="712"/>
      <c r="F229" s="712"/>
      <c r="G229" s="712"/>
      <c r="H229" s="712"/>
      <c r="I229" s="712"/>
    </row>
    <row r="230" spans="1:10" s="81" customFormat="1" x14ac:dyDescent="0.2">
      <c r="A230" s="711"/>
      <c r="B230" s="712"/>
      <c r="C230" s="712"/>
      <c r="D230" s="712"/>
      <c r="E230" s="712"/>
      <c r="F230" s="712"/>
      <c r="G230" s="712"/>
      <c r="H230" s="712"/>
      <c r="I230" s="712"/>
    </row>
    <row r="231" spans="1:10" s="81" customFormat="1" x14ac:dyDescent="0.2">
      <c r="A231" s="711"/>
      <c r="B231" s="712"/>
      <c r="C231" s="712"/>
      <c r="D231" s="712"/>
      <c r="E231" s="712"/>
      <c r="F231" s="712"/>
      <c r="G231" s="712"/>
      <c r="H231" s="712"/>
      <c r="I231" s="712"/>
    </row>
    <row r="232" spans="1:10" s="81" customFormat="1" x14ac:dyDescent="0.2">
      <c r="A232" s="711"/>
      <c r="B232" s="712"/>
      <c r="C232" s="712"/>
      <c r="D232" s="712"/>
      <c r="E232" s="712"/>
      <c r="F232" s="712"/>
      <c r="G232" s="712"/>
      <c r="H232" s="712"/>
      <c r="I232" s="712"/>
    </row>
    <row r="233" spans="1:10" s="81" customFormat="1" x14ac:dyDescent="0.2">
      <c r="A233" s="711"/>
      <c r="B233" s="712"/>
      <c r="C233" s="712"/>
      <c r="D233" s="712"/>
      <c r="E233" s="712"/>
      <c r="F233" s="712"/>
      <c r="G233" s="712"/>
      <c r="H233" s="712"/>
      <c r="I233" s="712"/>
    </row>
    <row r="234" spans="1:10" s="81" customFormat="1" x14ac:dyDescent="0.2">
      <c r="A234" s="719" t="s">
        <v>418</v>
      </c>
      <c r="B234" s="719"/>
      <c r="C234" s="719"/>
      <c r="D234" s="719"/>
      <c r="E234" s="719"/>
      <c r="F234" s="719"/>
      <c r="G234" s="719"/>
      <c r="H234" s="719"/>
      <c r="I234" s="719"/>
      <c r="J234" s="63"/>
    </row>
    <row r="235" spans="1:10" s="81" customFormat="1" x14ac:dyDescent="0.2">
      <c r="A235" s="719" t="s">
        <v>453</v>
      </c>
      <c r="B235" s="719"/>
      <c r="C235" s="719"/>
      <c r="D235" s="719"/>
      <c r="E235" s="719"/>
      <c r="F235" s="719"/>
      <c r="G235" s="719"/>
      <c r="H235" s="719"/>
      <c r="I235" s="719"/>
      <c r="J235" s="719"/>
    </row>
    <row r="236" spans="1:10" s="81" customFormat="1" ht="12.75" thickBot="1" x14ac:dyDescent="0.25">
      <c r="A236" s="719" t="s">
        <v>11911</v>
      </c>
      <c r="B236" s="713"/>
      <c r="E236" s="713"/>
    </row>
    <row r="237" spans="1:10" s="81" customFormat="1" ht="12.75" thickBot="1" x14ac:dyDescent="0.25">
      <c r="A237" s="1298" t="s">
        <v>23</v>
      </c>
      <c r="B237" s="1300" t="s">
        <v>348</v>
      </c>
      <c r="C237" s="1296" t="s">
        <v>419</v>
      </c>
      <c r="D237" s="1301" t="s">
        <v>420</v>
      </c>
      <c r="E237" s="1293" t="s">
        <v>421</v>
      </c>
      <c r="F237" s="1289" t="s">
        <v>422</v>
      </c>
      <c r="G237" s="1291" t="s">
        <v>349</v>
      </c>
      <c r="H237" s="1293" t="s">
        <v>350</v>
      </c>
      <c r="I237" s="1291" t="s">
        <v>424</v>
      </c>
      <c r="J237" s="1296" t="s">
        <v>423</v>
      </c>
    </row>
    <row r="238" spans="1:10" s="81" customFormat="1" ht="51" customHeight="1" thickBot="1" x14ac:dyDescent="0.25">
      <c r="A238" s="1299"/>
      <c r="B238" s="1299"/>
      <c r="C238" s="1297"/>
      <c r="D238" s="1302"/>
      <c r="E238" s="1303"/>
      <c r="F238" s="1290"/>
      <c r="G238" s="1292"/>
      <c r="H238" s="1294"/>
      <c r="I238" s="1295"/>
      <c r="J238" s="1297"/>
    </row>
    <row r="239" spans="1:10" s="81" customFormat="1" x14ac:dyDescent="0.2">
      <c r="A239" s="395" t="s">
        <v>26</v>
      </c>
      <c r="B239" s="387"/>
      <c r="C239" s="388">
        <v>94202</v>
      </c>
      <c r="D239" s="401"/>
      <c r="E239" s="402">
        <v>465</v>
      </c>
      <c r="F239" s="954"/>
      <c r="G239" s="405">
        <f>+B239-D239</f>
        <v>0</v>
      </c>
      <c r="H239" s="952">
        <v>0</v>
      </c>
      <c r="I239" s="401">
        <f>+D239-F239</f>
        <v>0</v>
      </c>
      <c r="J239" s="952">
        <v>0</v>
      </c>
    </row>
    <row r="240" spans="1:10" s="81" customFormat="1" x14ac:dyDescent="0.2">
      <c r="A240" s="386" t="s">
        <v>259</v>
      </c>
      <c r="B240" s="391"/>
      <c r="C240" s="392">
        <v>195788</v>
      </c>
      <c r="D240" s="403"/>
      <c r="E240" s="404">
        <v>184600</v>
      </c>
      <c r="F240" s="955"/>
      <c r="G240" s="406">
        <f>+B240-D240</f>
        <v>0</v>
      </c>
      <c r="H240" s="948">
        <v>0</v>
      </c>
      <c r="I240" s="947">
        <f>+D240-F240</f>
        <v>0</v>
      </c>
      <c r="J240" s="948">
        <v>0</v>
      </c>
    </row>
    <row r="241" spans="1:10" s="81" customFormat="1" x14ac:dyDescent="0.2">
      <c r="A241" s="386" t="s">
        <v>25</v>
      </c>
      <c r="B241" s="389"/>
      <c r="C241" s="390"/>
      <c r="D241" s="403"/>
      <c r="E241" s="404"/>
      <c r="F241" s="955"/>
      <c r="G241" s="406">
        <f t="shared" ref="G241:G270" si="52">+B241-D241</f>
        <v>0</v>
      </c>
      <c r="H241" s="949"/>
      <c r="I241" s="947">
        <f t="shared" ref="I241:I270" si="53">+D241-F241</f>
        <v>0</v>
      </c>
      <c r="J241" s="327"/>
    </row>
    <row r="242" spans="1:10" s="81" customFormat="1" x14ac:dyDescent="0.2">
      <c r="A242" s="386" t="s">
        <v>19</v>
      </c>
      <c r="B242" s="389"/>
      <c r="C242" s="390"/>
      <c r="D242" s="403"/>
      <c r="E242" s="404"/>
      <c r="F242" s="955"/>
      <c r="G242" s="406">
        <f t="shared" si="52"/>
        <v>0</v>
      </c>
      <c r="H242" s="949"/>
      <c r="I242" s="947">
        <f t="shared" si="53"/>
        <v>0</v>
      </c>
      <c r="J242" s="327"/>
    </row>
    <row r="243" spans="1:10" s="81" customFormat="1" x14ac:dyDescent="0.2">
      <c r="A243" s="386" t="s">
        <v>16</v>
      </c>
      <c r="B243" s="389"/>
      <c r="C243" s="390"/>
      <c r="D243" s="403"/>
      <c r="E243" s="404"/>
      <c r="F243" s="955"/>
      <c r="G243" s="406">
        <f t="shared" si="52"/>
        <v>0</v>
      </c>
      <c r="H243" s="949"/>
      <c r="I243" s="947">
        <f t="shared" si="53"/>
        <v>0</v>
      </c>
      <c r="J243" s="327"/>
    </row>
    <row r="244" spans="1:10" s="81" customFormat="1" x14ac:dyDescent="0.2">
      <c r="A244" s="386" t="s">
        <v>256</v>
      </c>
      <c r="B244" s="391"/>
      <c r="C244" s="392">
        <v>416449</v>
      </c>
      <c r="D244" s="403"/>
      <c r="E244" s="404">
        <v>341633</v>
      </c>
      <c r="F244" s="955"/>
      <c r="G244" s="406">
        <f t="shared" si="52"/>
        <v>0</v>
      </c>
      <c r="H244" s="948">
        <v>0</v>
      </c>
      <c r="I244" s="947">
        <f t="shared" si="53"/>
        <v>0</v>
      </c>
      <c r="J244" s="948">
        <v>0</v>
      </c>
    </row>
    <row r="245" spans="1:10" s="81" customFormat="1" x14ac:dyDescent="0.2">
      <c r="A245" s="386" t="s">
        <v>269</v>
      </c>
      <c r="B245" s="391"/>
      <c r="C245" s="392">
        <v>256599</v>
      </c>
      <c r="D245" s="403"/>
      <c r="E245" s="404">
        <v>10952</v>
      </c>
      <c r="F245" s="955"/>
      <c r="G245" s="406">
        <f t="shared" si="52"/>
        <v>0</v>
      </c>
      <c r="H245" s="948">
        <v>0</v>
      </c>
      <c r="I245" s="947">
        <f t="shared" si="53"/>
        <v>0</v>
      </c>
      <c r="J245" s="948">
        <v>0</v>
      </c>
    </row>
    <row r="246" spans="1:10" s="81" customFormat="1" x14ac:dyDescent="0.2">
      <c r="A246" s="386" t="s">
        <v>21</v>
      </c>
      <c r="B246" s="389"/>
      <c r="C246" s="390"/>
      <c r="D246" s="403"/>
      <c r="E246" s="404"/>
      <c r="F246" s="955"/>
      <c r="G246" s="406">
        <f t="shared" si="52"/>
        <v>0</v>
      </c>
      <c r="H246" s="948" t="s">
        <v>83</v>
      </c>
      <c r="I246" s="947">
        <f t="shared" si="53"/>
        <v>0</v>
      </c>
      <c r="J246" s="948" t="s">
        <v>83</v>
      </c>
    </row>
    <row r="247" spans="1:10" s="81" customFormat="1" x14ac:dyDescent="0.2">
      <c r="A247" s="386" t="s">
        <v>265</v>
      </c>
      <c r="B247" s="391"/>
      <c r="C247" s="392"/>
      <c r="D247" s="403"/>
      <c r="E247" s="404"/>
      <c r="F247" s="955"/>
      <c r="G247" s="406">
        <f t="shared" si="52"/>
        <v>0</v>
      </c>
      <c r="H247" s="948" t="s">
        <v>83</v>
      </c>
      <c r="I247" s="947">
        <f t="shared" si="53"/>
        <v>0</v>
      </c>
      <c r="J247" s="948" t="s">
        <v>83</v>
      </c>
    </row>
    <row r="248" spans="1:10" s="81" customFormat="1" x14ac:dyDescent="0.2">
      <c r="A248" s="386" t="s">
        <v>263</v>
      </c>
      <c r="B248" s="391"/>
      <c r="C248" s="392">
        <v>55611</v>
      </c>
      <c r="D248" s="403"/>
      <c r="E248" s="404">
        <v>7793</v>
      </c>
      <c r="F248" s="955"/>
      <c r="G248" s="406">
        <f t="shared" si="52"/>
        <v>0</v>
      </c>
      <c r="H248" s="948" t="s">
        <v>83</v>
      </c>
      <c r="I248" s="947">
        <f t="shared" si="53"/>
        <v>0</v>
      </c>
      <c r="J248" s="948" t="s">
        <v>83</v>
      </c>
    </row>
    <row r="249" spans="1:10" s="81" customFormat="1" x14ac:dyDescent="0.2">
      <c r="A249" s="386" t="s">
        <v>260</v>
      </c>
      <c r="B249" s="391"/>
      <c r="C249" s="392">
        <v>303773</v>
      </c>
      <c r="D249" s="403"/>
      <c r="E249" s="404">
        <v>69281</v>
      </c>
      <c r="F249" s="955"/>
      <c r="G249" s="406">
        <f t="shared" si="52"/>
        <v>0</v>
      </c>
      <c r="H249" s="948">
        <v>0</v>
      </c>
      <c r="I249" s="947">
        <f t="shared" si="53"/>
        <v>0</v>
      </c>
      <c r="J249" s="948">
        <v>0</v>
      </c>
    </row>
    <row r="250" spans="1:10" s="81" customFormat="1" x14ac:dyDescent="0.2">
      <c r="A250" s="386" t="s">
        <v>267</v>
      </c>
      <c r="B250" s="391"/>
      <c r="C250" s="392">
        <v>650033</v>
      </c>
      <c r="D250" s="403"/>
      <c r="E250" s="404">
        <v>173738</v>
      </c>
      <c r="F250" s="955"/>
      <c r="G250" s="406">
        <f t="shared" si="52"/>
        <v>0</v>
      </c>
      <c r="H250" s="948">
        <v>0</v>
      </c>
      <c r="I250" s="947">
        <f t="shared" si="53"/>
        <v>0</v>
      </c>
      <c r="J250" s="948">
        <v>0</v>
      </c>
    </row>
    <row r="251" spans="1:10" s="81" customFormat="1" x14ac:dyDescent="0.2">
      <c r="A251" s="386" t="s">
        <v>28</v>
      </c>
      <c r="B251" s="391"/>
      <c r="C251" s="392"/>
      <c r="D251" s="403"/>
      <c r="E251" s="404"/>
      <c r="F251" s="955"/>
      <c r="G251" s="406">
        <f t="shared" si="52"/>
        <v>0</v>
      </c>
      <c r="H251" s="948" t="s">
        <v>83</v>
      </c>
      <c r="I251" s="947">
        <f t="shared" si="53"/>
        <v>0</v>
      </c>
      <c r="J251" s="327"/>
    </row>
    <row r="252" spans="1:10" s="81" customFormat="1" x14ac:dyDescent="0.2">
      <c r="A252" s="386" t="s">
        <v>24</v>
      </c>
      <c r="B252" s="391"/>
      <c r="C252" s="392"/>
      <c r="D252" s="403"/>
      <c r="E252" s="404"/>
      <c r="F252" s="955"/>
      <c r="G252" s="406">
        <f t="shared" si="52"/>
        <v>0</v>
      </c>
      <c r="H252" s="948" t="s">
        <v>83</v>
      </c>
      <c r="I252" s="947">
        <f t="shared" si="53"/>
        <v>0</v>
      </c>
      <c r="J252" s="327"/>
    </row>
    <row r="253" spans="1:10" s="81" customFormat="1" x14ac:dyDescent="0.2">
      <c r="A253" s="386" t="s">
        <v>20</v>
      </c>
      <c r="B253" s="391"/>
      <c r="C253" s="392"/>
      <c r="D253" s="403"/>
      <c r="E253" s="404"/>
      <c r="F253" s="955"/>
      <c r="G253" s="406">
        <f t="shared" si="52"/>
        <v>0</v>
      </c>
      <c r="H253" s="948" t="s">
        <v>83</v>
      </c>
      <c r="I253" s="947">
        <f t="shared" si="53"/>
        <v>0</v>
      </c>
      <c r="J253" s="327"/>
    </row>
    <row r="254" spans="1:10" s="81" customFormat="1" x14ac:dyDescent="0.2">
      <c r="A254" s="386" t="s">
        <v>18</v>
      </c>
      <c r="B254" s="391"/>
      <c r="C254" s="392"/>
      <c r="D254" s="403"/>
      <c r="E254" s="404"/>
      <c r="F254" s="955"/>
      <c r="G254" s="406">
        <f t="shared" si="52"/>
        <v>0</v>
      </c>
      <c r="H254" s="948" t="s">
        <v>83</v>
      </c>
      <c r="I254" s="947">
        <f t="shared" si="53"/>
        <v>0</v>
      </c>
      <c r="J254" s="327"/>
    </row>
    <row r="255" spans="1:10" s="81" customFormat="1" x14ac:dyDescent="0.2">
      <c r="A255" s="386" t="s">
        <v>261</v>
      </c>
      <c r="B255" s="391"/>
      <c r="C255" s="392">
        <v>73220</v>
      </c>
      <c r="D255" s="403"/>
      <c r="E255" s="404">
        <v>38390</v>
      </c>
      <c r="F255" s="955"/>
      <c r="G255" s="406">
        <f t="shared" si="52"/>
        <v>0</v>
      </c>
      <c r="H255" s="948">
        <v>0</v>
      </c>
      <c r="I255" s="947">
        <f t="shared" si="53"/>
        <v>0</v>
      </c>
      <c r="J255" s="948" t="s">
        <v>83</v>
      </c>
    </row>
    <row r="256" spans="1:10" s="81" customFormat="1" x14ac:dyDescent="0.2">
      <c r="A256" s="386" t="s">
        <v>29</v>
      </c>
      <c r="B256" s="391"/>
      <c r="C256" s="392"/>
      <c r="D256" s="403"/>
      <c r="E256" s="404"/>
      <c r="F256" s="955"/>
      <c r="G256" s="406">
        <f t="shared" si="52"/>
        <v>0</v>
      </c>
      <c r="H256" s="948" t="s">
        <v>83</v>
      </c>
      <c r="I256" s="947">
        <f t="shared" si="53"/>
        <v>0</v>
      </c>
      <c r="J256" s="327"/>
    </row>
    <row r="257" spans="1:10" s="81" customFormat="1" x14ac:dyDescent="0.2">
      <c r="A257" s="386" t="s">
        <v>32</v>
      </c>
      <c r="B257" s="391"/>
      <c r="C257" s="392"/>
      <c r="D257" s="403"/>
      <c r="E257" s="404"/>
      <c r="F257" s="955"/>
      <c r="G257" s="406">
        <f t="shared" si="52"/>
        <v>0</v>
      </c>
      <c r="H257" s="948" t="s">
        <v>83</v>
      </c>
      <c r="I257" s="947">
        <f t="shared" si="53"/>
        <v>0</v>
      </c>
      <c r="J257" s="327"/>
    </row>
    <row r="258" spans="1:10" s="81" customFormat="1" x14ac:dyDescent="0.2">
      <c r="A258" s="386" t="s">
        <v>258</v>
      </c>
      <c r="B258" s="391">
        <v>6452596</v>
      </c>
      <c r="C258" s="392">
        <v>13349649</v>
      </c>
      <c r="D258" s="403">
        <v>23378063</v>
      </c>
      <c r="E258" s="404">
        <v>23959546</v>
      </c>
      <c r="F258" s="955">
        <v>15000000</v>
      </c>
      <c r="G258" s="406">
        <f t="shared" si="52"/>
        <v>-16925467</v>
      </c>
      <c r="H258" s="948">
        <f t="shared" ref="H258" si="54">+G258/B258*100</f>
        <v>-262.30476849937605</v>
      </c>
      <c r="I258" s="947">
        <f t="shared" si="53"/>
        <v>8378063</v>
      </c>
      <c r="J258" s="948">
        <f t="shared" ref="J258" si="55">+I258/D258*100</f>
        <v>35.837284722861767</v>
      </c>
    </row>
    <row r="259" spans="1:10" s="81" customFormat="1" x14ac:dyDescent="0.2">
      <c r="A259" s="386" t="s">
        <v>262</v>
      </c>
      <c r="B259" s="391"/>
      <c r="C259" s="392">
        <v>20000</v>
      </c>
      <c r="D259" s="403"/>
      <c r="E259" s="404">
        <v>9910</v>
      </c>
      <c r="F259" s="955"/>
      <c r="G259" s="406">
        <f t="shared" si="52"/>
        <v>0</v>
      </c>
      <c r="H259" s="948">
        <v>0</v>
      </c>
      <c r="I259" s="947">
        <f t="shared" si="53"/>
        <v>0</v>
      </c>
      <c r="J259" s="948" t="s">
        <v>83</v>
      </c>
    </row>
    <row r="260" spans="1:10" s="81" customFormat="1" x14ac:dyDescent="0.2">
      <c r="A260" s="386" t="s">
        <v>255</v>
      </c>
      <c r="B260" s="391"/>
      <c r="C260" s="392">
        <v>20522</v>
      </c>
      <c r="D260" s="403"/>
      <c r="E260" s="404">
        <v>15000</v>
      </c>
      <c r="F260" s="955"/>
      <c r="G260" s="406">
        <f t="shared" si="52"/>
        <v>0</v>
      </c>
      <c r="H260" s="948">
        <v>0</v>
      </c>
      <c r="I260" s="947">
        <f t="shared" si="53"/>
        <v>0</v>
      </c>
      <c r="J260" s="948" t="s">
        <v>83</v>
      </c>
    </row>
    <row r="261" spans="1:10" s="81" customFormat="1" x14ac:dyDescent="0.2">
      <c r="A261" s="386" t="s">
        <v>257</v>
      </c>
      <c r="B261" s="391"/>
      <c r="C261" s="392"/>
      <c r="D261" s="403"/>
      <c r="E261" s="404"/>
      <c r="F261" s="955"/>
      <c r="G261" s="406">
        <f t="shared" si="52"/>
        <v>0</v>
      </c>
      <c r="H261" s="948" t="s">
        <v>83</v>
      </c>
      <c r="I261" s="947">
        <f t="shared" si="53"/>
        <v>0</v>
      </c>
      <c r="J261" s="948" t="s">
        <v>83</v>
      </c>
    </row>
    <row r="262" spans="1:10" s="81" customFormat="1" x14ac:dyDescent="0.2">
      <c r="A262" s="386" t="s">
        <v>17</v>
      </c>
      <c r="B262" s="391"/>
      <c r="C262" s="392"/>
      <c r="D262" s="403"/>
      <c r="E262" s="404"/>
      <c r="F262" s="955"/>
      <c r="G262" s="406">
        <f t="shared" si="52"/>
        <v>0</v>
      </c>
      <c r="H262" s="948" t="s">
        <v>83</v>
      </c>
      <c r="I262" s="947">
        <f t="shared" si="53"/>
        <v>0</v>
      </c>
      <c r="J262" s="948" t="s">
        <v>83</v>
      </c>
    </row>
    <row r="263" spans="1:10" s="81" customFormat="1" x14ac:dyDescent="0.2">
      <c r="A263" s="386" t="s">
        <v>264</v>
      </c>
      <c r="B263" s="391"/>
      <c r="C263" s="392">
        <v>2905179</v>
      </c>
      <c r="D263" s="403">
        <v>3924094</v>
      </c>
      <c r="E263" s="404">
        <v>2034982</v>
      </c>
      <c r="F263" s="955">
        <v>2464145</v>
      </c>
      <c r="G263" s="406">
        <f t="shared" si="52"/>
        <v>-3924094</v>
      </c>
      <c r="H263" s="948">
        <v>0</v>
      </c>
      <c r="I263" s="947">
        <f t="shared" si="53"/>
        <v>1459949</v>
      </c>
      <c r="J263" s="948">
        <f t="shared" ref="J263" si="56">+I263/D263*100</f>
        <v>37.204740763090797</v>
      </c>
    </row>
    <row r="264" spans="1:10" s="81" customFormat="1" x14ac:dyDescent="0.2">
      <c r="A264" s="386" t="s">
        <v>266</v>
      </c>
      <c r="B264" s="391"/>
      <c r="C264" s="392">
        <v>192020</v>
      </c>
      <c r="D264" s="403"/>
      <c r="E264" s="404">
        <v>29683</v>
      </c>
      <c r="F264" s="955"/>
      <c r="G264" s="406">
        <f t="shared" si="52"/>
        <v>0</v>
      </c>
      <c r="H264" s="948">
        <v>0</v>
      </c>
      <c r="I264" s="947">
        <f t="shared" si="53"/>
        <v>0</v>
      </c>
      <c r="J264" s="948">
        <v>0</v>
      </c>
    </row>
    <row r="265" spans="1:10" s="81" customFormat="1" x14ac:dyDescent="0.2">
      <c r="A265" s="386" t="s">
        <v>254</v>
      </c>
      <c r="B265" s="391"/>
      <c r="C265" s="392">
        <v>693144</v>
      </c>
      <c r="D265" s="403"/>
      <c r="E265" s="404">
        <v>1400891</v>
      </c>
      <c r="F265" s="955"/>
      <c r="G265" s="406">
        <f t="shared" si="52"/>
        <v>0</v>
      </c>
      <c r="H265" s="948">
        <v>0</v>
      </c>
      <c r="I265" s="947">
        <f t="shared" si="53"/>
        <v>0</v>
      </c>
      <c r="J265" s="948">
        <v>0</v>
      </c>
    </row>
    <row r="266" spans="1:10" s="81" customFormat="1" x14ac:dyDescent="0.2">
      <c r="A266" s="386" t="s">
        <v>268</v>
      </c>
      <c r="B266" s="391"/>
      <c r="C266" s="392"/>
      <c r="D266" s="403"/>
      <c r="E266" s="404"/>
      <c r="F266" s="955"/>
      <c r="G266" s="406">
        <f t="shared" si="52"/>
        <v>0</v>
      </c>
      <c r="H266" s="948" t="s">
        <v>83</v>
      </c>
      <c r="I266" s="947">
        <f t="shared" si="53"/>
        <v>0</v>
      </c>
      <c r="J266" s="948" t="s">
        <v>83</v>
      </c>
    </row>
    <row r="267" spans="1:10" s="81" customFormat="1" x14ac:dyDescent="0.2">
      <c r="A267" s="386" t="s">
        <v>27</v>
      </c>
      <c r="B267" s="391"/>
      <c r="C267" s="392"/>
      <c r="D267" s="403"/>
      <c r="E267" s="404"/>
      <c r="F267" s="955"/>
      <c r="G267" s="406">
        <f t="shared" si="52"/>
        <v>0</v>
      </c>
      <c r="H267" s="948" t="s">
        <v>83</v>
      </c>
      <c r="I267" s="947">
        <f t="shared" si="53"/>
        <v>0</v>
      </c>
      <c r="J267" s="948" t="s">
        <v>83</v>
      </c>
    </row>
    <row r="268" spans="1:10" s="81" customFormat="1" x14ac:dyDescent="0.2">
      <c r="A268" s="386" t="s">
        <v>253</v>
      </c>
      <c r="B268" s="391"/>
      <c r="C268" s="392">
        <v>924529</v>
      </c>
      <c r="D268" s="403"/>
      <c r="E268" s="404">
        <v>124658</v>
      </c>
      <c r="F268" s="955"/>
      <c r="G268" s="406">
        <f t="shared" si="52"/>
        <v>0</v>
      </c>
      <c r="H268" s="948">
        <v>0</v>
      </c>
      <c r="I268" s="947">
        <f t="shared" si="53"/>
        <v>0</v>
      </c>
      <c r="J268" s="948" t="s">
        <v>83</v>
      </c>
    </row>
    <row r="269" spans="1:10" s="81" customFormat="1" x14ac:dyDescent="0.2">
      <c r="A269" s="386" t="s">
        <v>30</v>
      </c>
      <c r="B269" s="391"/>
      <c r="C269" s="392"/>
      <c r="D269" s="403"/>
      <c r="E269" s="404"/>
      <c r="F269" s="955"/>
      <c r="G269" s="406">
        <f t="shared" si="52"/>
        <v>0</v>
      </c>
      <c r="H269" s="948" t="s">
        <v>83</v>
      </c>
      <c r="I269" s="947">
        <f t="shared" si="53"/>
        <v>0</v>
      </c>
      <c r="J269" s="327"/>
    </row>
    <row r="270" spans="1:10" s="81" customFormat="1" ht="12.75" thickBot="1" x14ac:dyDescent="0.25">
      <c r="A270" s="396"/>
      <c r="B270" s="393"/>
      <c r="C270" s="394"/>
      <c r="D270" s="397"/>
      <c r="E270" s="398"/>
      <c r="F270" s="399"/>
      <c r="G270" s="950">
        <f t="shared" si="52"/>
        <v>0</v>
      </c>
      <c r="H270" s="951"/>
      <c r="I270" s="947">
        <f t="shared" si="53"/>
        <v>0</v>
      </c>
      <c r="J270" s="400"/>
    </row>
    <row r="271" spans="1:10" s="81" customFormat="1" ht="39.75" customHeight="1" thickBot="1" x14ac:dyDescent="0.25">
      <c r="A271" s="23" t="s">
        <v>45</v>
      </c>
      <c r="B271" s="385">
        <f>SUM(B239:B270)</f>
        <v>6452596</v>
      </c>
      <c r="C271" s="385">
        <f t="shared" ref="C271:G271" si="57">SUM(C239:C270)</f>
        <v>20150718</v>
      </c>
      <c r="D271" s="385">
        <f t="shared" si="57"/>
        <v>27302157</v>
      </c>
      <c r="E271" s="385">
        <f t="shared" si="57"/>
        <v>28401522</v>
      </c>
      <c r="F271" s="385">
        <f t="shared" si="57"/>
        <v>17464145</v>
      </c>
      <c r="G271" s="385">
        <f t="shared" si="57"/>
        <v>-20849561</v>
      </c>
      <c r="H271" s="953">
        <f>+G271/B271*100</f>
        <v>-323.11895863308348</v>
      </c>
      <c r="I271" s="407">
        <f t="shared" ref="I271" si="58">SUM(I239:I270)</f>
        <v>9838012</v>
      </c>
      <c r="J271" s="960">
        <f>+I271/D271*100</f>
        <v>36.03382692437085</v>
      </c>
    </row>
    <row r="272" spans="1:10" s="81" customFormat="1" x14ac:dyDescent="0.2">
      <c r="A272" s="711" t="s">
        <v>46</v>
      </c>
      <c r="B272" s="712"/>
      <c r="C272" s="712"/>
      <c r="D272" s="712"/>
      <c r="E272" s="712"/>
      <c r="F272" s="712"/>
      <c r="G272" s="712"/>
      <c r="H272" s="712"/>
      <c r="I272" s="712"/>
    </row>
    <row r="273" spans="1:9" s="81" customFormat="1" x14ac:dyDescent="0.2">
      <c r="A273" s="711" t="s">
        <v>11912</v>
      </c>
      <c r="B273" s="41"/>
      <c r="C273" s="41"/>
      <c r="D273" s="41"/>
      <c r="E273" s="41"/>
      <c r="F273" s="41"/>
      <c r="G273" s="41"/>
      <c r="H273" s="41"/>
      <c r="I273" s="41"/>
    </row>
    <row r="274" spans="1:9" s="81" customFormat="1" x14ac:dyDescent="0.2">
      <c r="A274" s="711" t="s">
        <v>149</v>
      </c>
      <c r="B274" s="712"/>
      <c r="C274" s="712"/>
      <c r="D274" s="712"/>
      <c r="E274" s="712"/>
      <c r="F274" s="712"/>
      <c r="G274" s="712"/>
      <c r="H274" s="712"/>
      <c r="I274" s="712"/>
    </row>
    <row r="275" spans="1:9" s="81" customFormat="1" x14ac:dyDescent="0.2">
      <c r="A275" s="711"/>
      <c r="B275" s="712"/>
      <c r="C275" s="712"/>
      <c r="D275" s="712"/>
      <c r="E275" s="712"/>
      <c r="F275" s="712"/>
      <c r="G275" s="712"/>
      <c r="H275" s="712"/>
      <c r="I275" s="712"/>
    </row>
    <row r="276" spans="1:9" s="81" customFormat="1" x14ac:dyDescent="0.2">
      <c r="A276" s="711"/>
      <c r="B276" s="712"/>
      <c r="C276" s="712"/>
      <c r="D276" s="712"/>
      <c r="E276" s="712"/>
      <c r="F276" s="712"/>
      <c r="G276" s="712"/>
      <c r="H276" s="712"/>
      <c r="I276" s="712"/>
    </row>
    <row r="277" spans="1:9" s="81" customFormat="1" x14ac:dyDescent="0.2">
      <c r="A277" s="711"/>
      <c r="B277" s="712"/>
      <c r="C277" s="712"/>
      <c r="D277" s="712"/>
      <c r="E277" s="712"/>
      <c r="F277" s="712"/>
      <c r="G277" s="712"/>
      <c r="H277" s="712"/>
      <c r="I277" s="712"/>
    </row>
    <row r="278" spans="1:9" s="81" customFormat="1" x14ac:dyDescent="0.2">
      <c r="A278" s="711"/>
      <c r="B278" s="712"/>
      <c r="C278" s="712"/>
      <c r="D278" s="712"/>
      <c r="E278" s="712"/>
      <c r="F278" s="712"/>
      <c r="G278" s="712"/>
      <c r="H278" s="712"/>
      <c r="I278" s="712"/>
    </row>
    <row r="279" spans="1:9" s="81" customFormat="1" x14ac:dyDescent="0.2">
      <c r="A279" s="711"/>
      <c r="B279" s="712"/>
      <c r="C279" s="712"/>
      <c r="D279" s="712"/>
      <c r="E279" s="712"/>
      <c r="F279" s="712"/>
      <c r="G279" s="712"/>
      <c r="H279" s="712"/>
      <c r="I279" s="712"/>
    </row>
    <row r="280" spans="1:9" s="81" customFormat="1" x14ac:dyDescent="0.2">
      <c r="A280" s="711"/>
      <c r="B280" s="712"/>
      <c r="C280" s="712"/>
      <c r="D280" s="712"/>
      <c r="E280" s="712"/>
      <c r="F280" s="712"/>
      <c r="G280" s="712"/>
      <c r="H280" s="712"/>
      <c r="I280" s="712"/>
    </row>
    <row r="281" spans="1:9" s="81" customFormat="1" x14ac:dyDescent="0.2">
      <c r="A281" s="711"/>
      <c r="B281" s="712"/>
      <c r="C281" s="712"/>
      <c r="D281" s="712"/>
      <c r="E281" s="712"/>
      <c r="F281" s="712"/>
      <c r="G281" s="712"/>
      <c r="H281" s="712"/>
      <c r="I281" s="712"/>
    </row>
    <row r="282" spans="1:9" s="81" customFormat="1" x14ac:dyDescent="0.2">
      <c r="A282" s="711"/>
      <c r="B282" s="712"/>
      <c r="C282" s="712"/>
      <c r="D282" s="712"/>
      <c r="E282" s="712"/>
      <c r="F282" s="712"/>
      <c r="G282" s="712"/>
      <c r="H282" s="712"/>
      <c r="I282" s="712"/>
    </row>
    <row r="283" spans="1:9" s="81" customFormat="1" x14ac:dyDescent="0.2">
      <c r="A283" s="711"/>
      <c r="B283" s="712"/>
      <c r="C283" s="712"/>
      <c r="D283" s="712"/>
      <c r="E283" s="712"/>
      <c r="F283" s="712"/>
      <c r="G283" s="712"/>
      <c r="H283" s="712"/>
      <c r="I283" s="712"/>
    </row>
    <row r="284" spans="1:9" s="81" customFormat="1" x14ac:dyDescent="0.2">
      <c r="A284" s="711"/>
      <c r="B284" s="712"/>
      <c r="C284" s="712"/>
      <c r="D284" s="712"/>
      <c r="E284" s="712"/>
      <c r="F284" s="712"/>
      <c r="G284" s="712"/>
      <c r="H284" s="712"/>
      <c r="I284" s="712"/>
    </row>
    <row r="285" spans="1:9" s="81" customFormat="1" x14ac:dyDescent="0.2">
      <c r="A285" s="711"/>
      <c r="B285" s="712"/>
      <c r="C285" s="712"/>
      <c r="D285" s="712"/>
      <c r="E285" s="712"/>
      <c r="F285" s="712"/>
      <c r="G285" s="712"/>
      <c r="H285" s="712"/>
      <c r="I285" s="712"/>
    </row>
    <row r="286" spans="1:9" s="81" customFormat="1" x14ac:dyDescent="0.2">
      <c r="A286" s="711"/>
      <c r="B286" s="712"/>
      <c r="C286" s="712"/>
      <c r="D286" s="712"/>
      <c r="E286" s="712"/>
      <c r="F286" s="712"/>
      <c r="G286" s="712"/>
      <c r="H286" s="712"/>
      <c r="I286" s="712"/>
    </row>
    <row r="287" spans="1:9" s="81" customFormat="1" x14ac:dyDescent="0.2">
      <c r="A287" s="711"/>
      <c r="B287" s="712"/>
      <c r="C287" s="712"/>
      <c r="D287" s="712"/>
      <c r="E287" s="712"/>
      <c r="F287" s="712"/>
      <c r="G287" s="712"/>
      <c r="H287" s="712"/>
      <c r="I287" s="712"/>
    </row>
    <row r="288" spans="1:9" s="81" customFormat="1" x14ac:dyDescent="0.2">
      <c r="A288" s="711"/>
      <c r="B288" s="712"/>
      <c r="C288" s="712"/>
      <c r="D288" s="712"/>
      <c r="E288" s="712"/>
      <c r="F288" s="712"/>
      <c r="G288" s="712"/>
      <c r="H288" s="712"/>
      <c r="I288" s="712"/>
    </row>
    <row r="289" spans="1:9" s="81" customFormat="1" x14ac:dyDescent="0.2">
      <c r="A289" s="711"/>
      <c r="B289" s="712"/>
      <c r="C289" s="712"/>
      <c r="D289" s="712"/>
      <c r="E289" s="712"/>
      <c r="F289" s="712"/>
      <c r="G289" s="712"/>
      <c r="H289" s="712"/>
      <c r="I289" s="712"/>
    </row>
    <row r="290" spans="1:9" s="81" customFormat="1" x14ac:dyDescent="0.2">
      <c r="A290" s="711"/>
      <c r="B290" s="712"/>
      <c r="C290" s="712"/>
      <c r="D290" s="712"/>
      <c r="E290" s="712"/>
      <c r="F290" s="712"/>
      <c r="G290" s="712"/>
      <c r="H290" s="712"/>
      <c r="I290" s="712"/>
    </row>
    <row r="291" spans="1:9" s="81" customFormat="1" x14ac:dyDescent="0.2">
      <c r="A291" s="711"/>
      <c r="B291" s="712"/>
      <c r="C291" s="712"/>
      <c r="D291" s="712"/>
      <c r="E291" s="712"/>
      <c r="F291" s="712"/>
      <c r="G291" s="712"/>
      <c r="H291" s="712"/>
      <c r="I291" s="712"/>
    </row>
    <row r="292" spans="1:9" s="81" customFormat="1" x14ac:dyDescent="0.2">
      <c r="A292" s="711"/>
      <c r="B292" s="712"/>
      <c r="C292" s="712"/>
      <c r="D292" s="712"/>
      <c r="E292" s="712"/>
      <c r="F292" s="712"/>
      <c r="G292" s="712"/>
      <c r="H292" s="712"/>
      <c r="I292" s="712"/>
    </row>
    <row r="293" spans="1:9" s="81" customFormat="1" x14ac:dyDescent="0.2">
      <c r="A293" s="711"/>
      <c r="B293" s="712"/>
      <c r="C293" s="712"/>
      <c r="D293" s="712"/>
      <c r="E293" s="712"/>
      <c r="F293" s="712"/>
      <c r="G293" s="712"/>
      <c r="H293" s="712"/>
      <c r="I293" s="712"/>
    </row>
    <row r="294" spans="1:9" s="81" customFormat="1" x14ac:dyDescent="0.2">
      <c r="A294" s="711"/>
      <c r="B294" s="712"/>
      <c r="C294" s="712"/>
      <c r="D294" s="712"/>
      <c r="E294" s="712"/>
      <c r="F294" s="712"/>
      <c r="G294" s="712"/>
      <c r="H294" s="712"/>
      <c r="I294" s="712"/>
    </row>
    <row r="295" spans="1:9" s="81" customFormat="1" x14ac:dyDescent="0.2">
      <c r="A295" s="711"/>
      <c r="B295" s="712"/>
      <c r="C295" s="712"/>
      <c r="D295" s="712"/>
      <c r="E295" s="712"/>
      <c r="F295" s="712"/>
      <c r="G295" s="712"/>
      <c r="H295" s="712"/>
      <c r="I295" s="712"/>
    </row>
    <row r="296" spans="1:9" s="81" customFormat="1" x14ac:dyDescent="0.2">
      <c r="A296" s="711"/>
      <c r="B296" s="712"/>
      <c r="C296" s="712"/>
      <c r="D296" s="712"/>
      <c r="E296" s="712"/>
      <c r="F296" s="712"/>
      <c r="G296" s="712"/>
      <c r="H296" s="712"/>
      <c r="I296" s="712"/>
    </row>
    <row r="297" spans="1:9" s="81" customFormat="1" x14ac:dyDescent="0.2">
      <c r="A297" s="711"/>
      <c r="B297" s="712"/>
      <c r="C297" s="712"/>
      <c r="D297" s="712"/>
      <c r="E297" s="712"/>
      <c r="F297" s="712"/>
      <c r="G297" s="712"/>
      <c r="H297" s="712"/>
      <c r="I297" s="712"/>
    </row>
    <row r="298" spans="1:9" s="81" customFormat="1" x14ac:dyDescent="0.2">
      <c r="A298" s="711"/>
      <c r="B298" s="712"/>
      <c r="C298" s="712"/>
      <c r="D298" s="712"/>
      <c r="E298" s="712"/>
      <c r="F298" s="712"/>
      <c r="G298" s="712"/>
      <c r="H298" s="712"/>
      <c r="I298" s="712"/>
    </row>
    <row r="299" spans="1:9" s="81" customFormat="1" x14ac:dyDescent="0.2">
      <c r="A299" s="711"/>
      <c r="B299" s="712"/>
      <c r="C299" s="712"/>
      <c r="D299" s="712"/>
      <c r="E299" s="712"/>
      <c r="F299" s="712"/>
      <c r="G299" s="712"/>
      <c r="H299" s="712"/>
      <c r="I299" s="712"/>
    </row>
    <row r="300" spans="1:9" s="81" customFormat="1" x14ac:dyDescent="0.2">
      <c r="A300" s="711"/>
      <c r="B300" s="712"/>
      <c r="C300" s="712"/>
      <c r="D300" s="712"/>
      <c r="E300" s="712"/>
      <c r="F300" s="712"/>
      <c r="G300" s="712"/>
      <c r="H300" s="712"/>
      <c r="I300" s="712"/>
    </row>
    <row r="301" spans="1:9" s="81" customFormat="1" x14ac:dyDescent="0.2">
      <c r="A301" s="711"/>
      <c r="B301" s="712"/>
      <c r="C301" s="712"/>
      <c r="D301" s="712"/>
      <c r="E301" s="712"/>
      <c r="F301" s="712"/>
      <c r="G301" s="712"/>
      <c r="H301" s="712"/>
      <c r="I301" s="712"/>
    </row>
    <row r="302" spans="1:9" s="81" customFormat="1" x14ac:dyDescent="0.2">
      <c r="A302" s="711"/>
      <c r="B302" s="712"/>
      <c r="C302" s="712"/>
      <c r="D302" s="712"/>
      <c r="E302" s="712"/>
      <c r="F302" s="712"/>
      <c r="G302" s="712"/>
      <c r="H302" s="712"/>
      <c r="I302" s="712"/>
    </row>
    <row r="303" spans="1:9" s="81" customFormat="1" x14ac:dyDescent="0.2">
      <c r="A303" s="711"/>
      <c r="B303" s="712"/>
      <c r="C303" s="712"/>
      <c r="D303" s="712"/>
      <c r="E303" s="712"/>
      <c r="F303" s="712"/>
      <c r="G303" s="712"/>
      <c r="H303" s="712"/>
      <c r="I303" s="712"/>
    </row>
    <row r="304" spans="1:9" s="81" customFormat="1" x14ac:dyDescent="0.2">
      <c r="A304" s="711"/>
      <c r="B304" s="712"/>
      <c r="C304" s="712"/>
      <c r="D304" s="712"/>
      <c r="E304" s="712"/>
      <c r="F304" s="712"/>
      <c r="G304" s="712"/>
      <c r="H304" s="712"/>
      <c r="I304" s="712"/>
    </row>
    <row r="305" spans="1:9" s="81" customFormat="1" x14ac:dyDescent="0.2">
      <c r="A305" s="711"/>
      <c r="B305" s="712"/>
      <c r="C305" s="712"/>
      <c r="D305" s="712"/>
      <c r="E305" s="712"/>
      <c r="F305" s="712"/>
      <c r="G305" s="712"/>
      <c r="H305" s="712"/>
      <c r="I305" s="712"/>
    </row>
    <row r="306" spans="1:9" s="81" customFormat="1" x14ac:dyDescent="0.2">
      <c r="A306" s="711"/>
      <c r="B306" s="712"/>
      <c r="C306" s="712"/>
      <c r="D306" s="712"/>
      <c r="E306" s="712"/>
      <c r="F306" s="712"/>
      <c r="G306" s="712"/>
      <c r="H306" s="712"/>
      <c r="I306" s="712"/>
    </row>
    <row r="307" spans="1:9" s="81" customFormat="1" x14ac:dyDescent="0.2">
      <c r="A307" s="711"/>
      <c r="B307" s="712"/>
      <c r="C307" s="712"/>
      <c r="D307" s="712"/>
      <c r="E307" s="712"/>
      <c r="F307" s="712"/>
      <c r="G307" s="712"/>
      <c r="H307" s="712"/>
      <c r="I307" s="712"/>
    </row>
    <row r="308" spans="1:9" s="81" customFormat="1" x14ac:dyDescent="0.2">
      <c r="A308" s="711"/>
      <c r="B308" s="712"/>
      <c r="C308" s="712"/>
      <c r="D308" s="712"/>
      <c r="E308" s="712"/>
      <c r="F308" s="712"/>
      <c r="G308" s="712"/>
      <c r="H308" s="712"/>
      <c r="I308" s="712"/>
    </row>
    <row r="309" spans="1:9" s="81" customFormat="1" x14ac:dyDescent="0.2">
      <c r="A309" s="711"/>
      <c r="B309" s="712"/>
      <c r="C309" s="712"/>
      <c r="D309" s="712"/>
      <c r="E309" s="712"/>
      <c r="F309" s="712"/>
      <c r="G309" s="712"/>
      <c r="H309" s="712"/>
      <c r="I309" s="712"/>
    </row>
    <row r="310" spans="1:9" s="81" customFormat="1" x14ac:dyDescent="0.2">
      <c r="A310" s="711"/>
      <c r="B310" s="712"/>
      <c r="C310" s="712"/>
      <c r="D310" s="712"/>
      <c r="E310" s="712"/>
      <c r="F310" s="712"/>
      <c r="G310" s="712"/>
      <c r="H310" s="712"/>
      <c r="I310" s="712"/>
    </row>
    <row r="311" spans="1:9" s="81" customFormat="1" x14ac:dyDescent="0.2">
      <c r="A311" s="711"/>
      <c r="B311" s="712"/>
      <c r="C311" s="712"/>
      <c r="D311" s="712"/>
      <c r="E311" s="712"/>
      <c r="F311" s="712"/>
      <c r="G311" s="712"/>
      <c r="H311" s="712"/>
      <c r="I311" s="712"/>
    </row>
    <row r="312" spans="1:9" s="81" customFormat="1" x14ac:dyDescent="0.2">
      <c r="A312" s="711"/>
      <c r="B312" s="712"/>
      <c r="C312" s="712"/>
      <c r="D312" s="712"/>
      <c r="E312" s="712"/>
      <c r="F312" s="712"/>
      <c r="G312" s="712"/>
      <c r="H312" s="712"/>
      <c r="I312" s="712"/>
    </row>
    <row r="313" spans="1:9" s="81" customFormat="1" x14ac:dyDescent="0.2">
      <c r="A313" s="711"/>
      <c r="B313" s="712"/>
      <c r="C313" s="712"/>
      <c r="D313" s="712"/>
      <c r="E313" s="712"/>
      <c r="F313" s="712"/>
      <c r="G313" s="712"/>
      <c r="H313" s="712"/>
      <c r="I313" s="712"/>
    </row>
    <row r="314" spans="1:9" s="81" customFormat="1" x14ac:dyDescent="0.2">
      <c r="A314" s="711"/>
      <c r="B314" s="712"/>
      <c r="C314" s="712"/>
      <c r="D314" s="712"/>
      <c r="E314" s="712"/>
      <c r="F314" s="712"/>
      <c r="G314" s="712"/>
      <c r="H314" s="712"/>
      <c r="I314" s="712"/>
    </row>
    <row r="315" spans="1:9" s="81" customFormat="1" x14ac:dyDescent="0.2">
      <c r="A315" s="711"/>
      <c r="B315" s="712"/>
      <c r="C315" s="712"/>
      <c r="D315" s="712"/>
      <c r="E315" s="712"/>
      <c r="F315" s="712"/>
      <c r="G315" s="712"/>
      <c r="H315" s="712"/>
      <c r="I315" s="712"/>
    </row>
    <row r="316" spans="1:9" s="81" customFormat="1" x14ac:dyDescent="0.2">
      <c r="A316" s="711"/>
      <c r="B316" s="712"/>
      <c r="C316" s="712"/>
      <c r="D316" s="712"/>
      <c r="E316" s="712"/>
      <c r="F316" s="712"/>
      <c r="G316" s="712"/>
      <c r="H316" s="712"/>
      <c r="I316" s="712"/>
    </row>
    <row r="317" spans="1:9" s="81" customFormat="1" x14ac:dyDescent="0.2">
      <c r="A317" s="711"/>
      <c r="B317" s="712"/>
      <c r="C317" s="712"/>
      <c r="D317" s="712"/>
      <c r="E317" s="712"/>
      <c r="F317" s="712"/>
      <c r="G317" s="712"/>
      <c r="H317" s="712"/>
      <c r="I317" s="712"/>
    </row>
    <row r="318" spans="1:9" s="81" customFormat="1" x14ac:dyDescent="0.2">
      <c r="A318" s="711"/>
      <c r="B318" s="712"/>
      <c r="C318" s="712"/>
      <c r="D318" s="712"/>
      <c r="E318" s="712"/>
      <c r="F318" s="712"/>
      <c r="G318" s="712"/>
      <c r="H318" s="712"/>
      <c r="I318" s="712"/>
    </row>
    <row r="319" spans="1:9" s="81" customFormat="1" x14ac:dyDescent="0.2">
      <c r="A319" s="711"/>
      <c r="B319" s="712"/>
      <c r="C319" s="712"/>
      <c r="D319" s="712"/>
      <c r="E319" s="712"/>
      <c r="F319" s="712"/>
      <c r="G319" s="712"/>
      <c r="H319" s="712"/>
      <c r="I319" s="712"/>
    </row>
    <row r="320" spans="1:9" s="81" customFormat="1" x14ac:dyDescent="0.2">
      <c r="A320" s="711"/>
      <c r="B320" s="712"/>
      <c r="C320" s="712"/>
      <c r="D320" s="712"/>
      <c r="E320" s="712"/>
      <c r="F320" s="712"/>
      <c r="G320" s="712"/>
      <c r="H320" s="712"/>
      <c r="I320" s="712"/>
    </row>
    <row r="321" spans="1:9" s="81" customFormat="1" x14ac:dyDescent="0.2">
      <c r="A321" s="711"/>
      <c r="B321" s="712"/>
      <c r="C321" s="712"/>
      <c r="D321" s="712"/>
      <c r="E321" s="712"/>
      <c r="F321" s="712"/>
      <c r="G321" s="712"/>
      <c r="H321" s="712"/>
      <c r="I321" s="712"/>
    </row>
    <row r="322" spans="1:9" s="81" customFormat="1" x14ac:dyDescent="0.2">
      <c r="A322" s="711"/>
      <c r="B322" s="712"/>
      <c r="C322" s="712"/>
      <c r="D322" s="712"/>
      <c r="E322" s="712"/>
      <c r="F322" s="712"/>
      <c r="G322" s="712"/>
      <c r="H322" s="712"/>
      <c r="I322" s="712"/>
    </row>
    <row r="323" spans="1:9" s="81" customFormat="1" x14ac:dyDescent="0.2">
      <c r="A323" s="711"/>
      <c r="B323" s="712"/>
      <c r="C323" s="712"/>
      <c r="D323" s="712"/>
      <c r="E323" s="712"/>
      <c r="F323" s="712"/>
      <c r="G323" s="712"/>
      <c r="H323" s="712"/>
      <c r="I323" s="712"/>
    </row>
    <row r="324" spans="1:9" s="81" customFormat="1" x14ac:dyDescent="0.2">
      <c r="A324" s="711"/>
      <c r="B324" s="712"/>
      <c r="C324" s="712"/>
      <c r="D324" s="712"/>
      <c r="E324" s="712"/>
      <c r="F324" s="712"/>
      <c r="G324" s="712"/>
      <c r="H324" s="712"/>
      <c r="I324" s="712"/>
    </row>
    <row r="325" spans="1:9" s="81" customFormat="1" x14ac:dyDescent="0.2">
      <c r="A325" s="711"/>
      <c r="B325" s="712"/>
      <c r="C325" s="712"/>
      <c r="D325" s="712"/>
      <c r="E325" s="712"/>
      <c r="F325" s="712"/>
      <c r="G325" s="712"/>
      <c r="H325" s="712"/>
      <c r="I325" s="712"/>
    </row>
    <row r="326" spans="1:9" s="81" customFormat="1" x14ac:dyDescent="0.2">
      <c r="A326" s="711"/>
      <c r="B326" s="712"/>
      <c r="C326" s="712"/>
      <c r="D326" s="712"/>
      <c r="E326" s="712"/>
      <c r="F326" s="712"/>
      <c r="G326" s="712"/>
      <c r="H326" s="712"/>
      <c r="I326" s="712"/>
    </row>
    <row r="327" spans="1:9" s="81" customFormat="1" x14ac:dyDescent="0.2">
      <c r="A327" s="711"/>
      <c r="B327" s="712"/>
      <c r="C327" s="712"/>
      <c r="D327" s="712"/>
      <c r="E327" s="712"/>
      <c r="F327" s="712"/>
      <c r="G327" s="712"/>
      <c r="H327" s="712"/>
      <c r="I327" s="712"/>
    </row>
    <row r="328" spans="1:9" s="81" customFormat="1" x14ac:dyDescent="0.2">
      <c r="A328" s="711"/>
      <c r="B328" s="712"/>
      <c r="C328" s="712"/>
      <c r="D328" s="712"/>
      <c r="E328" s="712"/>
      <c r="F328" s="712"/>
      <c r="G328" s="712"/>
      <c r="H328" s="712"/>
      <c r="I328" s="712"/>
    </row>
    <row r="329" spans="1:9" s="81" customFormat="1" x14ac:dyDescent="0.2">
      <c r="A329" s="711"/>
      <c r="B329" s="712"/>
      <c r="C329" s="712"/>
      <c r="D329" s="712"/>
      <c r="E329" s="712"/>
      <c r="F329" s="712"/>
      <c r="G329" s="712"/>
      <c r="H329" s="712"/>
      <c r="I329" s="712"/>
    </row>
    <row r="330" spans="1:9" s="81" customFormat="1" x14ac:dyDescent="0.2">
      <c r="A330" s="711"/>
      <c r="B330" s="712"/>
      <c r="C330" s="712"/>
      <c r="D330" s="712"/>
      <c r="E330" s="712"/>
      <c r="F330" s="712"/>
      <c r="G330" s="712"/>
      <c r="H330" s="712"/>
      <c r="I330" s="712"/>
    </row>
    <row r="331" spans="1:9" s="81" customFormat="1" x14ac:dyDescent="0.2">
      <c r="A331" s="711"/>
      <c r="B331" s="712"/>
      <c r="C331" s="712"/>
      <c r="D331" s="712"/>
      <c r="E331" s="712"/>
      <c r="F331" s="712"/>
      <c r="G331" s="712"/>
      <c r="H331" s="712"/>
      <c r="I331" s="712"/>
    </row>
    <row r="332" spans="1:9" s="81" customFormat="1" x14ac:dyDescent="0.2">
      <c r="A332" s="711"/>
      <c r="B332" s="712"/>
      <c r="C332" s="712"/>
      <c r="D332" s="712"/>
      <c r="E332" s="712"/>
      <c r="F332" s="712"/>
      <c r="G332" s="712"/>
      <c r="H332" s="712"/>
      <c r="I332" s="712"/>
    </row>
    <row r="333" spans="1:9" s="81" customFormat="1" x14ac:dyDescent="0.2">
      <c r="A333" s="711"/>
      <c r="B333" s="712"/>
      <c r="C333" s="712"/>
      <c r="D333" s="712"/>
      <c r="E333" s="712"/>
      <c r="F333" s="712"/>
      <c r="G333" s="712"/>
      <c r="H333" s="712"/>
      <c r="I333" s="712"/>
    </row>
    <row r="334" spans="1:9" s="81" customFormat="1" x14ac:dyDescent="0.2">
      <c r="A334" s="711"/>
      <c r="B334" s="712"/>
      <c r="C334" s="712"/>
      <c r="D334" s="712"/>
      <c r="E334" s="712"/>
      <c r="F334" s="712"/>
      <c r="G334" s="712"/>
      <c r="H334" s="712"/>
      <c r="I334" s="712"/>
    </row>
    <row r="335" spans="1:9" s="81" customFormat="1" x14ac:dyDescent="0.2">
      <c r="A335" s="711"/>
      <c r="B335" s="712"/>
      <c r="C335" s="712"/>
      <c r="D335" s="712"/>
      <c r="E335" s="712"/>
      <c r="F335" s="712"/>
      <c r="G335" s="712"/>
      <c r="H335" s="712"/>
      <c r="I335" s="712"/>
    </row>
    <row r="336" spans="1:9" s="81" customFormat="1" x14ac:dyDescent="0.2">
      <c r="A336" s="711"/>
      <c r="B336" s="712"/>
      <c r="C336" s="712"/>
      <c r="D336" s="712"/>
      <c r="E336" s="712"/>
      <c r="F336" s="712"/>
      <c r="G336" s="712"/>
      <c r="H336" s="712"/>
      <c r="I336" s="712"/>
    </row>
    <row r="337" spans="1:9" s="81" customFormat="1" x14ac:dyDescent="0.2">
      <c r="A337" s="711"/>
      <c r="B337" s="712"/>
      <c r="C337" s="712"/>
      <c r="D337" s="712"/>
      <c r="E337" s="712"/>
      <c r="F337" s="712"/>
      <c r="G337" s="712"/>
      <c r="H337" s="712"/>
      <c r="I337" s="712"/>
    </row>
    <row r="338" spans="1:9" s="81" customFormat="1" x14ac:dyDescent="0.2">
      <c r="A338" s="711"/>
      <c r="B338" s="712"/>
      <c r="C338" s="712"/>
      <c r="D338" s="712"/>
      <c r="E338" s="712"/>
      <c r="F338" s="712"/>
      <c r="G338" s="712"/>
      <c r="H338" s="712"/>
      <c r="I338" s="712"/>
    </row>
    <row r="339" spans="1:9" s="81" customFormat="1" x14ac:dyDescent="0.2">
      <c r="A339" s="711"/>
      <c r="B339" s="712"/>
      <c r="C339" s="712"/>
      <c r="D339" s="712"/>
      <c r="E339" s="712"/>
      <c r="F339" s="712"/>
      <c r="G339" s="712"/>
      <c r="H339" s="712"/>
      <c r="I339" s="712"/>
    </row>
    <row r="340" spans="1:9" s="81" customFormat="1" x14ac:dyDescent="0.2">
      <c r="A340" s="711"/>
      <c r="B340" s="712"/>
      <c r="C340" s="712"/>
      <c r="D340" s="712"/>
      <c r="E340" s="712"/>
      <c r="F340" s="712"/>
      <c r="G340" s="712"/>
      <c r="H340" s="712"/>
      <c r="I340" s="712"/>
    </row>
    <row r="341" spans="1:9" s="81" customFormat="1" x14ac:dyDescent="0.2">
      <c r="A341" s="711"/>
      <c r="B341" s="712"/>
      <c r="C341" s="712"/>
      <c r="D341" s="712"/>
      <c r="E341" s="712"/>
      <c r="F341" s="712"/>
      <c r="G341" s="712"/>
      <c r="H341" s="712"/>
      <c r="I341" s="712"/>
    </row>
    <row r="342" spans="1:9" s="81" customFormat="1" x14ac:dyDescent="0.2">
      <c r="A342" s="711"/>
      <c r="B342" s="712"/>
      <c r="C342" s="712"/>
      <c r="D342" s="712"/>
      <c r="E342" s="712"/>
      <c r="F342" s="712"/>
      <c r="G342" s="712"/>
      <c r="H342" s="712"/>
      <c r="I342" s="712"/>
    </row>
    <row r="343" spans="1:9" s="81" customFormat="1" x14ac:dyDescent="0.2">
      <c r="A343" s="711"/>
      <c r="B343" s="712"/>
      <c r="C343" s="712"/>
      <c r="D343" s="712"/>
      <c r="E343" s="712"/>
      <c r="F343" s="712"/>
      <c r="G343" s="712"/>
      <c r="H343" s="712"/>
      <c r="I343" s="712"/>
    </row>
    <row r="344" spans="1:9" s="81" customFormat="1" x14ac:dyDescent="0.2">
      <c r="A344" s="711"/>
      <c r="B344" s="712"/>
      <c r="C344" s="712"/>
      <c r="D344" s="712"/>
      <c r="E344" s="712"/>
      <c r="F344" s="712"/>
      <c r="G344" s="712"/>
      <c r="H344" s="712"/>
      <c r="I344" s="712"/>
    </row>
    <row r="345" spans="1:9" s="81" customFormat="1" x14ac:dyDescent="0.2">
      <c r="A345" s="711"/>
      <c r="B345" s="712"/>
      <c r="C345" s="712"/>
      <c r="D345" s="712"/>
      <c r="E345" s="712"/>
      <c r="F345" s="712"/>
      <c r="G345" s="712"/>
      <c r="H345" s="712"/>
      <c r="I345" s="712"/>
    </row>
    <row r="346" spans="1:9" s="81" customFormat="1" x14ac:dyDescent="0.2">
      <c r="A346" s="711"/>
      <c r="B346" s="712"/>
      <c r="C346" s="712"/>
      <c r="D346" s="712"/>
      <c r="E346" s="712"/>
      <c r="F346" s="712"/>
      <c r="G346" s="712"/>
      <c r="H346" s="712"/>
      <c r="I346" s="712"/>
    </row>
    <row r="347" spans="1:9" s="81" customFormat="1" x14ac:dyDescent="0.2">
      <c r="A347" s="711"/>
      <c r="B347" s="712"/>
      <c r="C347" s="712"/>
      <c r="D347" s="712"/>
      <c r="E347" s="712"/>
      <c r="F347" s="712"/>
      <c r="G347" s="712"/>
      <c r="H347" s="712"/>
      <c r="I347" s="712"/>
    </row>
    <row r="348" spans="1:9" s="81" customFormat="1" x14ac:dyDescent="0.2">
      <c r="A348" s="711"/>
      <c r="B348" s="712"/>
      <c r="C348" s="712"/>
      <c r="D348" s="712"/>
      <c r="E348" s="712"/>
      <c r="F348" s="712"/>
      <c r="G348" s="712"/>
      <c r="H348" s="712"/>
      <c r="I348" s="712"/>
    </row>
    <row r="349" spans="1:9" s="81" customFormat="1" x14ac:dyDescent="0.2">
      <c r="A349" s="711"/>
      <c r="B349" s="712"/>
      <c r="C349" s="712"/>
      <c r="D349" s="712"/>
      <c r="E349" s="712"/>
      <c r="F349" s="712"/>
      <c r="G349" s="712"/>
      <c r="H349" s="712"/>
      <c r="I349" s="712"/>
    </row>
    <row r="350" spans="1:9" s="81" customFormat="1" x14ac:dyDescent="0.2">
      <c r="A350" s="711"/>
      <c r="B350" s="712"/>
      <c r="C350" s="712"/>
      <c r="D350" s="712"/>
      <c r="E350" s="712"/>
      <c r="F350" s="712"/>
      <c r="G350" s="712"/>
      <c r="H350" s="712"/>
      <c r="I350" s="712"/>
    </row>
    <row r="351" spans="1:9" s="81" customFormat="1" x14ac:dyDescent="0.2">
      <c r="A351" s="711"/>
      <c r="B351" s="712"/>
      <c r="C351" s="712"/>
      <c r="D351" s="712"/>
      <c r="E351" s="712"/>
      <c r="F351" s="712"/>
      <c r="G351" s="712"/>
      <c r="H351" s="712"/>
      <c r="I351" s="712"/>
    </row>
    <row r="352" spans="1:9" s="81" customFormat="1" x14ac:dyDescent="0.2">
      <c r="A352" s="711"/>
      <c r="B352" s="712"/>
      <c r="C352" s="712"/>
      <c r="D352" s="712"/>
      <c r="E352" s="712"/>
      <c r="F352" s="712"/>
      <c r="G352" s="712"/>
      <c r="H352" s="712"/>
      <c r="I352" s="712"/>
    </row>
    <row r="353" spans="1:9" s="81" customFormat="1" x14ac:dyDescent="0.2">
      <c r="A353" s="711"/>
      <c r="B353" s="712"/>
      <c r="C353" s="712"/>
      <c r="D353" s="712"/>
      <c r="E353" s="712"/>
      <c r="F353" s="712"/>
      <c r="G353" s="712"/>
      <c r="H353" s="712"/>
      <c r="I353" s="712"/>
    </row>
    <row r="354" spans="1:9" s="81" customFormat="1" x14ac:dyDescent="0.2">
      <c r="A354" s="711"/>
      <c r="B354" s="712"/>
      <c r="C354" s="712"/>
      <c r="D354" s="712"/>
      <c r="E354" s="712"/>
      <c r="F354" s="712"/>
      <c r="G354" s="712"/>
      <c r="H354" s="712"/>
      <c r="I354" s="712"/>
    </row>
    <row r="355" spans="1:9" s="81" customFormat="1" x14ac:dyDescent="0.2">
      <c r="A355" s="711"/>
      <c r="B355" s="712"/>
      <c r="C355" s="712"/>
      <c r="D355" s="712"/>
      <c r="E355" s="712"/>
      <c r="F355" s="712"/>
      <c r="G355" s="712"/>
      <c r="H355" s="712"/>
      <c r="I355" s="712"/>
    </row>
    <row r="356" spans="1:9" s="81" customFormat="1" x14ac:dyDescent="0.2">
      <c r="A356" s="711"/>
      <c r="B356" s="712"/>
      <c r="C356" s="712"/>
      <c r="D356" s="712"/>
      <c r="E356" s="712"/>
      <c r="F356" s="712"/>
      <c r="G356" s="712"/>
      <c r="H356" s="712"/>
      <c r="I356" s="712"/>
    </row>
    <row r="357" spans="1:9" s="81" customFormat="1" x14ac:dyDescent="0.2">
      <c r="A357" s="711"/>
      <c r="B357" s="712"/>
      <c r="C357" s="712"/>
      <c r="D357" s="712"/>
      <c r="E357" s="712"/>
      <c r="F357" s="712"/>
      <c r="G357" s="712"/>
      <c r="H357" s="712"/>
      <c r="I357" s="712"/>
    </row>
    <row r="358" spans="1:9" s="81" customFormat="1" x14ac:dyDescent="0.2">
      <c r="A358" s="711"/>
      <c r="B358" s="712"/>
      <c r="C358" s="712"/>
      <c r="D358" s="712"/>
      <c r="E358" s="712"/>
      <c r="F358" s="712"/>
      <c r="G358" s="712"/>
      <c r="H358" s="712"/>
      <c r="I358" s="712"/>
    </row>
    <row r="359" spans="1:9" s="81" customFormat="1" x14ac:dyDescent="0.2">
      <c r="A359" s="711"/>
      <c r="B359" s="712"/>
      <c r="C359" s="712"/>
      <c r="D359" s="712"/>
      <c r="E359" s="712"/>
      <c r="F359" s="712"/>
      <c r="G359" s="712"/>
      <c r="H359" s="712"/>
      <c r="I359" s="712"/>
    </row>
    <row r="360" spans="1:9" s="81" customFormat="1" x14ac:dyDescent="0.2">
      <c r="A360" s="711"/>
      <c r="B360" s="712"/>
      <c r="C360" s="712"/>
      <c r="D360" s="712"/>
      <c r="E360" s="712"/>
      <c r="F360" s="712"/>
      <c r="G360" s="712"/>
      <c r="H360" s="712"/>
      <c r="I360" s="712"/>
    </row>
    <row r="361" spans="1:9" s="81" customFormat="1" x14ac:dyDescent="0.2">
      <c r="A361" s="711"/>
      <c r="B361" s="712"/>
      <c r="C361" s="712"/>
      <c r="D361" s="712"/>
      <c r="E361" s="712"/>
      <c r="F361" s="712"/>
      <c r="G361" s="712"/>
      <c r="H361" s="712"/>
      <c r="I361" s="712"/>
    </row>
    <row r="362" spans="1:9" s="81" customFormat="1" x14ac:dyDescent="0.2">
      <c r="A362" s="711"/>
      <c r="B362" s="712"/>
      <c r="C362" s="712"/>
      <c r="D362" s="712"/>
      <c r="E362" s="712"/>
      <c r="F362" s="712"/>
      <c r="G362" s="712"/>
      <c r="H362" s="712"/>
      <c r="I362" s="712"/>
    </row>
    <row r="363" spans="1:9" s="81" customFormat="1" x14ac:dyDescent="0.2">
      <c r="A363" s="711"/>
      <c r="B363" s="712"/>
      <c r="C363" s="712"/>
      <c r="D363" s="712"/>
      <c r="E363" s="712"/>
      <c r="F363" s="712"/>
      <c r="G363" s="712"/>
      <c r="H363" s="712"/>
      <c r="I363" s="712"/>
    </row>
    <row r="364" spans="1:9" s="81" customFormat="1" x14ac:dyDescent="0.2">
      <c r="A364" s="711"/>
      <c r="B364" s="712"/>
      <c r="C364" s="712"/>
      <c r="D364" s="712"/>
      <c r="E364" s="712"/>
      <c r="F364" s="712"/>
      <c r="G364" s="712"/>
      <c r="H364" s="712"/>
      <c r="I364" s="712"/>
    </row>
    <row r="365" spans="1:9" s="81" customFormat="1" x14ac:dyDescent="0.2">
      <c r="A365" s="711"/>
      <c r="B365" s="712"/>
      <c r="C365" s="712"/>
      <c r="D365" s="712"/>
      <c r="E365" s="712"/>
      <c r="F365" s="712"/>
      <c r="G365" s="712"/>
      <c r="H365" s="712"/>
      <c r="I365" s="712"/>
    </row>
    <row r="366" spans="1:9" s="81" customFormat="1" x14ac:dyDescent="0.2">
      <c r="A366" s="711"/>
      <c r="B366" s="712"/>
      <c r="C366" s="712"/>
      <c r="D366" s="712"/>
      <c r="E366" s="712"/>
      <c r="F366" s="712"/>
      <c r="G366" s="712"/>
      <c r="H366" s="712"/>
      <c r="I366" s="712"/>
    </row>
    <row r="367" spans="1:9" s="81" customFormat="1" x14ac:dyDescent="0.2">
      <c r="A367" s="711"/>
      <c r="B367" s="712"/>
      <c r="C367" s="712"/>
      <c r="D367" s="712"/>
      <c r="E367" s="712"/>
      <c r="F367" s="712"/>
      <c r="G367" s="712"/>
      <c r="H367" s="712"/>
      <c r="I367" s="712"/>
    </row>
    <row r="368" spans="1:9" s="81" customFormat="1" x14ac:dyDescent="0.2">
      <c r="A368" s="711"/>
      <c r="B368" s="712"/>
      <c r="C368" s="712"/>
      <c r="D368" s="712"/>
      <c r="E368" s="712"/>
      <c r="F368" s="712"/>
      <c r="G368" s="712"/>
      <c r="H368" s="712"/>
      <c r="I368" s="712"/>
    </row>
    <row r="369" spans="1:9" s="81" customFormat="1" x14ac:dyDescent="0.2">
      <c r="A369" s="711"/>
      <c r="B369" s="712"/>
      <c r="C369" s="712"/>
      <c r="D369" s="712"/>
      <c r="E369" s="712"/>
      <c r="F369" s="712"/>
      <c r="G369" s="712"/>
      <c r="H369" s="712"/>
      <c r="I369" s="712"/>
    </row>
    <row r="370" spans="1:9" s="81" customFormat="1" x14ac:dyDescent="0.2">
      <c r="A370" s="711"/>
      <c r="B370" s="712"/>
      <c r="C370" s="712"/>
      <c r="D370" s="712"/>
      <c r="E370" s="712"/>
      <c r="F370" s="712"/>
      <c r="G370" s="712"/>
      <c r="H370" s="712"/>
      <c r="I370" s="712"/>
    </row>
    <row r="371" spans="1:9" s="81" customFormat="1" x14ac:dyDescent="0.2">
      <c r="A371" s="711"/>
      <c r="B371" s="712"/>
      <c r="C371" s="712"/>
      <c r="D371" s="712"/>
      <c r="E371" s="712"/>
      <c r="F371" s="712"/>
      <c r="G371" s="712"/>
      <c r="H371" s="712"/>
      <c r="I371" s="712"/>
    </row>
    <row r="372" spans="1:9" s="81" customFormat="1" x14ac:dyDescent="0.2">
      <c r="A372" s="711"/>
      <c r="B372" s="712"/>
      <c r="C372" s="712"/>
      <c r="D372" s="712"/>
      <c r="E372" s="712"/>
      <c r="F372" s="712"/>
      <c r="G372" s="712"/>
      <c r="H372" s="712"/>
      <c r="I372" s="712"/>
    </row>
    <row r="373" spans="1:9" s="81" customFormat="1" x14ac:dyDescent="0.2">
      <c r="A373" s="711"/>
      <c r="B373" s="712"/>
      <c r="C373" s="712"/>
      <c r="D373" s="712"/>
      <c r="E373" s="712"/>
      <c r="F373" s="712"/>
      <c r="G373" s="712"/>
      <c r="H373" s="712"/>
      <c r="I373" s="712"/>
    </row>
    <row r="374" spans="1:9" s="81" customFormat="1" x14ac:dyDescent="0.2">
      <c r="A374" s="711"/>
      <c r="B374" s="712"/>
      <c r="C374" s="712"/>
      <c r="D374" s="712"/>
      <c r="E374" s="712"/>
      <c r="F374" s="712"/>
      <c r="G374" s="712"/>
      <c r="H374" s="712"/>
      <c r="I374" s="712"/>
    </row>
    <row r="375" spans="1:9" s="81" customFormat="1" x14ac:dyDescent="0.2">
      <c r="A375" s="711"/>
      <c r="B375" s="712"/>
      <c r="C375" s="712"/>
      <c r="D375" s="712"/>
      <c r="E375" s="712"/>
      <c r="F375" s="712"/>
      <c r="G375" s="712"/>
      <c r="H375" s="712"/>
      <c r="I375" s="712"/>
    </row>
    <row r="376" spans="1:9" s="81" customFormat="1" x14ac:dyDescent="0.2">
      <c r="A376" s="711"/>
      <c r="B376" s="712"/>
      <c r="C376" s="712"/>
      <c r="D376" s="712"/>
      <c r="E376" s="712"/>
      <c r="F376" s="712"/>
      <c r="G376" s="712"/>
      <c r="H376" s="712"/>
      <c r="I376" s="712"/>
    </row>
    <row r="377" spans="1:9" s="81" customFormat="1" x14ac:dyDescent="0.2">
      <c r="A377" s="711"/>
      <c r="B377" s="712"/>
      <c r="C377" s="712"/>
      <c r="D377" s="712"/>
      <c r="E377" s="712"/>
      <c r="F377" s="712"/>
      <c r="G377" s="712"/>
      <c r="H377" s="712"/>
      <c r="I377" s="712"/>
    </row>
    <row r="378" spans="1:9" s="81" customFormat="1" x14ac:dyDescent="0.2">
      <c r="A378" s="711"/>
      <c r="B378" s="712"/>
      <c r="C378" s="712"/>
      <c r="D378" s="712"/>
      <c r="E378" s="712"/>
      <c r="F378" s="712"/>
      <c r="G378" s="712"/>
      <c r="H378" s="712"/>
      <c r="I378" s="712"/>
    </row>
    <row r="379" spans="1:9" s="81" customFormat="1" x14ac:dyDescent="0.2">
      <c r="A379" s="711"/>
      <c r="B379" s="712"/>
      <c r="C379" s="712"/>
      <c r="D379" s="712"/>
      <c r="E379" s="712"/>
      <c r="F379" s="712"/>
      <c r="G379" s="712"/>
      <c r="H379" s="712"/>
      <c r="I379" s="712"/>
    </row>
    <row r="380" spans="1:9" s="81" customFormat="1" x14ac:dyDescent="0.2">
      <c r="A380" s="711"/>
      <c r="B380" s="712"/>
      <c r="C380" s="712"/>
      <c r="D380" s="712"/>
      <c r="E380" s="712"/>
      <c r="F380" s="712"/>
      <c r="G380" s="712"/>
      <c r="H380" s="712"/>
      <c r="I380" s="712"/>
    </row>
    <row r="381" spans="1:9" s="81" customFormat="1" x14ac:dyDescent="0.2">
      <c r="A381" s="711"/>
      <c r="B381" s="712"/>
      <c r="C381" s="712"/>
      <c r="D381" s="712"/>
      <c r="E381" s="712"/>
      <c r="F381" s="712"/>
      <c r="G381" s="712"/>
      <c r="H381" s="712"/>
      <c r="I381" s="712"/>
    </row>
    <row r="382" spans="1:9" s="81" customFormat="1" x14ac:dyDescent="0.2">
      <c r="A382" s="711"/>
      <c r="B382" s="712"/>
      <c r="C382" s="712"/>
      <c r="D382" s="712"/>
      <c r="E382" s="712"/>
      <c r="F382" s="712"/>
      <c r="G382" s="712"/>
      <c r="H382" s="712"/>
      <c r="I382" s="712"/>
    </row>
    <row r="383" spans="1:9" s="81" customFormat="1" x14ac:dyDescent="0.2">
      <c r="A383" s="711"/>
      <c r="B383" s="712"/>
      <c r="C383" s="712"/>
      <c r="D383" s="712"/>
      <c r="E383" s="712"/>
      <c r="F383" s="712"/>
      <c r="G383" s="712"/>
      <c r="H383" s="712"/>
      <c r="I383" s="712"/>
    </row>
    <row r="384" spans="1:9" s="81" customFormat="1" x14ac:dyDescent="0.2">
      <c r="A384" s="711"/>
      <c r="B384" s="712"/>
      <c r="C384" s="712"/>
      <c r="D384" s="712"/>
      <c r="E384" s="712"/>
      <c r="F384" s="712"/>
      <c r="G384" s="712"/>
      <c r="H384" s="712"/>
      <c r="I384" s="712"/>
    </row>
    <row r="385" spans="1:9" s="81" customFormat="1" x14ac:dyDescent="0.2">
      <c r="A385" s="711"/>
      <c r="B385" s="712"/>
      <c r="C385" s="712"/>
      <c r="D385" s="712"/>
      <c r="E385" s="712"/>
      <c r="F385" s="712"/>
      <c r="G385" s="712"/>
      <c r="H385" s="712"/>
      <c r="I385" s="712"/>
    </row>
    <row r="386" spans="1:9" s="81" customFormat="1" x14ac:dyDescent="0.2">
      <c r="A386" s="711"/>
      <c r="B386" s="712"/>
      <c r="C386" s="712"/>
      <c r="D386" s="712"/>
      <c r="E386" s="712"/>
      <c r="F386" s="712"/>
      <c r="G386" s="712"/>
      <c r="H386" s="712"/>
      <c r="I386" s="712"/>
    </row>
    <row r="387" spans="1:9" s="81" customFormat="1" x14ac:dyDescent="0.2">
      <c r="A387" s="711"/>
      <c r="B387" s="712"/>
      <c r="C387" s="712"/>
      <c r="D387" s="712"/>
      <c r="E387" s="712"/>
      <c r="F387" s="712"/>
      <c r="G387" s="712"/>
      <c r="H387" s="712"/>
      <c r="I387" s="712"/>
    </row>
    <row r="388" spans="1:9" s="81" customFormat="1" x14ac:dyDescent="0.2">
      <c r="A388" s="711"/>
      <c r="B388" s="712"/>
      <c r="C388" s="712"/>
      <c r="D388" s="712"/>
      <c r="E388" s="712"/>
      <c r="F388" s="712"/>
      <c r="G388" s="712"/>
      <c r="H388" s="712"/>
      <c r="I388" s="712"/>
    </row>
    <row r="389" spans="1:9" s="81" customFormat="1" x14ac:dyDescent="0.2">
      <c r="A389" s="711"/>
      <c r="B389" s="712"/>
      <c r="C389" s="712"/>
      <c r="D389" s="712"/>
      <c r="E389" s="712"/>
      <c r="F389" s="712"/>
      <c r="G389" s="712"/>
      <c r="H389" s="712"/>
      <c r="I389" s="712"/>
    </row>
    <row r="390" spans="1:9" s="81" customFormat="1" x14ac:dyDescent="0.2">
      <c r="A390" s="711"/>
      <c r="B390" s="712"/>
      <c r="C390" s="712"/>
      <c r="D390" s="712"/>
      <c r="E390" s="712"/>
      <c r="F390" s="712"/>
      <c r="G390" s="712"/>
      <c r="H390" s="712"/>
      <c r="I390" s="712"/>
    </row>
    <row r="391" spans="1:9" s="81" customFormat="1" x14ac:dyDescent="0.2">
      <c r="A391" s="711"/>
      <c r="B391" s="712"/>
      <c r="C391" s="712"/>
      <c r="D391" s="712"/>
      <c r="E391" s="712"/>
      <c r="F391" s="712"/>
      <c r="G391" s="712"/>
      <c r="H391" s="712"/>
      <c r="I391" s="712"/>
    </row>
    <row r="392" spans="1:9" s="81" customFormat="1" x14ac:dyDescent="0.2">
      <c r="A392" s="711"/>
      <c r="B392" s="712"/>
      <c r="C392" s="712"/>
      <c r="D392" s="712"/>
      <c r="E392" s="712"/>
      <c r="F392" s="712"/>
      <c r="G392" s="712"/>
      <c r="H392" s="712"/>
      <c r="I392" s="712"/>
    </row>
    <row r="393" spans="1:9" s="81" customFormat="1" x14ac:dyDescent="0.2">
      <c r="A393" s="711"/>
      <c r="B393" s="712"/>
      <c r="C393" s="712"/>
      <c r="D393" s="712"/>
      <c r="E393" s="712"/>
      <c r="F393" s="712"/>
      <c r="G393" s="712"/>
      <c r="H393" s="712"/>
      <c r="I393" s="712"/>
    </row>
    <row r="394" spans="1:9" s="81" customFormat="1" x14ac:dyDescent="0.2">
      <c r="A394" s="711"/>
      <c r="B394" s="712"/>
      <c r="C394" s="712"/>
      <c r="D394" s="712"/>
      <c r="E394" s="712"/>
      <c r="F394" s="712"/>
      <c r="G394" s="712"/>
      <c r="H394" s="712"/>
      <c r="I394" s="712"/>
    </row>
    <row r="395" spans="1:9" s="81" customFormat="1" x14ac:dyDescent="0.2">
      <c r="A395" s="711"/>
      <c r="B395" s="712"/>
      <c r="C395" s="712"/>
      <c r="D395" s="712"/>
      <c r="E395" s="712"/>
      <c r="F395" s="712"/>
      <c r="G395" s="712"/>
      <c r="H395" s="712"/>
      <c r="I395" s="712"/>
    </row>
    <row r="396" spans="1:9" s="81" customFormat="1" x14ac:dyDescent="0.2">
      <c r="A396" s="711"/>
      <c r="B396" s="712"/>
      <c r="C396" s="712"/>
      <c r="D396" s="712"/>
      <c r="E396" s="712"/>
      <c r="F396" s="712"/>
      <c r="G396" s="712"/>
      <c r="H396" s="712"/>
      <c r="I396" s="712"/>
    </row>
    <row r="397" spans="1:9" s="81" customFormat="1" x14ac:dyDescent="0.2">
      <c r="A397" s="711"/>
      <c r="B397" s="712"/>
      <c r="C397" s="712"/>
      <c r="D397" s="712"/>
      <c r="E397" s="712"/>
      <c r="F397" s="712"/>
      <c r="G397" s="712"/>
      <c r="H397" s="712"/>
      <c r="I397" s="712"/>
    </row>
    <row r="398" spans="1:9" s="81" customFormat="1" x14ac:dyDescent="0.2">
      <c r="A398" s="711"/>
      <c r="B398" s="712"/>
      <c r="C398" s="712"/>
      <c r="D398" s="712"/>
      <c r="E398" s="712"/>
      <c r="F398" s="712"/>
      <c r="G398" s="712"/>
      <c r="H398" s="712"/>
      <c r="I398" s="712"/>
    </row>
    <row r="399" spans="1:9" s="81" customFormat="1" x14ac:dyDescent="0.2">
      <c r="A399" s="711"/>
      <c r="B399" s="712"/>
      <c r="C399" s="712"/>
      <c r="D399" s="712"/>
      <c r="E399" s="712"/>
      <c r="F399" s="712"/>
      <c r="G399" s="712"/>
      <c r="H399" s="712"/>
      <c r="I399" s="712"/>
    </row>
    <row r="400" spans="1:9" s="81" customFormat="1" x14ac:dyDescent="0.2">
      <c r="A400" s="711"/>
      <c r="B400" s="712"/>
      <c r="C400" s="712"/>
      <c r="D400" s="712"/>
      <c r="E400" s="712"/>
      <c r="F400" s="712"/>
      <c r="G400" s="712"/>
      <c r="H400" s="712"/>
      <c r="I400" s="712"/>
    </row>
    <row r="401" spans="1:9" s="81" customFormat="1" x14ac:dyDescent="0.2">
      <c r="A401" s="711"/>
      <c r="B401" s="712"/>
      <c r="C401" s="712"/>
      <c r="D401" s="712"/>
      <c r="E401" s="712"/>
      <c r="F401" s="712"/>
      <c r="G401" s="712"/>
      <c r="H401" s="712"/>
      <c r="I401" s="712"/>
    </row>
    <row r="402" spans="1:9" s="81" customFormat="1" x14ac:dyDescent="0.2">
      <c r="A402" s="711"/>
      <c r="B402" s="712"/>
      <c r="C402" s="712"/>
      <c r="D402" s="712"/>
      <c r="E402" s="712"/>
      <c r="F402" s="712"/>
      <c r="G402" s="712"/>
      <c r="H402" s="712"/>
      <c r="I402" s="712"/>
    </row>
    <row r="403" spans="1:9" s="81" customFormat="1" x14ac:dyDescent="0.2">
      <c r="A403" s="711"/>
      <c r="B403" s="712"/>
      <c r="C403" s="712"/>
      <c r="D403" s="712"/>
      <c r="E403" s="712"/>
      <c r="F403" s="712"/>
      <c r="G403" s="712"/>
      <c r="H403" s="712"/>
      <c r="I403" s="712"/>
    </row>
    <row r="404" spans="1:9" s="81" customFormat="1" x14ac:dyDescent="0.2">
      <c r="A404" s="711"/>
      <c r="B404" s="712"/>
      <c r="C404" s="712"/>
      <c r="D404" s="712"/>
      <c r="E404" s="712"/>
      <c r="F404" s="712"/>
      <c r="G404" s="712"/>
      <c r="H404" s="712"/>
      <c r="I404" s="712"/>
    </row>
    <row r="405" spans="1:9" s="81" customFormat="1" x14ac:dyDescent="0.2">
      <c r="A405" s="711"/>
      <c r="B405" s="712"/>
      <c r="C405" s="712"/>
      <c r="D405" s="712"/>
      <c r="E405" s="712"/>
      <c r="F405" s="712"/>
      <c r="G405" s="712"/>
      <c r="H405" s="712"/>
      <c r="I405" s="712"/>
    </row>
    <row r="406" spans="1:9" s="81" customFormat="1" x14ac:dyDescent="0.2">
      <c r="A406" s="711"/>
      <c r="B406" s="712"/>
      <c r="C406" s="712"/>
      <c r="D406" s="712"/>
      <c r="E406" s="712"/>
      <c r="F406" s="712"/>
      <c r="G406" s="712"/>
      <c r="H406" s="712"/>
      <c r="I406" s="712"/>
    </row>
    <row r="407" spans="1:9" s="81" customFormat="1" x14ac:dyDescent="0.2">
      <c r="A407" s="711"/>
      <c r="B407" s="712"/>
      <c r="C407" s="712"/>
      <c r="D407" s="712"/>
      <c r="E407" s="712"/>
      <c r="F407" s="712"/>
      <c r="G407" s="712"/>
      <c r="H407" s="712"/>
      <c r="I407" s="712"/>
    </row>
    <row r="408" spans="1:9" s="81" customFormat="1" x14ac:dyDescent="0.2">
      <c r="A408" s="711"/>
      <c r="B408" s="712"/>
      <c r="C408" s="712"/>
      <c r="D408" s="712"/>
      <c r="E408" s="712"/>
      <c r="F408" s="712"/>
      <c r="G408" s="712"/>
      <c r="H408" s="712"/>
      <c r="I408" s="712"/>
    </row>
    <row r="409" spans="1:9" s="81" customFormat="1" x14ac:dyDescent="0.2">
      <c r="A409" s="711"/>
      <c r="B409" s="712"/>
      <c r="C409" s="712"/>
      <c r="D409" s="712"/>
      <c r="E409" s="712"/>
      <c r="F409" s="712"/>
      <c r="G409" s="712"/>
      <c r="H409" s="712"/>
      <c r="I409" s="712"/>
    </row>
    <row r="410" spans="1:9" s="81" customFormat="1" x14ac:dyDescent="0.2">
      <c r="A410" s="711"/>
      <c r="B410" s="712"/>
      <c r="C410" s="712"/>
      <c r="D410" s="712"/>
      <c r="E410" s="712"/>
      <c r="F410" s="712"/>
      <c r="G410" s="712"/>
      <c r="H410" s="712"/>
      <c r="I410" s="712"/>
    </row>
    <row r="411" spans="1:9" s="81" customFormat="1" x14ac:dyDescent="0.2">
      <c r="A411" s="711"/>
      <c r="B411" s="712"/>
      <c r="C411" s="712"/>
      <c r="D411" s="712"/>
      <c r="E411" s="712"/>
      <c r="F411" s="712"/>
      <c r="G411" s="712"/>
      <c r="H411" s="712"/>
      <c r="I411" s="712"/>
    </row>
    <row r="412" spans="1:9" s="81" customFormat="1" x14ac:dyDescent="0.2">
      <c r="A412" s="711"/>
      <c r="B412" s="712"/>
      <c r="C412" s="712"/>
      <c r="D412" s="712"/>
      <c r="E412" s="712"/>
      <c r="F412" s="712"/>
      <c r="G412" s="712"/>
      <c r="H412" s="712"/>
      <c r="I412" s="712"/>
    </row>
    <row r="413" spans="1:9" s="81" customFormat="1" x14ac:dyDescent="0.2">
      <c r="A413" s="711"/>
      <c r="B413" s="712"/>
      <c r="C413" s="712"/>
      <c r="D413" s="712"/>
      <c r="E413" s="712"/>
      <c r="F413" s="712"/>
      <c r="G413" s="712"/>
      <c r="H413" s="712"/>
      <c r="I413" s="712"/>
    </row>
    <row r="414" spans="1:9" s="81" customFormat="1" x14ac:dyDescent="0.2">
      <c r="A414" s="711"/>
      <c r="B414" s="712"/>
      <c r="C414" s="712"/>
      <c r="D414" s="712"/>
      <c r="E414" s="712"/>
      <c r="F414" s="712"/>
      <c r="G414" s="712"/>
      <c r="H414" s="712"/>
      <c r="I414" s="712"/>
    </row>
    <row r="415" spans="1:9" s="81" customFormat="1" x14ac:dyDescent="0.2">
      <c r="A415" s="711"/>
      <c r="B415" s="712"/>
      <c r="C415" s="712"/>
      <c r="D415" s="712"/>
      <c r="E415" s="712"/>
      <c r="F415" s="712"/>
      <c r="G415" s="712"/>
      <c r="H415" s="712"/>
      <c r="I415" s="712"/>
    </row>
    <row r="416" spans="1:9" s="81" customFormat="1" x14ac:dyDescent="0.2">
      <c r="A416" s="711"/>
      <c r="B416" s="712"/>
      <c r="C416" s="712"/>
      <c r="D416" s="712"/>
      <c r="E416" s="712"/>
      <c r="F416" s="712"/>
      <c r="G416" s="712"/>
      <c r="H416" s="712"/>
      <c r="I416" s="712"/>
    </row>
    <row r="417" spans="1:9" s="81" customFormat="1" x14ac:dyDescent="0.2">
      <c r="A417" s="711"/>
      <c r="B417" s="712"/>
      <c r="C417" s="712"/>
      <c r="D417" s="712"/>
      <c r="E417" s="712"/>
      <c r="F417" s="712"/>
      <c r="G417" s="712"/>
      <c r="H417" s="712"/>
      <c r="I417" s="712"/>
    </row>
    <row r="418" spans="1:9" s="81" customFormat="1" x14ac:dyDescent="0.2">
      <c r="A418" s="711"/>
      <c r="B418" s="712"/>
      <c r="C418" s="712"/>
      <c r="D418" s="712"/>
      <c r="E418" s="712"/>
      <c r="F418" s="712"/>
      <c r="G418" s="712"/>
      <c r="H418" s="712"/>
      <c r="I418" s="712"/>
    </row>
    <row r="419" spans="1:9" s="81" customFormat="1" x14ac:dyDescent="0.2">
      <c r="A419" s="711"/>
      <c r="B419" s="712"/>
      <c r="C419" s="712"/>
      <c r="D419" s="712"/>
      <c r="E419" s="712"/>
      <c r="F419" s="712"/>
      <c r="G419" s="712"/>
      <c r="H419" s="712"/>
      <c r="I419" s="712"/>
    </row>
    <row r="420" spans="1:9" s="81" customFormat="1" x14ac:dyDescent="0.2">
      <c r="A420" s="711"/>
      <c r="B420" s="712"/>
      <c r="C420" s="712"/>
      <c r="D420" s="712"/>
      <c r="E420" s="712"/>
      <c r="F420" s="712"/>
      <c r="G420" s="712"/>
      <c r="H420" s="712"/>
      <c r="I420" s="712"/>
    </row>
    <row r="421" spans="1:9" s="81" customFormat="1" x14ac:dyDescent="0.2">
      <c r="A421" s="711"/>
      <c r="B421" s="712"/>
      <c r="C421" s="712"/>
      <c r="D421" s="712"/>
      <c r="E421" s="712"/>
      <c r="F421" s="712"/>
      <c r="G421" s="712"/>
      <c r="H421" s="712"/>
      <c r="I421" s="712"/>
    </row>
    <row r="422" spans="1:9" s="81" customFormat="1" x14ac:dyDescent="0.2">
      <c r="A422" s="711"/>
      <c r="B422" s="712"/>
      <c r="C422" s="712"/>
      <c r="D422" s="712"/>
      <c r="E422" s="712"/>
      <c r="F422" s="712"/>
      <c r="G422" s="712"/>
      <c r="H422" s="712"/>
      <c r="I422" s="712"/>
    </row>
    <row r="423" spans="1:9" s="81" customFormat="1" x14ac:dyDescent="0.2">
      <c r="A423" s="711"/>
      <c r="B423" s="712"/>
      <c r="C423" s="712"/>
      <c r="D423" s="712"/>
      <c r="E423" s="712"/>
      <c r="F423" s="712"/>
      <c r="G423" s="712"/>
      <c r="H423" s="712"/>
      <c r="I423" s="712"/>
    </row>
    <row r="424" spans="1:9" s="81" customFormat="1" x14ac:dyDescent="0.2">
      <c r="A424" s="711"/>
      <c r="B424" s="712"/>
      <c r="C424" s="712"/>
      <c r="D424" s="712"/>
      <c r="E424" s="712"/>
      <c r="F424" s="712"/>
      <c r="G424" s="712"/>
      <c r="H424" s="712"/>
      <c r="I424" s="712"/>
    </row>
    <row r="425" spans="1:9" s="81" customFormat="1" x14ac:dyDescent="0.2">
      <c r="A425" s="711"/>
      <c r="B425" s="712"/>
      <c r="C425" s="712"/>
      <c r="D425" s="712"/>
      <c r="E425" s="712"/>
      <c r="F425" s="712"/>
      <c r="G425" s="712"/>
      <c r="H425" s="712"/>
      <c r="I425" s="712"/>
    </row>
    <row r="426" spans="1:9" s="81" customFormat="1" x14ac:dyDescent="0.2">
      <c r="A426" s="711"/>
      <c r="B426" s="712"/>
      <c r="C426" s="712"/>
      <c r="D426" s="712"/>
      <c r="E426" s="712"/>
      <c r="F426" s="712"/>
      <c r="G426" s="712"/>
      <c r="H426" s="712"/>
      <c r="I426" s="712"/>
    </row>
    <row r="427" spans="1:9" s="81" customFormat="1" x14ac:dyDescent="0.2">
      <c r="A427" s="711"/>
      <c r="B427" s="712"/>
      <c r="C427" s="712"/>
      <c r="D427" s="712"/>
      <c r="E427" s="712"/>
      <c r="F427" s="712"/>
      <c r="G427" s="712"/>
      <c r="H427" s="712"/>
      <c r="I427" s="712"/>
    </row>
    <row r="428" spans="1:9" s="81" customFormat="1" x14ac:dyDescent="0.2">
      <c r="A428" s="711"/>
      <c r="B428" s="712"/>
      <c r="C428" s="712"/>
      <c r="D428" s="712"/>
      <c r="E428" s="712"/>
      <c r="F428" s="712"/>
      <c r="G428" s="712"/>
      <c r="H428" s="712"/>
      <c r="I428" s="712"/>
    </row>
    <row r="429" spans="1:9" s="81" customFormat="1" x14ac:dyDescent="0.2">
      <c r="A429" s="711"/>
      <c r="B429" s="712"/>
      <c r="C429" s="712"/>
      <c r="D429" s="712"/>
      <c r="E429" s="712"/>
      <c r="F429" s="712"/>
      <c r="G429" s="712"/>
      <c r="H429" s="712"/>
      <c r="I429" s="712"/>
    </row>
    <row r="430" spans="1:9" s="81" customFormat="1" x14ac:dyDescent="0.2">
      <c r="A430" s="711"/>
      <c r="B430" s="712"/>
      <c r="C430" s="712"/>
      <c r="D430" s="712"/>
      <c r="E430" s="712"/>
      <c r="F430" s="712"/>
      <c r="G430" s="712"/>
      <c r="H430" s="712"/>
      <c r="I430" s="712"/>
    </row>
    <row r="431" spans="1:9" s="81" customFormat="1" x14ac:dyDescent="0.2">
      <c r="A431" s="711"/>
      <c r="B431" s="712"/>
      <c r="C431" s="712"/>
      <c r="D431" s="712"/>
      <c r="E431" s="712"/>
      <c r="F431" s="712"/>
      <c r="G431" s="712"/>
      <c r="H431" s="712"/>
      <c r="I431" s="712"/>
    </row>
    <row r="432" spans="1:9" s="81" customFormat="1" x14ac:dyDescent="0.2">
      <c r="A432" s="711"/>
      <c r="B432" s="712"/>
      <c r="C432" s="712"/>
      <c r="D432" s="712"/>
      <c r="E432" s="712"/>
      <c r="F432" s="712"/>
      <c r="G432" s="712"/>
      <c r="H432" s="712"/>
      <c r="I432" s="712"/>
    </row>
    <row r="433" spans="1:9" s="81" customFormat="1" x14ac:dyDescent="0.2">
      <c r="A433" s="711"/>
      <c r="B433" s="712"/>
      <c r="C433" s="712"/>
      <c r="D433" s="712"/>
      <c r="E433" s="712"/>
      <c r="F433" s="712"/>
      <c r="G433" s="712"/>
      <c r="H433" s="712"/>
      <c r="I433" s="712"/>
    </row>
    <row r="434" spans="1:9" s="81" customFormat="1" x14ac:dyDescent="0.2">
      <c r="A434" s="711"/>
      <c r="B434" s="712"/>
      <c r="C434" s="712"/>
      <c r="D434" s="712"/>
      <c r="E434" s="712"/>
      <c r="F434" s="712"/>
      <c r="G434" s="712"/>
      <c r="H434" s="712"/>
      <c r="I434" s="712"/>
    </row>
    <row r="435" spans="1:9" s="81" customFormat="1" x14ac:dyDescent="0.2">
      <c r="A435" s="711"/>
      <c r="B435" s="712"/>
      <c r="C435" s="712"/>
      <c r="D435" s="712"/>
      <c r="E435" s="712"/>
      <c r="F435" s="712"/>
      <c r="G435" s="712"/>
      <c r="H435" s="712"/>
      <c r="I435" s="712"/>
    </row>
    <row r="436" spans="1:9" s="81" customFormat="1" x14ac:dyDescent="0.2">
      <c r="A436" s="711"/>
      <c r="B436" s="712"/>
      <c r="C436" s="712"/>
      <c r="D436" s="712"/>
      <c r="E436" s="712"/>
      <c r="F436" s="712"/>
      <c r="G436" s="712"/>
      <c r="H436" s="712"/>
      <c r="I436" s="712"/>
    </row>
    <row r="437" spans="1:9" s="81" customFormat="1" x14ac:dyDescent="0.2">
      <c r="A437" s="711"/>
      <c r="B437" s="712"/>
      <c r="C437" s="712"/>
      <c r="D437" s="712"/>
      <c r="E437" s="712"/>
      <c r="F437" s="712"/>
      <c r="G437" s="712"/>
      <c r="H437" s="712"/>
      <c r="I437" s="712"/>
    </row>
    <row r="438" spans="1:9" s="81" customFormat="1" x14ac:dyDescent="0.2">
      <c r="A438" s="711"/>
      <c r="B438" s="712"/>
      <c r="C438" s="712"/>
      <c r="D438" s="712"/>
      <c r="E438" s="712"/>
      <c r="F438" s="712"/>
      <c r="G438" s="712"/>
      <c r="H438" s="712"/>
      <c r="I438" s="712"/>
    </row>
    <row r="439" spans="1:9" s="81" customFormat="1" x14ac:dyDescent="0.2">
      <c r="A439" s="711"/>
      <c r="B439" s="712"/>
      <c r="C439" s="712"/>
      <c r="D439" s="712"/>
      <c r="E439" s="712"/>
      <c r="F439" s="712"/>
      <c r="G439" s="712"/>
      <c r="H439" s="712"/>
      <c r="I439" s="712"/>
    </row>
    <row r="440" spans="1:9" s="81" customFormat="1" x14ac:dyDescent="0.2">
      <c r="A440" s="711"/>
      <c r="B440" s="712"/>
      <c r="C440" s="712"/>
      <c r="D440" s="712"/>
      <c r="E440" s="712"/>
      <c r="F440" s="712"/>
      <c r="G440" s="712"/>
      <c r="H440" s="712"/>
      <c r="I440" s="712"/>
    </row>
    <row r="441" spans="1:9" s="81" customFormat="1" x14ac:dyDescent="0.2">
      <c r="A441" s="711"/>
      <c r="B441" s="712"/>
      <c r="C441" s="712"/>
      <c r="D441" s="712"/>
      <c r="E441" s="712"/>
      <c r="F441" s="712"/>
      <c r="G441" s="712"/>
      <c r="H441" s="712"/>
      <c r="I441" s="712"/>
    </row>
    <row r="442" spans="1:9" s="81" customFormat="1" x14ac:dyDescent="0.2">
      <c r="A442" s="711"/>
      <c r="B442" s="712"/>
      <c r="C442" s="712"/>
      <c r="D442" s="712"/>
      <c r="E442" s="712"/>
      <c r="F442" s="712"/>
      <c r="G442" s="712"/>
      <c r="H442" s="712"/>
      <c r="I442" s="712"/>
    </row>
    <row r="443" spans="1:9" s="81" customFormat="1" x14ac:dyDescent="0.2">
      <c r="A443" s="711"/>
      <c r="B443" s="712"/>
      <c r="C443" s="712"/>
      <c r="D443" s="712"/>
      <c r="E443" s="712"/>
      <c r="F443" s="712"/>
      <c r="G443" s="712"/>
      <c r="H443" s="712"/>
      <c r="I443" s="712"/>
    </row>
    <row r="444" spans="1:9" s="81" customFormat="1" x14ac:dyDescent="0.2">
      <c r="A444" s="711"/>
      <c r="B444" s="712"/>
      <c r="C444" s="712"/>
      <c r="D444" s="712"/>
      <c r="E444" s="712"/>
      <c r="F444" s="712"/>
      <c r="G444" s="712"/>
      <c r="H444" s="712"/>
      <c r="I444" s="712"/>
    </row>
    <row r="445" spans="1:9" s="81" customFormat="1" x14ac:dyDescent="0.2">
      <c r="A445" s="711"/>
      <c r="B445" s="712"/>
      <c r="C445" s="712"/>
      <c r="D445" s="712"/>
      <c r="E445" s="712"/>
      <c r="F445" s="712"/>
      <c r="G445" s="712"/>
      <c r="H445" s="712"/>
      <c r="I445" s="712"/>
    </row>
    <row r="446" spans="1:9" s="81" customFormat="1" x14ac:dyDescent="0.2">
      <c r="A446" s="711"/>
      <c r="B446" s="712"/>
      <c r="C446" s="712"/>
      <c r="D446" s="712"/>
      <c r="E446" s="712"/>
      <c r="F446" s="712"/>
      <c r="G446" s="712"/>
      <c r="H446" s="712"/>
      <c r="I446" s="712"/>
    </row>
    <row r="447" spans="1:9" s="81" customFormat="1" x14ac:dyDescent="0.2">
      <c r="A447" s="711"/>
      <c r="B447" s="712"/>
      <c r="C447" s="712"/>
      <c r="D447" s="712"/>
      <c r="E447" s="712"/>
      <c r="F447" s="712"/>
      <c r="G447" s="712"/>
      <c r="H447" s="712"/>
      <c r="I447" s="712"/>
    </row>
    <row r="448" spans="1:9" s="81" customFormat="1" x14ac:dyDescent="0.2">
      <c r="A448" s="711"/>
      <c r="B448" s="712"/>
      <c r="C448" s="712"/>
      <c r="D448" s="712"/>
      <c r="E448" s="712"/>
      <c r="F448" s="712"/>
      <c r="G448" s="712"/>
      <c r="H448" s="712"/>
      <c r="I448" s="712"/>
    </row>
    <row r="449" spans="1:9" s="81" customFormat="1" x14ac:dyDescent="0.2">
      <c r="A449" s="711"/>
      <c r="B449" s="712"/>
      <c r="C449" s="712"/>
      <c r="D449" s="712"/>
      <c r="E449" s="712"/>
      <c r="F449" s="712"/>
      <c r="G449" s="712"/>
      <c r="H449" s="712"/>
      <c r="I449" s="712"/>
    </row>
    <row r="450" spans="1:9" s="81" customFormat="1" x14ac:dyDescent="0.2">
      <c r="A450" s="711"/>
      <c r="B450" s="712"/>
      <c r="C450" s="712"/>
      <c r="D450" s="712"/>
      <c r="E450" s="712"/>
      <c r="F450" s="712"/>
      <c r="G450" s="712"/>
      <c r="H450" s="712"/>
      <c r="I450" s="712"/>
    </row>
    <row r="451" spans="1:9" s="81" customFormat="1" x14ac:dyDescent="0.2">
      <c r="A451" s="711"/>
      <c r="B451" s="712"/>
      <c r="C451" s="712"/>
      <c r="D451" s="712"/>
      <c r="E451" s="712"/>
      <c r="F451" s="712"/>
      <c r="G451" s="712"/>
      <c r="H451" s="712"/>
      <c r="I451" s="712"/>
    </row>
    <row r="452" spans="1:9" s="81" customFormat="1" x14ac:dyDescent="0.2">
      <c r="A452" s="711"/>
      <c r="B452" s="712"/>
      <c r="C452" s="712"/>
      <c r="D452" s="712"/>
      <c r="E452" s="712"/>
      <c r="F452" s="712"/>
      <c r="G452" s="712"/>
      <c r="H452" s="712"/>
      <c r="I452" s="712"/>
    </row>
    <row r="453" spans="1:9" s="81" customFormat="1" x14ac:dyDescent="0.2">
      <c r="A453" s="711"/>
      <c r="B453" s="712"/>
      <c r="C453" s="712"/>
      <c r="D453" s="712"/>
      <c r="E453" s="712"/>
      <c r="F453" s="712"/>
      <c r="G453" s="712"/>
      <c r="H453" s="712"/>
      <c r="I453" s="712"/>
    </row>
  </sheetData>
  <sortState ref="A8:K42">
    <sortCondition ref="A8:A42"/>
  </sortState>
  <mergeCells count="60">
    <mergeCell ref="A4:A5"/>
    <mergeCell ref="G4:G5"/>
    <mergeCell ref="I4:I5"/>
    <mergeCell ref="H4:H5"/>
    <mergeCell ref="J4:J5"/>
    <mergeCell ref="C4:C5"/>
    <mergeCell ref="E4:E5"/>
    <mergeCell ref="F4:F5"/>
    <mergeCell ref="B4:B5"/>
    <mergeCell ref="D4:D5"/>
    <mergeCell ref="A46:A47"/>
    <mergeCell ref="B46:B47"/>
    <mergeCell ref="C46:C47"/>
    <mergeCell ref="D46:D47"/>
    <mergeCell ref="E46:E47"/>
    <mergeCell ref="F46:F47"/>
    <mergeCell ref="G46:G47"/>
    <mergeCell ref="H46:H47"/>
    <mergeCell ref="I46:I47"/>
    <mergeCell ref="J46:J47"/>
    <mergeCell ref="A90:A91"/>
    <mergeCell ref="B90:B91"/>
    <mergeCell ref="C90:C91"/>
    <mergeCell ref="D90:D91"/>
    <mergeCell ref="E90:E91"/>
    <mergeCell ref="F90:F91"/>
    <mergeCell ref="G90:G91"/>
    <mergeCell ref="H90:H91"/>
    <mergeCell ref="I90:I91"/>
    <mergeCell ref="J90:J91"/>
    <mergeCell ref="A135:A136"/>
    <mergeCell ref="B135:B136"/>
    <mergeCell ref="C135:C136"/>
    <mergeCell ref="D135:D136"/>
    <mergeCell ref="E135:E136"/>
    <mergeCell ref="F135:F136"/>
    <mergeCell ref="G135:G136"/>
    <mergeCell ref="H135:H136"/>
    <mergeCell ref="I135:I136"/>
    <mergeCell ref="J135:J136"/>
    <mergeCell ref="A185:A186"/>
    <mergeCell ref="B185:B186"/>
    <mergeCell ref="C185:C186"/>
    <mergeCell ref="D185:D186"/>
    <mergeCell ref="E185:E186"/>
    <mergeCell ref="F185:F186"/>
    <mergeCell ref="G185:G186"/>
    <mergeCell ref="H185:H186"/>
    <mergeCell ref="I185:I186"/>
    <mergeCell ref="J185:J186"/>
    <mergeCell ref="A237:A238"/>
    <mergeCell ref="B237:B238"/>
    <mergeCell ref="C237:C238"/>
    <mergeCell ref="D237:D238"/>
    <mergeCell ref="E237:E238"/>
    <mergeCell ref="F237:F238"/>
    <mergeCell ref="G237:G238"/>
    <mergeCell ref="H237:H238"/>
    <mergeCell ref="I237:I238"/>
    <mergeCell ref="J237:J238"/>
  </mergeCells>
  <phoneticPr fontId="0" type="noConversion"/>
  <printOptions horizontalCentered="1"/>
  <pageMargins left="0.23622047244094491" right="0.23622047244094491" top="0.74803149606299213" bottom="0.74803149606299213" header="0.31496062992125984" footer="0.31496062992125984"/>
  <pageSetup paperSize="9" scale="75" orientation="landscape" r:id="rId1"/>
  <headerFooter alignWithMargins="0">
    <oddHeader>&amp;C&amp;"Arial,Negrita"&amp;18PROYECTO DE PRESUPUESTO 2021</oddHeader>
    <oddFooter>&amp;L&amp;"Arial,Negrita"&amp;8PROYECTO DE PRESUPUESTO PARA EL AÑO FISCAL 2020
INFORMACIÓN PARA LA COMISIÓN DE PRESUPUESTO Y CUENTA GENERAL DE LA REPÚBLICA DEL CONGRESO DE LA REPÚBLICA</oddFooter>
  </headerFooter>
  <rowBreaks count="3" manualBreakCount="3">
    <brk id="42" max="9" man="1"/>
    <brk id="85" max="9" man="1"/>
    <brk id="129" max="9"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9">
    <tabColor theme="9" tint="-0.249977111117893"/>
    <pageSetUpPr fitToPage="1"/>
  </sheetPr>
  <dimension ref="A1:Y19"/>
  <sheetViews>
    <sheetView zoomScaleNormal="100" zoomScaleSheetLayoutView="90" zoomScalePageLayoutView="85" workbookViewId="0">
      <selection activeCell="F8" sqref="F8"/>
    </sheetView>
  </sheetViews>
  <sheetFormatPr baseColWidth="10" defaultRowHeight="12" x14ac:dyDescent="0.2"/>
  <cols>
    <col min="1" max="1" width="31.42578125" style="3" customWidth="1"/>
    <col min="2" max="3" width="15.5703125" style="3" customWidth="1"/>
    <col min="4" max="5" width="15.5703125" style="59" customWidth="1"/>
    <col min="6" max="6" width="21" style="48" customWidth="1"/>
    <col min="7" max="7" width="15.5703125" style="48" customWidth="1"/>
    <col min="8" max="8" width="15.5703125" style="59" customWidth="1"/>
    <col min="9" max="11" width="15.5703125" style="48" customWidth="1"/>
    <col min="12" max="13" width="15.5703125" style="3" customWidth="1"/>
    <col min="14" max="14" width="15.5703125" style="48" customWidth="1"/>
    <col min="15" max="16384" width="11.42578125" style="3"/>
  </cols>
  <sheetData>
    <row r="1" spans="1:25" s="5" customFormat="1" ht="15.75" customHeight="1" x14ac:dyDescent="0.2">
      <c r="A1" s="82" t="s">
        <v>425</v>
      </c>
      <c r="B1" s="82"/>
      <c r="C1" s="82"/>
      <c r="D1" s="82"/>
      <c r="E1" s="82"/>
      <c r="F1" s="82"/>
      <c r="G1" s="82"/>
      <c r="H1" s="82"/>
      <c r="I1" s="82"/>
      <c r="J1" s="82"/>
      <c r="K1" s="82"/>
      <c r="L1" s="82"/>
      <c r="M1" s="82"/>
      <c r="N1" s="82"/>
    </row>
    <row r="2" spans="1:25" s="5" customFormat="1" x14ac:dyDescent="0.2">
      <c r="A2" s="82" t="s">
        <v>453</v>
      </c>
      <c r="B2" s="82"/>
      <c r="C2" s="82"/>
      <c r="D2" s="82"/>
      <c r="E2" s="82"/>
      <c r="F2" s="82"/>
      <c r="G2" s="82"/>
      <c r="H2" s="82"/>
      <c r="I2" s="82"/>
      <c r="J2" s="82"/>
      <c r="K2" s="82"/>
      <c r="L2" s="82"/>
      <c r="M2" s="82"/>
      <c r="N2" s="82"/>
      <c r="O2" s="82"/>
      <c r="P2" s="82"/>
      <c r="Q2" s="82"/>
      <c r="R2" s="82"/>
      <c r="S2" s="82"/>
      <c r="T2" s="82"/>
      <c r="U2" s="82"/>
      <c r="V2" s="82"/>
      <c r="W2" s="82"/>
      <c r="X2" s="82"/>
      <c r="Y2" s="82"/>
    </row>
    <row r="3" spans="1:25" s="48" customFormat="1" ht="3.75" customHeight="1" thickBot="1" x14ac:dyDescent="0.25">
      <c r="A3" s="8"/>
      <c r="B3" s="10"/>
      <c r="D3" s="59"/>
      <c r="E3" s="59"/>
      <c r="G3" s="10"/>
      <c r="H3" s="10"/>
    </row>
    <row r="4" spans="1:25" ht="13.5" hidden="1" customHeight="1" x14ac:dyDescent="0.2">
      <c r="A4" s="37" t="s">
        <v>69</v>
      </c>
      <c r="B4" s="36"/>
      <c r="C4" s="30"/>
      <c r="D4" s="60"/>
      <c r="E4" s="60"/>
      <c r="F4" s="49"/>
      <c r="G4" s="49"/>
      <c r="H4" s="60"/>
      <c r="I4" s="49"/>
      <c r="J4" s="49"/>
      <c r="K4" s="49"/>
      <c r="L4" s="30"/>
      <c r="M4" s="30"/>
      <c r="N4" s="49"/>
    </row>
    <row r="5" spans="1:25" ht="57" customHeight="1" thickBot="1" x14ac:dyDescent="0.25">
      <c r="A5" s="161" t="s">
        <v>73</v>
      </c>
      <c r="B5" s="163" t="s">
        <v>74</v>
      </c>
      <c r="C5" s="162" t="s">
        <v>75</v>
      </c>
      <c r="D5" s="162" t="s">
        <v>185</v>
      </c>
      <c r="E5" s="162" t="s">
        <v>186</v>
      </c>
      <c r="F5" s="162" t="s">
        <v>222</v>
      </c>
      <c r="G5" s="162" t="s">
        <v>150</v>
      </c>
      <c r="H5" s="162" t="s">
        <v>184</v>
      </c>
      <c r="I5" s="162" t="s">
        <v>152</v>
      </c>
      <c r="J5" s="162" t="s">
        <v>151</v>
      </c>
      <c r="K5" s="162" t="s">
        <v>153</v>
      </c>
      <c r="L5" s="162" t="s">
        <v>154</v>
      </c>
      <c r="M5" s="162" t="s">
        <v>155</v>
      </c>
      <c r="N5" s="162" t="s">
        <v>156</v>
      </c>
    </row>
    <row r="6" spans="1:25" ht="60" x14ac:dyDescent="0.2">
      <c r="A6" s="440" t="s">
        <v>616</v>
      </c>
      <c r="B6" s="995">
        <v>238586</v>
      </c>
      <c r="C6" s="1017" t="s">
        <v>617</v>
      </c>
      <c r="D6" s="1017" t="s">
        <v>618</v>
      </c>
      <c r="E6" s="1017">
        <v>5</v>
      </c>
      <c r="F6" s="1081">
        <v>2333341.81</v>
      </c>
      <c r="G6" s="1017" t="s">
        <v>619</v>
      </c>
      <c r="H6" s="1017" t="s">
        <v>620</v>
      </c>
      <c r="I6" s="1017" t="s">
        <v>621</v>
      </c>
      <c r="J6" s="994"/>
      <c r="K6" s="994"/>
      <c r="L6" s="414"/>
      <c r="M6" s="414"/>
      <c r="N6" s="415"/>
    </row>
    <row r="7" spans="1:25" ht="120" x14ac:dyDescent="0.2">
      <c r="A7" s="440" t="s">
        <v>622</v>
      </c>
      <c r="B7" s="995">
        <v>238586</v>
      </c>
      <c r="C7" s="1017" t="s">
        <v>617</v>
      </c>
      <c r="D7" s="1017" t="s">
        <v>618</v>
      </c>
      <c r="E7" s="1017">
        <v>11</v>
      </c>
      <c r="F7" s="1081">
        <v>2761361.18</v>
      </c>
      <c r="G7" s="1017" t="s">
        <v>619</v>
      </c>
      <c r="H7" s="1017" t="s">
        <v>623</v>
      </c>
      <c r="I7" s="1017" t="s">
        <v>624</v>
      </c>
      <c r="J7" s="438"/>
      <c r="K7" s="438"/>
      <c r="L7" s="416"/>
      <c r="M7" s="416"/>
      <c r="N7" s="34"/>
    </row>
    <row r="8" spans="1:25" ht="96" x14ac:dyDescent="0.2">
      <c r="A8" s="440" t="s">
        <v>625</v>
      </c>
      <c r="B8" s="995">
        <v>238586</v>
      </c>
      <c r="C8" s="1017" t="s">
        <v>617</v>
      </c>
      <c r="D8" s="1017" t="s">
        <v>618</v>
      </c>
      <c r="E8" s="1017">
        <v>9</v>
      </c>
      <c r="F8" s="1081">
        <v>2740707.98</v>
      </c>
      <c r="G8" s="1017" t="s">
        <v>619</v>
      </c>
      <c r="H8" s="1017" t="s">
        <v>626</v>
      </c>
      <c r="I8" s="1017" t="s">
        <v>624</v>
      </c>
      <c r="J8" s="438"/>
      <c r="K8" s="438"/>
      <c r="L8" s="416"/>
      <c r="M8" s="416"/>
      <c r="N8" s="34"/>
    </row>
    <row r="9" spans="1:25" ht="132" x14ac:dyDescent="0.2">
      <c r="A9" s="440" t="s">
        <v>627</v>
      </c>
      <c r="B9" s="995">
        <v>238586</v>
      </c>
      <c r="C9" s="1017" t="s">
        <v>617</v>
      </c>
      <c r="D9" s="1017" t="s">
        <v>618</v>
      </c>
      <c r="E9" s="1017">
        <v>10</v>
      </c>
      <c r="F9" s="1081">
        <v>3368482.13</v>
      </c>
      <c r="G9" s="1017" t="s">
        <v>619</v>
      </c>
      <c r="H9" s="439" t="s">
        <v>628</v>
      </c>
      <c r="I9" s="1017" t="s">
        <v>629</v>
      </c>
      <c r="J9" s="438"/>
      <c r="K9" s="438"/>
      <c r="L9" s="416"/>
      <c r="M9" s="416"/>
      <c r="N9" s="34"/>
    </row>
    <row r="10" spans="1:25" ht="84" x14ac:dyDescent="0.2">
      <c r="A10" s="440" t="s">
        <v>630</v>
      </c>
      <c r="B10" s="995">
        <v>238586</v>
      </c>
      <c r="C10" s="1017" t="s">
        <v>617</v>
      </c>
      <c r="D10" s="1017" t="s">
        <v>618</v>
      </c>
      <c r="E10" s="1017">
        <v>8</v>
      </c>
      <c r="F10" s="1081">
        <v>2587097.67</v>
      </c>
      <c r="G10" s="1017" t="s">
        <v>619</v>
      </c>
      <c r="H10" s="439" t="s">
        <v>631</v>
      </c>
      <c r="I10" s="1017" t="s">
        <v>624</v>
      </c>
      <c r="J10" s="438"/>
      <c r="K10" s="438"/>
      <c r="L10" s="416"/>
      <c r="M10" s="416"/>
      <c r="N10" s="34"/>
    </row>
    <row r="11" spans="1:25" ht="84" x14ac:dyDescent="0.2">
      <c r="A11" s="440" t="s">
        <v>632</v>
      </c>
      <c r="B11" s="996">
        <v>238264</v>
      </c>
      <c r="C11" s="1017" t="s">
        <v>617</v>
      </c>
      <c r="D11" s="1017" t="s">
        <v>618</v>
      </c>
      <c r="E11" s="1017">
        <v>7</v>
      </c>
      <c r="F11" s="1081">
        <v>4360512.67</v>
      </c>
      <c r="G11" s="1017" t="s">
        <v>619</v>
      </c>
      <c r="H11" s="439" t="s">
        <v>633</v>
      </c>
      <c r="I11" s="1017" t="s">
        <v>634</v>
      </c>
      <c r="J11" s="438"/>
      <c r="K11" s="438"/>
      <c r="L11" s="416"/>
      <c r="M11" s="416"/>
      <c r="N11" s="34"/>
    </row>
    <row r="12" spans="1:25" ht="126.75" customHeight="1" x14ac:dyDescent="0.2">
      <c r="A12" s="440" t="s">
        <v>635</v>
      </c>
      <c r="B12" s="1015">
        <v>2443982</v>
      </c>
      <c r="C12" s="1017" t="s">
        <v>617</v>
      </c>
      <c r="D12" s="1017" t="s">
        <v>618</v>
      </c>
      <c r="E12" s="1017">
        <v>5</v>
      </c>
      <c r="F12" s="1081">
        <v>1837118.79</v>
      </c>
      <c r="G12" s="1017" t="s">
        <v>636</v>
      </c>
      <c r="H12" s="1017" t="s">
        <v>620</v>
      </c>
      <c r="I12" s="1017" t="s">
        <v>621</v>
      </c>
      <c r="J12" s="438"/>
      <c r="K12" s="438"/>
      <c r="L12" s="416"/>
      <c r="M12" s="416"/>
      <c r="N12" s="34"/>
    </row>
    <row r="13" spans="1:25" ht="90.75" customHeight="1" thickBot="1" x14ac:dyDescent="0.25">
      <c r="A13" s="440" t="s">
        <v>637</v>
      </c>
      <c r="B13" s="1015">
        <v>300689</v>
      </c>
      <c r="C13" s="1017" t="s">
        <v>617</v>
      </c>
      <c r="D13" s="1017" t="s">
        <v>618</v>
      </c>
      <c r="E13" s="1017">
        <v>4</v>
      </c>
      <c r="F13" s="1081">
        <v>25965557.09</v>
      </c>
      <c r="G13" s="1017" t="s">
        <v>636</v>
      </c>
      <c r="H13" s="439" t="s">
        <v>638</v>
      </c>
      <c r="I13" s="1017" t="s">
        <v>621</v>
      </c>
      <c r="J13" s="997"/>
      <c r="K13" s="997"/>
      <c r="L13" s="418"/>
      <c r="M13" s="418"/>
      <c r="N13" s="419"/>
    </row>
    <row r="14" spans="1:25" ht="21" customHeight="1" thickBot="1" x14ac:dyDescent="0.25">
      <c r="A14" s="25" t="s">
        <v>0</v>
      </c>
      <c r="B14" s="29"/>
      <c r="C14" s="27"/>
      <c r="D14" s="26"/>
      <c r="E14" s="26"/>
      <c r="F14" s="26"/>
      <c r="G14" s="27"/>
      <c r="H14" s="27"/>
      <c r="I14" s="27"/>
      <c r="J14" s="27"/>
      <c r="K14" s="27"/>
      <c r="L14" s="27"/>
      <c r="M14" s="27"/>
      <c r="N14" s="27"/>
    </row>
    <row r="15" spans="1:25" s="48" customFormat="1" x14ac:dyDescent="0.2">
      <c r="A15" s="1" t="s">
        <v>354</v>
      </c>
      <c r="B15" s="2"/>
      <c r="C15" s="2"/>
      <c r="D15" s="2"/>
      <c r="E15" s="2"/>
      <c r="F15" s="2"/>
      <c r="G15" s="2"/>
      <c r="H15" s="2"/>
      <c r="I15" s="2"/>
      <c r="J15" s="2"/>
      <c r="K15" s="2"/>
      <c r="L15" s="2"/>
    </row>
    <row r="16" spans="1:25" x14ac:dyDescent="0.2">
      <c r="A16" s="16"/>
      <c r="B16" s="16"/>
    </row>
    <row r="17" spans="1:1" x14ac:dyDescent="0.2">
      <c r="A17" s="16"/>
    </row>
    <row r="18" spans="1:1" x14ac:dyDescent="0.2">
      <c r="A18" s="16"/>
    </row>
    <row r="19" spans="1:1" x14ac:dyDescent="0.2">
      <c r="A19" s="16"/>
    </row>
  </sheetData>
  <phoneticPr fontId="13" type="noConversion"/>
  <printOptions horizontalCentered="1"/>
  <pageMargins left="0.23622047244094491" right="0.23622047244094491" top="0.74803149606299213" bottom="0.74803149606299213" header="0.31496062992125984" footer="0.31496062992125984"/>
  <pageSetup paperSize="9" scale="54" orientation="landscape" r:id="rId1"/>
  <headerFooter alignWithMargins="0">
    <oddHeader xml:space="preserve">&amp;C&amp;"Arial,Negrita"&amp;18PROYECTO DE PRESUPUESTO 2021
</oddHeader>
    <oddFooter>&amp;L&amp;"Arial,Negrita"&amp;8PROYECTO DE PRESUPUESTO PARA EL AÑO FISCAL 2021
INFORMACIÓN PARA LA COMISIÓN DE PRESUPUESTO Y CUENTA GENERAL DE LA REPÚBLICA DEL CONGRESO DE LA REPÚBLICA</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0">
    <tabColor theme="9" tint="-0.249977111117893"/>
  </sheetPr>
  <dimension ref="A1:X3158"/>
  <sheetViews>
    <sheetView zoomScaleNormal="100" zoomScaleSheetLayoutView="100" workbookViewId="0">
      <pane xSplit="1" ySplit="5" topLeftCell="C6" activePane="bottomRight" state="frozen"/>
      <selection pane="topRight" activeCell="B1" sqref="B1"/>
      <selection pane="bottomLeft" activeCell="A6" sqref="A6"/>
      <selection pane="bottomRight" activeCell="C10" sqref="C10"/>
    </sheetView>
  </sheetViews>
  <sheetFormatPr baseColWidth="10" defaultRowHeight="12" x14ac:dyDescent="0.2"/>
  <cols>
    <col min="1" max="1" width="45.140625" style="3" customWidth="1"/>
    <col min="2" max="2" width="20.28515625" style="3" customWidth="1"/>
    <col min="3" max="3" width="20.28515625" style="59" customWidth="1"/>
    <col min="4" max="5" width="17.7109375" style="3" customWidth="1"/>
    <col min="6" max="6" width="17.7109375" style="59" customWidth="1"/>
    <col min="7" max="8" width="17.7109375" style="3" customWidth="1"/>
    <col min="9" max="9" width="20.28515625" style="59" customWidth="1"/>
    <col min="10" max="10" width="36.42578125" style="3" customWidth="1"/>
    <col min="11" max="16384" width="11.42578125" style="3"/>
  </cols>
  <sheetData>
    <row r="1" spans="1:24" s="5" customFormat="1" ht="15.75" customHeight="1" x14ac:dyDescent="0.2">
      <c r="A1" s="82" t="s">
        <v>426</v>
      </c>
      <c r="B1" s="82"/>
      <c r="C1" s="82"/>
      <c r="D1" s="82"/>
      <c r="E1" s="82"/>
      <c r="F1" s="82"/>
      <c r="G1" s="82"/>
      <c r="H1" s="82"/>
      <c r="I1" s="82"/>
      <c r="J1" s="82"/>
    </row>
    <row r="2" spans="1:24" s="5" customFormat="1" x14ac:dyDescent="0.2">
      <c r="A2" s="82" t="s">
        <v>453</v>
      </c>
      <c r="B2" s="82"/>
      <c r="C2" s="82"/>
      <c r="D2" s="82"/>
      <c r="E2" s="82"/>
      <c r="F2" s="82"/>
      <c r="G2" s="82"/>
      <c r="H2" s="82"/>
      <c r="I2" s="82"/>
      <c r="J2" s="82"/>
      <c r="K2" s="82"/>
      <c r="L2" s="82"/>
      <c r="M2" s="82"/>
      <c r="N2" s="82"/>
      <c r="O2" s="82"/>
      <c r="P2" s="82"/>
      <c r="Q2" s="82"/>
      <c r="R2" s="82"/>
      <c r="S2" s="82"/>
      <c r="T2" s="82"/>
      <c r="U2" s="82"/>
      <c r="V2" s="82"/>
      <c r="W2" s="82"/>
      <c r="X2" s="82"/>
    </row>
    <row r="3" spans="1:24" ht="5.25" customHeight="1" thickBot="1" x14ac:dyDescent="0.25">
      <c r="A3" s="9"/>
      <c r="B3" s="9"/>
      <c r="C3" s="9"/>
      <c r="D3" s="11"/>
      <c r="E3" s="11"/>
      <c r="F3" s="11"/>
      <c r="G3" s="15"/>
    </row>
    <row r="4" spans="1:24" ht="13.5" hidden="1" customHeight="1" x14ac:dyDescent="0.2">
      <c r="A4" s="36" t="s">
        <v>69</v>
      </c>
      <c r="B4" s="37"/>
      <c r="C4" s="37"/>
      <c r="D4" s="24"/>
      <c r="E4" s="24"/>
      <c r="F4" s="61"/>
      <c r="G4" s="24" t="s">
        <v>31</v>
      </c>
      <c r="H4" s="24" t="s">
        <v>70</v>
      </c>
      <c r="I4" s="60"/>
      <c r="J4" s="30"/>
    </row>
    <row r="5" spans="1:24" ht="36.75" thickBot="1" x14ac:dyDescent="0.25">
      <c r="A5" s="1122" t="s">
        <v>76</v>
      </c>
      <c r="B5" s="163" t="s">
        <v>75</v>
      </c>
      <c r="C5" s="163" t="s">
        <v>185</v>
      </c>
      <c r="D5" s="162" t="s">
        <v>186</v>
      </c>
      <c r="E5" s="162" t="s">
        <v>2</v>
      </c>
      <c r="F5" s="162" t="s">
        <v>184</v>
      </c>
      <c r="G5" s="163" t="s">
        <v>78</v>
      </c>
      <c r="H5" s="162" t="s">
        <v>150</v>
      </c>
      <c r="I5" s="162" t="s">
        <v>155</v>
      </c>
      <c r="J5" s="162" t="s">
        <v>77</v>
      </c>
    </row>
    <row r="6" spans="1:24" s="81" customFormat="1" ht="22.5" customHeight="1" thickBot="1" x14ac:dyDescent="0.25">
      <c r="A6" s="446" t="s">
        <v>1072</v>
      </c>
      <c r="B6" s="447"/>
      <c r="C6" s="448"/>
      <c r="D6" s="449"/>
      <c r="E6" s="449"/>
      <c r="F6" s="447"/>
      <c r="G6" s="448"/>
      <c r="H6" s="447"/>
      <c r="I6" s="447"/>
      <c r="J6" s="447"/>
    </row>
    <row r="7" spans="1:24" s="81" customFormat="1" ht="16.5" customHeight="1" thickBot="1" x14ac:dyDescent="0.25">
      <c r="A7" s="1090" t="s">
        <v>13681</v>
      </c>
      <c r="B7" s="1091"/>
      <c r="C7" s="1091"/>
      <c r="D7" s="1091"/>
      <c r="E7" s="1091"/>
      <c r="F7" s="1091"/>
      <c r="G7" s="1091"/>
      <c r="H7" s="1091"/>
      <c r="I7" s="1091"/>
      <c r="J7" s="1092"/>
    </row>
    <row r="8" spans="1:24" ht="36" x14ac:dyDescent="0.2">
      <c r="A8" s="1142" t="s">
        <v>639</v>
      </c>
      <c r="B8" s="1085" t="s">
        <v>640</v>
      </c>
      <c r="C8" s="1085" t="s">
        <v>641</v>
      </c>
      <c r="D8" s="1086">
        <v>224</v>
      </c>
      <c r="E8" s="1087">
        <v>79280</v>
      </c>
      <c r="F8" s="1088" t="s">
        <v>642</v>
      </c>
      <c r="G8" s="1089" t="s">
        <v>128</v>
      </c>
      <c r="H8" s="445"/>
      <c r="I8" s="445"/>
      <c r="J8" s="1143" t="s">
        <v>2628</v>
      </c>
    </row>
    <row r="9" spans="1:24" ht="36" x14ac:dyDescent="0.2">
      <c r="A9" s="1144" t="s">
        <v>643</v>
      </c>
      <c r="B9" s="1013" t="s">
        <v>640</v>
      </c>
      <c r="C9" s="1013" t="s">
        <v>644</v>
      </c>
      <c r="D9" s="1084">
        <v>139</v>
      </c>
      <c r="E9" s="1083">
        <v>86609</v>
      </c>
      <c r="F9" s="1082" t="s">
        <v>645</v>
      </c>
      <c r="G9" s="1014" t="s">
        <v>128</v>
      </c>
      <c r="H9" s="1036"/>
      <c r="I9" s="1036"/>
      <c r="J9" s="1145" t="s">
        <v>2628</v>
      </c>
    </row>
    <row r="10" spans="1:24" ht="84" x14ac:dyDescent="0.2">
      <c r="A10" s="1144" t="s">
        <v>646</v>
      </c>
      <c r="B10" s="1013" t="s">
        <v>640</v>
      </c>
      <c r="C10" s="1013" t="s">
        <v>641</v>
      </c>
      <c r="D10" s="1084">
        <v>180</v>
      </c>
      <c r="E10" s="1083">
        <v>236866.67</v>
      </c>
      <c r="F10" s="1082" t="s">
        <v>647</v>
      </c>
      <c r="G10" s="1014" t="s">
        <v>128</v>
      </c>
      <c r="H10" s="1036"/>
      <c r="I10" s="1036"/>
      <c r="J10" s="1145" t="s">
        <v>2628</v>
      </c>
    </row>
    <row r="11" spans="1:24" ht="30" customHeight="1" x14ac:dyDescent="0.2">
      <c r="A11" s="1144" t="s">
        <v>648</v>
      </c>
      <c r="B11" s="1013" t="s">
        <v>640</v>
      </c>
      <c r="C11" s="1013" t="s">
        <v>641</v>
      </c>
      <c r="D11" s="1084">
        <v>202</v>
      </c>
      <c r="E11" s="1083">
        <v>172000</v>
      </c>
      <c r="F11" s="1082"/>
      <c r="G11" s="1014"/>
      <c r="H11" s="1036"/>
      <c r="I11" s="1036"/>
      <c r="J11" s="1145" t="s">
        <v>2628</v>
      </c>
    </row>
    <row r="12" spans="1:24" ht="30" customHeight="1" x14ac:dyDescent="0.2">
      <c r="A12" s="1144" t="s">
        <v>649</v>
      </c>
      <c r="B12" s="1013" t="s">
        <v>640</v>
      </c>
      <c r="C12" s="1013" t="s">
        <v>641</v>
      </c>
      <c r="D12" s="1084">
        <v>193</v>
      </c>
      <c r="E12" s="1083">
        <v>1653400</v>
      </c>
      <c r="F12" s="1082"/>
      <c r="G12" s="1014"/>
      <c r="H12" s="1036"/>
      <c r="I12" s="1036"/>
      <c r="J12" s="1145" t="s">
        <v>2628</v>
      </c>
    </row>
    <row r="13" spans="1:24" ht="30" customHeight="1" x14ac:dyDescent="0.2">
      <c r="A13" s="1144" t="s">
        <v>650</v>
      </c>
      <c r="B13" s="1013" t="s">
        <v>640</v>
      </c>
      <c r="C13" s="1013" t="s">
        <v>641</v>
      </c>
      <c r="D13" s="1084">
        <v>69</v>
      </c>
      <c r="E13" s="1083">
        <v>192500</v>
      </c>
      <c r="F13" s="1082"/>
      <c r="G13" s="1014"/>
      <c r="H13" s="1036"/>
      <c r="I13" s="1036"/>
      <c r="J13" s="1145" t="s">
        <v>2628</v>
      </c>
    </row>
    <row r="14" spans="1:24" ht="45" customHeight="1" x14ac:dyDescent="0.2">
      <c r="A14" s="1144" t="s">
        <v>651</v>
      </c>
      <c r="B14" s="1013" t="s">
        <v>640</v>
      </c>
      <c r="C14" s="1013" t="s">
        <v>644</v>
      </c>
      <c r="D14" s="1084">
        <v>286</v>
      </c>
      <c r="E14" s="1083">
        <v>84333.33</v>
      </c>
      <c r="F14" s="1082"/>
      <c r="G14" s="1014"/>
      <c r="H14" s="1036"/>
      <c r="I14" s="1036"/>
      <c r="J14" s="1145" t="s">
        <v>2628</v>
      </c>
    </row>
    <row r="15" spans="1:24" ht="30" customHeight="1" x14ac:dyDescent="0.2">
      <c r="A15" s="1144" t="s">
        <v>652</v>
      </c>
      <c r="B15" s="1013" t="s">
        <v>640</v>
      </c>
      <c r="C15" s="1013" t="s">
        <v>641</v>
      </c>
      <c r="D15" s="1084">
        <v>314</v>
      </c>
      <c r="E15" s="1083">
        <v>370000</v>
      </c>
      <c r="F15" s="1082"/>
      <c r="G15" s="1014"/>
      <c r="H15" s="1036"/>
      <c r="I15" s="1036"/>
      <c r="J15" s="1145" t="s">
        <v>2628</v>
      </c>
    </row>
    <row r="16" spans="1:24" ht="30" customHeight="1" x14ac:dyDescent="0.2">
      <c r="A16" s="1144" t="s">
        <v>653</v>
      </c>
      <c r="B16" s="1013" t="s">
        <v>640</v>
      </c>
      <c r="C16" s="1013" t="s">
        <v>641</v>
      </c>
      <c r="D16" s="1084">
        <v>248</v>
      </c>
      <c r="E16" s="1083">
        <v>275000</v>
      </c>
      <c r="F16" s="1082" t="s">
        <v>821</v>
      </c>
      <c r="G16" s="1014" t="s">
        <v>128</v>
      </c>
      <c r="H16" s="1036"/>
      <c r="I16" s="1036"/>
      <c r="J16" s="1145" t="s">
        <v>2628</v>
      </c>
    </row>
    <row r="17" spans="1:10" ht="51" customHeight="1" x14ac:dyDescent="0.2">
      <c r="A17" s="1144" t="s">
        <v>654</v>
      </c>
      <c r="B17" s="1013" t="s">
        <v>655</v>
      </c>
      <c r="C17" s="1013" t="s">
        <v>644</v>
      </c>
      <c r="D17" s="1084">
        <v>6</v>
      </c>
      <c r="E17" s="1083">
        <v>419571</v>
      </c>
      <c r="F17" s="1082" t="s">
        <v>13884</v>
      </c>
      <c r="G17" s="1014" t="s">
        <v>128</v>
      </c>
      <c r="H17" s="1036"/>
      <c r="I17" s="1036"/>
      <c r="J17" s="1145" t="s">
        <v>2628</v>
      </c>
    </row>
    <row r="18" spans="1:10" ht="30" customHeight="1" x14ac:dyDescent="0.2">
      <c r="A18" s="1144" t="s">
        <v>656</v>
      </c>
      <c r="B18" s="1013" t="s">
        <v>640</v>
      </c>
      <c r="C18" s="1013" t="s">
        <v>641</v>
      </c>
      <c r="D18" s="1084">
        <v>47</v>
      </c>
      <c r="E18" s="1083">
        <v>88557.89</v>
      </c>
      <c r="F18" s="1082" t="s">
        <v>13885</v>
      </c>
      <c r="G18" s="1014" t="s">
        <v>128</v>
      </c>
      <c r="H18" s="1036"/>
      <c r="I18" s="1036"/>
      <c r="J18" s="1145" t="s">
        <v>2628</v>
      </c>
    </row>
    <row r="19" spans="1:10" ht="30" customHeight="1" x14ac:dyDescent="0.2">
      <c r="A19" s="1144" t="s">
        <v>657</v>
      </c>
      <c r="B19" s="1013" t="s">
        <v>640</v>
      </c>
      <c r="C19" s="1013" t="s">
        <v>641</v>
      </c>
      <c r="D19" s="1084">
        <v>282</v>
      </c>
      <c r="E19" s="1083">
        <v>149693.99</v>
      </c>
      <c r="F19" s="1082"/>
      <c r="G19" s="1014"/>
      <c r="H19" s="1036"/>
      <c r="I19" s="1036"/>
      <c r="J19" s="1145" t="s">
        <v>2628</v>
      </c>
    </row>
    <row r="20" spans="1:10" ht="30" customHeight="1" x14ac:dyDescent="0.2">
      <c r="A20" s="1144" t="s">
        <v>658</v>
      </c>
      <c r="B20" s="1013" t="s">
        <v>640</v>
      </c>
      <c r="C20" s="1013" t="s">
        <v>641</v>
      </c>
      <c r="D20" s="1084">
        <v>75</v>
      </c>
      <c r="E20" s="1083">
        <v>86105</v>
      </c>
      <c r="F20" s="1082"/>
      <c r="G20" s="1014"/>
      <c r="H20" s="1036"/>
      <c r="I20" s="1036"/>
      <c r="J20" s="1145" t="s">
        <v>2628</v>
      </c>
    </row>
    <row r="21" spans="1:10" ht="30" customHeight="1" x14ac:dyDescent="0.2">
      <c r="A21" s="1144" t="s">
        <v>659</v>
      </c>
      <c r="B21" s="1013" t="s">
        <v>640</v>
      </c>
      <c r="C21" s="1013" t="s">
        <v>641</v>
      </c>
      <c r="D21" s="1084">
        <v>209</v>
      </c>
      <c r="E21" s="1083">
        <v>288239.94</v>
      </c>
      <c r="F21" s="1082"/>
      <c r="G21" s="1014"/>
      <c r="H21" s="1036"/>
      <c r="I21" s="1036"/>
      <c r="J21" s="1145" t="s">
        <v>2628</v>
      </c>
    </row>
    <row r="22" spans="1:10" ht="30" customHeight="1" x14ac:dyDescent="0.2">
      <c r="A22" s="1144" t="s">
        <v>660</v>
      </c>
      <c r="B22" s="1013" t="s">
        <v>640</v>
      </c>
      <c r="C22" s="1013" t="s">
        <v>641</v>
      </c>
      <c r="D22" s="1084">
        <v>238</v>
      </c>
      <c r="E22" s="1083">
        <v>123011</v>
      </c>
      <c r="F22" s="1082"/>
      <c r="G22" s="1014"/>
      <c r="H22" s="1036"/>
      <c r="I22" s="1036"/>
      <c r="J22" s="1145" t="s">
        <v>2628</v>
      </c>
    </row>
    <row r="23" spans="1:10" ht="30" customHeight="1" x14ac:dyDescent="0.2">
      <c r="A23" s="1144" t="s">
        <v>661</v>
      </c>
      <c r="B23" s="1013" t="s">
        <v>640</v>
      </c>
      <c r="C23" s="1013" t="s">
        <v>641</v>
      </c>
      <c r="D23" s="1084">
        <v>299</v>
      </c>
      <c r="E23" s="1083">
        <v>70277.33</v>
      </c>
      <c r="F23" s="1082"/>
      <c r="G23" s="1014"/>
      <c r="H23" s="1036"/>
      <c r="I23" s="1036"/>
      <c r="J23" s="1145" t="s">
        <v>2628</v>
      </c>
    </row>
    <row r="24" spans="1:10" ht="30" customHeight="1" x14ac:dyDescent="0.2">
      <c r="A24" s="1144" t="s">
        <v>662</v>
      </c>
      <c r="B24" s="1013" t="s">
        <v>640</v>
      </c>
      <c r="C24" s="1013" t="s">
        <v>641</v>
      </c>
      <c r="D24" s="1084">
        <v>309</v>
      </c>
      <c r="E24" s="1083">
        <v>118944.67</v>
      </c>
      <c r="F24" s="1082"/>
      <c r="G24" s="1014" t="s">
        <v>663</v>
      </c>
      <c r="H24" s="1036"/>
      <c r="I24" s="1036"/>
      <c r="J24" s="1145" t="s">
        <v>2628</v>
      </c>
    </row>
    <row r="25" spans="1:10" ht="46.5" customHeight="1" x14ac:dyDescent="0.2">
      <c r="A25" s="1144" t="s">
        <v>664</v>
      </c>
      <c r="B25" s="1013" t="s">
        <v>617</v>
      </c>
      <c r="C25" s="1013" t="s">
        <v>665</v>
      </c>
      <c r="D25" s="1084">
        <v>5</v>
      </c>
      <c r="E25" s="1083">
        <v>2333341.81</v>
      </c>
      <c r="F25" s="1082"/>
      <c r="G25" s="1014" t="s">
        <v>663</v>
      </c>
      <c r="H25" s="1036"/>
      <c r="I25" s="1036"/>
      <c r="J25" s="1145" t="s">
        <v>2628</v>
      </c>
    </row>
    <row r="26" spans="1:10" ht="44.25" customHeight="1" x14ac:dyDescent="0.2">
      <c r="A26" s="1144" t="s">
        <v>666</v>
      </c>
      <c r="B26" s="1013" t="s">
        <v>640</v>
      </c>
      <c r="C26" s="1013" t="s">
        <v>641</v>
      </c>
      <c r="D26" s="1084">
        <v>88</v>
      </c>
      <c r="E26" s="1083">
        <v>87000</v>
      </c>
      <c r="F26" s="1082" t="s">
        <v>13886</v>
      </c>
      <c r="G26" s="1014" t="s">
        <v>128</v>
      </c>
      <c r="H26" s="1036"/>
      <c r="I26" s="1036"/>
      <c r="J26" s="1145" t="s">
        <v>2628</v>
      </c>
    </row>
    <row r="27" spans="1:10" ht="30" customHeight="1" x14ac:dyDescent="0.2">
      <c r="A27" s="1144" t="s">
        <v>667</v>
      </c>
      <c r="B27" s="1013" t="s">
        <v>640</v>
      </c>
      <c r="C27" s="1013" t="s">
        <v>641</v>
      </c>
      <c r="D27" s="1084">
        <v>313</v>
      </c>
      <c r="E27" s="1083">
        <v>173691.83</v>
      </c>
      <c r="F27" s="1082"/>
      <c r="G27" s="1014" t="s">
        <v>663</v>
      </c>
      <c r="H27" s="1036"/>
      <c r="I27" s="1036"/>
      <c r="J27" s="1145" t="s">
        <v>2628</v>
      </c>
    </row>
    <row r="28" spans="1:10" ht="47.25" customHeight="1" x14ac:dyDescent="0.2">
      <c r="A28" s="1144" t="s">
        <v>668</v>
      </c>
      <c r="B28" s="1013" t="s">
        <v>640</v>
      </c>
      <c r="C28" s="1013" t="s">
        <v>644</v>
      </c>
      <c r="D28" s="1084">
        <v>99</v>
      </c>
      <c r="E28" s="1083">
        <v>280000</v>
      </c>
      <c r="F28" s="1082" t="s">
        <v>13887</v>
      </c>
      <c r="G28" s="1014" t="s">
        <v>128</v>
      </c>
      <c r="H28" s="1036"/>
      <c r="I28" s="1036"/>
      <c r="J28" s="1145" t="s">
        <v>2628</v>
      </c>
    </row>
    <row r="29" spans="1:10" ht="24" x14ac:dyDescent="0.2">
      <c r="A29" s="1144" t="s">
        <v>669</v>
      </c>
      <c r="B29" s="1013" t="s">
        <v>640</v>
      </c>
      <c r="C29" s="1013" t="s">
        <v>644</v>
      </c>
      <c r="D29" s="1084">
        <v>227</v>
      </c>
      <c r="E29" s="1083">
        <v>81000</v>
      </c>
      <c r="F29" s="1082"/>
      <c r="G29" s="1014"/>
      <c r="H29" s="1036"/>
      <c r="I29" s="1036"/>
      <c r="J29" s="1145" t="s">
        <v>2628</v>
      </c>
    </row>
    <row r="30" spans="1:10" ht="24" x14ac:dyDescent="0.2">
      <c r="A30" s="1144" t="s">
        <v>670</v>
      </c>
      <c r="B30" s="1013" t="s">
        <v>640</v>
      </c>
      <c r="C30" s="1013" t="s">
        <v>641</v>
      </c>
      <c r="D30" s="1084">
        <v>240</v>
      </c>
      <c r="E30" s="1083">
        <v>343781</v>
      </c>
      <c r="F30" s="1082"/>
      <c r="G30" s="1014"/>
      <c r="H30" s="1036"/>
      <c r="I30" s="1036"/>
      <c r="J30" s="1145" t="s">
        <v>2628</v>
      </c>
    </row>
    <row r="31" spans="1:10" ht="24" x14ac:dyDescent="0.2">
      <c r="A31" s="1144" t="s">
        <v>671</v>
      </c>
      <c r="B31" s="1013" t="s">
        <v>640</v>
      </c>
      <c r="C31" s="1013" t="s">
        <v>641</v>
      </c>
      <c r="D31" s="1084">
        <v>294</v>
      </c>
      <c r="E31" s="1083">
        <v>47666.67</v>
      </c>
      <c r="F31" s="1082"/>
      <c r="G31" s="1014" t="s">
        <v>663</v>
      </c>
      <c r="H31" s="1036"/>
      <c r="I31" s="1036"/>
      <c r="J31" s="1145" t="s">
        <v>2628</v>
      </c>
    </row>
    <row r="32" spans="1:10" ht="20.100000000000001" customHeight="1" x14ac:dyDescent="0.2">
      <c r="A32" s="1144" t="s">
        <v>672</v>
      </c>
      <c r="B32" s="1013" t="s">
        <v>640</v>
      </c>
      <c r="C32" s="1013" t="s">
        <v>641</v>
      </c>
      <c r="D32" s="1084">
        <v>251</v>
      </c>
      <c r="E32" s="1083">
        <v>41790</v>
      </c>
      <c r="F32" s="1082"/>
      <c r="G32" s="1014" t="s">
        <v>663</v>
      </c>
      <c r="H32" s="1036"/>
      <c r="I32" s="1036"/>
      <c r="J32" s="1145" t="s">
        <v>2628</v>
      </c>
    </row>
    <row r="33" spans="1:10" ht="20.100000000000001" customHeight="1" x14ac:dyDescent="0.2">
      <c r="A33" s="1144" t="s">
        <v>673</v>
      </c>
      <c r="B33" s="1013" t="s">
        <v>640</v>
      </c>
      <c r="C33" s="1013" t="s">
        <v>644</v>
      </c>
      <c r="D33" s="1084">
        <v>257</v>
      </c>
      <c r="E33" s="1083">
        <v>169088.94</v>
      </c>
      <c r="F33" s="1082"/>
      <c r="G33" s="1014" t="s">
        <v>663</v>
      </c>
      <c r="H33" s="1036"/>
      <c r="I33" s="1036"/>
      <c r="J33" s="1145" t="s">
        <v>2628</v>
      </c>
    </row>
    <row r="34" spans="1:10" ht="30" customHeight="1" x14ac:dyDescent="0.2">
      <c r="A34" s="1144" t="s">
        <v>674</v>
      </c>
      <c r="B34" s="1013" t="s">
        <v>675</v>
      </c>
      <c r="C34" s="1013" t="s">
        <v>641</v>
      </c>
      <c r="D34" s="1084">
        <v>4</v>
      </c>
      <c r="E34" s="1083">
        <v>36962</v>
      </c>
      <c r="F34" s="1082"/>
      <c r="G34" s="1014" t="s">
        <v>663</v>
      </c>
      <c r="H34" s="1036"/>
      <c r="I34" s="1036"/>
      <c r="J34" s="1145" t="s">
        <v>2628</v>
      </c>
    </row>
    <row r="35" spans="1:10" ht="30" customHeight="1" x14ac:dyDescent="0.2">
      <c r="A35" s="1144" t="s">
        <v>676</v>
      </c>
      <c r="B35" s="1013" t="s">
        <v>640</v>
      </c>
      <c r="C35" s="1013" t="s">
        <v>641</v>
      </c>
      <c r="D35" s="1084">
        <v>266</v>
      </c>
      <c r="E35" s="1083">
        <v>231096.66</v>
      </c>
      <c r="F35" s="1082"/>
      <c r="G35" s="1014" t="s">
        <v>663</v>
      </c>
      <c r="H35" s="1036"/>
      <c r="I35" s="1036"/>
      <c r="J35" s="1145" t="s">
        <v>2628</v>
      </c>
    </row>
    <row r="36" spans="1:10" ht="30" customHeight="1" x14ac:dyDescent="0.2">
      <c r="A36" s="1144" t="s">
        <v>677</v>
      </c>
      <c r="B36" s="1013" t="s">
        <v>678</v>
      </c>
      <c r="C36" s="1013" t="s">
        <v>641</v>
      </c>
      <c r="D36" s="1084">
        <v>71</v>
      </c>
      <c r="E36" s="1083">
        <v>286445</v>
      </c>
      <c r="F36" s="1082"/>
      <c r="G36" s="1014" t="s">
        <v>663</v>
      </c>
      <c r="H36" s="1036"/>
      <c r="I36" s="1036"/>
      <c r="J36" s="1145" t="s">
        <v>2628</v>
      </c>
    </row>
    <row r="37" spans="1:10" ht="30" customHeight="1" x14ac:dyDescent="0.2">
      <c r="A37" s="1144" t="s">
        <v>679</v>
      </c>
      <c r="B37" s="1013" t="s">
        <v>678</v>
      </c>
      <c r="C37" s="1013" t="s">
        <v>641</v>
      </c>
      <c r="D37" s="1084">
        <v>72</v>
      </c>
      <c r="E37" s="1083">
        <v>168220</v>
      </c>
      <c r="F37" s="1082"/>
      <c r="G37" s="1014" t="s">
        <v>663</v>
      </c>
      <c r="H37" s="1036"/>
      <c r="I37" s="1036"/>
      <c r="J37" s="1145" t="s">
        <v>2628</v>
      </c>
    </row>
    <row r="38" spans="1:10" ht="30" customHeight="1" x14ac:dyDescent="0.2">
      <c r="A38" s="1144" t="s">
        <v>680</v>
      </c>
      <c r="B38" s="1013" t="s">
        <v>640</v>
      </c>
      <c r="C38" s="1013" t="s">
        <v>641</v>
      </c>
      <c r="D38" s="1084">
        <v>311</v>
      </c>
      <c r="E38" s="1083">
        <v>58082.25</v>
      </c>
      <c r="F38" s="1082"/>
      <c r="G38" s="1014" t="s">
        <v>663</v>
      </c>
      <c r="H38" s="1036"/>
      <c r="I38" s="1036"/>
      <c r="J38" s="1145" t="s">
        <v>2628</v>
      </c>
    </row>
    <row r="39" spans="1:10" ht="30" customHeight="1" x14ac:dyDescent="0.2">
      <c r="A39" s="1144" t="s">
        <v>681</v>
      </c>
      <c r="B39" s="1013" t="s">
        <v>678</v>
      </c>
      <c r="C39" s="1013" t="s">
        <v>641</v>
      </c>
      <c r="D39" s="1084">
        <v>73</v>
      </c>
      <c r="E39" s="1083">
        <v>416392</v>
      </c>
      <c r="F39" s="1082"/>
      <c r="G39" s="1014" t="s">
        <v>663</v>
      </c>
      <c r="H39" s="1036"/>
      <c r="I39" s="1036"/>
      <c r="J39" s="1145" t="s">
        <v>2628</v>
      </c>
    </row>
    <row r="40" spans="1:10" ht="30" customHeight="1" x14ac:dyDescent="0.2">
      <c r="A40" s="1144" t="s">
        <v>682</v>
      </c>
      <c r="B40" s="1013" t="s">
        <v>640</v>
      </c>
      <c r="C40" s="1013" t="s">
        <v>641</v>
      </c>
      <c r="D40" s="1084">
        <v>291</v>
      </c>
      <c r="E40" s="1083">
        <v>102131.75</v>
      </c>
      <c r="F40" s="1082"/>
      <c r="G40" s="1014" t="s">
        <v>663</v>
      </c>
      <c r="H40" s="1036"/>
      <c r="I40" s="1036"/>
      <c r="J40" s="1145" t="s">
        <v>2628</v>
      </c>
    </row>
    <row r="41" spans="1:10" ht="30" customHeight="1" x14ac:dyDescent="0.2">
      <c r="A41" s="1144" t="s">
        <v>683</v>
      </c>
      <c r="B41" s="1013" t="s">
        <v>640</v>
      </c>
      <c r="C41" s="1013" t="s">
        <v>641</v>
      </c>
      <c r="D41" s="1084">
        <v>307</v>
      </c>
      <c r="E41" s="1083">
        <v>145166.67000000001</v>
      </c>
      <c r="F41" s="1082"/>
      <c r="G41" s="1014" t="s">
        <v>663</v>
      </c>
      <c r="H41" s="1036"/>
      <c r="I41" s="1036"/>
      <c r="J41" s="1145" t="s">
        <v>2628</v>
      </c>
    </row>
    <row r="42" spans="1:10" ht="30" customHeight="1" x14ac:dyDescent="0.2">
      <c r="A42" s="1144" t="s">
        <v>684</v>
      </c>
      <c r="B42" s="1013" t="s">
        <v>640</v>
      </c>
      <c r="C42" s="1013" t="s">
        <v>641</v>
      </c>
      <c r="D42" s="1084">
        <v>283</v>
      </c>
      <c r="E42" s="1083">
        <v>90276.67</v>
      </c>
      <c r="F42" s="1082"/>
      <c r="G42" s="1014" t="s">
        <v>663</v>
      </c>
      <c r="H42" s="1036"/>
      <c r="I42" s="1036"/>
      <c r="J42" s="1145" t="s">
        <v>2628</v>
      </c>
    </row>
    <row r="43" spans="1:10" ht="30" customHeight="1" x14ac:dyDescent="0.2">
      <c r="A43" s="1144" t="s">
        <v>685</v>
      </c>
      <c r="B43" s="1013" t="s">
        <v>640</v>
      </c>
      <c r="C43" s="1013" t="s">
        <v>641</v>
      </c>
      <c r="D43" s="1084">
        <v>255</v>
      </c>
      <c r="E43" s="1083">
        <v>58000</v>
      </c>
      <c r="F43" s="1082"/>
      <c r="G43" s="1014" t="s">
        <v>663</v>
      </c>
      <c r="H43" s="1036"/>
      <c r="I43" s="1036"/>
      <c r="J43" s="1145" t="s">
        <v>2628</v>
      </c>
    </row>
    <row r="44" spans="1:10" ht="30" customHeight="1" x14ac:dyDescent="0.2">
      <c r="A44" s="1144" t="s">
        <v>686</v>
      </c>
      <c r="B44" s="1013" t="s">
        <v>640</v>
      </c>
      <c r="C44" s="1013" t="s">
        <v>641</v>
      </c>
      <c r="D44" s="1084">
        <v>253</v>
      </c>
      <c r="E44" s="1083">
        <v>63800</v>
      </c>
      <c r="F44" s="1082"/>
      <c r="G44" s="1014" t="s">
        <v>663</v>
      </c>
      <c r="H44" s="1036"/>
      <c r="I44" s="1036"/>
      <c r="J44" s="1145" t="s">
        <v>2628</v>
      </c>
    </row>
    <row r="45" spans="1:10" ht="30" customHeight="1" x14ac:dyDescent="0.2">
      <c r="A45" s="1144" t="s">
        <v>687</v>
      </c>
      <c r="B45" s="1013" t="s">
        <v>640</v>
      </c>
      <c r="C45" s="1013" t="s">
        <v>641</v>
      </c>
      <c r="D45" s="1084">
        <v>292</v>
      </c>
      <c r="E45" s="1083">
        <v>103000</v>
      </c>
      <c r="F45" s="1082"/>
      <c r="G45" s="1014" t="s">
        <v>663</v>
      </c>
      <c r="H45" s="1036"/>
      <c r="I45" s="1036"/>
      <c r="J45" s="1145" t="s">
        <v>2628</v>
      </c>
    </row>
    <row r="46" spans="1:10" ht="30" customHeight="1" x14ac:dyDescent="0.2">
      <c r="A46" s="1144" t="s">
        <v>688</v>
      </c>
      <c r="B46" s="1013" t="s">
        <v>640</v>
      </c>
      <c r="C46" s="1013" t="s">
        <v>641</v>
      </c>
      <c r="D46" s="1084">
        <v>302</v>
      </c>
      <c r="E46" s="1083">
        <v>195081.13</v>
      </c>
      <c r="F46" s="1082"/>
      <c r="G46" s="1014" t="s">
        <v>663</v>
      </c>
      <c r="H46" s="1036"/>
      <c r="I46" s="1036"/>
      <c r="J46" s="1145" t="s">
        <v>2628</v>
      </c>
    </row>
    <row r="47" spans="1:10" ht="30" customHeight="1" x14ac:dyDescent="0.2">
      <c r="A47" s="1144" t="s">
        <v>689</v>
      </c>
      <c r="B47" s="1013" t="s">
        <v>640</v>
      </c>
      <c r="C47" s="1013" t="s">
        <v>641</v>
      </c>
      <c r="D47" s="1084">
        <v>250</v>
      </c>
      <c r="E47" s="1083">
        <v>56113.33</v>
      </c>
      <c r="F47" s="1082"/>
      <c r="G47" s="1014" t="s">
        <v>663</v>
      </c>
      <c r="H47" s="1036"/>
      <c r="I47" s="1036"/>
      <c r="J47" s="1145" t="s">
        <v>2628</v>
      </c>
    </row>
    <row r="48" spans="1:10" ht="30" customHeight="1" x14ac:dyDescent="0.2">
      <c r="A48" s="1144" t="s">
        <v>690</v>
      </c>
      <c r="B48" s="1013" t="s">
        <v>640</v>
      </c>
      <c r="C48" s="1013" t="s">
        <v>641</v>
      </c>
      <c r="D48" s="1084">
        <v>289</v>
      </c>
      <c r="E48" s="1083">
        <v>92551.64</v>
      </c>
      <c r="F48" s="1082"/>
      <c r="G48" s="1014" t="s">
        <v>663</v>
      </c>
      <c r="H48" s="1036"/>
      <c r="I48" s="1036"/>
      <c r="J48" s="1145" t="s">
        <v>2628</v>
      </c>
    </row>
    <row r="49" spans="1:10" ht="30" customHeight="1" x14ac:dyDescent="0.2">
      <c r="A49" s="1144" t="s">
        <v>691</v>
      </c>
      <c r="B49" s="1013" t="s">
        <v>640</v>
      </c>
      <c r="C49" s="1013" t="s">
        <v>641</v>
      </c>
      <c r="D49" s="1084">
        <v>287</v>
      </c>
      <c r="E49" s="1083">
        <v>75476.3</v>
      </c>
      <c r="F49" s="1082"/>
      <c r="G49" s="1014" t="s">
        <v>663</v>
      </c>
      <c r="H49" s="1036"/>
      <c r="I49" s="1036"/>
      <c r="J49" s="1145" t="s">
        <v>2628</v>
      </c>
    </row>
    <row r="50" spans="1:10" ht="47.25" customHeight="1" x14ac:dyDescent="0.2">
      <c r="A50" s="1144" t="s">
        <v>692</v>
      </c>
      <c r="B50" s="1013" t="s">
        <v>640</v>
      </c>
      <c r="C50" s="1013" t="s">
        <v>641</v>
      </c>
      <c r="D50" s="1084">
        <v>308</v>
      </c>
      <c r="E50" s="1083">
        <v>139306.5</v>
      </c>
      <c r="F50" s="1082"/>
      <c r="G50" s="1014" t="s">
        <v>663</v>
      </c>
      <c r="H50" s="1036"/>
      <c r="I50" s="1036"/>
      <c r="J50" s="1145" t="s">
        <v>2628</v>
      </c>
    </row>
    <row r="51" spans="1:10" ht="30" customHeight="1" x14ac:dyDescent="0.2">
      <c r="A51" s="1144" t="s">
        <v>693</v>
      </c>
      <c r="B51" s="1013" t="s">
        <v>640</v>
      </c>
      <c r="C51" s="1013" t="s">
        <v>641</v>
      </c>
      <c r="D51" s="1084">
        <v>301</v>
      </c>
      <c r="E51" s="1083">
        <v>82984.899999999994</v>
      </c>
      <c r="F51" s="1082"/>
      <c r="G51" s="1014" t="s">
        <v>663</v>
      </c>
      <c r="H51" s="1036"/>
      <c r="I51" s="1036"/>
      <c r="J51" s="1145" t="s">
        <v>2628</v>
      </c>
    </row>
    <row r="52" spans="1:10" ht="30" customHeight="1" x14ac:dyDescent="0.2">
      <c r="A52" s="1144" t="s">
        <v>694</v>
      </c>
      <c r="B52" s="1013" t="s">
        <v>640</v>
      </c>
      <c r="C52" s="1013" t="s">
        <v>641</v>
      </c>
      <c r="D52" s="1084">
        <v>187</v>
      </c>
      <c r="E52" s="1083">
        <v>40950</v>
      </c>
      <c r="F52" s="1082" t="s">
        <v>621</v>
      </c>
      <c r="G52" s="1014" t="s">
        <v>663</v>
      </c>
      <c r="H52" s="1036"/>
      <c r="I52" s="1036"/>
      <c r="J52" s="1145" t="s">
        <v>2628</v>
      </c>
    </row>
    <row r="53" spans="1:10" ht="30" customHeight="1" x14ac:dyDescent="0.2">
      <c r="A53" s="1144" t="s">
        <v>695</v>
      </c>
      <c r="B53" s="1013" t="s">
        <v>678</v>
      </c>
      <c r="C53" s="1013" t="s">
        <v>641</v>
      </c>
      <c r="D53" s="1084">
        <v>67</v>
      </c>
      <c r="E53" s="1083">
        <v>255675</v>
      </c>
      <c r="F53" s="1082"/>
      <c r="G53" s="1014" t="s">
        <v>663</v>
      </c>
      <c r="H53" s="1036"/>
      <c r="I53" s="1036"/>
      <c r="J53" s="1145" t="s">
        <v>2628</v>
      </c>
    </row>
    <row r="54" spans="1:10" ht="30" customHeight="1" x14ac:dyDescent="0.2">
      <c r="A54" s="1144" t="s">
        <v>681</v>
      </c>
      <c r="B54" s="1013" t="s">
        <v>678</v>
      </c>
      <c r="C54" s="1013" t="s">
        <v>641</v>
      </c>
      <c r="D54" s="1084">
        <v>64</v>
      </c>
      <c r="E54" s="1083">
        <v>547500</v>
      </c>
      <c r="F54" s="1082"/>
      <c r="G54" s="1014" t="s">
        <v>663</v>
      </c>
      <c r="H54" s="1036"/>
      <c r="I54" s="1036"/>
      <c r="J54" s="1145" t="s">
        <v>2628</v>
      </c>
    </row>
    <row r="55" spans="1:10" ht="30" customHeight="1" x14ac:dyDescent="0.2">
      <c r="A55" s="1144" t="s">
        <v>696</v>
      </c>
      <c r="B55" s="1013" t="s">
        <v>678</v>
      </c>
      <c r="C55" s="1013" t="s">
        <v>641</v>
      </c>
      <c r="D55" s="1084">
        <v>65</v>
      </c>
      <c r="E55" s="1083">
        <v>100550</v>
      </c>
      <c r="F55" s="1082"/>
      <c r="G55" s="1014" t="s">
        <v>663</v>
      </c>
      <c r="H55" s="1036"/>
      <c r="I55" s="1036"/>
      <c r="J55" s="1145" t="s">
        <v>2628</v>
      </c>
    </row>
    <row r="56" spans="1:10" ht="30" customHeight="1" x14ac:dyDescent="0.2">
      <c r="A56" s="1144" t="s">
        <v>697</v>
      </c>
      <c r="B56" s="1013" t="s">
        <v>640</v>
      </c>
      <c r="C56" s="1013" t="s">
        <v>641</v>
      </c>
      <c r="D56" s="1084">
        <v>305</v>
      </c>
      <c r="E56" s="1083">
        <v>55032.6</v>
      </c>
      <c r="F56" s="1082"/>
      <c r="G56" s="1014" t="s">
        <v>663</v>
      </c>
      <c r="H56" s="1036"/>
      <c r="I56" s="1036"/>
      <c r="J56" s="1145" t="s">
        <v>2628</v>
      </c>
    </row>
    <row r="57" spans="1:10" ht="30" customHeight="1" x14ac:dyDescent="0.2">
      <c r="A57" s="1144" t="s">
        <v>698</v>
      </c>
      <c r="B57" s="1013" t="s">
        <v>640</v>
      </c>
      <c r="C57" s="1013" t="s">
        <v>641</v>
      </c>
      <c r="D57" s="1084">
        <v>303</v>
      </c>
      <c r="E57" s="1083">
        <v>44000</v>
      </c>
      <c r="F57" s="1082"/>
      <c r="G57" s="1014" t="s">
        <v>663</v>
      </c>
      <c r="H57" s="1036"/>
      <c r="I57" s="1036"/>
      <c r="J57" s="1145" t="s">
        <v>2628</v>
      </c>
    </row>
    <row r="58" spans="1:10" ht="30" customHeight="1" x14ac:dyDescent="0.2">
      <c r="A58" s="1144" t="s">
        <v>699</v>
      </c>
      <c r="B58" s="1013" t="s">
        <v>678</v>
      </c>
      <c r="C58" s="1013" t="s">
        <v>641</v>
      </c>
      <c r="D58" s="1084">
        <v>59</v>
      </c>
      <c r="E58" s="1083">
        <v>62500</v>
      </c>
      <c r="F58" s="1082"/>
      <c r="G58" s="1014" t="s">
        <v>663</v>
      </c>
      <c r="H58" s="1036"/>
      <c r="I58" s="1036"/>
      <c r="J58" s="1145" t="s">
        <v>2628</v>
      </c>
    </row>
    <row r="59" spans="1:10" ht="30" customHeight="1" x14ac:dyDescent="0.2">
      <c r="A59" s="1144" t="s">
        <v>700</v>
      </c>
      <c r="B59" s="1013" t="s">
        <v>640</v>
      </c>
      <c r="C59" s="1013" t="s">
        <v>641</v>
      </c>
      <c r="D59" s="1084">
        <v>300</v>
      </c>
      <c r="E59" s="1083">
        <v>59570</v>
      </c>
      <c r="F59" s="1082"/>
      <c r="G59" s="1014" t="s">
        <v>663</v>
      </c>
      <c r="H59" s="1036"/>
      <c r="I59" s="1036"/>
      <c r="J59" s="1145" t="s">
        <v>2628</v>
      </c>
    </row>
    <row r="60" spans="1:10" ht="30" customHeight="1" x14ac:dyDescent="0.2">
      <c r="A60" s="1144" t="s">
        <v>701</v>
      </c>
      <c r="B60" s="1013" t="s">
        <v>640</v>
      </c>
      <c r="C60" s="1013" t="s">
        <v>641</v>
      </c>
      <c r="D60" s="1084">
        <v>290</v>
      </c>
      <c r="E60" s="1083">
        <v>150654.49</v>
      </c>
      <c r="F60" s="1082"/>
      <c r="G60" s="1014" t="s">
        <v>663</v>
      </c>
      <c r="H60" s="1036"/>
      <c r="I60" s="1036"/>
      <c r="J60" s="1145" t="s">
        <v>2628</v>
      </c>
    </row>
    <row r="61" spans="1:10" ht="30" customHeight="1" x14ac:dyDescent="0.2">
      <c r="A61" s="1144" t="s">
        <v>674</v>
      </c>
      <c r="B61" s="1013" t="s">
        <v>678</v>
      </c>
      <c r="C61" s="1013" t="s">
        <v>641</v>
      </c>
      <c r="D61" s="1084">
        <v>69</v>
      </c>
      <c r="E61" s="1083">
        <v>67200</v>
      </c>
      <c r="F61" s="1082"/>
      <c r="G61" s="1014" t="s">
        <v>663</v>
      </c>
      <c r="H61" s="1036"/>
      <c r="I61" s="1036"/>
      <c r="J61" s="1145" t="s">
        <v>2628</v>
      </c>
    </row>
    <row r="62" spans="1:10" ht="48" x14ac:dyDescent="0.2">
      <c r="A62" s="1144" t="s">
        <v>702</v>
      </c>
      <c r="B62" s="1013" t="s">
        <v>640</v>
      </c>
      <c r="C62" s="1013" t="s">
        <v>641</v>
      </c>
      <c r="D62" s="1084">
        <v>288</v>
      </c>
      <c r="E62" s="1083">
        <v>102000</v>
      </c>
      <c r="F62" s="1082"/>
      <c r="G62" s="1014" t="s">
        <v>663</v>
      </c>
      <c r="H62" s="1036"/>
      <c r="I62" s="1036"/>
      <c r="J62" s="1145" t="s">
        <v>2628</v>
      </c>
    </row>
    <row r="63" spans="1:10" ht="24" x14ac:dyDescent="0.2">
      <c r="A63" s="1144" t="s">
        <v>703</v>
      </c>
      <c r="B63" s="1013" t="s">
        <v>678</v>
      </c>
      <c r="C63" s="1013" t="s">
        <v>641</v>
      </c>
      <c r="D63" s="1084">
        <v>66</v>
      </c>
      <c r="E63" s="1083">
        <v>118575</v>
      </c>
      <c r="F63" s="1082"/>
      <c r="G63" s="1014" t="s">
        <v>663</v>
      </c>
      <c r="H63" s="1036"/>
      <c r="I63" s="1036"/>
      <c r="J63" s="1145" t="s">
        <v>2628</v>
      </c>
    </row>
    <row r="64" spans="1:10" ht="24" x14ac:dyDescent="0.2">
      <c r="A64" s="1144" t="s">
        <v>704</v>
      </c>
      <c r="B64" s="1013" t="s">
        <v>640</v>
      </c>
      <c r="C64" s="1013" t="s">
        <v>641</v>
      </c>
      <c r="D64" s="1084">
        <v>297</v>
      </c>
      <c r="E64" s="1083">
        <v>93250</v>
      </c>
      <c r="F64" s="1082" t="s">
        <v>621</v>
      </c>
      <c r="G64" s="1014" t="s">
        <v>663</v>
      </c>
      <c r="H64" s="1036"/>
      <c r="I64" s="1036"/>
      <c r="J64" s="1145" t="s">
        <v>2628</v>
      </c>
    </row>
    <row r="65" spans="1:10" ht="24" x14ac:dyDescent="0.2">
      <c r="A65" s="1144" t="s">
        <v>705</v>
      </c>
      <c r="B65" s="1013" t="s">
        <v>640</v>
      </c>
      <c r="C65" s="1013" t="s">
        <v>641</v>
      </c>
      <c r="D65" s="1084">
        <v>237</v>
      </c>
      <c r="E65" s="1083">
        <v>335120</v>
      </c>
      <c r="F65" s="1082"/>
      <c r="G65" s="1014" t="s">
        <v>663</v>
      </c>
      <c r="H65" s="1036"/>
      <c r="I65" s="1036"/>
      <c r="J65" s="1145" t="s">
        <v>2628</v>
      </c>
    </row>
    <row r="66" spans="1:10" x14ac:dyDescent="0.2">
      <c r="A66" s="1144" t="s">
        <v>706</v>
      </c>
      <c r="B66" s="1013" t="s">
        <v>678</v>
      </c>
      <c r="C66" s="1013" t="s">
        <v>641</v>
      </c>
      <c r="D66" s="1084">
        <v>68</v>
      </c>
      <c r="E66" s="1083">
        <v>74502.899999999994</v>
      </c>
      <c r="F66" s="1082"/>
      <c r="G66" s="1014" t="s">
        <v>663</v>
      </c>
      <c r="H66" s="1036"/>
      <c r="I66" s="1036"/>
      <c r="J66" s="1145" t="s">
        <v>2628</v>
      </c>
    </row>
    <row r="67" spans="1:10" ht="24" x14ac:dyDescent="0.2">
      <c r="A67" s="1144" t="s">
        <v>707</v>
      </c>
      <c r="B67" s="1013" t="s">
        <v>640</v>
      </c>
      <c r="C67" s="1013" t="s">
        <v>641</v>
      </c>
      <c r="D67" s="1084">
        <v>285</v>
      </c>
      <c r="E67" s="1083">
        <v>74723</v>
      </c>
      <c r="F67" s="1082"/>
      <c r="G67" s="1014" t="s">
        <v>663</v>
      </c>
      <c r="H67" s="1036"/>
      <c r="I67" s="1036"/>
      <c r="J67" s="1145" t="s">
        <v>2628</v>
      </c>
    </row>
    <row r="68" spans="1:10" ht="24" x14ac:dyDescent="0.2">
      <c r="A68" s="1144" t="s">
        <v>708</v>
      </c>
      <c r="B68" s="1013" t="s">
        <v>640</v>
      </c>
      <c r="C68" s="1013" t="s">
        <v>641</v>
      </c>
      <c r="D68" s="1084">
        <v>130</v>
      </c>
      <c r="E68" s="1083">
        <v>43960</v>
      </c>
      <c r="F68" s="1082"/>
      <c r="G68" s="1014" t="s">
        <v>663</v>
      </c>
      <c r="H68" s="1036"/>
      <c r="I68" s="1036"/>
      <c r="J68" s="1145" t="s">
        <v>2628</v>
      </c>
    </row>
    <row r="69" spans="1:10" ht="36" x14ac:dyDescent="0.2">
      <c r="A69" s="1144" t="s">
        <v>709</v>
      </c>
      <c r="B69" s="1013" t="s">
        <v>640</v>
      </c>
      <c r="C69" s="1013" t="s">
        <v>641</v>
      </c>
      <c r="D69" s="1084">
        <v>260</v>
      </c>
      <c r="E69" s="1083">
        <v>47931.67</v>
      </c>
      <c r="F69" s="1082"/>
      <c r="G69" s="1014" t="s">
        <v>663</v>
      </c>
      <c r="H69" s="1036"/>
      <c r="I69" s="1036"/>
      <c r="J69" s="1145" t="s">
        <v>2628</v>
      </c>
    </row>
    <row r="70" spans="1:10" ht="24" x14ac:dyDescent="0.2">
      <c r="A70" s="1144" t="s">
        <v>710</v>
      </c>
      <c r="B70" s="1013" t="s">
        <v>640</v>
      </c>
      <c r="C70" s="1013" t="s">
        <v>641</v>
      </c>
      <c r="D70" s="1084">
        <v>263</v>
      </c>
      <c r="E70" s="1083">
        <v>98056</v>
      </c>
      <c r="F70" s="1082"/>
      <c r="G70" s="1014" t="s">
        <v>663</v>
      </c>
      <c r="H70" s="1036"/>
      <c r="I70" s="1036"/>
      <c r="J70" s="1145" t="s">
        <v>2628</v>
      </c>
    </row>
    <row r="71" spans="1:10" ht="24" x14ac:dyDescent="0.2">
      <c r="A71" s="1144" t="s">
        <v>711</v>
      </c>
      <c r="B71" s="1013" t="s">
        <v>640</v>
      </c>
      <c r="C71" s="1013" t="s">
        <v>641</v>
      </c>
      <c r="D71" s="1084">
        <v>277</v>
      </c>
      <c r="E71" s="1083">
        <v>122000</v>
      </c>
      <c r="F71" s="1082"/>
      <c r="G71" s="1014" t="s">
        <v>663</v>
      </c>
      <c r="H71" s="1036"/>
      <c r="I71" s="1036"/>
      <c r="J71" s="1145" t="s">
        <v>2628</v>
      </c>
    </row>
    <row r="72" spans="1:10" ht="24" x14ac:dyDescent="0.2">
      <c r="A72" s="1144" t="s">
        <v>712</v>
      </c>
      <c r="B72" s="1013" t="s">
        <v>640</v>
      </c>
      <c r="C72" s="1013" t="s">
        <v>641</v>
      </c>
      <c r="D72" s="1084">
        <v>268</v>
      </c>
      <c r="E72" s="1083">
        <v>57311.85</v>
      </c>
      <c r="F72" s="1082"/>
      <c r="G72" s="1014" t="s">
        <v>663</v>
      </c>
      <c r="H72" s="1036"/>
      <c r="I72" s="1036"/>
      <c r="J72" s="1145" t="s">
        <v>2628</v>
      </c>
    </row>
    <row r="73" spans="1:10" ht="24" x14ac:dyDescent="0.2">
      <c r="A73" s="1144" t="s">
        <v>713</v>
      </c>
      <c r="B73" s="1013" t="s">
        <v>640</v>
      </c>
      <c r="C73" s="1013" t="s">
        <v>641</v>
      </c>
      <c r="D73" s="1084">
        <v>264</v>
      </c>
      <c r="E73" s="1083">
        <v>98700</v>
      </c>
      <c r="F73" s="1082"/>
      <c r="G73" s="1014" t="s">
        <v>663</v>
      </c>
      <c r="H73" s="1036"/>
      <c r="I73" s="1036"/>
      <c r="J73" s="1145" t="s">
        <v>2628</v>
      </c>
    </row>
    <row r="74" spans="1:10" ht="108" x14ac:dyDescent="0.2">
      <c r="A74" s="1144" t="s">
        <v>714</v>
      </c>
      <c r="B74" s="1013" t="s">
        <v>640</v>
      </c>
      <c r="C74" s="1013" t="s">
        <v>641</v>
      </c>
      <c r="D74" s="1084">
        <v>174</v>
      </c>
      <c r="E74" s="1083">
        <v>223740</v>
      </c>
      <c r="F74" s="1082" t="s">
        <v>13888</v>
      </c>
      <c r="G74" s="1014" t="s">
        <v>128</v>
      </c>
      <c r="H74" s="1036"/>
      <c r="I74" s="1036"/>
      <c r="J74" s="1145" t="s">
        <v>2628</v>
      </c>
    </row>
    <row r="75" spans="1:10" ht="60" x14ac:dyDescent="0.2">
      <c r="A75" s="1144" t="s">
        <v>715</v>
      </c>
      <c r="B75" s="1013" t="s">
        <v>640</v>
      </c>
      <c r="C75" s="1013" t="s">
        <v>641</v>
      </c>
      <c r="D75" s="1084">
        <v>230</v>
      </c>
      <c r="E75" s="1083">
        <v>44200</v>
      </c>
      <c r="F75" s="1082"/>
      <c r="G75" s="1014" t="s">
        <v>663</v>
      </c>
      <c r="H75" s="1036"/>
      <c r="I75" s="1036"/>
      <c r="J75" s="1145" t="s">
        <v>2628</v>
      </c>
    </row>
    <row r="76" spans="1:10" ht="24" x14ac:dyDescent="0.2">
      <c r="A76" s="1144" t="s">
        <v>716</v>
      </c>
      <c r="B76" s="1013" t="s">
        <v>640</v>
      </c>
      <c r="C76" s="1013" t="s">
        <v>641</v>
      </c>
      <c r="D76" s="1084">
        <v>265</v>
      </c>
      <c r="E76" s="1083">
        <v>98700</v>
      </c>
      <c r="F76" s="1082"/>
      <c r="G76" s="1014" t="s">
        <v>663</v>
      </c>
      <c r="H76" s="1036"/>
      <c r="I76" s="1036"/>
      <c r="J76" s="1145" t="s">
        <v>2628</v>
      </c>
    </row>
    <row r="77" spans="1:10" ht="24" x14ac:dyDescent="0.2">
      <c r="A77" s="1144" t="s">
        <v>717</v>
      </c>
      <c r="B77" s="1013" t="s">
        <v>640</v>
      </c>
      <c r="C77" s="1013" t="s">
        <v>641</v>
      </c>
      <c r="D77" s="1084">
        <v>229</v>
      </c>
      <c r="E77" s="1083">
        <v>141173</v>
      </c>
      <c r="F77" s="1082"/>
      <c r="G77" s="1014" t="s">
        <v>663</v>
      </c>
      <c r="H77" s="1036"/>
      <c r="I77" s="1036"/>
      <c r="J77" s="1145" t="s">
        <v>2628</v>
      </c>
    </row>
    <row r="78" spans="1:10" ht="24" x14ac:dyDescent="0.2">
      <c r="A78" s="1144" t="s">
        <v>718</v>
      </c>
      <c r="B78" s="1013" t="s">
        <v>640</v>
      </c>
      <c r="C78" s="1013" t="s">
        <v>641</v>
      </c>
      <c r="D78" s="1084">
        <v>259</v>
      </c>
      <c r="E78" s="1083">
        <v>102060</v>
      </c>
      <c r="F78" s="1082"/>
      <c r="G78" s="1014" t="s">
        <v>663</v>
      </c>
      <c r="H78" s="1036"/>
      <c r="I78" s="1036"/>
      <c r="J78" s="1145" t="s">
        <v>2628</v>
      </c>
    </row>
    <row r="79" spans="1:10" ht="24" x14ac:dyDescent="0.2">
      <c r="A79" s="1144" t="s">
        <v>719</v>
      </c>
      <c r="B79" s="1013" t="s">
        <v>640</v>
      </c>
      <c r="C79" s="1013" t="s">
        <v>641</v>
      </c>
      <c r="D79" s="1084">
        <v>271</v>
      </c>
      <c r="E79" s="1083">
        <v>46400</v>
      </c>
      <c r="F79" s="1082" t="s">
        <v>621</v>
      </c>
      <c r="G79" s="1014" t="s">
        <v>663</v>
      </c>
      <c r="H79" s="1036"/>
      <c r="I79" s="1036"/>
      <c r="J79" s="1145" t="s">
        <v>2628</v>
      </c>
    </row>
    <row r="80" spans="1:10" ht="48" x14ac:dyDescent="0.2">
      <c r="A80" s="1144" t="s">
        <v>720</v>
      </c>
      <c r="B80" s="1013" t="s">
        <v>640</v>
      </c>
      <c r="C80" s="1013" t="s">
        <v>644</v>
      </c>
      <c r="D80" s="1084">
        <v>284</v>
      </c>
      <c r="E80" s="1083">
        <v>150000</v>
      </c>
      <c r="F80" s="1082"/>
      <c r="G80" s="1014" t="s">
        <v>663</v>
      </c>
      <c r="H80" s="1036"/>
      <c r="I80" s="1036"/>
      <c r="J80" s="1145" t="s">
        <v>2628</v>
      </c>
    </row>
    <row r="81" spans="1:10" ht="24" x14ac:dyDescent="0.2">
      <c r="A81" s="1144" t="s">
        <v>721</v>
      </c>
      <c r="B81" s="1013" t="s">
        <v>678</v>
      </c>
      <c r="C81" s="1013" t="s">
        <v>641</v>
      </c>
      <c r="D81" s="1084">
        <v>63</v>
      </c>
      <c r="E81" s="1083">
        <v>70200</v>
      </c>
      <c r="F81" s="1082"/>
      <c r="G81" s="1014" t="s">
        <v>663</v>
      </c>
      <c r="H81" s="1036"/>
      <c r="I81" s="1036"/>
      <c r="J81" s="1145" t="s">
        <v>2628</v>
      </c>
    </row>
    <row r="82" spans="1:10" ht="24" x14ac:dyDescent="0.2">
      <c r="A82" s="1144" t="s">
        <v>722</v>
      </c>
      <c r="B82" s="1013" t="s">
        <v>640</v>
      </c>
      <c r="C82" s="1013" t="s">
        <v>641</v>
      </c>
      <c r="D82" s="1084">
        <v>276</v>
      </c>
      <c r="E82" s="1083">
        <v>64177.17</v>
      </c>
      <c r="F82" s="1082"/>
      <c r="G82" s="1014" t="s">
        <v>663</v>
      </c>
      <c r="H82" s="1036"/>
      <c r="I82" s="1036"/>
      <c r="J82" s="1145" t="s">
        <v>2628</v>
      </c>
    </row>
    <row r="83" spans="1:10" ht="24" x14ac:dyDescent="0.2">
      <c r="A83" s="1144" t="s">
        <v>639</v>
      </c>
      <c r="B83" s="1013" t="s">
        <v>640</v>
      </c>
      <c r="C83" s="1013" t="s">
        <v>641</v>
      </c>
      <c r="D83" s="1084">
        <v>175</v>
      </c>
      <c r="E83" s="1083">
        <v>81668.33</v>
      </c>
      <c r="F83" s="1082"/>
      <c r="G83" s="1014" t="s">
        <v>663</v>
      </c>
      <c r="H83" s="1036"/>
      <c r="I83" s="1036"/>
      <c r="J83" s="1145" t="s">
        <v>2628</v>
      </c>
    </row>
    <row r="84" spans="1:10" ht="24" x14ac:dyDescent="0.2">
      <c r="A84" s="1144" t="s">
        <v>723</v>
      </c>
      <c r="B84" s="1013" t="s">
        <v>640</v>
      </c>
      <c r="C84" s="1013" t="s">
        <v>641</v>
      </c>
      <c r="D84" s="1084">
        <v>205</v>
      </c>
      <c r="E84" s="1083">
        <v>120280</v>
      </c>
      <c r="F84" s="1082"/>
      <c r="G84" s="1014" t="s">
        <v>663</v>
      </c>
      <c r="H84" s="1036"/>
      <c r="I84" s="1036"/>
      <c r="J84" s="1145" t="s">
        <v>2628</v>
      </c>
    </row>
    <row r="85" spans="1:10" ht="24" x14ac:dyDescent="0.2">
      <c r="A85" s="1144" t="s">
        <v>724</v>
      </c>
      <c r="B85" s="1013" t="s">
        <v>640</v>
      </c>
      <c r="C85" s="1013" t="s">
        <v>641</v>
      </c>
      <c r="D85" s="1084">
        <v>228</v>
      </c>
      <c r="E85" s="1083">
        <v>244000</v>
      </c>
      <c r="F85" s="1082"/>
      <c r="G85" s="1014" t="s">
        <v>663</v>
      </c>
      <c r="H85" s="1036"/>
      <c r="I85" s="1036"/>
      <c r="J85" s="1145" t="s">
        <v>2628</v>
      </c>
    </row>
    <row r="86" spans="1:10" ht="24" x14ac:dyDescent="0.2">
      <c r="A86" s="1144" t="s">
        <v>725</v>
      </c>
      <c r="B86" s="1013" t="s">
        <v>640</v>
      </c>
      <c r="C86" s="1013" t="s">
        <v>641</v>
      </c>
      <c r="D86" s="1084">
        <v>173</v>
      </c>
      <c r="E86" s="1083">
        <v>81240.67</v>
      </c>
      <c r="F86" s="1082"/>
      <c r="G86" s="1014" t="s">
        <v>663</v>
      </c>
      <c r="H86" s="1036"/>
      <c r="I86" s="1036"/>
      <c r="J86" s="1145" t="s">
        <v>2628</v>
      </c>
    </row>
    <row r="87" spans="1:10" ht="24" x14ac:dyDescent="0.2">
      <c r="A87" s="1144" t="s">
        <v>726</v>
      </c>
      <c r="B87" s="1013" t="s">
        <v>640</v>
      </c>
      <c r="C87" s="1013" t="s">
        <v>641</v>
      </c>
      <c r="D87" s="1084">
        <v>278</v>
      </c>
      <c r="E87" s="1083">
        <v>78840.600000000006</v>
      </c>
      <c r="F87" s="1082"/>
      <c r="G87" s="1014" t="s">
        <v>663</v>
      </c>
      <c r="H87" s="1036"/>
      <c r="I87" s="1036"/>
      <c r="J87" s="1145" t="s">
        <v>2628</v>
      </c>
    </row>
    <row r="88" spans="1:10" ht="36" x14ac:dyDescent="0.2">
      <c r="A88" s="1144" t="s">
        <v>727</v>
      </c>
      <c r="B88" s="1013" t="s">
        <v>640</v>
      </c>
      <c r="C88" s="1013" t="s">
        <v>641</v>
      </c>
      <c r="D88" s="1084">
        <v>200</v>
      </c>
      <c r="E88" s="1083">
        <v>91632.16</v>
      </c>
      <c r="F88" s="1082"/>
      <c r="G88" s="1014" t="s">
        <v>663</v>
      </c>
      <c r="H88" s="1036"/>
      <c r="I88" s="1036"/>
      <c r="J88" s="1145" t="s">
        <v>2628</v>
      </c>
    </row>
    <row r="89" spans="1:10" ht="24" x14ac:dyDescent="0.2">
      <c r="A89" s="1144" t="s">
        <v>728</v>
      </c>
      <c r="B89" s="1013" t="s">
        <v>640</v>
      </c>
      <c r="C89" s="1013" t="s">
        <v>641</v>
      </c>
      <c r="D89" s="1084">
        <v>201</v>
      </c>
      <c r="E89" s="1083">
        <v>76938.399999999994</v>
      </c>
      <c r="F89" s="1082"/>
      <c r="G89" s="1014" t="s">
        <v>663</v>
      </c>
      <c r="H89" s="1036"/>
      <c r="I89" s="1036"/>
      <c r="J89" s="1145" t="s">
        <v>2628</v>
      </c>
    </row>
    <row r="90" spans="1:10" ht="24" x14ac:dyDescent="0.2">
      <c r="A90" s="1144" t="s">
        <v>729</v>
      </c>
      <c r="B90" s="1013" t="s">
        <v>640</v>
      </c>
      <c r="C90" s="1013" t="s">
        <v>641</v>
      </c>
      <c r="D90" s="1084">
        <v>275</v>
      </c>
      <c r="E90" s="1083">
        <v>161980.26999999999</v>
      </c>
      <c r="F90" s="1082"/>
      <c r="G90" s="1014" t="s">
        <v>663</v>
      </c>
      <c r="H90" s="1036"/>
      <c r="I90" s="1036"/>
      <c r="J90" s="1145" t="s">
        <v>2628</v>
      </c>
    </row>
    <row r="91" spans="1:10" ht="24" x14ac:dyDescent="0.2">
      <c r="A91" s="1144" t="s">
        <v>730</v>
      </c>
      <c r="B91" s="1013" t="s">
        <v>678</v>
      </c>
      <c r="C91" s="1013" t="s">
        <v>641</v>
      </c>
      <c r="D91" s="1084">
        <v>61</v>
      </c>
      <c r="E91" s="1083">
        <v>73800</v>
      </c>
      <c r="F91" s="1082"/>
      <c r="G91" s="1014" t="s">
        <v>663</v>
      </c>
      <c r="H91" s="1036"/>
      <c r="I91" s="1036"/>
      <c r="J91" s="1145" t="s">
        <v>2628</v>
      </c>
    </row>
    <row r="92" spans="1:10" x14ac:dyDescent="0.2">
      <c r="A92" s="1144" t="s">
        <v>731</v>
      </c>
      <c r="B92" s="1013" t="s">
        <v>678</v>
      </c>
      <c r="C92" s="1013" t="s">
        <v>641</v>
      </c>
      <c r="D92" s="1084">
        <v>62</v>
      </c>
      <c r="E92" s="1083">
        <v>1903600</v>
      </c>
      <c r="F92" s="1082"/>
      <c r="G92" s="1014" t="s">
        <v>663</v>
      </c>
      <c r="H92" s="1036"/>
      <c r="I92" s="1036"/>
      <c r="J92" s="1145" t="s">
        <v>2628</v>
      </c>
    </row>
    <row r="93" spans="1:10" ht="24" x14ac:dyDescent="0.2">
      <c r="A93" s="1144" t="s">
        <v>674</v>
      </c>
      <c r="B93" s="1013" t="s">
        <v>640</v>
      </c>
      <c r="C93" s="1013" t="s">
        <v>641</v>
      </c>
      <c r="D93" s="1084">
        <v>279</v>
      </c>
      <c r="E93" s="1083">
        <v>150775</v>
      </c>
      <c r="F93" s="1082"/>
      <c r="G93" s="1014" t="s">
        <v>663</v>
      </c>
      <c r="H93" s="1036"/>
      <c r="I93" s="1036"/>
      <c r="J93" s="1145" t="s">
        <v>2628</v>
      </c>
    </row>
    <row r="94" spans="1:10" ht="24" x14ac:dyDescent="0.2">
      <c r="A94" s="1144" t="s">
        <v>661</v>
      </c>
      <c r="B94" s="1013" t="s">
        <v>640</v>
      </c>
      <c r="C94" s="1013" t="s">
        <v>641</v>
      </c>
      <c r="D94" s="1084">
        <v>65</v>
      </c>
      <c r="E94" s="1083">
        <v>53780</v>
      </c>
      <c r="F94" s="1082"/>
      <c r="G94" s="1014" t="s">
        <v>663</v>
      </c>
      <c r="H94" s="1036"/>
      <c r="I94" s="1036"/>
      <c r="J94" s="1145" t="s">
        <v>2628</v>
      </c>
    </row>
    <row r="95" spans="1:10" ht="24" x14ac:dyDescent="0.2">
      <c r="A95" s="1144" t="s">
        <v>732</v>
      </c>
      <c r="B95" s="1013" t="s">
        <v>640</v>
      </c>
      <c r="C95" s="1013" t="s">
        <v>641</v>
      </c>
      <c r="D95" s="1084">
        <v>274</v>
      </c>
      <c r="E95" s="1083">
        <v>145261.04999999999</v>
      </c>
      <c r="F95" s="1082"/>
      <c r="G95" s="1014" t="s">
        <v>663</v>
      </c>
      <c r="H95" s="1036"/>
      <c r="I95" s="1036"/>
      <c r="J95" s="1145" t="s">
        <v>2628</v>
      </c>
    </row>
    <row r="96" spans="1:10" ht="24" x14ac:dyDescent="0.2">
      <c r="A96" s="1144" t="s">
        <v>733</v>
      </c>
      <c r="B96" s="1013" t="s">
        <v>640</v>
      </c>
      <c r="C96" s="1013" t="s">
        <v>641</v>
      </c>
      <c r="D96" s="1084">
        <v>273</v>
      </c>
      <c r="E96" s="1083">
        <v>88200</v>
      </c>
      <c r="F96" s="1082"/>
      <c r="G96" s="1014" t="s">
        <v>663</v>
      </c>
      <c r="H96" s="1036"/>
      <c r="I96" s="1036"/>
      <c r="J96" s="1145" t="s">
        <v>2628</v>
      </c>
    </row>
    <row r="97" spans="1:10" ht="24" x14ac:dyDescent="0.2">
      <c r="A97" s="1144" t="s">
        <v>734</v>
      </c>
      <c r="B97" s="1013" t="s">
        <v>640</v>
      </c>
      <c r="C97" s="1013" t="s">
        <v>641</v>
      </c>
      <c r="D97" s="1084">
        <v>281</v>
      </c>
      <c r="E97" s="1083">
        <v>388849.83</v>
      </c>
      <c r="F97" s="1082"/>
      <c r="G97" s="1014" t="s">
        <v>663</v>
      </c>
      <c r="H97" s="1036"/>
      <c r="I97" s="1036"/>
      <c r="J97" s="1145" t="s">
        <v>2628</v>
      </c>
    </row>
    <row r="98" spans="1:10" ht="24" x14ac:dyDescent="0.2">
      <c r="A98" s="1144" t="s">
        <v>735</v>
      </c>
      <c r="B98" s="1013" t="s">
        <v>678</v>
      </c>
      <c r="C98" s="1013" t="s">
        <v>641</v>
      </c>
      <c r="D98" s="1084">
        <v>60</v>
      </c>
      <c r="E98" s="1083">
        <v>74200</v>
      </c>
      <c r="F98" s="1082"/>
      <c r="G98" s="1014" t="s">
        <v>663</v>
      </c>
      <c r="H98" s="1036"/>
      <c r="I98" s="1036"/>
      <c r="J98" s="1145" t="s">
        <v>2628</v>
      </c>
    </row>
    <row r="99" spans="1:10" ht="24" x14ac:dyDescent="0.2">
      <c r="A99" s="1144" t="s">
        <v>736</v>
      </c>
      <c r="B99" s="1013" t="s">
        <v>640</v>
      </c>
      <c r="C99" s="1013" t="s">
        <v>737</v>
      </c>
      <c r="D99" s="1084">
        <v>49</v>
      </c>
      <c r="E99" s="1083">
        <v>395000</v>
      </c>
      <c r="F99" s="1082"/>
      <c r="G99" s="1014" t="s">
        <v>663</v>
      </c>
      <c r="H99" s="1036"/>
      <c r="I99" s="1036"/>
      <c r="J99" s="1145" t="s">
        <v>2628</v>
      </c>
    </row>
    <row r="100" spans="1:10" ht="36" x14ac:dyDescent="0.2">
      <c r="A100" s="1144" t="s">
        <v>738</v>
      </c>
      <c r="B100" s="1013" t="s">
        <v>640</v>
      </c>
      <c r="C100" s="1013" t="s">
        <v>641</v>
      </c>
      <c r="D100" s="1084">
        <v>199</v>
      </c>
      <c r="E100" s="1083">
        <v>152321.4</v>
      </c>
      <c r="F100" s="1082"/>
      <c r="G100" s="1014" t="s">
        <v>663</v>
      </c>
      <c r="H100" s="1036"/>
      <c r="I100" s="1036"/>
      <c r="J100" s="1145" t="s">
        <v>2628</v>
      </c>
    </row>
    <row r="101" spans="1:10" ht="24" x14ac:dyDescent="0.2">
      <c r="A101" s="1144" t="s">
        <v>739</v>
      </c>
      <c r="B101" s="1013" t="s">
        <v>617</v>
      </c>
      <c r="C101" s="1013" t="s">
        <v>641</v>
      </c>
      <c r="D101" s="1084">
        <v>4</v>
      </c>
      <c r="E101" s="1083">
        <v>426761.56</v>
      </c>
      <c r="F101" s="1082"/>
      <c r="G101" s="1014" t="s">
        <v>663</v>
      </c>
      <c r="H101" s="1036"/>
      <c r="I101" s="1036"/>
      <c r="J101" s="1145" t="s">
        <v>2628</v>
      </c>
    </row>
    <row r="102" spans="1:10" ht="24" x14ac:dyDescent="0.2">
      <c r="A102" s="1144" t="s">
        <v>740</v>
      </c>
      <c r="B102" s="1013" t="s">
        <v>640</v>
      </c>
      <c r="C102" s="1013" t="s">
        <v>641</v>
      </c>
      <c r="D102" s="1084">
        <v>272</v>
      </c>
      <c r="E102" s="1083">
        <v>255125</v>
      </c>
      <c r="F102" s="1082"/>
      <c r="G102" s="1014" t="s">
        <v>663</v>
      </c>
      <c r="H102" s="1036"/>
      <c r="I102" s="1036"/>
      <c r="J102" s="1145" t="s">
        <v>2628</v>
      </c>
    </row>
    <row r="103" spans="1:10" ht="24" x14ac:dyDescent="0.2">
      <c r="A103" s="1144" t="s">
        <v>741</v>
      </c>
      <c r="B103" s="1013" t="s">
        <v>640</v>
      </c>
      <c r="C103" s="1013" t="s">
        <v>641</v>
      </c>
      <c r="D103" s="1084">
        <v>256</v>
      </c>
      <c r="E103" s="1083">
        <v>50000</v>
      </c>
      <c r="F103" s="1082"/>
      <c r="G103" s="1014" t="s">
        <v>663</v>
      </c>
      <c r="H103" s="1036"/>
      <c r="I103" s="1036"/>
      <c r="J103" s="1145" t="s">
        <v>2628</v>
      </c>
    </row>
    <row r="104" spans="1:10" ht="24" x14ac:dyDescent="0.2">
      <c r="A104" s="1144" t="s">
        <v>742</v>
      </c>
      <c r="B104" s="1013" t="s">
        <v>640</v>
      </c>
      <c r="C104" s="1013" t="s">
        <v>641</v>
      </c>
      <c r="D104" s="1084">
        <v>270</v>
      </c>
      <c r="E104" s="1083">
        <v>48600</v>
      </c>
      <c r="F104" s="1082"/>
      <c r="G104" s="1014" t="s">
        <v>663</v>
      </c>
      <c r="H104" s="1036"/>
      <c r="I104" s="1036"/>
      <c r="J104" s="1145" t="s">
        <v>2628</v>
      </c>
    </row>
    <row r="105" spans="1:10" ht="24" x14ac:dyDescent="0.2">
      <c r="A105" s="1144" t="s">
        <v>743</v>
      </c>
      <c r="B105" s="1013" t="s">
        <v>640</v>
      </c>
      <c r="C105" s="1013" t="s">
        <v>641</v>
      </c>
      <c r="D105" s="1084">
        <v>160</v>
      </c>
      <c r="E105" s="1083">
        <v>325350</v>
      </c>
      <c r="F105" s="1082"/>
      <c r="G105" s="1014" t="s">
        <v>663</v>
      </c>
      <c r="H105" s="1036"/>
      <c r="I105" s="1036"/>
      <c r="J105" s="1145" t="s">
        <v>2628</v>
      </c>
    </row>
    <row r="106" spans="1:10" ht="36" x14ac:dyDescent="0.2">
      <c r="A106" s="1144" t="s">
        <v>744</v>
      </c>
      <c r="B106" s="1013" t="s">
        <v>640</v>
      </c>
      <c r="C106" s="1013" t="s">
        <v>641</v>
      </c>
      <c r="D106" s="1084">
        <v>267</v>
      </c>
      <c r="E106" s="1083">
        <v>49556.46</v>
      </c>
      <c r="F106" s="1082" t="s">
        <v>13889</v>
      </c>
      <c r="G106" s="1014" t="s">
        <v>128</v>
      </c>
      <c r="H106" s="1036"/>
      <c r="I106" s="1036"/>
      <c r="J106" s="1145" t="s">
        <v>2628</v>
      </c>
    </row>
    <row r="107" spans="1:10" ht="24" x14ac:dyDescent="0.2">
      <c r="A107" s="1144" t="s">
        <v>745</v>
      </c>
      <c r="B107" s="1013" t="s">
        <v>640</v>
      </c>
      <c r="C107" s="1013" t="s">
        <v>641</v>
      </c>
      <c r="D107" s="1084">
        <v>225</v>
      </c>
      <c r="E107" s="1083">
        <v>128375</v>
      </c>
      <c r="F107" s="1082"/>
      <c r="G107" s="1014" t="s">
        <v>663</v>
      </c>
      <c r="H107" s="1036"/>
      <c r="I107" s="1036"/>
      <c r="J107" s="1145" t="s">
        <v>2628</v>
      </c>
    </row>
    <row r="108" spans="1:10" ht="48" x14ac:dyDescent="0.2">
      <c r="A108" s="1144" t="s">
        <v>653</v>
      </c>
      <c r="B108" s="1013" t="s">
        <v>640</v>
      </c>
      <c r="C108" s="1013" t="s">
        <v>641</v>
      </c>
      <c r="D108" s="1084">
        <v>247</v>
      </c>
      <c r="E108" s="1083">
        <v>280000</v>
      </c>
      <c r="F108" s="1082" t="s">
        <v>13890</v>
      </c>
      <c r="G108" s="1014" t="s">
        <v>128</v>
      </c>
      <c r="H108" s="1036"/>
      <c r="I108" s="1036"/>
      <c r="J108" s="1145" t="s">
        <v>2628</v>
      </c>
    </row>
    <row r="109" spans="1:10" ht="48" x14ac:dyDescent="0.2">
      <c r="A109" s="1144" t="s">
        <v>746</v>
      </c>
      <c r="B109" s="1013" t="s">
        <v>640</v>
      </c>
      <c r="C109" s="1013" t="s">
        <v>641</v>
      </c>
      <c r="D109" s="1084">
        <v>246</v>
      </c>
      <c r="E109" s="1083">
        <v>280000</v>
      </c>
      <c r="F109" s="1082" t="s">
        <v>13890</v>
      </c>
      <c r="G109" s="1014" t="s">
        <v>128</v>
      </c>
      <c r="H109" s="1036"/>
      <c r="I109" s="1036"/>
      <c r="J109" s="1145" t="s">
        <v>2628</v>
      </c>
    </row>
    <row r="110" spans="1:10" ht="36" x14ac:dyDescent="0.2">
      <c r="A110" s="1144" t="s">
        <v>747</v>
      </c>
      <c r="B110" s="1013" t="s">
        <v>640</v>
      </c>
      <c r="C110" s="1013" t="s">
        <v>641</v>
      </c>
      <c r="D110" s="1084">
        <v>235</v>
      </c>
      <c r="E110" s="1083">
        <v>107304.04</v>
      </c>
      <c r="F110" s="1082"/>
      <c r="G110" s="1014" t="s">
        <v>663</v>
      </c>
      <c r="H110" s="1036"/>
      <c r="I110" s="1036"/>
      <c r="J110" s="1145" t="s">
        <v>2628</v>
      </c>
    </row>
    <row r="111" spans="1:10" x14ac:dyDescent="0.2">
      <c r="A111" s="1144" t="s">
        <v>748</v>
      </c>
      <c r="B111" s="1013" t="s">
        <v>640</v>
      </c>
      <c r="C111" s="1013" t="s">
        <v>641</v>
      </c>
      <c r="D111" s="1084">
        <v>233</v>
      </c>
      <c r="E111" s="1083">
        <v>152553.32999999999</v>
      </c>
      <c r="F111" s="1082"/>
      <c r="G111" s="1014" t="s">
        <v>663</v>
      </c>
      <c r="H111" s="1036"/>
      <c r="I111" s="1036"/>
      <c r="J111" s="1145" t="s">
        <v>2628</v>
      </c>
    </row>
    <row r="112" spans="1:10" ht="24" x14ac:dyDescent="0.2">
      <c r="A112" s="1144" t="s">
        <v>749</v>
      </c>
      <c r="B112" s="1013" t="s">
        <v>640</v>
      </c>
      <c r="C112" s="1013" t="s">
        <v>641</v>
      </c>
      <c r="D112" s="1084">
        <v>243</v>
      </c>
      <c r="E112" s="1083">
        <v>143386.67000000001</v>
      </c>
      <c r="F112" s="1082"/>
      <c r="G112" s="1014" t="s">
        <v>663</v>
      </c>
      <c r="H112" s="1036"/>
      <c r="I112" s="1036"/>
      <c r="J112" s="1145" t="s">
        <v>2628</v>
      </c>
    </row>
    <row r="113" spans="1:10" ht="24" x14ac:dyDescent="0.2">
      <c r="A113" s="1144" t="s">
        <v>750</v>
      </c>
      <c r="B113" s="1013" t="s">
        <v>640</v>
      </c>
      <c r="C113" s="1013" t="s">
        <v>641</v>
      </c>
      <c r="D113" s="1084">
        <v>269</v>
      </c>
      <c r="E113" s="1083">
        <v>57743</v>
      </c>
      <c r="F113" s="1082" t="s">
        <v>621</v>
      </c>
      <c r="G113" s="1014" t="s">
        <v>663</v>
      </c>
      <c r="H113" s="1036"/>
      <c r="I113" s="1036"/>
      <c r="J113" s="1145" t="s">
        <v>2628</v>
      </c>
    </row>
    <row r="114" spans="1:10" ht="24" x14ac:dyDescent="0.2">
      <c r="A114" s="1144" t="s">
        <v>751</v>
      </c>
      <c r="B114" s="1013" t="s">
        <v>640</v>
      </c>
      <c r="C114" s="1013" t="s">
        <v>641</v>
      </c>
      <c r="D114" s="1084">
        <v>219</v>
      </c>
      <c r="E114" s="1083">
        <v>74608.5</v>
      </c>
      <c r="F114" s="1082"/>
      <c r="G114" s="1014" t="s">
        <v>663</v>
      </c>
      <c r="H114" s="1036"/>
      <c r="I114" s="1036"/>
      <c r="J114" s="1145" t="s">
        <v>2628</v>
      </c>
    </row>
    <row r="115" spans="1:10" ht="36" x14ac:dyDescent="0.2">
      <c r="A115" s="1144" t="s">
        <v>752</v>
      </c>
      <c r="B115" s="1013" t="s">
        <v>640</v>
      </c>
      <c r="C115" s="1013" t="s">
        <v>641</v>
      </c>
      <c r="D115" s="1084">
        <v>234</v>
      </c>
      <c r="E115" s="1083">
        <v>291114.8</v>
      </c>
      <c r="F115" s="1082" t="s">
        <v>13891</v>
      </c>
      <c r="G115" s="1014" t="s">
        <v>128</v>
      </c>
      <c r="H115" s="1036"/>
      <c r="I115" s="1036"/>
      <c r="J115" s="1145" t="s">
        <v>2628</v>
      </c>
    </row>
    <row r="116" spans="1:10" ht="132" x14ac:dyDescent="0.2">
      <c r="A116" s="1144" t="s">
        <v>753</v>
      </c>
      <c r="B116" s="1013" t="s">
        <v>640</v>
      </c>
      <c r="C116" s="1013" t="s">
        <v>641</v>
      </c>
      <c r="D116" s="1084">
        <v>143</v>
      </c>
      <c r="E116" s="1083">
        <v>68970</v>
      </c>
      <c r="F116" s="1082" t="s">
        <v>13892</v>
      </c>
      <c r="G116" s="1014" t="s">
        <v>128</v>
      </c>
      <c r="H116" s="1036"/>
      <c r="I116" s="1036"/>
      <c r="J116" s="1145" t="s">
        <v>2628</v>
      </c>
    </row>
    <row r="117" spans="1:10" ht="48" x14ac:dyDescent="0.2">
      <c r="A117" s="1144" t="s">
        <v>754</v>
      </c>
      <c r="B117" s="1013" t="s">
        <v>640</v>
      </c>
      <c r="C117" s="1013" t="s">
        <v>641</v>
      </c>
      <c r="D117" s="1084">
        <v>254</v>
      </c>
      <c r="E117" s="1083">
        <v>294989.83</v>
      </c>
      <c r="F117" s="1082" t="s">
        <v>13893</v>
      </c>
      <c r="G117" s="1014" t="s">
        <v>128</v>
      </c>
      <c r="H117" s="1036"/>
      <c r="I117" s="1036"/>
      <c r="J117" s="1145" t="s">
        <v>2628</v>
      </c>
    </row>
    <row r="118" spans="1:10" ht="24" x14ac:dyDescent="0.2">
      <c r="A118" s="1144" t="s">
        <v>755</v>
      </c>
      <c r="B118" s="1013" t="s">
        <v>640</v>
      </c>
      <c r="C118" s="1013" t="s">
        <v>644</v>
      </c>
      <c r="D118" s="1084">
        <v>16</v>
      </c>
      <c r="E118" s="1083">
        <v>178500</v>
      </c>
      <c r="F118" s="1082"/>
      <c r="G118" s="1014" t="s">
        <v>663</v>
      </c>
      <c r="H118" s="1036"/>
      <c r="I118" s="1036"/>
      <c r="J118" s="1145" t="s">
        <v>2628</v>
      </c>
    </row>
    <row r="119" spans="1:10" ht="36" x14ac:dyDescent="0.2">
      <c r="A119" s="1144" t="s">
        <v>756</v>
      </c>
      <c r="B119" s="1013" t="s">
        <v>640</v>
      </c>
      <c r="C119" s="1013" t="s">
        <v>641</v>
      </c>
      <c r="D119" s="1084">
        <v>223</v>
      </c>
      <c r="E119" s="1083">
        <v>39839</v>
      </c>
      <c r="F119" s="1082" t="s">
        <v>13894</v>
      </c>
      <c r="G119" s="1014" t="s">
        <v>128</v>
      </c>
      <c r="H119" s="1036"/>
      <c r="I119" s="1036"/>
      <c r="J119" s="1145" t="s">
        <v>2628</v>
      </c>
    </row>
    <row r="120" spans="1:10" ht="24" x14ac:dyDescent="0.2">
      <c r="A120" s="1144" t="s">
        <v>757</v>
      </c>
      <c r="B120" s="1013" t="s">
        <v>640</v>
      </c>
      <c r="C120" s="1013" t="s">
        <v>641</v>
      </c>
      <c r="D120" s="1084">
        <v>249</v>
      </c>
      <c r="E120" s="1083">
        <v>88900</v>
      </c>
      <c r="F120" s="1082"/>
      <c r="G120" s="1014" t="s">
        <v>663</v>
      </c>
      <c r="H120" s="1036"/>
      <c r="I120" s="1036"/>
      <c r="J120" s="1145" t="s">
        <v>2628</v>
      </c>
    </row>
    <row r="121" spans="1:10" x14ac:dyDescent="0.2">
      <c r="A121" s="1144" t="s">
        <v>758</v>
      </c>
      <c r="B121" s="1013" t="s">
        <v>640</v>
      </c>
      <c r="C121" s="1013" t="s">
        <v>641</v>
      </c>
      <c r="D121" s="1084">
        <v>216</v>
      </c>
      <c r="E121" s="1083">
        <v>54333.33</v>
      </c>
      <c r="F121" s="1082"/>
      <c r="G121" s="1014" t="s">
        <v>663</v>
      </c>
      <c r="H121" s="1036"/>
      <c r="I121" s="1036"/>
      <c r="J121" s="1145" t="s">
        <v>2628</v>
      </c>
    </row>
    <row r="122" spans="1:10" ht="24" x14ac:dyDescent="0.2">
      <c r="A122" s="1144" t="s">
        <v>759</v>
      </c>
      <c r="B122" s="1013" t="s">
        <v>640</v>
      </c>
      <c r="C122" s="1013" t="s">
        <v>641</v>
      </c>
      <c r="D122" s="1084">
        <v>208</v>
      </c>
      <c r="E122" s="1083">
        <v>180000</v>
      </c>
      <c r="F122" s="1082"/>
      <c r="G122" s="1014" t="s">
        <v>663</v>
      </c>
      <c r="H122" s="1036"/>
      <c r="I122" s="1036"/>
      <c r="J122" s="1145" t="s">
        <v>2628</v>
      </c>
    </row>
    <row r="123" spans="1:10" ht="24" x14ac:dyDescent="0.2">
      <c r="A123" s="1144" t="s">
        <v>760</v>
      </c>
      <c r="B123" s="1013" t="s">
        <v>640</v>
      </c>
      <c r="C123" s="1013" t="s">
        <v>641</v>
      </c>
      <c r="D123" s="1084">
        <v>258</v>
      </c>
      <c r="E123" s="1083">
        <v>170000</v>
      </c>
      <c r="F123" s="1082"/>
      <c r="G123" s="1014" t="s">
        <v>663</v>
      </c>
      <c r="H123" s="1036"/>
      <c r="I123" s="1036"/>
      <c r="J123" s="1145" t="s">
        <v>2628</v>
      </c>
    </row>
    <row r="124" spans="1:10" ht="36" x14ac:dyDescent="0.2">
      <c r="A124" s="1144" t="s">
        <v>761</v>
      </c>
      <c r="B124" s="1013" t="s">
        <v>640</v>
      </c>
      <c r="C124" s="1013" t="s">
        <v>641</v>
      </c>
      <c r="D124" s="1084">
        <v>262</v>
      </c>
      <c r="E124" s="1083">
        <v>35000</v>
      </c>
      <c r="F124" s="1082" t="s">
        <v>13895</v>
      </c>
      <c r="G124" s="1014" t="s">
        <v>128</v>
      </c>
      <c r="H124" s="1036"/>
      <c r="I124" s="1036"/>
      <c r="J124" s="1145" t="s">
        <v>2628</v>
      </c>
    </row>
    <row r="125" spans="1:10" ht="48" x14ac:dyDescent="0.2">
      <c r="A125" s="1144" t="s">
        <v>762</v>
      </c>
      <c r="B125" s="1013" t="s">
        <v>640</v>
      </c>
      <c r="C125" s="1013" t="s">
        <v>641</v>
      </c>
      <c r="D125" s="1084">
        <v>261</v>
      </c>
      <c r="E125" s="1083">
        <v>288950</v>
      </c>
      <c r="F125" s="1082"/>
      <c r="G125" s="1014" t="s">
        <v>663</v>
      </c>
      <c r="H125" s="1036"/>
      <c r="I125" s="1036"/>
      <c r="J125" s="1145" t="s">
        <v>2628</v>
      </c>
    </row>
    <row r="126" spans="1:10" x14ac:dyDescent="0.2">
      <c r="A126" s="1144" t="s">
        <v>763</v>
      </c>
      <c r="B126" s="1013" t="s">
        <v>640</v>
      </c>
      <c r="C126" s="1013" t="s">
        <v>641</v>
      </c>
      <c r="D126" s="1084">
        <v>181</v>
      </c>
      <c r="E126" s="1083">
        <v>286839.69</v>
      </c>
      <c r="F126" s="1082"/>
      <c r="G126" s="1014" t="s">
        <v>663</v>
      </c>
      <c r="H126" s="1036"/>
      <c r="I126" s="1036"/>
      <c r="J126" s="1145" t="s">
        <v>2628</v>
      </c>
    </row>
    <row r="127" spans="1:10" ht="24" x14ac:dyDescent="0.2">
      <c r="A127" s="1144" t="s">
        <v>764</v>
      </c>
      <c r="B127" s="1013" t="s">
        <v>640</v>
      </c>
      <c r="C127" s="1013" t="s">
        <v>641</v>
      </c>
      <c r="D127" s="1084">
        <v>96</v>
      </c>
      <c r="E127" s="1083">
        <v>72691.039999999994</v>
      </c>
      <c r="F127" s="1082" t="s">
        <v>621</v>
      </c>
      <c r="G127" s="1014"/>
      <c r="H127" s="1036"/>
      <c r="I127" s="1036"/>
      <c r="J127" s="1145" t="s">
        <v>2628</v>
      </c>
    </row>
    <row r="128" spans="1:10" ht="24" x14ac:dyDescent="0.2">
      <c r="A128" s="1144" t="s">
        <v>765</v>
      </c>
      <c r="B128" s="1013" t="s">
        <v>640</v>
      </c>
      <c r="C128" s="1013" t="s">
        <v>641</v>
      </c>
      <c r="D128" s="1084">
        <v>252</v>
      </c>
      <c r="E128" s="1083">
        <v>60850</v>
      </c>
      <c r="F128" s="1082" t="s">
        <v>13896</v>
      </c>
      <c r="G128" s="1014" t="s">
        <v>128</v>
      </c>
      <c r="H128" s="1036"/>
      <c r="I128" s="1036"/>
      <c r="J128" s="1145" t="s">
        <v>2628</v>
      </c>
    </row>
    <row r="129" spans="1:10" ht="34.5" customHeight="1" x14ac:dyDescent="0.2">
      <c r="A129" s="1144" t="s">
        <v>766</v>
      </c>
      <c r="B129" s="1013" t="s">
        <v>640</v>
      </c>
      <c r="C129" s="1013" t="s">
        <v>641</v>
      </c>
      <c r="D129" s="1084">
        <v>244</v>
      </c>
      <c r="E129" s="1083">
        <v>112450</v>
      </c>
      <c r="F129" s="1082" t="s">
        <v>13897</v>
      </c>
      <c r="G129" s="1014" t="s">
        <v>128</v>
      </c>
      <c r="H129" s="1036"/>
      <c r="I129" s="1036"/>
      <c r="J129" s="1145" t="s">
        <v>2628</v>
      </c>
    </row>
    <row r="130" spans="1:10" ht="24" x14ac:dyDescent="0.2">
      <c r="A130" s="1144" t="s">
        <v>767</v>
      </c>
      <c r="B130" s="1013" t="s">
        <v>640</v>
      </c>
      <c r="C130" s="1013" t="s">
        <v>641</v>
      </c>
      <c r="D130" s="1084">
        <v>231</v>
      </c>
      <c r="E130" s="1083">
        <v>383504</v>
      </c>
      <c r="F130" s="1082"/>
      <c r="G130" s="1014" t="s">
        <v>663</v>
      </c>
      <c r="H130" s="1036"/>
      <c r="I130" s="1036"/>
      <c r="J130" s="1145" t="s">
        <v>2628</v>
      </c>
    </row>
    <row r="131" spans="1:10" ht="48" x14ac:dyDescent="0.2">
      <c r="A131" s="1144" t="s">
        <v>768</v>
      </c>
      <c r="B131" s="1013" t="s">
        <v>640</v>
      </c>
      <c r="C131" s="1013" t="s">
        <v>641</v>
      </c>
      <c r="D131" s="1084">
        <v>242</v>
      </c>
      <c r="E131" s="1083">
        <v>42300</v>
      </c>
      <c r="F131" s="1082" t="s">
        <v>13898</v>
      </c>
      <c r="G131" s="1014" t="s">
        <v>128</v>
      </c>
      <c r="H131" s="1036"/>
      <c r="I131" s="1036"/>
      <c r="J131" s="1145" t="s">
        <v>2628</v>
      </c>
    </row>
    <row r="132" spans="1:10" ht="24" x14ac:dyDescent="0.2">
      <c r="A132" s="1144" t="s">
        <v>769</v>
      </c>
      <c r="B132" s="1013" t="s">
        <v>640</v>
      </c>
      <c r="C132" s="1013" t="s">
        <v>641</v>
      </c>
      <c r="D132" s="1084">
        <v>245</v>
      </c>
      <c r="E132" s="1083">
        <v>57813.33</v>
      </c>
      <c r="F132" s="1082"/>
      <c r="G132" s="1014" t="s">
        <v>663</v>
      </c>
      <c r="H132" s="1036"/>
      <c r="I132" s="1036"/>
      <c r="J132" s="1145" t="s">
        <v>2628</v>
      </c>
    </row>
    <row r="133" spans="1:10" ht="36" x14ac:dyDescent="0.2">
      <c r="A133" s="1144" t="s">
        <v>770</v>
      </c>
      <c r="B133" s="1013" t="s">
        <v>640</v>
      </c>
      <c r="C133" s="1013" t="s">
        <v>641</v>
      </c>
      <c r="D133" s="1084">
        <v>211</v>
      </c>
      <c r="E133" s="1083">
        <v>86421</v>
      </c>
      <c r="F133" s="1082" t="s">
        <v>13899</v>
      </c>
      <c r="G133" s="1014" t="s">
        <v>128</v>
      </c>
      <c r="H133" s="1036"/>
      <c r="I133" s="1036"/>
      <c r="J133" s="1145" t="s">
        <v>2628</v>
      </c>
    </row>
    <row r="134" spans="1:10" ht="21" customHeight="1" x14ac:dyDescent="0.2">
      <c r="A134" s="1144" t="s">
        <v>771</v>
      </c>
      <c r="B134" s="1013" t="s">
        <v>640</v>
      </c>
      <c r="C134" s="1013" t="s">
        <v>641</v>
      </c>
      <c r="D134" s="1084">
        <v>241</v>
      </c>
      <c r="E134" s="1083">
        <v>169890</v>
      </c>
      <c r="F134" s="1082" t="s">
        <v>13900</v>
      </c>
      <c r="G134" s="1014" t="s">
        <v>128</v>
      </c>
      <c r="H134" s="1036"/>
      <c r="I134" s="1036"/>
      <c r="J134" s="1145" t="s">
        <v>2628</v>
      </c>
    </row>
    <row r="135" spans="1:10" ht="48" x14ac:dyDescent="0.2">
      <c r="A135" s="1144" t="s">
        <v>772</v>
      </c>
      <c r="B135" s="1013" t="s">
        <v>640</v>
      </c>
      <c r="C135" s="1013" t="s">
        <v>641</v>
      </c>
      <c r="D135" s="1084">
        <v>239</v>
      </c>
      <c r="E135" s="1083">
        <v>319340.33</v>
      </c>
      <c r="F135" s="1082"/>
      <c r="G135" s="1014" t="s">
        <v>663</v>
      </c>
      <c r="H135" s="1036"/>
      <c r="I135" s="1036"/>
      <c r="J135" s="1145" t="s">
        <v>2628</v>
      </c>
    </row>
    <row r="136" spans="1:10" ht="36" x14ac:dyDescent="0.2">
      <c r="A136" s="1144" t="s">
        <v>773</v>
      </c>
      <c r="B136" s="1013" t="s">
        <v>640</v>
      </c>
      <c r="C136" s="1013" t="s">
        <v>641</v>
      </c>
      <c r="D136" s="1084">
        <v>232</v>
      </c>
      <c r="E136" s="1083">
        <v>46767</v>
      </c>
      <c r="F136" s="1082" t="s">
        <v>13899</v>
      </c>
      <c r="G136" s="1014" t="s">
        <v>128</v>
      </c>
      <c r="H136" s="1036"/>
      <c r="I136" s="1036"/>
      <c r="J136" s="1145" t="s">
        <v>2628</v>
      </c>
    </row>
    <row r="137" spans="1:10" ht="24" x14ac:dyDescent="0.2">
      <c r="A137" s="1144" t="s">
        <v>774</v>
      </c>
      <c r="B137" s="1013" t="s">
        <v>640</v>
      </c>
      <c r="C137" s="1013" t="s">
        <v>641</v>
      </c>
      <c r="D137" s="1084">
        <v>214</v>
      </c>
      <c r="E137" s="1083">
        <v>281989.94</v>
      </c>
      <c r="F137" s="1082"/>
      <c r="G137" s="1014" t="s">
        <v>663</v>
      </c>
      <c r="H137" s="1036"/>
      <c r="I137" s="1036"/>
      <c r="J137" s="1145" t="s">
        <v>2628</v>
      </c>
    </row>
    <row r="138" spans="1:10" ht="24" x14ac:dyDescent="0.2">
      <c r="A138" s="1144" t="s">
        <v>659</v>
      </c>
      <c r="B138" s="1013" t="s">
        <v>640</v>
      </c>
      <c r="C138" s="1013" t="s">
        <v>641</v>
      </c>
      <c r="D138" s="1084">
        <v>207</v>
      </c>
      <c r="E138" s="1083">
        <v>283239.94</v>
      </c>
      <c r="F138" s="1082"/>
      <c r="G138" s="1014" t="s">
        <v>663</v>
      </c>
      <c r="H138" s="1036"/>
      <c r="I138" s="1036"/>
      <c r="J138" s="1145" t="s">
        <v>2628</v>
      </c>
    </row>
    <row r="139" spans="1:10" ht="24" x14ac:dyDescent="0.2">
      <c r="A139" s="1144" t="s">
        <v>659</v>
      </c>
      <c r="B139" s="1013" t="s">
        <v>640</v>
      </c>
      <c r="C139" s="1013" t="s">
        <v>641</v>
      </c>
      <c r="D139" s="1084">
        <v>129</v>
      </c>
      <c r="E139" s="1083">
        <v>297833.33</v>
      </c>
      <c r="F139" s="1082"/>
      <c r="G139" s="1014" t="s">
        <v>663</v>
      </c>
      <c r="H139" s="1036"/>
      <c r="I139" s="1036"/>
      <c r="J139" s="1145" t="s">
        <v>2628</v>
      </c>
    </row>
    <row r="140" spans="1:10" x14ac:dyDescent="0.2">
      <c r="A140" s="1144" t="s">
        <v>775</v>
      </c>
      <c r="B140" s="1013" t="s">
        <v>640</v>
      </c>
      <c r="C140" s="1013" t="s">
        <v>641</v>
      </c>
      <c r="D140" s="1084">
        <v>144</v>
      </c>
      <c r="E140" s="1083">
        <v>110795</v>
      </c>
      <c r="F140" s="1082"/>
      <c r="G140" s="1014" t="s">
        <v>663</v>
      </c>
      <c r="H140" s="1036"/>
      <c r="I140" s="1036"/>
      <c r="J140" s="1145" t="s">
        <v>2628</v>
      </c>
    </row>
    <row r="141" spans="1:10" ht="24" x14ac:dyDescent="0.2">
      <c r="A141" s="1144" t="s">
        <v>776</v>
      </c>
      <c r="B141" s="1013" t="s">
        <v>640</v>
      </c>
      <c r="C141" s="1013" t="s">
        <v>641</v>
      </c>
      <c r="D141" s="1084">
        <v>97</v>
      </c>
      <c r="E141" s="1083">
        <v>77332.67</v>
      </c>
      <c r="F141" s="1082"/>
      <c r="G141" s="1014" t="s">
        <v>663</v>
      </c>
      <c r="H141" s="1036"/>
      <c r="I141" s="1036"/>
      <c r="J141" s="1145" t="s">
        <v>2628</v>
      </c>
    </row>
    <row r="142" spans="1:10" ht="96" x14ac:dyDescent="0.2">
      <c r="A142" s="1144" t="s">
        <v>699</v>
      </c>
      <c r="B142" s="1013" t="s">
        <v>678</v>
      </c>
      <c r="C142" s="1013" t="s">
        <v>641</v>
      </c>
      <c r="D142" s="1084">
        <v>50</v>
      </c>
      <c r="E142" s="1083">
        <v>67500</v>
      </c>
      <c r="F142" s="1082" t="s">
        <v>13901</v>
      </c>
      <c r="G142" s="1014" t="s">
        <v>128</v>
      </c>
      <c r="H142" s="1036"/>
      <c r="I142" s="1036"/>
      <c r="J142" s="1145" t="s">
        <v>2628</v>
      </c>
    </row>
    <row r="143" spans="1:10" ht="24" x14ac:dyDescent="0.2">
      <c r="A143" s="1144" t="s">
        <v>777</v>
      </c>
      <c r="B143" s="1013" t="s">
        <v>640</v>
      </c>
      <c r="C143" s="1013" t="s">
        <v>641</v>
      </c>
      <c r="D143" s="1084">
        <v>191</v>
      </c>
      <c r="E143" s="1083">
        <v>43854</v>
      </c>
      <c r="F143" s="1082" t="s">
        <v>13902</v>
      </c>
      <c r="G143" s="1014" t="s">
        <v>128</v>
      </c>
      <c r="H143" s="1036"/>
      <c r="I143" s="1036"/>
      <c r="J143" s="1145" t="s">
        <v>2628</v>
      </c>
    </row>
    <row r="144" spans="1:10" ht="24" x14ac:dyDescent="0.2">
      <c r="A144" s="1144" t="s">
        <v>639</v>
      </c>
      <c r="B144" s="1013" t="s">
        <v>640</v>
      </c>
      <c r="C144" s="1013" t="s">
        <v>641</v>
      </c>
      <c r="D144" s="1084">
        <v>196</v>
      </c>
      <c r="E144" s="1083">
        <v>83492</v>
      </c>
      <c r="F144" s="1082"/>
      <c r="G144" s="1014" t="s">
        <v>663</v>
      </c>
      <c r="H144" s="1036"/>
      <c r="I144" s="1036"/>
      <c r="J144" s="1145" t="s">
        <v>2628</v>
      </c>
    </row>
    <row r="145" spans="1:10" ht="96" x14ac:dyDescent="0.2">
      <c r="A145" s="1144" t="s">
        <v>778</v>
      </c>
      <c r="B145" s="1013" t="s">
        <v>640</v>
      </c>
      <c r="C145" s="1013" t="s">
        <v>641</v>
      </c>
      <c r="D145" s="1084">
        <v>220</v>
      </c>
      <c r="E145" s="1083">
        <v>64421</v>
      </c>
      <c r="F145" s="1082" t="s">
        <v>13903</v>
      </c>
      <c r="G145" s="1014" t="s">
        <v>128</v>
      </c>
      <c r="H145" s="1036"/>
      <c r="I145" s="1036"/>
      <c r="J145" s="1145" t="s">
        <v>2628</v>
      </c>
    </row>
    <row r="146" spans="1:10" ht="36" x14ac:dyDescent="0.2">
      <c r="A146" s="1144" t="s">
        <v>779</v>
      </c>
      <c r="B146" s="1013" t="s">
        <v>640</v>
      </c>
      <c r="C146" s="1013" t="s">
        <v>641</v>
      </c>
      <c r="D146" s="1084">
        <v>212</v>
      </c>
      <c r="E146" s="1083">
        <v>52422</v>
      </c>
      <c r="F146" s="1082" t="s">
        <v>13899</v>
      </c>
      <c r="G146" s="1014" t="s">
        <v>128</v>
      </c>
      <c r="H146" s="1036"/>
      <c r="I146" s="1036"/>
      <c r="J146" s="1145" t="s">
        <v>2628</v>
      </c>
    </row>
    <row r="147" spans="1:10" ht="48" x14ac:dyDescent="0.2">
      <c r="A147" s="1144" t="s">
        <v>780</v>
      </c>
      <c r="B147" s="1013" t="s">
        <v>640</v>
      </c>
      <c r="C147" s="1013" t="s">
        <v>641</v>
      </c>
      <c r="D147" s="1084">
        <v>204</v>
      </c>
      <c r="E147" s="1083">
        <v>52000</v>
      </c>
      <c r="F147" s="1082" t="s">
        <v>13904</v>
      </c>
      <c r="G147" s="1014" t="s">
        <v>128</v>
      </c>
      <c r="H147" s="1036"/>
      <c r="I147" s="1036"/>
      <c r="J147" s="1145" t="s">
        <v>2628</v>
      </c>
    </row>
    <row r="148" spans="1:10" ht="120" x14ac:dyDescent="0.2">
      <c r="A148" s="1144" t="s">
        <v>781</v>
      </c>
      <c r="B148" s="1013" t="s">
        <v>640</v>
      </c>
      <c r="C148" s="1013" t="s">
        <v>737</v>
      </c>
      <c r="D148" s="1084">
        <v>159</v>
      </c>
      <c r="E148" s="1083">
        <v>148614.72</v>
      </c>
      <c r="F148" s="1082" t="s">
        <v>13905</v>
      </c>
      <c r="G148" s="1014" t="s">
        <v>128</v>
      </c>
      <c r="H148" s="1036"/>
      <c r="I148" s="1036"/>
      <c r="J148" s="1145" t="s">
        <v>2628</v>
      </c>
    </row>
    <row r="149" spans="1:10" ht="96" x14ac:dyDescent="0.2">
      <c r="A149" s="1144" t="s">
        <v>782</v>
      </c>
      <c r="B149" s="1013" t="s">
        <v>640</v>
      </c>
      <c r="C149" s="1013" t="s">
        <v>641</v>
      </c>
      <c r="D149" s="1084">
        <v>226</v>
      </c>
      <c r="E149" s="1083">
        <v>45080</v>
      </c>
      <c r="F149" s="1082" t="s">
        <v>13906</v>
      </c>
      <c r="G149" s="1014" t="s">
        <v>128</v>
      </c>
      <c r="H149" s="1036"/>
      <c r="I149" s="1036"/>
      <c r="J149" s="1145" t="s">
        <v>2628</v>
      </c>
    </row>
    <row r="150" spans="1:10" ht="72" x14ac:dyDescent="0.2">
      <c r="A150" s="1144" t="s">
        <v>783</v>
      </c>
      <c r="B150" s="1013" t="s">
        <v>640</v>
      </c>
      <c r="C150" s="1013" t="s">
        <v>644</v>
      </c>
      <c r="D150" s="1084">
        <v>215</v>
      </c>
      <c r="E150" s="1083">
        <v>331170</v>
      </c>
      <c r="F150" s="1082" t="s">
        <v>13907</v>
      </c>
      <c r="G150" s="1014" t="s">
        <v>128</v>
      </c>
      <c r="H150" s="1036"/>
      <c r="I150" s="1036"/>
      <c r="J150" s="1145" t="s">
        <v>2628</v>
      </c>
    </row>
    <row r="151" spans="1:10" ht="36" x14ac:dyDescent="0.2">
      <c r="A151" s="1144" t="s">
        <v>784</v>
      </c>
      <c r="B151" s="1013" t="s">
        <v>640</v>
      </c>
      <c r="C151" s="1013" t="s">
        <v>641</v>
      </c>
      <c r="D151" s="1084">
        <v>206</v>
      </c>
      <c r="E151" s="1083">
        <v>49659</v>
      </c>
      <c r="F151" s="1082" t="s">
        <v>13908</v>
      </c>
      <c r="G151" s="1014" t="s">
        <v>128</v>
      </c>
      <c r="H151" s="1036"/>
      <c r="I151" s="1036"/>
      <c r="J151" s="1145" t="s">
        <v>2628</v>
      </c>
    </row>
    <row r="152" spans="1:10" ht="36" x14ac:dyDescent="0.2">
      <c r="A152" s="1144" t="s">
        <v>786</v>
      </c>
      <c r="B152" s="1013" t="s">
        <v>655</v>
      </c>
      <c r="C152" s="1013" t="s">
        <v>644</v>
      </c>
      <c r="D152" s="1084">
        <v>1</v>
      </c>
      <c r="E152" s="1083">
        <v>682263</v>
      </c>
      <c r="F152" s="1082"/>
      <c r="G152" s="1014" t="s">
        <v>663</v>
      </c>
      <c r="H152" s="1036"/>
      <c r="I152" s="1036"/>
      <c r="J152" s="1145" t="s">
        <v>2628</v>
      </c>
    </row>
    <row r="153" spans="1:10" ht="36" x14ac:dyDescent="0.2">
      <c r="A153" s="1144" t="s">
        <v>787</v>
      </c>
      <c r="B153" s="1013" t="s">
        <v>617</v>
      </c>
      <c r="C153" s="1013" t="s">
        <v>665</v>
      </c>
      <c r="D153" s="1084">
        <v>11</v>
      </c>
      <c r="E153" s="1083">
        <v>2761361.18</v>
      </c>
      <c r="F153" s="1082"/>
      <c r="G153" s="1014" t="s">
        <v>663</v>
      </c>
      <c r="H153" s="1036"/>
      <c r="I153" s="1036"/>
      <c r="J153" s="1145" t="s">
        <v>2628</v>
      </c>
    </row>
    <row r="154" spans="1:10" ht="24" x14ac:dyDescent="0.2">
      <c r="A154" s="1144" t="s">
        <v>788</v>
      </c>
      <c r="B154" s="1013" t="s">
        <v>640</v>
      </c>
      <c r="C154" s="1013" t="s">
        <v>644</v>
      </c>
      <c r="D154" s="1084">
        <v>133</v>
      </c>
      <c r="E154" s="1083">
        <v>63990</v>
      </c>
      <c r="F154" s="1082" t="s">
        <v>621</v>
      </c>
      <c r="G154" s="1014" t="s">
        <v>13909</v>
      </c>
      <c r="H154" s="1036"/>
      <c r="I154" s="1036"/>
      <c r="J154" s="1145" t="s">
        <v>2628</v>
      </c>
    </row>
    <row r="155" spans="1:10" ht="96" x14ac:dyDescent="0.2">
      <c r="A155" s="1144" t="s">
        <v>789</v>
      </c>
      <c r="B155" s="1013" t="s">
        <v>640</v>
      </c>
      <c r="C155" s="1013" t="s">
        <v>641</v>
      </c>
      <c r="D155" s="1084">
        <v>171</v>
      </c>
      <c r="E155" s="1083">
        <v>184500</v>
      </c>
      <c r="F155" s="1082" t="s">
        <v>13910</v>
      </c>
      <c r="G155" s="1014" t="s">
        <v>128</v>
      </c>
      <c r="H155" s="1036"/>
      <c r="I155" s="1036"/>
      <c r="J155" s="1145" t="s">
        <v>2628</v>
      </c>
    </row>
    <row r="156" spans="1:10" ht="36" x14ac:dyDescent="0.2">
      <c r="A156" s="1144" t="s">
        <v>790</v>
      </c>
      <c r="B156" s="1013" t="s">
        <v>640</v>
      </c>
      <c r="C156" s="1013" t="s">
        <v>641</v>
      </c>
      <c r="D156" s="1084">
        <v>190</v>
      </c>
      <c r="E156" s="1083">
        <v>83919.71</v>
      </c>
      <c r="F156" s="1082" t="s">
        <v>13889</v>
      </c>
      <c r="G156" s="1014" t="s">
        <v>128</v>
      </c>
      <c r="H156" s="1036"/>
      <c r="I156" s="1036"/>
      <c r="J156" s="1145" t="s">
        <v>2628</v>
      </c>
    </row>
    <row r="157" spans="1:10" ht="24" x14ac:dyDescent="0.2">
      <c r="A157" s="1144" t="s">
        <v>791</v>
      </c>
      <c r="B157" s="1013" t="s">
        <v>640</v>
      </c>
      <c r="C157" s="1013" t="s">
        <v>641</v>
      </c>
      <c r="D157" s="1084">
        <v>210</v>
      </c>
      <c r="E157" s="1083">
        <v>42501</v>
      </c>
      <c r="F157" s="1082" t="s">
        <v>13911</v>
      </c>
      <c r="G157" s="1014" t="s">
        <v>128</v>
      </c>
      <c r="H157" s="1036"/>
      <c r="I157" s="1036"/>
      <c r="J157" s="1145" t="s">
        <v>2628</v>
      </c>
    </row>
    <row r="158" spans="1:10" x14ac:dyDescent="0.2">
      <c r="A158" s="1144" t="s">
        <v>792</v>
      </c>
      <c r="B158" s="1013" t="s">
        <v>640</v>
      </c>
      <c r="C158" s="1013" t="s">
        <v>641</v>
      </c>
      <c r="D158" s="1084">
        <v>90</v>
      </c>
      <c r="E158" s="1083">
        <v>87428.85</v>
      </c>
      <c r="F158" s="1082" t="s">
        <v>621</v>
      </c>
      <c r="G158" s="1014" t="s">
        <v>1089</v>
      </c>
      <c r="H158" s="1036"/>
      <c r="I158" s="1036"/>
      <c r="J158" s="1145" t="s">
        <v>2628</v>
      </c>
    </row>
    <row r="159" spans="1:10" ht="68.25" customHeight="1" x14ac:dyDescent="0.2">
      <c r="A159" s="1144" t="s">
        <v>793</v>
      </c>
      <c r="B159" s="1013" t="s">
        <v>617</v>
      </c>
      <c r="C159" s="1013" t="s">
        <v>665</v>
      </c>
      <c r="D159" s="1084">
        <v>9</v>
      </c>
      <c r="E159" s="1083">
        <v>2740707.98</v>
      </c>
      <c r="F159" s="1082"/>
      <c r="G159" s="1014" t="s">
        <v>663</v>
      </c>
      <c r="H159" s="1036"/>
      <c r="I159" s="1036"/>
      <c r="J159" s="1145" t="s">
        <v>2628</v>
      </c>
    </row>
    <row r="160" spans="1:10" ht="29.25" customHeight="1" x14ac:dyDescent="0.2">
      <c r="A160" s="1144" t="s">
        <v>794</v>
      </c>
      <c r="B160" s="1013" t="s">
        <v>617</v>
      </c>
      <c r="C160" s="1013" t="s">
        <v>665</v>
      </c>
      <c r="D160" s="1084">
        <v>10</v>
      </c>
      <c r="E160" s="1083">
        <v>3368482.13</v>
      </c>
      <c r="F160" s="1082"/>
      <c r="G160" s="1014" t="s">
        <v>663</v>
      </c>
      <c r="H160" s="1036"/>
      <c r="I160" s="1036"/>
      <c r="J160" s="1145" t="s">
        <v>2628</v>
      </c>
    </row>
    <row r="161" spans="1:10" ht="60" x14ac:dyDescent="0.2">
      <c r="A161" s="1144" t="s">
        <v>795</v>
      </c>
      <c r="B161" s="1013" t="s">
        <v>617</v>
      </c>
      <c r="C161" s="1013" t="s">
        <v>665</v>
      </c>
      <c r="D161" s="1084">
        <v>8</v>
      </c>
      <c r="E161" s="1083">
        <v>2587097.67</v>
      </c>
      <c r="F161" s="1082"/>
      <c r="G161" s="1014" t="s">
        <v>663</v>
      </c>
      <c r="H161" s="1036"/>
      <c r="I161" s="1036"/>
      <c r="J161" s="1145" t="s">
        <v>2628</v>
      </c>
    </row>
    <row r="162" spans="1:10" ht="32.25" customHeight="1" x14ac:dyDescent="0.2">
      <c r="A162" s="1144" t="s">
        <v>796</v>
      </c>
      <c r="B162" s="1013" t="s">
        <v>640</v>
      </c>
      <c r="C162" s="1013" t="s">
        <v>644</v>
      </c>
      <c r="D162" s="1084">
        <v>157</v>
      </c>
      <c r="E162" s="1083">
        <v>75960</v>
      </c>
      <c r="F162" s="1082" t="s">
        <v>13912</v>
      </c>
      <c r="G162" s="1014" t="s">
        <v>128</v>
      </c>
      <c r="H162" s="1036"/>
      <c r="I162" s="1036"/>
      <c r="J162" s="1145" t="s">
        <v>2628</v>
      </c>
    </row>
    <row r="163" spans="1:10" ht="24" x14ac:dyDescent="0.2">
      <c r="A163" s="1144" t="s">
        <v>797</v>
      </c>
      <c r="B163" s="1013" t="s">
        <v>640</v>
      </c>
      <c r="C163" s="1013" t="s">
        <v>641</v>
      </c>
      <c r="D163" s="1084">
        <v>222</v>
      </c>
      <c r="E163" s="1083">
        <v>181175</v>
      </c>
      <c r="F163" s="1082" t="s">
        <v>13913</v>
      </c>
      <c r="G163" s="1014" t="s">
        <v>128</v>
      </c>
      <c r="H163" s="1036"/>
      <c r="I163" s="1036"/>
      <c r="J163" s="1145" t="s">
        <v>2628</v>
      </c>
    </row>
    <row r="164" spans="1:10" ht="21" customHeight="1" x14ac:dyDescent="0.2">
      <c r="A164" s="1144" t="s">
        <v>695</v>
      </c>
      <c r="B164" s="1013" t="s">
        <v>678</v>
      </c>
      <c r="C164" s="1013" t="s">
        <v>641</v>
      </c>
      <c r="D164" s="1084">
        <v>55</v>
      </c>
      <c r="E164" s="1083">
        <v>89000</v>
      </c>
      <c r="F164" s="1082" t="s">
        <v>13914</v>
      </c>
      <c r="G164" s="1014" t="s">
        <v>128</v>
      </c>
      <c r="H164" s="1036"/>
      <c r="I164" s="1036"/>
      <c r="J164" s="1145" t="s">
        <v>2628</v>
      </c>
    </row>
    <row r="165" spans="1:10" ht="24" x14ac:dyDescent="0.2">
      <c r="A165" s="1144" t="s">
        <v>791</v>
      </c>
      <c r="B165" s="1013" t="s">
        <v>640</v>
      </c>
      <c r="C165" s="1013" t="s">
        <v>641</v>
      </c>
      <c r="D165" s="1084">
        <v>213</v>
      </c>
      <c r="E165" s="1083">
        <v>121745</v>
      </c>
      <c r="F165" s="1082" t="s">
        <v>13911</v>
      </c>
      <c r="G165" s="1014" t="s">
        <v>128</v>
      </c>
      <c r="H165" s="1036"/>
      <c r="I165" s="1036"/>
      <c r="J165" s="1145" t="s">
        <v>2628</v>
      </c>
    </row>
    <row r="166" spans="1:10" ht="48" x14ac:dyDescent="0.2">
      <c r="A166" s="1144" t="s">
        <v>798</v>
      </c>
      <c r="B166" s="1013" t="s">
        <v>678</v>
      </c>
      <c r="C166" s="1013" t="s">
        <v>641</v>
      </c>
      <c r="D166" s="1084">
        <v>54</v>
      </c>
      <c r="E166" s="1083">
        <v>47052</v>
      </c>
      <c r="F166" s="1082" t="s">
        <v>13915</v>
      </c>
      <c r="G166" s="1014" t="s">
        <v>128</v>
      </c>
      <c r="H166" s="1036"/>
      <c r="I166" s="1036"/>
      <c r="J166" s="1145" t="s">
        <v>2628</v>
      </c>
    </row>
    <row r="167" spans="1:10" ht="84" x14ac:dyDescent="0.2">
      <c r="A167" s="1144" t="s">
        <v>799</v>
      </c>
      <c r="B167" s="1013" t="s">
        <v>678</v>
      </c>
      <c r="C167" s="1013" t="s">
        <v>641</v>
      </c>
      <c r="D167" s="1084">
        <v>58</v>
      </c>
      <c r="E167" s="1083">
        <v>57000</v>
      </c>
      <c r="F167" s="1082" t="s">
        <v>13916</v>
      </c>
      <c r="G167" s="1014" t="s">
        <v>128</v>
      </c>
      <c r="H167" s="1036"/>
      <c r="I167" s="1036"/>
      <c r="J167" s="1145" t="s">
        <v>2628</v>
      </c>
    </row>
    <row r="168" spans="1:10" ht="48" x14ac:dyDescent="0.2">
      <c r="A168" s="1144" t="s">
        <v>800</v>
      </c>
      <c r="B168" s="1013" t="s">
        <v>640</v>
      </c>
      <c r="C168" s="1013" t="s">
        <v>641</v>
      </c>
      <c r="D168" s="1084">
        <v>197</v>
      </c>
      <c r="E168" s="1083">
        <v>74800</v>
      </c>
      <c r="F168" s="1082" t="s">
        <v>13917</v>
      </c>
      <c r="G168" s="1014" t="s">
        <v>128</v>
      </c>
      <c r="H168" s="1036"/>
      <c r="I168" s="1036"/>
      <c r="J168" s="1145" t="s">
        <v>2628</v>
      </c>
    </row>
    <row r="169" spans="1:10" ht="96" x14ac:dyDescent="0.2">
      <c r="A169" s="1144" t="s">
        <v>801</v>
      </c>
      <c r="B169" s="1013" t="s">
        <v>640</v>
      </c>
      <c r="C169" s="1013" t="s">
        <v>737</v>
      </c>
      <c r="D169" s="1084">
        <v>155</v>
      </c>
      <c r="E169" s="1083">
        <v>159169.1</v>
      </c>
      <c r="F169" s="1082" t="s">
        <v>13910</v>
      </c>
      <c r="G169" s="1014" t="s">
        <v>128</v>
      </c>
      <c r="H169" s="1036"/>
      <c r="I169" s="1036"/>
      <c r="J169" s="1145" t="s">
        <v>2628</v>
      </c>
    </row>
    <row r="170" spans="1:10" ht="36" x14ac:dyDescent="0.2">
      <c r="A170" s="1144" t="s">
        <v>802</v>
      </c>
      <c r="B170" s="1013" t="s">
        <v>678</v>
      </c>
      <c r="C170" s="1013" t="s">
        <v>641</v>
      </c>
      <c r="D170" s="1084">
        <v>56</v>
      </c>
      <c r="E170" s="1083">
        <v>34200</v>
      </c>
      <c r="F170" s="1082" t="s">
        <v>13918</v>
      </c>
      <c r="G170" s="1014" t="s">
        <v>128</v>
      </c>
      <c r="H170" s="1036"/>
      <c r="I170" s="1036"/>
      <c r="J170" s="1145" t="s">
        <v>2628</v>
      </c>
    </row>
    <row r="171" spans="1:10" ht="21.75" customHeight="1" x14ac:dyDescent="0.2">
      <c r="A171" s="1144" t="s">
        <v>803</v>
      </c>
      <c r="B171" s="1013" t="s">
        <v>678</v>
      </c>
      <c r="C171" s="1013" t="s">
        <v>641</v>
      </c>
      <c r="D171" s="1084">
        <v>53</v>
      </c>
      <c r="E171" s="1083">
        <v>40000</v>
      </c>
      <c r="F171" s="1082" t="s">
        <v>13919</v>
      </c>
      <c r="G171" s="1014" t="s">
        <v>128</v>
      </c>
      <c r="H171" s="1036"/>
      <c r="I171" s="1036"/>
      <c r="J171" s="1145" t="s">
        <v>2628</v>
      </c>
    </row>
    <row r="172" spans="1:10" ht="72" x14ac:dyDescent="0.2">
      <c r="A172" s="1144" t="s">
        <v>699</v>
      </c>
      <c r="B172" s="1013" t="s">
        <v>678</v>
      </c>
      <c r="C172" s="1013" t="s">
        <v>641</v>
      </c>
      <c r="D172" s="1084">
        <v>57</v>
      </c>
      <c r="E172" s="1083">
        <v>69580</v>
      </c>
      <c r="F172" s="1082" t="s">
        <v>13920</v>
      </c>
      <c r="G172" s="1014" t="s">
        <v>128</v>
      </c>
      <c r="H172" s="1036"/>
      <c r="I172" s="1036"/>
      <c r="J172" s="1145" t="s">
        <v>2628</v>
      </c>
    </row>
    <row r="173" spans="1:10" ht="48" x14ac:dyDescent="0.2">
      <c r="A173" s="1144" t="s">
        <v>804</v>
      </c>
      <c r="B173" s="1013" t="s">
        <v>640</v>
      </c>
      <c r="C173" s="1013" t="s">
        <v>641</v>
      </c>
      <c r="D173" s="1084">
        <v>192</v>
      </c>
      <c r="E173" s="1083">
        <v>42090</v>
      </c>
      <c r="F173" s="1082" t="s">
        <v>13921</v>
      </c>
      <c r="G173" s="1014" t="s">
        <v>128</v>
      </c>
      <c r="H173" s="1036"/>
      <c r="I173" s="1036"/>
      <c r="J173" s="1145" t="s">
        <v>2628</v>
      </c>
    </row>
    <row r="174" spans="1:10" ht="60" x14ac:dyDescent="0.2">
      <c r="A174" s="1144" t="s">
        <v>805</v>
      </c>
      <c r="B174" s="1013" t="s">
        <v>617</v>
      </c>
      <c r="C174" s="1013" t="s">
        <v>665</v>
      </c>
      <c r="D174" s="1084">
        <v>7</v>
      </c>
      <c r="E174" s="1083">
        <v>4360512.67</v>
      </c>
      <c r="F174" s="1082"/>
      <c r="G174" s="1014" t="s">
        <v>663</v>
      </c>
      <c r="H174" s="1036"/>
      <c r="I174" s="1036"/>
      <c r="J174" s="1145" t="s">
        <v>2628</v>
      </c>
    </row>
    <row r="175" spans="1:10" ht="24" x14ac:dyDescent="0.2">
      <c r="A175" s="1144" t="s">
        <v>806</v>
      </c>
      <c r="B175" s="1013" t="s">
        <v>640</v>
      </c>
      <c r="C175" s="1013" t="s">
        <v>641</v>
      </c>
      <c r="D175" s="1084">
        <v>198</v>
      </c>
      <c r="E175" s="1083">
        <v>40020</v>
      </c>
      <c r="F175" s="1082"/>
      <c r="G175" s="1014" t="s">
        <v>663</v>
      </c>
      <c r="H175" s="1036"/>
      <c r="I175" s="1036"/>
      <c r="J175" s="1145" t="s">
        <v>2628</v>
      </c>
    </row>
    <row r="176" spans="1:10" ht="30" customHeight="1" x14ac:dyDescent="0.2">
      <c r="A176" s="1144" t="s">
        <v>807</v>
      </c>
      <c r="B176" s="1013" t="s">
        <v>640</v>
      </c>
      <c r="C176" s="1013" t="s">
        <v>641</v>
      </c>
      <c r="D176" s="1084">
        <v>218</v>
      </c>
      <c r="E176" s="1083">
        <v>158671.20000000001</v>
      </c>
      <c r="F176" s="1082"/>
      <c r="G176" s="1014" t="s">
        <v>663</v>
      </c>
      <c r="H176" s="1036"/>
      <c r="I176" s="1036"/>
      <c r="J176" s="1145" t="s">
        <v>2628</v>
      </c>
    </row>
    <row r="177" spans="1:10" ht="30" customHeight="1" x14ac:dyDescent="0.2">
      <c r="A177" s="1144" t="s">
        <v>808</v>
      </c>
      <c r="B177" s="1013" t="s">
        <v>640</v>
      </c>
      <c r="C177" s="1013" t="s">
        <v>641</v>
      </c>
      <c r="D177" s="1084">
        <v>162</v>
      </c>
      <c r="E177" s="1083">
        <v>52583.33</v>
      </c>
      <c r="F177" s="1082"/>
      <c r="G177" s="1014" t="s">
        <v>663</v>
      </c>
      <c r="H177" s="1036"/>
      <c r="I177" s="1036"/>
      <c r="J177" s="1145" t="s">
        <v>2628</v>
      </c>
    </row>
    <row r="178" spans="1:10" ht="30" customHeight="1" x14ac:dyDescent="0.2">
      <c r="A178" s="1144" t="s">
        <v>809</v>
      </c>
      <c r="B178" s="1013" t="s">
        <v>640</v>
      </c>
      <c r="C178" s="1013" t="s">
        <v>641</v>
      </c>
      <c r="D178" s="1084">
        <v>149</v>
      </c>
      <c r="E178" s="1083">
        <v>51844.1</v>
      </c>
      <c r="F178" s="1082"/>
      <c r="G178" s="1014" t="s">
        <v>663</v>
      </c>
      <c r="H178" s="1036"/>
      <c r="I178" s="1036"/>
      <c r="J178" s="1145" t="s">
        <v>2628</v>
      </c>
    </row>
    <row r="179" spans="1:10" ht="30" customHeight="1" x14ac:dyDescent="0.2">
      <c r="A179" s="1144" t="s">
        <v>810</v>
      </c>
      <c r="B179" s="1013" t="s">
        <v>617</v>
      </c>
      <c r="C179" s="1013" t="s">
        <v>641</v>
      </c>
      <c r="D179" s="1084">
        <v>6</v>
      </c>
      <c r="E179" s="1083">
        <v>452853.33</v>
      </c>
      <c r="F179" s="1082"/>
      <c r="G179" s="1014" t="s">
        <v>663</v>
      </c>
      <c r="H179" s="1036"/>
      <c r="I179" s="1036"/>
      <c r="J179" s="1145" t="s">
        <v>2628</v>
      </c>
    </row>
    <row r="180" spans="1:10" ht="69" customHeight="1" x14ac:dyDescent="0.2">
      <c r="A180" s="1144" t="s">
        <v>811</v>
      </c>
      <c r="B180" s="1013" t="s">
        <v>675</v>
      </c>
      <c r="C180" s="1013" t="s">
        <v>641</v>
      </c>
      <c r="D180" s="1084">
        <v>3</v>
      </c>
      <c r="E180" s="1083">
        <v>43824</v>
      </c>
      <c r="F180" s="1082"/>
      <c r="G180" s="1014" t="s">
        <v>663</v>
      </c>
      <c r="H180" s="1036"/>
      <c r="I180" s="1036"/>
      <c r="J180" s="1145" t="s">
        <v>2628</v>
      </c>
    </row>
    <row r="181" spans="1:10" ht="30" customHeight="1" x14ac:dyDescent="0.2">
      <c r="A181" s="1144" t="s">
        <v>812</v>
      </c>
      <c r="B181" s="1013" t="s">
        <v>640</v>
      </c>
      <c r="C181" s="1013" t="s">
        <v>641</v>
      </c>
      <c r="D181" s="1084">
        <v>185</v>
      </c>
      <c r="E181" s="1083">
        <v>51000</v>
      </c>
      <c r="F181" s="1082" t="s">
        <v>13922</v>
      </c>
      <c r="G181" s="1014" t="s">
        <v>128</v>
      </c>
      <c r="H181" s="1036"/>
      <c r="I181" s="1036"/>
      <c r="J181" s="1145" t="s">
        <v>2628</v>
      </c>
    </row>
    <row r="182" spans="1:10" ht="30" customHeight="1" x14ac:dyDescent="0.2">
      <c r="A182" s="1144" t="s">
        <v>813</v>
      </c>
      <c r="B182" s="1013" t="s">
        <v>640</v>
      </c>
      <c r="C182" s="1013" t="s">
        <v>641</v>
      </c>
      <c r="D182" s="1084">
        <v>189</v>
      </c>
      <c r="E182" s="1083">
        <v>35380</v>
      </c>
      <c r="F182" s="1082" t="s">
        <v>13923</v>
      </c>
      <c r="G182" s="1014" t="s">
        <v>128</v>
      </c>
      <c r="H182" s="1036"/>
      <c r="I182" s="1036"/>
      <c r="J182" s="1145" t="s">
        <v>2628</v>
      </c>
    </row>
    <row r="183" spans="1:10" ht="47.25" customHeight="1" x14ac:dyDescent="0.2">
      <c r="A183" s="1144" t="s">
        <v>814</v>
      </c>
      <c r="B183" s="1013" t="s">
        <v>640</v>
      </c>
      <c r="C183" s="1013" t="s">
        <v>737</v>
      </c>
      <c r="D183" s="1084">
        <v>152</v>
      </c>
      <c r="E183" s="1083">
        <v>101250</v>
      </c>
      <c r="F183" s="1082" t="s">
        <v>13924</v>
      </c>
      <c r="G183" s="1014" t="s">
        <v>128</v>
      </c>
      <c r="H183" s="1036"/>
      <c r="I183" s="1036"/>
      <c r="J183" s="1145" t="s">
        <v>2628</v>
      </c>
    </row>
    <row r="184" spans="1:10" ht="48" x14ac:dyDescent="0.2">
      <c r="A184" s="1144" t="s">
        <v>815</v>
      </c>
      <c r="B184" s="1013" t="s">
        <v>640</v>
      </c>
      <c r="C184" s="1013" t="s">
        <v>641</v>
      </c>
      <c r="D184" s="1084">
        <v>195</v>
      </c>
      <c r="E184" s="1083">
        <v>54560</v>
      </c>
      <c r="F184" s="1082" t="s">
        <v>13925</v>
      </c>
      <c r="G184" s="1014" t="s">
        <v>128</v>
      </c>
      <c r="H184" s="1036"/>
      <c r="I184" s="1036"/>
      <c r="J184" s="1145" t="s">
        <v>2628</v>
      </c>
    </row>
    <row r="185" spans="1:10" ht="36" x14ac:dyDescent="0.2">
      <c r="A185" s="1144" t="s">
        <v>816</v>
      </c>
      <c r="B185" s="1013" t="s">
        <v>617</v>
      </c>
      <c r="C185" s="1013" t="s">
        <v>641</v>
      </c>
      <c r="D185" s="1084">
        <v>3</v>
      </c>
      <c r="E185" s="1083">
        <v>567932.5</v>
      </c>
      <c r="F185" s="1082"/>
      <c r="G185" s="1014" t="s">
        <v>663</v>
      </c>
      <c r="H185" s="1036"/>
      <c r="I185" s="1036"/>
      <c r="J185" s="1145" t="s">
        <v>2628</v>
      </c>
    </row>
    <row r="186" spans="1:10" ht="48" x14ac:dyDescent="0.2">
      <c r="A186" s="1144" t="s">
        <v>817</v>
      </c>
      <c r="B186" s="1013" t="s">
        <v>640</v>
      </c>
      <c r="C186" s="1013" t="s">
        <v>641</v>
      </c>
      <c r="D186" s="1084">
        <v>179</v>
      </c>
      <c r="E186" s="1083">
        <v>62426</v>
      </c>
      <c r="F186" s="1082" t="s">
        <v>13926</v>
      </c>
      <c r="G186" s="1014" t="s">
        <v>128</v>
      </c>
      <c r="H186" s="1036"/>
      <c r="I186" s="1036"/>
      <c r="J186" s="1145" t="s">
        <v>2628</v>
      </c>
    </row>
    <row r="187" spans="1:10" ht="26.25" customHeight="1" x14ac:dyDescent="0.2">
      <c r="A187" s="1144" t="s">
        <v>818</v>
      </c>
      <c r="B187" s="1013" t="s">
        <v>640</v>
      </c>
      <c r="C187" s="1013" t="s">
        <v>644</v>
      </c>
      <c r="D187" s="1084">
        <v>221</v>
      </c>
      <c r="E187" s="1083">
        <v>72661.06</v>
      </c>
      <c r="F187" s="1082" t="s">
        <v>13927</v>
      </c>
      <c r="G187" s="1014" t="s">
        <v>128</v>
      </c>
      <c r="H187" s="1036"/>
      <c r="I187" s="1036"/>
      <c r="J187" s="1145" t="s">
        <v>2628</v>
      </c>
    </row>
    <row r="188" spans="1:10" ht="25.5" customHeight="1" x14ac:dyDescent="0.2">
      <c r="A188" s="1144" t="s">
        <v>819</v>
      </c>
      <c r="B188" s="1013" t="s">
        <v>640</v>
      </c>
      <c r="C188" s="1013" t="s">
        <v>641</v>
      </c>
      <c r="D188" s="1084">
        <v>177</v>
      </c>
      <c r="E188" s="1083">
        <v>159000</v>
      </c>
      <c r="F188" s="1082" t="s">
        <v>13928</v>
      </c>
      <c r="G188" s="1014" t="s">
        <v>128</v>
      </c>
      <c r="H188" s="1036"/>
      <c r="I188" s="1036"/>
      <c r="J188" s="1145" t="s">
        <v>2628</v>
      </c>
    </row>
    <row r="189" spans="1:10" ht="72" x14ac:dyDescent="0.2">
      <c r="A189" s="1144" t="s">
        <v>820</v>
      </c>
      <c r="B189" s="1013" t="s">
        <v>640</v>
      </c>
      <c r="C189" s="1013" t="s">
        <v>641</v>
      </c>
      <c r="D189" s="1084">
        <v>165</v>
      </c>
      <c r="E189" s="1083">
        <v>140000</v>
      </c>
      <c r="F189" s="1082" t="s">
        <v>821</v>
      </c>
      <c r="G189" s="1014" t="s">
        <v>128</v>
      </c>
      <c r="H189" s="1036"/>
      <c r="I189" s="1036"/>
      <c r="J189" s="1145" t="s">
        <v>2628</v>
      </c>
    </row>
    <row r="190" spans="1:10" ht="50.25" customHeight="1" x14ac:dyDescent="0.2">
      <c r="A190" s="1144" t="s">
        <v>822</v>
      </c>
      <c r="B190" s="1013" t="s">
        <v>640</v>
      </c>
      <c r="C190" s="1013" t="s">
        <v>641</v>
      </c>
      <c r="D190" s="1084">
        <v>141</v>
      </c>
      <c r="E190" s="1083">
        <v>107450</v>
      </c>
      <c r="F190" s="1082" t="s">
        <v>13897</v>
      </c>
      <c r="G190" s="1014" t="s">
        <v>128</v>
      </c>
      <c r="H190" s="1036"/>
      <c r="I190" s="1036"/>
      <c r="J190" s="1145" t="s">
        <v>2628</v>
      </c>
    </row>
    <row r="191" spans="1:10" ht="30" customHeight="1" x14ac:dyDescent="0.2">
      <c r="A191" s="1144" t="s">
        <v>823</v>
      </c>
      <c r="B191" s="1013" t="s">
        <v>678</v>
      </c>
      <c r="C191" s="1013" t="s">
        <v>641</v>
      </c>
      <c r="D191" s="1084">
        <v>51</v>
      </c>
      <c r="E191" s="1083">
        <v>99400</v>
      </c>
      <c r="F191" s="1082" t="s">
        <v>13929</v>
      </c>
      <c r="G191" s="1014" t="s">
        <v>128</v>
      </c>
      <c r="H191" s="1036"/>
      <c r="I191" s="1036"/>
      <c r="J191" s="1145" t="s">
        <v>2628</v>
      </c>
    </row>
    <row r="192" spans="1:10" ht="30" customHeight="1" x14ac:dyDescent="0.2">
      <c r="A192" s="1144" t="s">
        <v>824</v>
      </c>
      <c r="B192" s="1013" t="s">
        <v>640</v>
      </c>
      <c r="C192" s="1013" t="s">
        <v>644</v>
      </c>
      <c r="D192" s="1084">
        <v>140</v>
      </c>
      <c r="E192" s="1083">
        <v>110417.91</v>
      </c>
      <c r="F192" s="1082" t="s">
        <v>13930</v>
      </c>
      <c r="G192" s="1014" t="s">
        <v>128</v>
      </c>
      <c r="H192" s="1036"/>
      <c r="I192" s="1036"/>
      <c r="J192" s="1145" t="s">
        <v>2628</v>
      </c>
    </row>
    <row r="193" spans="1:10" ht="30" customHeight="1" x14ac:dyDescent="0.2">
      <c r="A193" s="1144" t="s">
        <v>825</v>
      </c>
      <c r="B193" s="1013" t="s">
        <v>640</v>
      </c>
      <c r="C193" s="1013" t="s">
        <v>641</v>
      </c>
      <c r="D193" s="1084">
        <v>184</v>
      </c>
      <c r="E193" s="1083">
        <v>62500</v>
      </c>
      <c r="F193" s="1082" t="s">
        <v>13931</v>
      </c>
      <c r="G193" s="1014" t="s">
        <v>128</v>
      </c>
      <c r="H193" s="1036"/>
      <c r="I193" s="1036"/>
      <c r="J193" s="1145" t="s">
        <v>2628</v>
      </c>
    </row>
    <row r="194" spans="1:10" ht="48" x14ac:dyDescent="0.2">
      <c r="A194" s="1144" t="s">
        <v>826</v>
      </c>
      <c r="B194" s="1013" t="s">
        <v>640</v>
      </c>
      <c r="C194" s="1013" t="s">
        <v>641</v>
      </c>
      <c r="D194" s="1084">
        <v>183</v>
      </c>
      <c r="E194" s="1083">
        <v>62428</v>
      </c>
      <c r="F194" s="1082" t="s">
        <v>13932</v>
      </c>
      <c r="G194" s="1014" t="s">
        <v>128</v>
      </c>
      <c r="H194" s="1036"/>
      <c r="I194" s="1036"/>
      <c r="J194" s="1145" t="s">
        <v>2628</v>
      </c>
    </row>
    <row r="195" spans="1:10" ht="48" x14ac:dyDescent="0.2">
      <c r="A195" s="1144" t="s">
        <v>827</v>
      </c>
      <c r="B195" s="1013" t="s">
        <v>678</v>
      </c>
      <c r="C195" s="1013" t="s">
        <v>641</v>
      </c>
      <c r="D195" s="1084">
        <v>52</v>
      </c>
      <c r="E195" s="1083">
        <v>33500</v>
      </c>
      <c r="F195" s="1082" t="s">
        <v>13933</v>
      </c>
      <c r="G195" s="1014" t="s">
        <v>128</v>
      </c>
      <c r="H195" s="1036"/>
      <c r="I195" s="1036"/>
      <c r="J195" s="1145" t="s">
        <v>2628</v>
      </c>
    </row>
    <row r="196" spans="1:10" ht="96" x14ac:dyDescent="0.2">
      <c r="A196" s="1144" t="s">
        <v>828</v>
      </c>
      <c r="B196" s="1013" t="s">
        <v>640</v>
      </c>
      <c r="C196" s="1013" t="s">
        <v>737</v>
      </c>
      <c r="D196" s="1084">
        <v>150</v>
      </c>
      <c r="E196" s="1083">
        <v>184500</v>
      </c>
      <c r="F196" s="1082" t="s">
        <v>13910</v>
      </c>
      <c r="G196" s="1014" t="s">
        <v>128</v>
      </c>
      <c r="H196" s="1036"/>
      <c r="I196" s="1036"/>
      <c r="J196" s="1145" t="s">
        <v>2628</v>
      </c>
    </row>
    <row r="197" spans="1:10" ht="54.75" customHeight="1" x14ac:dyDescent="0.2">
      <c r="A197" s="1144" t="s">
        <v>829</v>
      </c>
      <c r="B197" s="1013" t="s">
        <v>640</v>
      </c>
      <c r="C197" s="1013" t="s">
        <v>737</v>
      </c>
      <c r="D197" s="1084">
        <v>156</v>
      </c>
      <c r="E197" s="1083">
        <v>172270</v>
      </c>
      <c r="F197" s="1082" t="s">
        <v>13934</v>
      </c>
      <c r="G197" s="1014" t="s">
        <v>128</v>
      </c>
      <c r="H197" s="1036"/>
      <c r="I197" s="1036"/>
      <c r="J197" s="1145" t="s">
        <v>2628</v>
      </c>
    </row>
    <row r="198" spans="1:10" ht="33.75" customHeight="1" x14ac:dyDescent="0.2">
      <c r="A198" s="1144" t="s">
        <v>830</v>
      </c>
      <c r="B198" s="1013" t="s">
        <v>640</v>
      </c>
      <c r="C198" s="1013" t="s">
        <v>641</v>
      </c>
      <c r="D198" s="1084">
        <v>132</v>
      </c>
      <c r="E198" s="1083">
        <v>92000</v>
      </c>
      <c r="F198" s="1082" t="s">
        <v>13935</v>
      </c>
      <c r="G198" s="1014" t="s">
        <v>128</v>
      </c>
      <c r="H198" s="1036"/>
      <c r="I198" s="1036"/>
      <c r="J198" s="1145" t="s">
        <v>2628</v>
      </c>
    </row>
    <row r="199" spans="1:10" ht="21.75" customHeight="1" x14ac:dyDescent="0.2">
      <c r="A199" s="1144" t="s">
        <v>831</v>
      </c>
      <c r="B199" s="1013" t="s">
        <v>640</v>
      </c>
      <c r="C199" s="1013" t="s">
        <v>641</v>
      </c>
      <c r="D199" s="1084">
        <v>105</v>
      </c>
      <c r="E199" s="1083">
        <v>115500</v>
      </c>
      <c r="F199" s="1082" t="s">
        <v>13936</v>
      </c>
      <c r="G199" s="1014" t="s">
        <v>128</v>
      </c>
      <c r="H199" s="1036"/>
      <c r="I199" s="1036"/>
      <c r="J199" s="1145" t="s">
        <v>2628</v>
      </c>
    </row>
    <row r="200" spans="1:10" ht="20.25" customHeight="1" x14ac:dyDescent="0.2">
      <c r="A200" s="1144" t="s">
        <v>832</v>
      </c>
      <c r="B200" s="1013" t="s">
        <v>640</v>
      </c>
      <c r="C200" s="1013" t="s">
        <v>641</v>
      </c>
      <c r="D200" s="1084">
        <v>186</v>
      </c>
      <c r="E200" s="1083">
        <v>378715</v>
      </c>
      <c r="F200" s="1082" t="s">
        <v>13913</v>
      </c>
      <c r="G200" s="1014" t="s">
        <v>128</v>
      </c>
      <c r="H200" s="1036"/>
      <c r="I200" s="1036"/>
      <c r="J200" s="1145" t="s">
        <v>2628</v>
      </c>
    </row>
    <row r="201" spans="1:10" ht="108" x14ac:dyDescent="0.2">
      <c r="A201" s="1144" t="s">
        <v>833</v>
      </c>
      <c r="B201" s="1013" t="s">
        <v>640</v>
      </c>
      <c r="C201" s="1013" t="s">
        <v>641</v>
      </c>
      <c r="D201" s="1084">
        <v>178</v>
      </c>
      <c r="E201" s="1083">
        <v>76927.199999999997</v>
      </c>
      <c r="F201" s="1082" t="s">
        <v>13937</v>
      </c>
      <c r="G201" s="1014" t="s">
        <v>128</v>
      </c>
      <c r="H201" s="1036"/>
      <c r="I201" s="1036"/>
      <c r="J201" s="1145" t="s">
        <v>2628</v>
      </c>
    </row>
    <row r="202" spans="1:10" ht="24.75" customHeight="1" x14ac:dyDescent="0.2">
      <c r="A202" s="1144" t="s">
        <v>834</v>
      </c>
      <c r="B202" s="1013" t="s">
        <v>640</v>
      </c>
      <c r="C202" s="1013" t="s">
        <v>641</v>
      </c>
      <c r="D202" s="1084">
        <v>194</v>
      </c>
      <c r="E202" s="1083">
        <v>51136</v>
      </c>
      <c r="F202" s="1082" t="s">
        <v>13938</v>
      </c>
      <c r="G202" s="1014" t="s">
        <v>128</v>
      </c>
      <c r="H202" s="1036"/>
      <c r="I202" s="1036"/>
      <c r="J202" s="1145" t="s">
        <v>2628</v>
      </c>
    </row>
    <row r="203" spans="1:10" ht="45.75" customHeight="1" x14ac:dyDescent="0.2">
      <c r="A203" s="1144" t="s">
        <v>835</v>
      </c>
      <c r="B203" s="1013" t="s">
        <v>640</v>
      </c>
      <c r="C203" s="1013" t="s">
        <v>737</v>
      </c>
      <c r="D203" s="1084">
        <v>154</v>
      </c>
      <c r="E203" s="1083">
        <v>208917.36</v>
      </c>
      <c r="F203" s="1082" t="s">
        <v>13939</v>
      </c>
      <c r="G203" s="1014" t="s">
        <v>128</v>
      </c>
      <c r="H203" s="1036"/>
      <c r="I203" s="1036"/>
      <c r="J203" s="1145" t="s">
        <v>2628</v>
      </c>
    </row>
    <row r="204" spans="1:10" ht="52.5" customHeight="1" x14ac:dyDescent="0.2">
      <c r="A204" s="1144" t="s">
        <v>836</v>
      </c>
      <c r="B204" s="1013" t="s">
        <v>640</v>
      </c>
      <c r="C204" s="1013" t="s">
        <v>737</v>
      </c>
      <c r="D204" s="1084">
        <v>153</v>
      </c>
      <c r="E204" s="1083">
        <v>277875</v>
      </c>
      <c r="F204" s="1082" t="s">
        <v>13934</v>
      </c>
      <c r="G204" s="1014" t="s">
        <v>128</v>
      </c>
      <c r="H204" s="1036"/>
      <c r="I204" s="1036"/>
      <c r="J204" s="1145" t="s">
        <v>2628</v>
      </c>
    </row>
    <row r="205" spans="1:10" ht="36" x14ac:dyDescent="0.2">
      <c r="A205" s="1144" t="s">
        <v>837</v>
      </c>
      <c r="B205" s="1013" t="s">
        <v>640</v>
      </c>
      <c r="C205" s="1013" t="s">
        <v>737</v>
      </c>
      <c r="D205" s="1084">
        <v>151</v>
      </c>
      <c r="E205" s="1083">
        <v>117000</v>
      </c>
      <c r="F205" s="1082" t="s">
        <v>13940</v>
      </c>
      <c r="G205" s="1014" t="s">
        <v>128</v>
      </c>
      <c r="H205" s="1036"/>
      <c r="I205" s="1036"/>
      <c r="J205" s="1145" t="s">
        <v>2628</v>
      </c>
    </row>
    <row r="206" spans="1:10" ht="36.75" customHeight="1" x14ac:dyDescent="0.2">
      <c r="A206" s="1144" t="s">
        <v>838</v>
      </c>
      <c r="B206" s="1013" t="s">
        <v>640</v>
      </c>
      <c r="C206" s="1013" t="s">
        <v>641</v>
      </c>
      <c r="D206" s="1084">
        <v>158</v>
      </c>
      <c r="E206" s="1083">
        <v>66900</v>
      </c>
      <c r="F206" s="1082" t="s">
        <v>13908</v>
      </c>
      <c r="G206" s="1014" t="s">
        <v>128</v>
      </c>
      <c r="H206" s="1036"/>
      <c r="I206" s="1036"/>
      <c r="J206" s="1145" t="s">
        <v>2628</v>
      </c>
    </row>
    <row r="207" spans="1:10" ht="36.75" customHeight="1" x14ac:dyDescent="0.2">
      <c r="A207" s="1144" t="s">
        <v>839</v>
      </c>
      <c r="B207" s="1013" t="s">
        <v>640</v>
      </c>
      <c r="C207" s="1013" t="s">
        <v>641</v>
      </c>
      <c r="D207" s="1084">
        <v>119</v>
      </c>
      <c r="E207" s="1083">
        <v>326495.38</v>
      </c>
      <c r="F207" s="1082" t="s">
        <v>13941</v>
      </c>
      <c r="G207" s="1014" t="s">
        <v>128</v>
      </c>
      <c r="H207" s="1036"/>
      <c r="I207" s="1036"/>
      <c r="J207" s="1145" t="s">
        <v>2628</v>
      </c>
    </row>
    <row r="208" spans="1:10" ht="30" customHeight="1" x14ac:dyDescent="0.2">
      <c r="A208" s="1144" t="s">
        <v>840</v>
      </c>
      <c r="B208" s="1013" t="s">
        <v>640</v>
      </c>
      <c r="C208" s="1013" t="s">
        <v>641</v>
      </c>
      <c r="D208" s="1084">
        <v>188</v>
      </c>
      <c r="E208" s="1083">
        <v>40970</v>
      </c>
      <c r="F208" s="1082" t="s">
        <v>13942</v>
      </c>
      <c r="G208" s="1014" t="s">
        <v>128</v>
      </c>
      <c r="H208" s="1036"/>
      <c r="I208" s="1036"/>
      <c r="J208" s="1145" t="s">
        <v>2628</v>
      </c>
    </row>
    <row r="209" spans="1:10" ht="38.25" customHeight="1" x14ac:dyDescent="0.2">
      <c r="A209" s="1144" t="s">
        <v>841</v>
      </c>
      <c r="B209" s="1013" t="s">
        <v>640</v>
      </c>
      <c r="C209" s="1013" t="s">
        <v>641</v>
      </c>
      <c r="D209" s="1084">
        <v>135</v>
      </c>
      <c r="E209" s="1083">
        <v>56721</v>
      </c>
      <c r="F209" s="1082" t="s">
        <v>13943</v>
      </c>
      <c r="G209" s="1014" t="s">
        <v>128</v>
      </c>
      <c r="H209" s="1036"/>
      <c r="I209" s="1036"/>
      <c r="J209" s="1145" t="s">
        <v>2628</v>
      </c>
    </row>
    <row r="210" spans="1:10" ht="48" x14ac:dyDescent="0.2">
      <c r="A210" s="1144" t="s">
        <v>842</v>
      </c>
      <c r="B210" s="1013" t="s">
        <v>640</v>
      </c>
      <c r="C210" s="1013" t="s">
        <v>641</v>
      </c>
      <c r="D210" s="1084">
        <v>123</v>
      </c>
      <c r="E210" s="1083">
        <v>77136</v>
      </c>
      <c r="F210" s="1082" t="s">
        <v>13944</v>
      </c>
      <c r="G210" s="1014" t="s">
        <v>128</v>
      </c>
      <c r="H210" s="1036"/>
      <c r="I210" s="1036"/>
      <c r="J210" s="1145" t="s">
        <v>2628</v>
      </c>
    </row>
    <row r="211" spans="1:10" ht="30" customHeight="1" x14ac:dyDescent="0.2">
      <c r="A211" s="1144" t="s">
        <v>699</v>
      </c>
      <c r="B211" s="1013" t="s">
        <v>678</v>
      </c>
      <c r="C211" s="1013" t="s">
        <v>641</v>
      </c>
      <c r="D211" s="1084">
        <v>48</v>
      </c>
      <c r="E211" s="1083">
        <v>68480</v>
      </c>
      <c r="F211" s="1082" t="s">
        <v>1466</v>
      </c>
      <c r="G211" s="1014" t="s">
        <v>128</v>
      </c>
      <c r="H211" s="1036"/>
      <c r="I211" s="1036"/>
      <c r="J211" s="1145" t="s">
        <v>2628</v>
      </c>
    </row>
    <row r="212" spans="1:10" ht="30" customHeight="1" x14ac:dyDescent="0.2">
      <c r="A212" s="1144" t="s">
        <v>843</v>
      </c>
      <c r="B212" s="1013" t="s">
        <v>640</v>
      </c>
      <c r="C212" s="1013" t="s">
        <v>641</v>
      </c>
      <c r="D212" s="1084">
        <v>148</v>
      </c>
      <c r="E212" s="1083">
        <v>80100</v>
      </c>
      <c r="F212" s="1082" t="s">
        <v>13945</v>
      </c>
      <c r="G212" s="1014" t="s">
        <v>128</v>
      </c>
      <c r="H212" s="1036"/>
      <c r="I212" s="1036"/>
      <c r="J212" s="1145" t="s">
        <v>2628</v>
      </c>
    </row>
    <row r="213" spans="1:10" ht="30" customHeight="1" x14ac:dyDescent="0.2">
      <c r="A213" s="1144" t="s">
        <v>844</v>
      </c>
      <c r="B213" s="1013" t="s">
        <v>640</v>
      </c>
      <c r="C213" s="1013" t="s">
        <v>644</v>
      </c>
      <c r="D213" s="1084">
        <v>166</v>
      </c>
      <c r="E213" s="1083">
        <v>40145</v>
      </c>
      <c r="F213" s="1082" t="s">
        <v>13946</v>
      </c>
      <c r="G213" s="1014" t="s">
        <v>128</v>
      </c>
      <c r="H213" s="1036"/>
      <c r="I213" s="1036"/>
      <c r="J213" s="1145" t="s">
        <v>2628</v>
      </c>
    </row>
    <row r="214" spans="1:10" ht="30" customHeight="1" x14ac:dyDescent="0.2">
      <c r="A214" s="1144" t="s">
        <v>845</v>
      </c>
      <c r="B214" s="1013" t="s">
        <v>640</v>
      </c>
      <c r="C214" s="1013" t="s">
        <v>641</v>
      </c>
      <c r="D214" s="1084">
        <v>168</v>
      </c>
      <c r="E214" s="1083">
        <v>61822.3</v>
      </c>
      <c r="F214" s="1082" t="s">
        <v>13908</v>
      </c>
      <c r="G214" s="1014" t="s">
        <v>128</v>
      </c>
      <c r="H214" s="1036"/>
      <c r="I214" s="1036"/>
      <c r="J214" s="1145" t="s">
        <v>2628</v>
      </c>
    </row>
    <row r="215" spans="1:10" ht="51.75" customHeight="1" x14ac:dyDescent="0.2">
      <c r="A215" s="1144" t="s">
        <v>846</v>
      </c>
      <c r="B215" s="1013" t="s">
        <v>640</v>
      </c>
      <c r="C215" s="1013" t="s">
        <v>641</v>
      </c>
      <c r="D215" s="1084">
        <v>182</v>
      </c>
      <c r="E215" s="1083">
        <v>58000</v>
      </c>
      <c r="F215" s="1082" t="s">
        <v>13947</v>
      </c>
      <c r="G215" s="1014" t="s">
        <v>128</v>
      </c>
      <c r="H215" s="1036"/>
      <c r="I215" s="1036"/>
      <c r="J215" s="1145" t="s">
        <v>2628</v>
      </c>
    </row>
    <row r="216" spans="1:10" ht="30" customHeight="1" x14ac:dyDescent="0.2">
      <c r="A216" s="1144" t="s">
        <v>847</v>
      </c>
      <c r="B216" s="1013" t="s">
        <v>640</v>
      </c>
      <c r="C216" s="1013" t="s">
        <v>641</v>
      </c>
      <c r="D216" s="1084">
        <v>163</v>
      </c>
      <c r="E216" s="1083">
        <v>41960.5</v>
      </c>
      <c r="F216" s="1082" t="s">
        <v>13948</v>
      </c>
      <c r="G216" s="1014" t="s">
        <v>128</v>
      </c>
      <c r="H216" s="1036"/>
      <c r="I216" s="1036"/>
      <c r="J216" s="1145" t="s">
        <v>2628</v>
      </c>
    </row>
    <row r="217" spans="1:10" ht="30" customHeight="1" x14ac:dyDescent="0.2">
      <c r="A217" s="1144" t="s">
        <v>848</v>
      </c>
      <c r="B217" s="1013" t="s">
        <v>640</v>
      </c>
      <c r="C217" s="1013" t="s">
        <v>641</v>
      </c>
      <c r="D217" s="1084">
        <v>170</v>
      </c>
      <c r="E217" s="1083">
        <v>112000</v>
      </c>
      <c r="F217" s="1082" t="s">
        <v>13949</v>
      </c>
      <c r="G217" s="1014" t="s">
        <v>128</v>
      </c>
      <c r="H217" s="1036"/>
      <c r="I217" s="1036"/>
      <c r="J217" s="1145" t="s">
        <v>2628</v>
      </c>
    </row>
    <row r="218" spans="1:10" ht="30" customHeight="1" x14ac:dyDescent="0.2">
      <c r="A218" s="1144" t="s">
        <v>779</v>
      </c>
      <c r="B218" s="1013" t="s">
        <v>640</v>
      </c>
      <c r="C218" s="1013" t="s">
        <v>641</v>
      </c>
      <c r="D218" s="1084">
        <v>147</v>
      </c>
      <c r="E218" s="1083">
        <v>50300</v>
      </c>
      <c r="F218" s="1082" t="s">
        <v>13898</v>
      </c>
      <c r="G218" s="1014" t="s">
        <v>128</v>
      </c>
      <c r="H218" s="1036"/>
      <c r="I218" s="1036"/>
      <c r="J218" s="1145" t="s">
        <v>2628</v>
      </c>
    </row>
    <row r="219" spans="1:10" ht="30" customHeight="1" x14ac:dyDescent="0.2">
      <c r="A219" s="1144" t="s">
        <v>849</v>
      </c>
      <c r="B219" s="1013" t="s">
        <v>640</v>
      </c>
      <c r="C219" s="1013" t="s">
        <v>641</v>
      </c>
      <c r="D219" s="1084">
        <v>169</v>
      </c>
      <c r="E219" s="1083">
        <v>92000</v>
      </c>
      <c r="F219" s="1082" t="s">
        <v>13950</v>
      </c>
      <c r="G219" s="1014" t="s">
        <v>128</v>
      </c>
      <c r="H219" s="1036"/>
      <c r="I219" s="1036"/>
      <c r="J219" s="1145" t="s">
        <v>2628</v>
      </c>
    </row>
    <row r="220" spans="1:10" ht="38.25" customHeight="1" x14ac:dyDescent="0.2">
      <c r="A220" s="1144" t="s">
        <v>850</v>
      </c>
      <c r="B220" s="1013" t="s">
        <v>640</v>
      </c>
      <c r="C220" s="1013" t="s">
        <v>641</v>
      </c>
      <c r="D220" s="1084">
        <v>131</v>
      </c>
      <c r="E220" s="1083">
        <v>90566</v>
      </c>
      <c r="F220" s="1082" t="s">
        <v>13951</v>
      </c>
      <c r="G220" s="1014" t="s">
        <v>128</v>
      </c>
      <c r="H220" s="1036"/>
      <c r="I220" s="1036"/>
      <c r="J220" s="1145" t="s">
        <v>2628</v>
      </c>
    </row>
    <row r="221" spans="1:10" ht="51" customHeight="1" x14ac:dyDescent="0.2">
      <c r="A221" s="1144" t="s">
        <v>851</v>
      </c>
      <c r="B221" s="1013" t="s">
        <v>640</v>
      </c>
      <c r="C221" s="1013" t="s">
        <v>644</v>
      </c>
      <c r="D221" s="1084">
        <v>115</v>
      </c>
      <c r="E221" s="1083">
        <v>49750</v>
      </c>
      <c r="F221" s="1082" t="s">
        <v>13952</v>
      </c>
      <c r="G221" s="1014" t="s">
        <v>128</v>
      </c>
      <c r="H221" s="1036"/>
      <c r="I221" s="1036"/>
      <c r="J221" s="1145" t="s">
        <v>2628</v>
      </c>
    </row>
    <row r="222" spans="1:10" ht="30" customHeight="1" x14ac:dyDescent="0.2">
      <c r="A222" s="1144" t="s">
        <v>852</v>
      </c>
      <c r="B222" s="1013" t="s">
        <v>640</v>
      </c>
      <c r="C222" s="1013" t="s">
        <v>641</v>
      </c>
      <c r="D222" s="1084">
        <v>134</v>
      </c>
      <c r="E222" s="1083">
        <v>110387.2</v>
      </c>
      <c r="F222" s="1082" t="s">
        <v>13953</v>
      </c>
      <c r="G222" s="1014" t="s">
        <v>128</v>
      </c>
      <c r="H222" s="1036"/>
      <c r="I222" s="1036"/>
      <c r="J222" s="1145" t="s">
        <v>2628</v>
      </c>
    </row>
    <row r="223" spans="1:10" ht="45.75" customHeight="1" x14ac:dyDescent="0.2">
      <c r="A223" s="1144" t="s">
        <v>853</v>
      </c>
      <c r="B223" s="1013" t="s">
        <v>640</v>
      </c>
      <c r="C223" s="1013" t="s">
        <v>641</v>
      </c>
      <c r="D223" s="1084">
        <v>104</v>
      </c>
      <c r="E223" s="1083">
        <v>228352.5</v>
      </c>
      <c r="F223" s="1082" t="s">
        <v>13913</v>
      </c>
      <c r="G223" s="1014" t="s">
        <v>128</v>
      </c>
      <c r="H223" s="1036"/>
      <c r="I223" s="1036"/>
      <c r="J223" s="1145" t="s">
        <v>2628</v>
      </c>
    </row>
    <row r="224" spans="1:10" ht="40.5" customHeight="1" x14ac:dyDescent="0.2">
      <c r="A224" s="1144" t="s">
        <v>854</v>
      </c>
      <c r="B224" s="1013" t="s">
        <v>640</v>
      </c>
      <c r="C224" s="1013" t="s">
        <v>641</v>
      </c>
      <c r="D224" s="1084">
        <v>117</v>
      </c>
      <c r="E224" s="1083">
        <v>159525</v>
      </c>
      <c r="F224" s="1082"/>
      <c r="G224" s="1014" t="s">
        <v>663</v>
      </c>
      <c r="H224" s="1036"/>
      <c r="I224" s="1036"/>
      <c r="J224" s="1145" t="s">
        <v>2628</v>
      </c>
    </row>
    <row r="225" spans="1:10" ht="30" customHeight="1" x14ac:dyDescent="0.2">
      <c r="A225" s="1144" t="s">
        <v>855</v>
      </c>
      <c r="B225" s="1013" t="s">
        <v>640</v>
      </c>
      <c r="C225" s="1013" t="s">
        <v>641</v>
      </c>
      <c r="D225" s="1084">
        <v>164</v>
      </c>
      <c r="E225" s="1083">
        <v>85586</v>
      </c>
      <c r="F225" s="1082" t="s">
        <v>13954</v>
      </c>
      <c r="G225" s="1014" t="s">
        <v>128</v>
      </c>
      <c r="H225" s="1036"/>
      <c r="I225" s="1036"/>
      <c r="J225" s="1145" t="s">
        <v>2628</v>
      </c>
    </row>
    <row r="226" spans="1:10" ht="30" customHeight="1" x14ac:dyDescent="0.2">
      <c r="A226" s="1144" t="s">
        <v>856</v>
      </c>
      <c r="B226" s="1013" t="s">
        <v>640</v>
      </c>
      <c r="C226" s="1013" t="s">
        <v>641</v>
      </c>
      <c r="D226" s="1084">
        <v>146</v>
      </c>
      <c r="E226" s="1083">
        <v>99900</v>
      </c>
      <c r="F226" s="1082" t="s">
        <v>13955</v>
      </c>
      <c r="G226" s="1014" t="s">
        <v>128</v>
      </c>
      <c r="H226" s="1036"/>
      <c r="I226" s="1036"/>
      <c r="J226" s="1145" t="s">
        <v>2628</v>
      </c>
    </row>
    <row r="227" spans="1:10" ht="30" customHeight="1" x14ac:dyDescent="0.2">
      <c r="A227" s="1144" t="s">
        <v>857</v>
      </c>
      <c r="B227" s="1013" t="s">
        <v>640</v>
      </c>
      <c r="C227" s="1013" t="s">
        <v>641</v>
      </c>
      <c r="D227" s="1084">
        <v>124</v>
      </c>
      <c r="E227" s="1083">
        <v>55427</v>
      </c>
      <c r="F227" s="1082" t="s">
        <v>13956</v>
      </c>
      <c r="G227" s="1014" t="s">
        <v>128</v>
      </c>
      <c r="H227" s="1036"/>
      <c r="I227" s="1036"/>
      <c r="J227" s="1145" t="s">
        <v>2628</v>
      </c>
    </row>
    <row r="228" spans="1:10" ht="30" customHeight="1" x14ac:dyDescent="0.2">
      <c r="A228" s="1144" t="s">
        <v>758</v>
      </c>
      <c r="B228" s="1013" t="s">
        <v>640</v>
      </c>
      <c r="C228" s="1013" t="s">
        <v>641</v>
      </c>
      <c r="D228" s="1084">
        <v>138</v>
      </c>
      <c r="E228" s="1083">
        <v>65000</v>
      </c>
      <c r="F228" s="1082" t="s">
        <v>3070</v>
      </c>
      <c r="G228" s="1014" t="s">
        <v>128</v>
      </c>
      <c r="H228" s="1036"/>
      <c r="I228" s="1036"/>
      <c r="J228" s="1145" t="s">
        <v>2628</v>
      </c>
    </row>
    <row r="229" spans="1:10" ht="30" customHeight="1" x14ac:dyDescent="0.2">
      <c r="A229" s="1144" t="s">
        <v>858</v>
      </c>
      <c r="B229" s="1013" t="s">
        <v>640</v>
      </c>
      <c r="C229" s="1013" t="s">
        <v>641</v>
      </c>
      <c r="D229" s="1084">
        <v>161</v>
      </c>
      <c r="E229" s="1083">
        <v>104842.1</v>
      </c>
      <c r="F229" s="1082" t="s">
        <v>13885</v>
      </c>
      <c r="G229" s="1014" t="s">
        <v>128</v>
      </c>
      <c r="H229" s="1036"/>
      <c r="I229" s="1036"/>
      <c r="J229" s="1145" t="s">
        <v>2628</v>
      </c>
    </row>
    <row r="230" spans="1:10" ht="30" customHeight="1" x14ac:dyDescent="0.2">
      <c r="A230" s="1144" t="s">
        <v>859</v>
      </c>
      <c r="B230" s="1013" t="s">
        <v>640</v>
      </c>
      <c r="C230" s="1013" t="s">
        <v>641</v>
      </c>
      <c r="D230" s="1084">
        <v>92</v>
      </c>
      <c r="E230" s="1083">
        <v>390154</v>
      </c>
      <c r="F230" s="1082" t="s">
        <v>13890</v>
      </c>
      <c r="G230" s="1014" t="s">
        <v>128</v>
      </c>
      <c r="H230" s="1036"/>
      <c r="I230" s="1036"/>
      <c r="J230" s="1145" t="s">
        <v>2628</v>
      </c>
    </row>
    <row r="231" spans="1:10" ht="30" customHeight="1" x14ac:dyDescent="0.2">
      <c r="A231" s="1144" t="s">
        <v>860</v>
      </c>
      <c r="B231" s="1013" t="s">
        <v>640</v>
      </c>
      <c r="C231" s="1013" t="s">
        <v>641</v>
      </c>
      <c r="D231" s="1084">
        <v>145</v>
      </c>
      <c r="E231" s="1083">
        <v>77273.100000000006</v>
      </c>
      <c r="F231" s="1082" t="s">
        <v>13957</v>
      </c>
      <c r="G231" s="1014" t="s">
        <v>128</v>
      </c>
      <c r="H231" s="1036"/>
      <c r="I231" s="1036"/>
      <c r="J231" s="1145" t="s">
        <v>2628</v>
      </c>
    </row>
    <row r="232" spans="1:10" ht="30" customHeight="1" x14ac:dyDescent="0.2">
      <c r="A232" s="1144" t="s">
        <v>861</v>
      </c>
      <c r="B232" s="1013" t="s">
        <v>640</v>
      </c>
      <c r="C232" s="1013" t="s">
        <v>641</v>
      </c>
      <c r="D232" s="1084">
        <v>72</v>
      </c>
      <c r="E232" s="1083">
        <v>77175</v>
      </c>
      <c r="F232" s="1082" t="s">
        <v>13958</v>
      </c>
      <c r="G232" s="1014" t="s">
        <v>128</v>
      </c>
      <c r="H232" s="1036"/>
      <c r="I232" s="1036"/>
      <c r="J232" s="1145" t="s">
        <v>2628</v>
      </c>
    </row>
    <row r="233" spans="1:10" ht="30" customHeight="1" x14ac:dyDescent="0.2">
      <c r="A233" s="1144" t="s">
        <v>862</v>
      </c>
      <c r="B233" s="1013" t="s">
        <v>640</v>
      </c>
      <c r="C233" s="1013" t="s">
        <v>641</v>
      </c>
      <c r="D233" s="1084">
        <v>48</v>
      </c>
      <c r="E233" s="1083">
        <v>153000</v>
      </c>
      <c r="F233" s="1082" t="s">
        <v>13959</v>
      </c>
      <c r="G233" s="1014" t="s">
        <v>128</v>
      </c>
      <c r="H233" s="1036"/>
      <c r="I233" s="1036"/>
      <c r="J233" s="1145" t="s">
        <v>2628</v>
      </c>
    </row>
    <row r="234" spans="1:10" ht="30" customHeight="1" x14ac:dyDescent="0.2">
      <c r="A234" s="1144" t="s">
        <v>863</v>
      </c>
      <c r="B234" s="1013" t="s">
        <v>640</v>
      </c>
      <c r="C234" s="1013" t="s">
        <v>641</v>
      </c>
      <c r="D234" s="1084">
        <v>125</v>
      </c>
      <c r="E234" s="1083">
        <v>44000</v>
      </c>
      <c r="F234" s="1082" t="s">
        <v>13960</v>
      </c>
      <c r="G234" s="1014" t="s">
        <v>128</v>
      </c>
      <c r="H234" s="1036"/>
      <c r="I234" s="1036"/>
      <c r="J234" s="1145" t="s">
        <v>2628</v>
      </c>
    </row>
    <row r="235" spans="1:10" ht="30" customHeight="1" x14ac:dyDescent="0.2">
      <c r="A235" s="1144" t="s">
        <v>864</v>
      </c>
      <c r="B235" s="1013" t="s">
        <v>640</v>
      </c>
      <c r="C235" s="1013" t="s">
        <v>641</v>
      </c>
      <c r="D235" s="1084">
        <v>109</v>
      </c>
      <c r="E235" s="1083">
        <v>280000</v>
      </c>
      <c r="F235" s="1082" t="s">
        <v>13890</v>
      </c>
      <c r="G235" s="1014" t="s">
        <v>128</v>
      </c>
      <c r="H235" s="1036"/>
      <c r="I235" s="1036"/>
      <c r="J235" s="1145" t="s">
        <v>2628</v>
      </c>
    </row>
    <row r="236" spans="1:10" ht="30" customHeight="1" x14ac:dyDescent="0.2">
      <c r="A236" s="1144" t="s">
        <v>865</v>
      </c>
      <c r="B236" s="1013" t="s">
        <v>640</v>
      </c>
      <c r="C236" s="1013" t="s">
        <v>641</v>
      </c>
      <c r="D236" s="1084">
        <v>142</v>
      </c>
      <c r="E236" s="1083">
        <v>91500</v>
      </c>
      <c r="F236" s="1082" t="s">
        <v>13961</v>
      </c>
      <c r="G236" s="1014" t="s">
        <v>128</v>
      </c>
      <c r="H236" s="1036"/>
      <c r="I236" s="1036"/>
      <c r="J236" s="1145" t="s">
        <v>2628</v>
      </c>
    </row>
    <row r="237" spans="1:10" ht="30" customHeight="1" x14ac:dyDescent="0.2">
      <c r="A237" s="1144" t="s">
        <v>866</v>
      </c>
      <c r="B237" s="1013" t="s">
        <v>640</v>
      </c>
      <c r="C237" s="1013" t="s">
        <v>641</v>
      </c>
      <c r="D237" s="1084">
        <v>127</v>
      </c>
      <c r="E237" s="1083">
        <v>42594</v>
      </c>
      <c r="F237" s="1082" t="s">
        <v>13962</v>
      </c>
      <c r="G237" s="1014" t="s">
        <v>128</v>
      </c>
      <c r="H237" s="1036"/>
      <c r="I237" s="1036"/>
      <c r="J237" s="1145" t="s">
        <v>2628</v>
      </c>
    </row>
    <row r="238" spans="1:10" ht="30" customHeight="1" x14ac:dyDescent="0.2">
      <c r="A238" s="1144" t="s">
        <v>867</v>
      </c>
      <c r="B238" s="1013" t="s">
        <v>640</v>
      </c>
      <c r="C238" s="1013" t="s">
        <v>641</v>
      </c>
      <c r="D238" s="1084">
        <v>137</v>
      </c>
      <c r="E238" s="1083">
        <v>99996.3</v>
      </c>
      <c r="F238" s="1082" t="s">
        <v>13963</v>
      </c>
      <c r="G238" s="1014" t="s">
        <v>128</v>
      </c>
      <c r="H238" s="1036"/>
      <c r="I238" s="1036"/>
      <c r="J238" s="1145" t="s">
        <v>2628</v>
      </c>
    </row>
    <row r="239" spans="1:10" ht="30" customHeight="1" x14ac:dyDescent="0.2">
      <c r="A239" s="1144" t="s">
        <v>868</v>
      </c>
      <c r="B239" s="1013" t="s">
        <v>640</v>
      </c>
      <c r="C239" s="1013" t="s">
        <v>641</v>
      </c>
      <c r="D239" s="1084">
        <v>110</v>
      </c>
      <c r="E239" s="1083">
        <v>335120</v>
      </c>
      <c r="F239" s="1082" t="s">
        <v>13964</v>
      </c>
      <c r="G239" s="1014" t="s">
        <v>128</v>
      </c>
      <c r="H239" s="1036"/>
      <c r="I239" s="1036"/>
      <c r="J239" s="1145" t="s">
        <v>2628</v>
      </c>
    </row>
    <row r="240" spans="1:10" ht="30" customHeight="1" x14ac:dyDescent="0.2">
      <c r="A240" s="1144" t="s">
        <v>869</v>
      </c>
      <c r="B240" s="1013" t="s">
        <v>640</v>
      </c>
      <c r="C240" s="1013" t="s">
        <v>644</v>
      </c>
      <c r="D240" s="1084">
        <v>43</v>
      </c>
      <c r="E240" s="1083">
        <v>342400</v>
      </c>
      <c r="F240" s="1082" t="s">
        <v>13965</v>
      </c>
      <c r="G240" s="1014" t="s">
        <v>128</v>
      </c>
      <c r="H240" s="1036"/>
      <c r="I240" s="1036"/>
      <c r="J240" s="1145" t="s">
        <v>2628</v>
      </c>
    </row>
    <row r="241" spans="1:10" ht="30" customHeight="1" x14ac:dyDescent="0.2">
      <c r="A241" s="1144" t="s">
        <v>870</v>
      </c>
      <c r="B241" s="1013" t="s">
        <v>640</v>
      </c>
      <c r="C241" s="1013" t="s">
        <v>641</v>
      </c>
      <c r="D241" s="1084">
        <v>136</v>
      </c>
      <c r="E241" s="1083">
        <v>38700</v>
      </c>
      <c r="F241" s="1082" t="s">
        <v>13966</v>
      </c>
      <c r="G241" s="1014" t="s">
        <v>128</v>
      </c>
      <c r="H241" s="1036"/>
      <c r="I241" s="1036"/>
      <c r="J241" s="1145" t="s">
        <v>2628</v>
      </c>
    </row>
    <row r="242" spans="1:10" ht="30" customHeight="1" x14ac:dyDescent="0.2">
      <c r="A242" s="1144" t="s">
        <v>695</v>
      </c>
      <c r="B242" s="1013" t="s">
        <v>678</v>
      </c>
      <c r="C242" s="1013" t="s">
        <v>641</v>
      </c>
      <c r="D242" s="1084">
        <v>24</v>
      </c>
      <c r="E242" s="1083">
        <v>56000</v>
      </c>
      <c r="F242" s="1082" t="s">
        <v>13967</v>
      </c>
      <c r="G242" s="1014" t="s">
        <v>128</v>
      </c>
      <c r="H242" s="1036"/>
      <c r="I242" s="1036"/>
      <c r="J242" s="1145" t="s">
        <v>2628</v>
      </c>
    </row>
    <row r="243" spans="1:10" ht="30" customHeight="1" x14ac:dyDescent="0.2">
      <c r="A243" s="1144" t="s">
        <v>871</v>
      </c>
      <c r="B243" s="1013" t="s">
        <v>640</v>
      </c>
      <c r="C243" s="1013" t="s">
        <v>641</v>
      </c>
      <c r="D243" s="1084">
        <v>118</v>
      </c>
      <c r="E243" s="1083">
        <v>396081</v>
      </c>
      <c r="F243" s="1082" t="s">
        <v>13968</v>
      </c>
      <c r="G243" s="1014" t="s">
        <v>128</v>
      </c>
      <c r="H243" s="1036"/>
      <c r="I243" s="1036"/>
      <c r="J243" s="1145" t="s">
        <v>2628</v>
      </c>
    </row>
    <row r="244" spans="1:10" ht="30" customHeight="1" x14ac:dyDescent="0.2">
      <c r="A244" s="1144" t="s">
        <v>872</v>
      </c>
      <c r="B244" s="1013" t="s">
        <v>640</v>
      </c>
      <c r="C244" s="1013" t="s">
        <v>641</v>
      </c>
      <c r="D244" s="1084">
        <v>63</v>
      </c>
      <c r="E244" s="1083">
        <v>44500</v>
      </c>
      <c r="F244" s="1082" t="s">
        <v>13969</v>
      </c>
      <c r="G244" s="1014" t="s">
        <v>128</v>
      </c>
      <c r="H244" s="1036"/>
      <c r="I244" s="1036"/>
      <c r="J244" s="1145" t="s">
        <v>2628</v>
      </c>
    </row>
    <row r="245" spans="1:10" ht="30" customHeight="1" x14ac:dyDescent="0.2">
      <c r="A245" s="1144" t="s">
        <v>873</v>
      </c>
      <c r="B245" s="1013" t="s">
        <v>640</v>
      </c>
      <c r="C245" s="1013" t="s">
        <v>641</v>
      </c>
      <c r="D245" s="1084">
        <v>107</v>
      </c>
      <c r="E245" s="1083">
        <v>38700</v>
      </c>
      <c r="F245" s="1082" t="s">
        <v>13966</v>
      </c>
      <c r="G245" s="1014" t="s">
        <v>128</v>
      </c>
      <c r="H245" s="1036"/>
      <c r="I245" s="1036"/>
      <c r="J245" s="1145" t="s">
        <v>2628</v>
      </c>
    </row>
    <row r="246" spans="1:10" ht="35.25" customHeight="1" x14ac:dyDescent="0.2">
      <c r="A246" s="1144" t="s">
        <v>699</v>
      </c>
      <c r="B246" s="1013" t="s">
        <v>678</v>
      </c>
      <c r="C246" s="1013" t="s">
        <v>641</v>
      </c>
      <c r="D246" s="1084">
        <v>49</v>
      </c>
      <c r="E246" s="1083">
        <v>204000</v>
      </c>
      <c r="F246" s="1082" t="s">
        <v>13970</v>
      </c>
      <c r="G246" s="1014" t="s">
        <v>128</v>
      </c>
      <c r="H246" s="1036"/>
      <c r="I246" s="1036"/>
      <c r="J246" s="1145" t="s">
        <v>2628</v>
      </c>
    </row>
    <row r="247" spans="1:10" ht="28.5" customHeight="1" x14ac:dyDescent="0.2">
      <c r="A247" s="1144" t="s">
        <v>775</v>
      </c>
      <c r="B247" s="1013" t="s">
        <v>640</v>
      </c>
      <c r="C247" s="1013" t="s">
        <v>641</v>
      </c>
      <c r="D247" s="1084">
        <v>128</v>
      </c>
      <c r="E247" s="1083">
        <v>97980</v>
      </c>
      <c r="F247" s="1082" t="s">
        <v>13971</v>
      </c>
      <c r="G247" s="1014" t="s">
        <v>128</v>
      </c>
      <c r="H247" s="1036"/>
      <c r="I247" s="1036"/>
      <c r="J247" s="1145" t="s">
        <v>2628</v>
      </c>
    </row>
    <row r="248" spans="1:10" ht="66" customHeight="1" x14ac:dyDescent="0.2">
      <c r="A248" s="1144" t="s">
        <v>874</v>
      </c>
      <c r="B248" s="1013" t="s">
        <v>640</v>
      </c>
      <c r="C248" s="1013" t="s">
        <v>644</v>
      </c>
      <c r="D248" s="1084">
        <v>61</v>
      </c>
      <c r="E248" s="1083">
        <v>78300.009999999995</v>
      </c>
      <c r="F248" s="1082" t="s">
        <v>13972</v>
      </c>
      <c r="G248" s="1014" t="s">
        <v>128</v>
      </c>
      <c r="H248" s="1036"/>
      <c r="I248" s="1036"/>
      <c r="J248" s="1145" t="s">
        <v>2628</v>
      </c>
    </row>
    <row r="249" spans="1:10" ht="45.75" customHeight="1" x14ac:dyDescent="0.2">
      <c r="A249" s="1144" t="s">
        <v>875</v>
      </c>
      <c r="B249" s="1013" t="s">
        <v>655</v>
      </c>
      <c r="C249" s="1013" t="s">
        <v>644</v>
      </c>
      <c r="D249" s="1084">
        <v>4</v>
      </c>
      <c r="E249" s="1083">
        <v>361000</v>
      </c>
      <c r="F249" s="1082" t="s">
        <v>13973</v>
      </c>
      <c r="G249" s="1014" t="s">
        <v>128</v>
      </c>
      <c r="H249" s="1036"/>
      <c r="I249" s="1036"/>
      <c r="J249" s="1145" t="s">
        <v>2628</v>
      </c>
    </row>
    <row r="250" spans="1:10" ht="30" customHeight="1" x14ac:dyDescent="0.2">
      <c r="A250" s="1144" t="s">
        <v>876</v>
      </c>
      <c r="B250" s="1013" t="s">
        <v>678</v>
      </c>
      <c r="C250" s="1013" t="s">
        <v>641</v>
      </c>
      <c r="D250" s="1084">
        <v>23</v>
      </c>
      <c r="E250" s="1083">
        <v>190000</v>
      </c>
      <c r="F250" s="1082" t="s">
        <v>13963</v>
      </c>
      <c r="G250" s="1014" t="s">
        <v>128</v>
      </c>
      <c r="H250" s="1036"/>
      <c r="I250" s="1036"/>
      <c r="J250" s="1145" t="s">
        <v>2628</v>
      </c>
    </row>
    <row r="251" spans="1:10" ht="30" customHeight="1" x14ac:dyDescent="0.2">
      <c r="A251" s="1144" t="s">
        <v>877</v>
      </c>
      <c r="B251" s="1013" t="s">
        <v>640</v>
      </c>
      <c r="C251" s="1013" t="s">
        <v>641</v>
      </c>
      <c r="D251" s="1084">
        <v>120</v>
      </c>
      <c r="E251" s="1083">
        <v>92559.2</v>
      </c>
      <c r="F251" s="1082" t="s">
        <v>13974</v>
      </c>
      <c r="G251" s="1014" t="s">
        <v>128</v>
      </c>
      <c r="H251" s="1036"/>
      <c r="I251" s="1036"/>
      <c r="J251" s="1145" t="s">
        <v>2628</v>
      </c>
    </row>
    <row r="252" spans="1:10" ht="45" customHeight="1" x14ac:dyDescent="0.2">
      <c r="A252" s="1144" t="s">
        <v>878</v>
      </c>
      <c r="B252" s="1013" t="s">
        <v>655</v>
      </c>
      <c r="C252" s="1013" t="s">
        <v>644</v>
      </c>
      <c r="D252" s="1084">
        <v>5</v>
      </c>
      <c r="E252" s="1083">
        <v>921894.29</v>
      </c>
      <c r="F252" s="1082" t="s">
        <v>13975</v>
      </c>
      <c r="G252" s="1014" t="s">
        <v>128</v>
      </c>
      <c r="H252" s="1036"/>
      <c r="I252" s="1036"/>
      <c r="J252" s="1145" t="s">
        <v>2628</v>
      </c>
    </row>
    <row r="253" spans="1:10" ht="30" customHeight="1" x14ac:dyDescent="0.2">
      <c r="A253" s="1144" t="s">
        <v>879</v>
      </c>
      <c r="B253" s="1013" t="s">
        <v>640</v>
      </c>
      <c r="C253" s="1013" t="s">
        <v>641</v>
      </c>
      <c r="D253" s="1084">
        <v>98</v>
      </c>
      <c r="E253" s="1083">
        <v>67787</v>
      </c>
      <c r="F253" s="1082" t="s">
        <v>13976</v>
      </c>
      <c r="G253" s="1014" t="s">
        <v>128</v>
      </c>
      <c r="H253" s="1036"/>
      <c r="I253" s="1036"/>
      <c r="J253" s="1145" t="s">
        <v>2628</v>
      </c>
    </row>
    <row r="254" spans="1:10" ht="30" customHeight="1" x14ac:dyDescent="0.2">
      <c r="A254" s="1144" t="s">
        <v>880</v>
      </c>
      <c r="B254" s="1013" t="s">
        <v>617</v>
      </c>
      <c r="C254" s="1013" t="s">
        <v>641</v>
      </c>
      <c r="D254" s="1084">
        <v>2</v>
      </c>
      <c r="E254" s="1083">
        <v>1360000</v>
      </c>
      <c r="F254" s="1082"/>
      <c r="G254" s="1014" t="s">
        <v>663</v>
      </c>
      <c r="H254" s="1036"/>
      <c r="I254" s="1036"/>
      <c r="J254" s="1145" t="s">
        <v>2628</v>
      </c>
    </row>
    <row r="255" spans="1:10" ht="30" customHeight="1" x14ac:dyDescent="0.2">
      <c r="A255" s="1144" t="s">
        <v>881</v>
      </c>
      <c r="B255" s="1013" t="s">
        <v>640</v>
      </c>
      <c r="C255" s="1013" t="s">
        <v>641</v>
      </c>
      <c r="D255" s="1084">
        <v>126</v>
      </c>
      <c r="E255" s="1083">
        <v>59488.42</v>
      </c>
      <c r="F255" s="1082" t="s">
        <v>13977</v>
      </c>
      <c r="G255" s="1014" t="s">
        <v>128</v>
      </c>
      <c r="H255" s="1036"/>
      <c r="I255" s="1036"/>
      <c r="J255" s="1145" t="s">
        <v>2628</v>
      </c>
    </row>
    <row r="256" spans="1:10" ht="30" customHeight="1" x14ac:dyDescent="0.2">
      <c r="A256" s="1144" t="s">
        <v>882</v>
      </c>
      <c r="B256" s="1013" t="s">
        <v>640</v>
      </c>
      <c r="C256" s="1013" t="s">
        <v>644</v>
      </c>
      <c r="D256" s="1084">
        <v>122</v>
      </c>
      <c r="E256" s="1083">
        <v>210822.71</v>
      </c>
      <c r="F256" s="1082" t="s">
        <v>13978</v>
      </c>
      <c r="G256" s="1014" t="s">
        <v>128</v>
      </c>
      <c r="H256" s="1036"/>
      <c r="I256" s="1036"/>
      <c r="J256" s="1145" t="s">
        <v>2628</v>
      </c>
    </row>
    <row r="257" spans="1:10" ht="48" x14ac:dyDescent="0.2">
      <c r="A257" s="1144" t="s">
        <v>883</v>
      </c>
      <c r="B257" s="1013" t="s">
        <v>640</v>
      </c>
      <c r="C257" s="1013" t="s">
        <v>641</v>
      </c>
      <c r="D257" s="1084">
        <v>112</v>
      </c>
      <c r="E257" s="1083">
        <v>240456.1</v>
      </c>
      <c r="F257" s="1082" t="s">
        <v>13979</v>
      </c>
      <c r="G257" s="1014" t="s">
        <v>128</v>
      </c>
      <c r="H257" s="1036"/>
      <c r="I257" s="1036"/>
      <c r="J257" s="1145" t="s">
        <v>2628</v>
      </c>
    </row>
    <row r="258" spans="1:10" ht="36" x14ac:dyDescent="0.2">
      <c r="A258" s="1144" t="s">
        <v>884</v>
      </c>
      <c r="B258" s="1013" t="s">
        <v>640</v>
      </c>
      <c r="C258" s="1013" t="s">
        <v>641</v>
      </c>
      <c r="D258" s="1084">
        <v>56</v>
      </c>
      <c r="E258" s="1083">
        <v>149000</v>
      </c>
      <c r="F258" s="1082" t="s">
        <v>13980</v>
      </c>
      <c r="G258" s="1014" t="s">
        <v>128</v>
      </c>
      <c r="H258" s="1036"/>
      <c r="I258" s="1036"/>
      <c r="J258" s="1145" t="s">
        <v>2628</v>
      </c>
    </row>
    <row r="259" spans="1:10" ht="72" x14ac:dyDescent="0.2">
      <c r="A259" s="1144" t="s">
        <v>885</v>
      </c>
      <c r="B259" s="1013" t="s">
        <v>640</v>
      </c>
      <c r="C259" s="1013" t="s">
        <v>641</v>
      </c>
      <c r="D259" s="1084">
        <v>114</v>
      </c>
      <c r="E259" s="1083">
        <v>40370</v>
      </c>
      <c r="F259" s="1082" t="s">
        <v>13981</v>
      </c>
      <c r="G259" s="1014" t="s">
        <v>128</v>
      </c>
      <c r="H259" s="1036"/>
      <c r="I259" s="1036"/>
      <c r="J259" s="1145" t="s">
        <v>2628</v>
      </c>
    </row>
    <row r="260" spans="1:10" ht="36" x14ac:dyDescent="0.2">
      <c r="A260" s="1144" t="s">
        <v>695</v>
      </c>
      <c r="B260" s="1013" t="s">
        <v>678</v>
      </c>
      <c r="C260" s="1013" t="s">
        <v>641</v>
      </c>
      <c r="D260" s="1084">
        <v>44</v>
      </c>
      <c r="E260" s="1083">
        <v>43000</v>
      </c>
      <c r="F260" s="1082" t="s">
        <v>13982</v>
      </c>
      <c r="G260" s="1014" t="s">
        <v>128</v>
      </c>
      <c r="H260" s="1036"/>
      <c r="I260" s="1036"/>
      <c r="J260" s="1145" t="s">
        <v>2628</v>
      </c>
    </row>
    <row r="261" spans="1:10" ht="37.5" customHeight="1" x14ac:dyDescent="0.2">
      <c r="A261" s="1144" t="s">
        <v>886</v>
      </c>
      <c r="B261" s="1013" t="s">
        <v>640</v>
      </c>
      <c r="C261" s="1013" t="s">
        <v>641</v>
      </c>
      <c r="D261" s="1084">
        <v>13</v>
      </c>
      <c r="E261" s="1083">
        <v>197570</v>
      </c>
      <c r="F261" s="1082" t="s">
        <v>13983</v>
      </c>
      <c r="G261" s="1014" t="s">
        <v>128</v>
      </c>
      <c r="H261" s="1036"/>
      <c r="I261" s="1036"/>
      <c r="J261" s="1145" t="s">
        <v>2628</v>
      </c>
    </row>
    <row r="262" spans="1:10" ht="45.75" customHeight="1" x14ac:dyDescent="0.2">
      <c r="A262" s="1144" t="s">
        <v>887</v>
      </c>
      <c r="B262" s="1013" t="s">
        <v>640</v>
      </c>
      <c r="C262" s="1013" t="s">
        <v>644</v>
      </c>
      <c r="D262" s="1084">
        <v>121</v>
      </c>
      <c r="E262" s="1083">
        <v>69000</v>
      </c>
      <c r="F262" s="1082" t="s">
        <v>13984</v>
      </c>
      <c r="G262" s="1014" t="s">
        <v>128</v>
      </c>
      <c r="H262" s="1036"/>
      <c r="I262" s="1036"/>
      <c r="J262" s="1145" t="s">
        <v>2628</v>
      </c>
    </row>
    <row r="263" spans="1:10" ht="30" customHeight="1" x14ac:dyDescent="0.2">
      <c r="A263" s="1144" t="s">
        <v>695</v>
      </c>
      <c r="B263" s="1013" t="s">
        <v>678</v>
      </c>
      <c r="C263" s="1013" t="s">
        <v>641</v>
      </c>
      <c r="D263" s="1084">
        <v>47</v>
      </c>
      <c r="E263" s="1083">
        <v>49000</v>
      </c>
      <c r="F263" s="1082" t="s">
        <v>13985</v>
      </c>
      <c r="G263" s="1014" t="s">
        <v>128</v>
      </c>
      <c r="H263" s="1036"/>
      <c r="I263" s="1036"/>
      <c r="J263" s="1145" t="s">
        <v>2628</v>
      </c>
    </row>
    <row r="264" spans="1:10" ht="30" customHeight="1" x14ac:dyDescent="0.2">
      <c r="A264" s="1144" t="s">
        <v>888</v>
      </c>
      <c r="B264" s="1013" t="s">
        <v>640</v>
      </c>
      <c r="C264" s="1013" t="s">
        <v>641</v>
      </c>
      <c r="D264" s="1084">
        <v>116</v>
      </c>
      <c r="E264" s="1083">
        <v>40187</v>
      </c>
      <c r="F264" s="1082" t="s">
        <v>13986</v>
      </c>
      <c r="G264" s="1014" t="s">
        <v>128</v>
      </c>
      <c r="H264" s="1036"/>
      <c r="I264" s="1036"/>
      <c r="J264" s="1145" t="s">
        <v>2628</v>
      </c>
    </row>
    <row r="265" spans="1:10" ht="30" customHeight="1" x14ac:dyDescent="0.2">
      <c r="A265" s="1144" t="s">
        <v>889</v>
      </c>
      <c r="B265" s="1013" t="s">
        <v>640</v>
      </c>
      <c r="C265" s="1013" t="s">
        <v>641</v>
      </c>
      <c r="D265" s="1084">
        <v>113</v>
      </c>
      <c r="E265" s="1083">
        <v>76663</v>
      </c>
      <c r="F265" s="1082" t="s">
        <v>13908</v>
      </c>
      <c r="G265" s="1014" t="s">
        <v>128</v>
      </c>
      <c r="H265" s="1036"/>
      <c r="I265" s="1036"/>
      <c r="J265" s="1145" t="s">
        <v>2628</v>
      </c>
    </row>
    <row r="266" spans="1:10" ht="30" customHeight="1" x14ac:dyDescent="0.2">
      <c r="A266" s="1144" t="s">
        <v>890</v>
      </c>
      <c r="B266" s="1013" t="s">
        <v>640</v>
      </c>
      <c r="C266" s="1013" t="s">
        <v>641</v>
      </c>
      <c r="D266" s="1084">
        <v>55</v>
      </c>
      <c r="E266" s="1083">
        <v>112500</v>
      </c>
      <c r="F266" s="1082" t="s">
        <v>13926</v>
      </c>
      <c r="G266" s="1014" t="s">
        <v>128</v>
      </c>
      <c r="H266" s="1036"/>
      <c r="I266" s="1036"/>
      <c r="J266" s="1145" t="s">
        <v>2628</v>
      </c>
    </row>
    <row r="267" spans="1:10" ht="30" customHeight="1" x14ac:dyDescent="0.2">
      <c r="A267" s="1144" t="s">
        <v>891</v>
      </c>
      <c r="B267" s="1013" t="s">
        <v>640</v>
      </c>
      <c r="C267" s="1013" t="s">
        <v>641</v>
      </c>
      <c r="D267" s="1084">
        <v>82</v>
      </c>
      <c r="E267" s="1083">
        <v>18900</v>
      </c>
      <c r="F267" s="1082" t="s">
        <v>13987</v>
      </c>
      <c r="G267" s="1014" t="s">
        <v>128</v>
      </c>
      <c r="H267" s="1036"/>
      <c r="I267" s="1036"/>
      <c r="J267" s="1145" t="s">
        <v>2628</v>
      </c>
    </row>
    <row r="268" spans="1:10" ht="30" customHeight="1" x14ac:dyDescent="0.2">
      <c r="A268" s="1144" t="s">
        <v>892</v>
      </c>
      <c r="B268" s="1013" t="s">
        <v>655</v>
      </c>
      <c r="C268" s="1013" t="s">
        <v>644</v>
      </c>
      <c r="D268" s="1084">
        <v>2</v>
      </c>
      <c r="E268" s="1083">
        <v>911534.11</v>
      </c>
      <c r="F268" s="1082" t="s">
        <v>13988</v>
      </c>
      <c r="G268" s="1014" t="s">
        <v>128</v>
      </c>
      <c r="H268" s="1036"/>
      <c r="I268" s="1036"/>
      <c r="J268" s="1145" t="s">
        <v>2628</v>
      </c>
    </row>
    <row r="269" spans="1:10" ht="30" customHeight="1" x14ac:dyDescent="0.2">
      <c r="A269" s="1144" t="s">
        <v>893</v>
      </c>
      <c r="B269" s="1013" t="s">
        <v>640</v>
      </c>
      <c r="C269" s="1013" t="s">
        <v>641</v>
      </c>
      <c r="D269" s="1084">
        <v>111</v>
      </c>
      <c r="E269" s="1083">
        <v>89900</v>
      </c>
      <c r="F269" s="1082" t="s">
        <v>13969</v>
      </c>
      <c r="G269" s="1014" t="s">
        <v>128</v>
      </c>
      <c r="H269" s="1036"/>
      <c r="I269" s="1036"/>
      <c r="J269" s="1145" t="s">
        <v>2628</v>
      </c>
    </row>
    <row r="270" spans="1:10" ht="30" customHeight="1" x14ac:dyDescent="0.2">
      <c r="A270" s="1144" t="s">
        <v>755</v>
      </c>
      <c r="B270" s="1013" t="s">
        <v>640</v>
      </c>
      <c r="C270" s="1013" t="s">
        <v>644</v>
      </c>
      <c r="D270" s="1084">
        <v>67</v>
      </c>
      <c r="E270" s="1083">
        <v>345600</v>
      </c>
      <c r="F270" s="1082" t="s">
        <v>13989</v>
      </c>
      <c r="G270" s="1014" t="s">
        <v>128</v>
      </c>
      <c r="H270" s="1036"/>
      <c r="I270" s="1036"/>
      <c r="J270" s="1145" t="s">
        <v>2628</v>
      </c>
    </row>
    <row r="271" spans="1:10" ht="30" customHeight="1" x14ac:dyDescent="0.2">
      <c r="A271" s="1144" t="s">
        <v>894</v>
      </c>
      <c r="B271" s="1013" t="s">
        <v>640</v>
      </c>
      <c r="C271" s="1013" t="s">
        <v>641</v>
      </c>
      <c r="D271" s="1084">
        <v>83</v>
      </c>
      <c r="E271" s="1083">
        <v>294602</v>
      </c>
      <c r="F271" s="1082" t="s">
        <v>13990</v>
      </c>
      <c r="G271" s="1014" t="s">
        <v>128</v>
      </c>
      <c r="H271" s="1036"/>
      <c r="I271" s="1036"/>
      <c r="J271" s="1145" t="s">
        <v>2628</v>
      </c>
    </row>
    <row r="272" spans="1:10" ht="72" x14ac:dyDescent="0.2">
      <c r="A272" s="1144" t="s">
        <v>895</v>
      </c>
      <c r="B272" s="1013" t="s">
        <v>640</v>
      </c>
      <c r="C272" s="1013" t="s">
        <v>641</v>
      </c>
      <c r="D272" s="1084">
        <v>31</v>
      </c>
      <c r="E272" s="1083">
        <v>73208</v>
      </c>
      <c r="F272" s="1082" t="s">
        <v>13899</v>
      </c>
      <c r="G272" s="1014" t="s">
        <v>128</v>
      </c>
      <c r="H272" s="1036"/>
      <c r="I272" s="1036"/>
      <c r="J272" s="1145" t="s">
        <v>2628</v>
      </c>
    </row>
    <row r="273" spans="1:10" ht="32.25" customHeight="1" x14ac:dyDescent="0.2">
      <c r="A273" s="1144" t="s">
        <v>896</v>
      </c>
      <c r="B273" s="1013" t="s">
        <v>640</v>
      </c>
      <c r="C273" s="1013" t="s">
        <v>641</v>
      </c>
      <c r="D273" s="1084">
        <v>108</v>
      </c>
      <c r="E273" s="1083">
        <v>43500</v>
      </c>
      <c r="F273" s="1082" t="s">
        <v>13991</v>
      </c>
      <c r="G273" s="1014" t="s">
        <v>128</v>
      </c>
      <c r="H273" s="1036"/>
      <c r="I273" s="1036"/>
      <c r="J273" s="1145" t="s">
        <v>2628</v>
      </c>
    </row>
    <row r="274" spans="1:10" ht="48" x14ac:dyDescent="0.2">
      <c r="A274" s="1144" t="s">
        <v>897</v>
      </c>
      <c r="B274" s="1013" t="s">
        <v>640</v>
      </c>
      <c r="C274" s="1013" t="s">
        <v>641</v>
      </c>
      <c r="D274" s="1084">
        <v>85</v>
      </c>
      <c r="E274" s="1083">
        <v>140000</v>
      </c>
      <c r="F274" s="1082" t="s">
        <v>13992</v>
      </c>
      <c r="G274" s="1014" t="s">
        <v>128</v>
      </c>
      <c r="H274" s="1036"/>
      <c r="I274" s="1036"/>
      <c r="J274" s="1145" t="s">
        <v>2628</v>
      </c>
    </row>
    <row r="275" spans="1:10" ht="48" x14ac:dyDescent="0.2">
      <c r="A275" s="1144" t="s">
        <v>898</v>
      </c>
      <c r="B275" s="1013" t="s">
        <v>640</v>
      </c>
      <c r="C275" s="1013" t="s">
        <v>641</v>
      </c>
      <c r="D275" s="1084">
        <v>73</v>
      </c>
      <c r="E275" s="1083">
        <v>160000</v>
      </c>
      <c r="F275" s="1082" t="s">
        <v>13993</v>
      </c>
      <c r="G275" s="1014" t="s">
        <v>128</v>
      </c>
      <c r="H275" s="1036"/>
      <c r="I275" s="1036"/>
      <c r="J275" s="1145" t="s">
        <v>2628</v>
      </c>
    </row>
    <row r="276" spans="1:10" ht="36" x14ac:dyDescent="0.2">
      <c r="A276" s="1144" t="s">
        <v>899</v>
      </c>
      <c r="B276" s="1013" t="s">
        <v>640</v>
      </c>
      <c r="C276" s="1013" t="s">
        <v>641</v>
      </c>
      <c r="D276" s="1084">
        <v>93</v>
      </c>
      <c r="E276" s="1083">
        <v>59580</v>
      </c>
      <c r="F276" s="1082" t="s">
        <v>13994</v>
      </c>
      <c r="G276" s="1014" t="s">
        <v>128</v>
      </c>
      <c r="H276" s="1036"/>
      <c r="I276" s="1036"/>
      <c r="J276" s="1145" t="s">
        <v>2628</v>
      </c>
    </row>
    <row r="277" spans="1:10" ht="48" x14ac:dyDescent="0.2">
      <c r="A277" s="1144" t="s">
        <v>661</v>
      </c>
      <c r="B277" s="1013" t="s">
        <v>640</v>
      </c>
      <c r="C277" s="1013" t="s">
        <v>641</v>
      </c>
      <c r="D277" s="1084">
        <v>106</v>
      </c>
      <c r="E277" s="1083">
        <v>380500</v>
      </c>
      <c r="F277" s="1082" t="s">
        <v>13979</v>
      </c>
      <c r="G277" s="1014" t="s">
        <v>128</v>
      </c>
      <c r="H277" s="1036"/>
      <c r="I277" s="1036"/>
      <c r="J277" s="1145" t="s">
        <v>2628</v>
      </c>
    </row>
    <row r="278" spans="1:10" ht="26.25" customHeight="1" x14ac:dyDescent="0.2">
      <c r="A278" s="1144" t="s">
        <v>792</v>
      </c>
      <c r="B278" s="1013" t="s">
        <v>640</v>
      </c>
      <c r="C278" s="1013" t="s">
        <v>641</v>
      </c>
      <c r="D278" s="1084">
        <v>103</v>
      </c>
      <c r="E278" s="1083">
        <v>44377</v>
      </c>
      <c r="F278" s="1082" t="s">
        <v>13951</v>
      </c>
      <c r="G278" s="1014" t="s">
        <v>128</v>
      </c>
      <c r="H278" s="1036"/>
      <c r="I278" s="1036"/>
      <c r="J278" s="1145" t="s">
        <v>2628</v>
      </c>
    </row>
    <row r="279" spans="1:10" ht="36" x14ac:dyDescent="0.2">
      <c r="A279" s="1144" t="s">
        <v>699</v>
      </c>
      <c r="B279" s="1013" t="s">
        <v>678</v>
      </c>
      <c r="C279" s="1013" t="s">
        <v>641</v>
      </c>
      <c r="D279" s="1084">
        <v>46</v>
      </c>
      <c r="E279" s="1083">
        <v>45400</v>
      </c>
      <c r="F279" s="1082" t="s">
        <v>13929</v>
      </c>
      <c r="G279" s="1014" t="s">
        <v>128</v>
      </c>
      <c r="H279" s="1036"/>
      <c r="I279" s="1036"/>
      <c r="J279" s="1145" t="s">
        <v>2628</v>
      </c>
    </row>
    <row r="280" spans="1:10" ht="36" x14ac:dyDescent="0.2">
      <c r="A280" s="1144" t="s">
        <v>900</v>
      </c>
      <c r="B280" s="1013" t="s">
        <v>640</v>
      </c>
      <c r="C280" s="1013" t="s">
        <v>641</v>
      </c>
      <c r="D280" s="1084">
        <v>100</v>
      </c>
      <c r="E280" s="1083">
        <v>64810</v>
      </c>
      <c r="F280" s="1082" t="s">
        <v>13951</v>
      </c>
      <c r="G280" s="1014" t="s">
        <v>128</v>
      </c>
      <c r="H280" s="1036"/>
      <c r="I280" s="1036"/>
      <c r="J280" s="1145" t="s">
        <v>2628</v>
      </c>
    </row>
    <row r="281" spans="1:10" ht="36" customHeight="1" x14ac:dyDescent="0.2">
      <c r="A281" s="1144" t="s">
        <v>901</v>
      </c>
      <c r="B281" s="1013" t="s">
        <v>640</v>
      </c>
      <c r="C281" s="1013" t="s">
        <v>641</v>
      </c>
      <c r="D281" s="1084">
        <v>102</v>
      </c>
      <c r="E281" s="1083">
        <v>45488</v>
      </c>
      <c r="F281" s="1082" t="s">
        <v>13995</v>
      </c>
      <c r="G281" s="1014" t="s">
        <v>128</v>
      </c>
      <c r="H281" s="1036"/>
      <c r="I281" s="1036"/>
      <c r="J281" s="1145" t="s">
        <v>2628</v>
      </c>
    </row>
    <row r="282" spans="1:10" ht="24" customHeight="1" x14ac:dyDescent="0.2">
      <c r="A282" s="1144" t="s">
        <v>902</v>
      </c>
      <c r="B282" s="1013" t="s">
        <v>640</v>
      </c>
      <c r="C282" s="1013" t="s">
        <v>641</v>
      </c>
      <c r="D282" s="1084">
        <v>44</v>
      </c>
      <c r="E282" s="1083">
        <v>63000</v>
      </c>
      <c r="F282" s="1082" t="s">
        <v>13996</v>
      </c>
      <c r="G282" s="1014" t="s">
        <v>128</v>
      </c>
      <c r="H282" s="1036"/>
      <c r="I282" s="1036"/>
      <c r="J282" s="1145" t="s">
        <v>2628</v>
      </c>
    </row>
    <row r="283" spans="1:10" ht="48" x14ac:dyDescent="0.2">
      <c r="A283" s="1144" t="s">
        <v>903</v>
      </c>
      <c r="B283" s="1013" t="s">
        <v>640</v>
      </c>
      <c r="C283" s="1013" t="s">
        <v>641</v>
      </c>
      <c r="D283" s="1084">
        <v>80</v>
      </c>
      <c r="E283" s="1083">
        <v>46900</v>
      </c>
      <c r="F283" s="1082" t="s">
        <v>13997</v>
      </c>
      <c r="G283" s="1014" t="s">
        <v>128</v>
      </c>
      <c r="H283" s="1036"/>
      <c r="I283" s="1036"/>
      <c r="J283" s="1145" t="s">
        <v>2628</v>
      </c>
    </row>
    <row r="284" spans="1:10" ht="34.5" customHeight="1" x14ac:dyDescent="0.2">
      <c r="A284" s="1144" t="s">
        <v>904</v>
      </c>
      <c r="B284" s="1013" t="s">
        <v>640</v>
      </c>
      <c r="C284" s="1013" t="s">
        <v>641</v>
      </c>
      <c r="D284" s="1084">
        <v>81</v>
      </c>
      <c r="E284" s="1083">
        <v>77779</v>
      </c>
      <c r="F284" s="1082" t="s">
        <v>13998</v>
      </c>
      <c r="G284" s="1014" t="s">
        <v>128</v>
      </c>
      <c r="H284" s="1036"/>
      <c r="I284" s="1036"/>
      <c r="J284" s="1145" t="s">
        <v>2628</v>
      </c>
    </row>
    <row r="285" spans="1:10" ht="39" customHeight="1" x14ac:dyDescent="0.2">
      <c r="A285" s="1144" t="s">
        <v>905</v>
      </c>
      <c r="B285" s="1013" t="s">
        <v>640</v>
      </c>
      <c r="C285" s="1013" t="s">
        <v>641</v>
      </c>
      <c r="D285" s="1084">
        <v>84</v>
      </c>
      <c r="E285" s="1083">
        <v>62122.400000000001</v>
      </c>
      <c r="F285" s="1082" t="s">
        <v>13990</v>
      </c>
      <c r="G285" s="1014" t="s">
        <v>128</v>
      </c>
      <c r="H285" s="1036"/>
      <c r="I285" s="1036"/>
      <c r="J285" s="1145" t="s">
        <v>2628</v>
      </c>
    </row>
    <row r="286" spans="1:10" ht="48" x14ac:dyDescent="0.2">
      <c r="A286" s="1144" t="s">
        <v>906</v>
      </c>
      <c r="B286" s="1013" t="s">
        <v>640</v>
      </c>
      <c r="C286" s="1013" t="s">
        <v>641</v>
      </c>
      <c r="D286" s="1084">
        <v>101</v>
      </c>
      <c r="E286" s="1083">
        <v>4440</v>
      </c>
      <c r="F286" s="1082" t="s">
        <v>13999</v>
      </c>
      <c r="G286" s="1014" t="s">
        <v>128</v>
      </c>
      <c r="H286" s="1036"/>
      <c r="I286" s="1036"/>
      <c r="J286" s="1145" t="s">
        <v>2628</v>
      </c>
    </row>
    <row r="287" spans="1:10" ht="31.5" customHeight="1" x14ac:dyDescent="0.2">
      <c r="A287" s="1144" t="s">
        <v>901</v>
      </c>
      <c r="B287" s="1013" t="s">
        <v>640</v>
      </c>
      <c r="C287" s="1013" t="s">
        <v>641</v>
      </c>
      <c r="D287" s="1084">
        <v>89</v>
      </c>
      <c r="E287" s="1083">
        <v>120902</v>
      </c>
      <c r="F287" s="1082" t="s">
        <v>13963</v>
      </c>
      <c r="G287" s="1014" t="s">
        <v>128</v>
      </c>
      <c r="H287" s="1036"/>
      <c r="I287" s="1036"/>
      <c r="J287" s="1145" t="s">
        <v>2628</v>
      </c>
    </row>
    <row r="288" spans="1:10" ht="60" x14ac:dyDescent="0.2">
      <c r="A288" s="1144" t="s">
        <v>907</v>
      </c>
      <c r="B288" s="1013" t="s">
        <v>640</v>
      </c>
      <c r="C288" s="1013" t="s">
        <v>641</v>
      </c>
      <c r="D288" s="1084">
        <v>87</v>
      </c>
      <c r="E288" s="1083">
        <v>126983</v>
      </c>
      <c r="F288" s="1082" t="s">
        <v>14000</v>
      </c>
      <c r="G288" s="1014" t="s">
        <v>128</v>
      </c>
      <c r="H288" s="1036"/>
      <c r="I288" s="1036"/>
      <c r="J288" s="1145" t="s">
        <v>2628</v>
      </c>
    </row>
    <row r="289" spans="1:10" ht="48" x14ac:dyDescent="0.2">
      <c r="A289" s="1144" t="s">
        <v>842</v>
      </c>
      <c r="B289" s="1013" t="s">
        <v>640</v>
      </c>
      <c r="C289" s="1013" t="s">
        <v>641</v>
      </c>
      <c r="D289" s="1084">
        <v>91</v>
      </c>
      <c r="E289" s="1083">
        <v>42220</v>
      </c>
      <c r="F289" s="1082" t="s">
        <v>785</v>
      </c>
      <c r="G289" s="1014" t="s">
        <v>128</v>
      </c>
      <c r="H289" s="1036"/>
      <c r="I289" s="1036"/>
      <c r="J289" s="1145" t="s">
        <v>2628</v>
      </c>
    </row>
    <row r="290" spans="1:10" ht="36" customHeight="1" x14ac:dyDescent="0.2">
      <c r="A290" s="1144" t="s">
        <v>674</v>
      </c>
      <c r="B290" s="1013" t="s">
        <v>640</v>
      </c>
      <c r="C290" s="1013" t="s">
        <v>641</v>
      </c>
      <c r="D290" s="1084">
        <v>95</v>
      </c>
      <c r="E290" s="1083">
        <v>146719.1</v>
      </c>
      <c r="F290" s="1082" t="s">
        <v>14001</v>
      </c>
      <c r="G290" s="1014" t="s">
        <v>128</v>
      </c>
      <c r="H290" s="1036"/>
      <c r="I290" s="1036"/>
      <c r="J290" s="1145" t="s">
        <v>2628</v>
      </c>
    </row>
    <row r="291" spans="1:10" ht="37.5" customHeight="1" x14ac:dyDescent="0.2">
      <c r="A291" s="1144" t="s">
        <v>908</v>
      </c>
      <c r="B291" s="1013" t="s">
        <v>640</v>
      </c>
      <c r="C291" s="1013" t="s">
        <v>641</v>
      </c>
      <c r="D291" s="1084">
        <v>86</v>
      </c>
      <c r="E291" s="1083">
        <v>94750</v>
      </c>
      <c r="F291" s="1082" t="s">
        <v>13974</v>
      </c>
      <c r="G291" s="1014" t="s">
        <v>128</v>
      </c>
      <c r="H291" s="1036"/>
      <c r="I291" s="1036"/>
      <c r="J291" s="1145" t="s">
        <v>2628</v>
      </c>
    </row>
    <row r="292" spans="1:10" ht="40.5" customHeight="1" x14ac:dyDescent="0.2">
      <c r="A292" s="1144" t="s">
        <v>681</v>
      </c>
      <c r="B292" s="1013" t="s">
        <v>678</v>
      </c>
      <c r="C292" s="1013" t="s">
        <v>641</v>
      </c>
      <c r="D292" s="1084">
        <v>43</v>
      </c>
      <c r="E292" s="1083">
        <v>147150</v>
      </c>
      <c r="F292" s="1082" t="s">
        <v>14002</v>
      </c>
      <c r="G292" s="1014" t="s">
        <v>128</v>
      </c>
      <c r="H292" s="1036"/>
      <c r="I292" s="1036"/>
      <c r="J292" s="1145" t="s">
        <v>2628</v>
      </c>
    </row>
    <row r="293" spans="1:10" ht="48" x14ac:dyDescent="0.2">
      <c r="A293" s="1144" t="s">
        <v>842</v>
      </c>
      <c r="B293" s="1013" t="s">
        <v>640</v>
      </c>
      <c r="C293" s="1013" t="s">
        <v>641</v>
      </c>
      <c r="D293" s="1084">
        <v>79</v>
      </c>
      <c r="E293" s="1083">
        <v>51450</v>
      </c>
      <c r="F293" s="1082" t="s">
        <v>785</v>
      </c>
      <c r="G293" s="1014" t="s">
        <v>128</v>
      </c>
      <c r="H293" s="1036"/>
      <c r="I293" s="1036"/>
      <c r="J293" s="1145" t="s">
        <v>2628</v>
      </c>
    </row>
    <row r="294" spans="1:10" ht="30" customHeight="1" x14ac:dyDescent="0.2">
      <c r="A294" s="1144" t="s">
        <v>909</v>
      </c>
      <c r="B294" s="1013" t="s">
        <v>678</v>
      </c>
      <c r="C294" s="1013" t="s">
        <v>641</v>
      </c>
      <c r="D294" s="1084">
        <v>42</v>
      </c>
      <c r="E294" s="1083">
        <v>233000</v>
      </c>
      <c r="F294" s="1082" t="s">
        <v>14003</v>
      </c>
      <c r="G294" s="1014" t="s">
        <v>128</v>
      </c>
      <c r="H294" s="1036"/>
      <c r="I294" s="1036"/>
      <c r="J294" s="1145" t="s">
        <v>2628</v>
      </c>
    </row>
    <row r="295" spans="1:10" ht="30" customHeight="1" x14ac:dyDescent="0.2">
      <c r="A295" s="1144" t="s">
        <v>910</v>
      </c>
      <c r="B295" s="1013" t="s">
        <v>640</v>
      </c>
      <c r="C295" s="1013" t="s">
        <v>641</v>
      </c>
      <c r="D295" s="1084">
        <v>78</v>
      </c>
      <c r="E295" s="1083">
        <v>154670</v>
      </c>
      <c r="F295" s="1082" t="s">
        <v>14004</v>
      </c>
      <c r="G295" s="1014" t="s">
        <v>128</v>
      </c>
      <c r="H295" s="1036"/>
      <c r="I295" s="1036"/>
      <c r="J295" s="1145" t="s">
        <v>2628</v>
      </c>
    </row>
    <row r="296" spans="1:10" ht="30" customHeight="1" x14ac:dyDescent="0.2">
      <c r="A296" s="1144" t="s">
        <v>699</v>
      </c>
      <c r="B296" s="1013" t="s">
        <v>678</v>
      </c>
      <c r="C296" s="1013" t="s">
        <v>641</v>
      </c>
      <c r="D296" s="1084">
        <v>41</v>
      </c>
      <c r="E296" s="1083">
        <v>124700</v>
      </c>
      <c r="F296" s="1082" t="s">
        <v>13929</v>
      </c>
      <c r="G296" s="1014" t="s">
        <v>128</v>
      </c>
      <c r="H296" s="1036"/>
      <c r="I296" s="1036"/>
      <c r="J296" s="1145" t="s">
        <v>2628</v>
      </c>
    </row>
    <row r="297" spans="1:10" ht="30" customHeight="1" x14ac:dyDescent="0.2">
      <c r="A297" s="1144" t="s">
        <v>911</v>
      </c>
      <c r="B297" s="1013" t="s">
        <v>640</v>
      </c>
      <c r="C297" s="1013" t="s">
        <v>641</v>
      </c>
      <c r="D297" s="1084">
        <v>62</v>
      </c>
      <c r="E297" s="1083">
        <v>162400</v>
      </c>
      <c r="F297" s="1082" t="s">
        <v>13913</v>
      </c>
      <c r="G297" s="1014" t="s">
        <v>128</v>
      </c>
      <c r="H297" s="1036"/>
      <c r="I297" s="1036"/>
      <c r="J297" s="1145" t="s">
        <v>2628</v>
      </c>
    </row>
    <row r="298" spans="1:10" ht="30" customHeight="1" x14ac:dyDescent="0.2">
      <c r="A298" s="1144" t="s">
        <v>912</v>
      </c>
      <c r="B298" s="1013" t="s">
        <v>678</v>
      </c>
      <c r="C298" s="1013" t="s">
        <v>641</v>
      </c>
      <c r="D298" s="1084">
        <v>45</v>
      </c>
      <c r="E298" s="1083">
        <v>89990</v>
      </c>
      <c r="F298" s="1082" t="s">
        <v>14003</v>
      </c>
      <c r="G298" s="1014" t="s">
        <v>128</v>
      </c>
      <c r="H298" s="1036"/>
      <c r="I298" s="1036"/>
      <c r="J298" s="1145" t="s">
        <v>2628</v>
      </c>
    </row>
    <row r="299" spans="1:10" ht="30" customHeight="1" x14ac:dyDescent="0.2">
      <c r="A299" s="1144" t="s">
        <v>913</v>
      </c>
      <c r="B299" s="1013" t="s">
        <v>640</v>
      </c>
      <c r="C299" s="1013" t="s">
        <v>641</v>
      </c>
      <c r="D299" s="1084">
        <v>77</v>
      </c>
      <c r="E299" s="1083">
        <v>44625</v>
      </c>
      <c r="F299" s="1082" t="s">
        <v>13961</v>
      </c>
      <c r="G299" s="1014" t="s">
        <v>128</v>
      </c>
      <c r="H299" s="1036"/>
      <c r="I299" s="1036"/>
      <c r="J299" s="1145" t="s">
        <v>2628</v>
      </c>
    </row>
    <row r="300" spans="1:10" ht="30" customHeight="1" x14ac:dyDescent="0.2">
      <c r="A300" s="1144" t="s">
        <v>914</v>
      </c>
      <c r="B300" s="1013" t="s">
        <v>640</v>
      </c>
      <c r="C300" s="1013" t="s">
        <v>641</v>
      </c>
      <c r="D300" s="1084">
        <v>74</v>
      </c>
      <c r="E300" s="1083">
        <v>78369</v>
      </c>
      <c r="F300" s="1082" t="s">
        <v>14005</v>
      </c>
      <c r="G300" s="1014" t="s">
        <v>128</v>
      </c>
      <c r="H300" s="1036"/>
      <c r="I300" s="1036"/>
      <c r="J300" s="1145" t="s">
        <v>2628</v>
      </c>
    </row>
    <row r="301" spans="1:10" ht="30" customHeight="1" x14ac:dyDescent="0.2">
      <c r="A301" s="1144" t="s">
        <v>681</v>
      </c>
      <c r="B301" s="1013" t="s">
        <v>678</v>
      </c>
      <c r="C301" s="1013" t="s">
        <v>641</v>
      </c>
      <c r="D301" s="1084">
        <v>39</v>
      </c>
      <c r="E301" s="1083">
        <v>77760</v>
      </c>
      <c r="F301" s="1082" t="s">
        <v>14006</v>
      </c>
      <c r="G301" s="1014" t="s">
        <v>128</v>
      </c>
      <c r="H301" s="1036"/>
      <c r="I301" s="1036"/>
      <c r="J301" s="1145" t="s">
        <v>2628</v>
      </c>
    </row>
    <row r="302" spans="1:10" ht="30" customHeight="1" x14ac:dyDescent="0.2">
      <c r="A302" s="1144" t="s">
        <v>915</v>
      </c>
      <c r="B302" s="1013" t="s">
        <v>640</v>
      </c>
      <c r="C302" s="1013" t="s">
        <v>644</v>
      </c>
      <c r="D302" s="1084">
        <v>35</v>
      </c>
      <c r="E302" s="1083">
        <v>88885</v>
      </c>
      <c r="F302" s="1082" t="s">
        <v>14007</v>
      </c>
      <c r="G302" s="1014" t="s">
        <v>128</v>
      </c>
      <c r="H302" s="1036"/>
      <c r="I302" s="1036"/>
      <c r="J302" s="1145" t="s">
        <v>2628</v>
      </c>
    </row>
    <row r="303" spans="1:10" ht="29.25" customHeight="1" x14ac:dyDescent="0.2">
      <c r="A303" s="1144" t="s">
        <v>916</v>
      </c>
      <c r="B303" s="1013" t="s">
        <v>678</v>
      </c>
      <c r="C303" s="1013" t="s">
        <v>641</v>
      </c>
      <c r="D303" s="1084">
        <v>10</v>
      </c>
      <c r="E303" s="1083">
        <v>54900</v>
      </c>
      <c r="F303" s="1082" t="s">
        <v>13929</v>
      </c>
      <c r="G303" s="1014" t="s">
        <v>128</v>
      </c>
      <c r="H303" s="1036"/>
      <c r="I303" s="1036"/>
      <c r="J303" s="1145" t="s">
        <v>2628</v>
      </c>
    </row>
    <row r="304" spans="1:10" ht="36" x14ac:dyDescent="0.2">
      <c r="A304" s="1144" t="s">
        <v>917</v>
      </c>
      <c r="B304" s="1013" t="s">
        <v>678</v>
      </c>
      <c r="C304" s="1013" t="s">
        <v>641</v>
      </c>
      <c r="D304" s="1084">
        <v>37</v>
      </c>
      <c r="E304" s="1083">
        <v>63266.1</v>
      </c>
      <c r="F304" s="1082" t="s">
        <v>13929</v>
      </c>
      <c r="G304" s="1014" t="s">
        <v>128</v>
      </c>
      <c r="H304" s="1036"/>
      <c r="I304" s="1036"/>
      <c r="J304" s="1145" t="s">
        <v>2628</v>
      </c>
    </row>
    <row r="305" spans="1:10" ht="132" x14ac:dyDescent="0.2">
      <c r="A305" s="1144" t="s">
        <v>918</v>
      </c>
      <c r="B305" s="1013" t="s">
        <v>640</v>
      </c>
      <c r="C305" s="1013" t="s">
        <v>644</v>
      </c>
      <c r="D305" s="1084">
        <v>37</v>
      </c>
      <c r="E305" s="1083">
        <v>259750</v>
      </c>
      <c r="F305" s="1082" t="s">
        <v>14008</v>
      </c>
      <c r="G305" s="1014" t="s">
        <v>128</v>
      </c>
      <c r="H305" s="1036"/>
      <c r="I305" s="1036"/>
      <c r="J305" s="1145" t="s">
        <v>2628</v>
      </c>
    </row>
    <row r="306" spans="1:10" ht="36" x14ac:dyDescent="0.2">
      <c r="A306" s="1144" t="s">
        <v>919</v>
      </c>
      <c r="B306" s="1013" t="s">
        <v>678</v>
      </c>
      <c r="C306" s="1013" t="s">
        <v>641</v>
      </c>
      <c r="D306" s="1084">
        <v>32</v>
      </c>
      <c r="E306" s="1083">
        <v>113085</v>
      </c>
      <c r="F306" s="1082" t="s">
        <v>14009</v>
      </c>
      <c r="G306" s="1014" t="s">
        <v>128</v>
      </c>
      <c r="H306" s="1036"/>
      <c r="I306" s="1036"/>
      <c r="J306" s="1145" t="s">
        <v>2628</v>
      </c>
    </row>
    <row r="307" spans="1:10" ht="24" x14ac:dyDescent="0.2">
      <c r="A307" s="1144" t="s">
        <v>920</v>
      </c>
      <c r="B307" s="1013" t="s">
        <v>640</v>
      </c>
      <c r="C307" s="1013" t="s">
        <v>641</v>
      </c>
      <c r="D307" s="1084">
        <v>32</v>
      </c>
      <c r="E307" s="1083">
        <v>66627</v>
      </c>
      <c r="F307" s="1082" t="s">
        <v>13911</v>
      </c>
      <c r="G307" s="1014" t="s">
        <v>128</v>
      </c>
      <c r="H307" s="1036"/>
      <c r="I307" s="1036"/>
      <c r="J307" s="1145" t="s">
        <v>2628</v>
      </c>
    </row>
    <row r="308" spans="1:10" ht="24" x14ac:dyDescent="0.2">
      <c r="A308" s="1144" t="s">
        <v>921</v>
      </c>
      <c r="B308" s="1013" t="s">
        <v>640</v>
      </c>
      <c r="C308" s="1013" t="s">
        <v>641</v>
      </c>
      <c r="D308" s="1084">
        <v>40</v>
      </c>
      <c r="E308" s="1083">
        <v>208620</v>
      </c>
      <c r="F308" s="1082" t="s">
        <v>13913</v>
      </c>
      <c r="G308" s="1014" t="s">
        <v>128</v>
      </c>
      <c r="H308" s="1036"/>
      <c r="I308" s="1036"/>
      <c r="J308" s="1145" t="s">
        <v>2628</v>
      </c>
    </row>
    <row r="309" spans="1:10" ht="21" customHeight="1" x14ac:dyDescent="0.2">
      <c r="A309" s="1144" t="s">
        <v>912</v>
      </c>
      <c r="B309" s="1013" t="s">
        <v>678</v>
      </c>
      <c r="C309" s="1013" t="s">
        <v>641</v>
      </c>
      <c r="D309" s="1084">
        <v>40</v>
      </c>
      <c r="E309" s="1083">
        <v>49160.23</v>
      </c>
      <c r="F309" s="1082" t="s">
        <v>14010</v>
      </c>
      <c r="G309" s="1014" t="s">
        <v>128</v>
      </c>
      <c r="H309" s="1036"/>
      <c r="I309" s="1036"/>
      <c r="J309" s="1145" t="s">
        <v>2628</v>
      </c>
    </row>
    <row r="310" spans="1:10" ht="33" customHeight="1" x14ac:dyDescent="0.2">
      <c r="A310" s="1144" t="s">
        <v>922</v>
      </c>
      <c r="B310" s="1013" t="s">
        <v>640</v>
      </c>
      <c r="C310" s="1013" t="s">
        <v>641</v>
      </c>
      <c r="D310" s="1084">
        <v>60</v>
      </c>
      <c r="E310" s="1083">
        <v>54502</v>
      </c>
      <c r="F310" s="1082" t="s">
        <v>621</v>
      </c>
      <c r="G310" s="1014" t="s">
        <v>1124</v>
      </c>
      <c r="H310" s="1036"/>
      <c r="I310" s="1036"/>
      <c r="J310" s="1145" t="s">
        <v>2628</v>
      </c>
    </row>
    <row r="311" spans="1:10" ht="35.25" customHeight="1" x14ac:dyDescent="0.2">
      <c r="A311" s="1144" t="s">
        <v>923</v>
      </c>
      <c r="B311" s="1013" t="s">
        <v>640</v>
      </c>
      <c r="C311" s="1013" t="s">
        <v>641</v>
      </c>
      <c r="D311" s="1084">
        <v>45</v>
      </c>
      <c r="E311" s="1083">
        <v>59986</v>
      </c>
      <c r="F311" s="1082" t="s">
        <v>13897</v>
      </c>
      <c r="G311" s="1014" t="s">
        <v>128</v>
      </c>
      <c r="H311" s="1036"/>
      <c r="I311" s="1036"/>
      <c r="J311" s="1145" t="s">
        <v>2628</v>
      </c>
    </row>
    <row r="312" spans="1:10" ht="48" x14ac:dyDescent="0.2">
      <c r="A312" s="1144" t="s">
        <v>924</v>
      </c>
      <c r="B312" s="1013" t="s">
        <v>640</v>
      </c>
      <c r="C312" s="1013" t="s">
        <v>641</v>
      </c>
      <c r="D312" s="1084">
        <v>51</v>
      </c>
      <c r="E312" s="1083">
        <v>34880</v>
      </c>
      <c r="F312" s="1082" t="s">
        <v>14011</v>
      </c>
      <c r="G312" s="1014" t="s">
        <v>128</v>
      </c>
      <c r="H312" s="1036"/>
      <c r="I312" s="1036"/>
      <c r="J312" s="1145" t="s">
        <v>2628</v>
      </c>
    </row>
    <row r="313" spans="1:10" ht="36" x14ac:dyDescent="0.2">
      <c r="A313" s="1144" t="s">
        <v>925</v>
      </c>
      <c r="B313" s="1013" t="s">
        <v>640</v>
      </c>
      <c r="C313" s="1013" t="s">
        <v>641</v>
      </c>
      <c r="D313" s="1084">
        <v>59</v>
      </c>
      <c r="E313" s="1083">
        <v>90000</v>
      </c>
      <c r="F313" s="1082" t="s">
        <v>14012</v>
      </c>
      <c r="G313" s="1014" t="s">
        <v>128</v>
      </c>
      <c r="H313" s="1036"/>
      <c r="I313" s="1036"/>
      <c r="J313" s="1145" t="s">
        <v>2628</v>
      </c>
    </row>
    <row r="314" spans="1:10" ht="30" customHeight="1" x14ac:dyDescent="0.2">
      <c r="A314" s="1144" t="s">
        <v>926</v>
      </c>
      <c r="B314" s="1013" t="s">
        <v>640</v>
      </c>
      <c r="C314" s="1013" t="s">
        <v>641</v>
      </c>
      <c r="D314" s="1084">
        <v>54</v>
      </c>
      <c r="E314" s="1083">
        <v>110700</v>
      </c>
      <c r="F314" s="1082" t="s">
        <v>13966</v>
      </c>
      <c r="G314" s="1014" t="s">
        <v>128</v>
      </c>
      <c r="H314" s="1036"/>
      <c r="I314" s="1036"/>
      <c r="J314" s="1145" t="s">
        <v>2628</v>
      </c>
    </row>
    <row r="315" spans="1:10" ht="27.75" customHeight="1" x14ac:dyDescent="0.2">
      <c r="A315" s="1144" t="s">
        <v>927</v>
      </c>
      <c r="B315" s="1013" t="s">
        <v>640</v>
      </c>
      <c r="C315" s="1013" t="s">
        <v>641</v>
      </c>
      <c r="D315" s="1084">
        <v>53</v>
      </c>
      <c r="E315" s="1083">
        <v>69500</v>
      </c>
      <c r="F315" s="1082" t="s">
        <v>14013</v>
      </c>
      <c r="G315" s="1014" t="s">
        <v>128</v>
      </c>
      <c r="H315" s="1036"/>
      <c r="I315" s="1036"/>
      <c r="J315" s="1145" t="s">
        <v>2628</v>
      </c>
    </row>
    <row r="316" spans="1:10" ht="36" x14ac:dyDescent="0.2">
      <c r="A316" s="1144" t="s">
        <v>928</v>
      </c>
      <c r="B316" s="1013" t="s">
        <v>640</v>
      </c>
      <c r="C316" s="1013" t="s">
        <v>641</v>
      </c>
      <c r="D316" s="1084">
        <v>64</v>
      </c>
      <c r="E316" s="1083">
        <v>31495</v>
      </c>
      <c r="F316" s="1082" t="s">
        <v>14014</v>
      </c>
      <c r="G316" s="1014" t="s">
        <v>128</v>
      </c>
      <c r="H316" s="1036"/>
      <c r="I316" s="1036"/>
      <c r="J316" s="1145" t="s">
        <v>2628</v>
      </c>
    </row>
    <row r="317" spans="1:10" ht="60" x14ac:dyDescent="0.2">
      <c r="A317" s="1144" t="s">
        <v>929</v>
      </c>
      <c r="B317" s="1013" t="s">
        <v>640</v>
      </c>
      <c r="C317" s="1013" t="s">
        <v>641</v>
      </c>
      <c r="D317" s="1084">
        <v>19</v>
      </c>
      <c r="E317" s="1083">
        <v>44000</v>
      </c>
      <c r="F317" s="1082" t="s">
        <v>930</v>
      </c>
      <c r="G317" s="1014" t="s">
        <v>128</v>
      </c>
      <c r="H317" s="1036"/>
      <c r="I317" s="1036"/>
      <c r="J317" s="1145" t="s">
        <v>2628</v>
      </c>
    </row>
    <row r="318" spans="1:10" ht="60" x14ac:dyDescent="0.2">
      <c r="A318" s="1144" t="s">
        <v>656</v>
      </c>
      <c r="B318" s="1013" t="s">
        <v>640</v>
      </c>
      <c r="C318" s="1013" t="s">
        <v>641</v>
      </c>
      <c r="D318" s="1084">
        <v>30</v>
      </c>
      <c r="E318" s="1083">
        <v>55920.800000000003</v>
      </c>
      <c r="F318" s="1082" t="s">
        <v>14015</v>
      </c>
      <c r="G318" s="1014" t="s">
        <v>128</v>
      </c>
      <c r="H318" s="1036"/>
      <c r="I318" s="1036"/>
      <c r="J318" s="1145" t="s">
        <v>2628</v>
      </c>
    </row>
    <row r="319" spans="1:10" ht="60" x14ac:dyDescent="0.2">
      <c r="A319" s="1144" t="s">
        <v>931</v>
      </c>
      <c r="B319" s="1013" t="s">
        <v>678</v>
      </c>
      <c r="C319" s="1013" t="s">
        <v>641</v>
      </c>
      <c r="D319" s="1084">
        <v>38</v>
      </c>
      <c r="E319" s="1083">
        <v>50200</v>
      </c>
      <c r="F319" s="1082" t="s">
        <v>13915</v>
      </c>
      <c r="G319" s="1014" t="s">
        <v>128</v>
      </c>
      <c r="H319" s="1036"/>
      <c r="I319" s="1036"/>
      <c r="J319" s="1145" t="s">
        <v>2628</v>
      </c>
    </row>
    <row r="320" spans="1:10" ht="32.25" customHeight="1" x14ac:dyDescent="0.2">
      <c r="A320" s="1144" t="s">
        <v>932</v>
      </c>
      <c r="B320" s="1013" t="s">
        <v>678</v>
      </c>
      <c r="C320" s="1013" t="s">
        <v>641</v>
      </c>
      <c r="D320" s="1084">
        <v>27</v>
      </c>
      <c r="E320" s="1083">
        <v>57960</v>
      </c>
      <c r="F320" s="1082" t="s">
        <v>13985</v>
      </c>
      <c r="G320" s="1014" t="s">
        <v>128</v>
      </c>
      <c r="H320" s="1036"/>
      <c r="I320" s="1036"/>
      <c r="J320" s="1145" t="s">
        <v>2628</v>
      </c>
    </row>
    <row r="321" spans="1:10" ht="60" x14ac:dyDescent="0.2">
      <c r="A321" s="1144" t="s">
        <v>933</v>
      </c>
      <c r="B321" s="1013" t="s">
        <v>640</v>
      </c>
      <c r="C321" s="1013" t="s">
        <v>644</v>
      </c>
      <c r="D321" s="1084">
        <v>76</v>
      </c>
      <c r="E321" s="1083">
        <v>139900</v>
      </c>
      <c r="F321" s="1082" t="s">
        <v>14016</v>
      </c>
      <c r="G321" s="1014" t="s">
        <v>128</v>
      </c>
      <c r="H321" s="1036"/>
      <c r="I321" s="1036"/>
      <c r="J321" s="1145" t="s">
        <v>2628</v>
      </c>
    </row>
    <row r="322" spans="1:10" ht="96" x14ac:dyDescent="0.2">
      <c r="A322" s="1144" t="s">
        <v>934</v>
      </c>
      <c r="B322" s="1013" t="s">
        <v>640</v>
      </c>
      <c r="C322" s="1013" t="s">
        <v>644</v>
      </c>
      <c r="D322" s="1084">
        <v>70</v>
      </c>
      <c r="E322" s="1083">
        <v>318600</v>
      </c>
      <c r="F322" s="1082" t="s">
        <v>14017</v>
      </c>
      <c r="G322" s="1014" t="s">
        <v>128</v>
      </c>
      <c r="H322" s="1036"/>
      <c r="I322" s="1036"/>
      <c r="J322" s="1145" t="s">
        <v>2628</v>
      </c>
    </row>
    <row r="323" spans="1:10" ht="60" x14ac:dyDescent="0.2">
      <c r="A323" s="1144" t="s">
        <v>935</v>
      </c>
      <c r="B323" s="1013" t="s">
        <v>640</v>
      </c>
      <c r="C323" s="1013" t="s">
        <v>641</v>
      </c>
      <c r="D323" s="1084">
        <v>29</v>
      </c>
      <c r="E323" s="1083">
        <v>263080</v>
      </c>
      <c r="F323" s="1082" t="s">
        <v>14018</v>
      </c>
      <c r="G323" s="1014" t="s">
        <v>128</v>
      </c>
      <c r="H323" s="1036"/>
      <c r="I323" s="1036"/>
      <c r="J323" s="1145" t="s">
        <v>2628</v>
      </c>
    </row>
    <row r="324" spans="1:10" ht="60" x14ac:dyDescent="0.2">
      <c r="A324" s="1144" t="s">
        <v>936</v>
      </c>
      <c r="B324" s="1013" t="s">
        <v>640</v>
      </c>
      <c r="C324" s="1013" t="s">
        <v>641</v>
      </c>
      <c r="D324" s="1084">
        <v>46</v>
      </c>
      <c r="E324" s="1083">
        <v>92000</v>
      </c>
      <c r="F324" s="1082" t="s">
        <v>13950</v>
      </c>
      <c r="G324" s="1014" t="s">
        <v>128</v>
      </c>
      <c r="H324" s="1036"/>
      <c r="I324" s="1036"/>
      <c r="J324" s="1145" t="s">
        <v>2628</v>
      </c>
    </row>
    <row r="325" spans="1:10" ht="36" x14ac:dyDescent="0.2">
      <c r="A325" s="1144" t="s">
        <v>937</v>
      </c>
      <c r="B325" s="1013" t="s">
        <v>640</v>
      </c>
      <c r="C325" s="1013" t="s">
        <v>641</v>
      </c>
      <c r="D325" s="1084">
        <v>28</v>
      </c>
      <c r="E325" s="1083">
        <v>65000</v>
      </c>
      <c r="F325" s="1082" t="s">
        <v>14019</v>
      </c>
      <c r="G325" s="1014" t="s">
        <v>128</v>
      </c>
      <c r="H325" s="1036"/>
      <c r="I325" s="1036"/>
      <c r="J325" s="1145" t="s">
        <v>2628</v>
      </c>
    </row>
    <row r="326" spans="1:10" ht="24" x14ac:dyDescent="0.2">
      <c r="A326" s="1144" t="s">
        <v>938</v>
      </c>
      <c r="B326" s="1013" t="s">
        <v>640</v>
      </c>
      <c r="C326" s="1013" t="s">
        <v>641</v>
      </c>
      <c r="D326" s="1084">
        <v>38</v>
      </c>
      <c r="E326" s="1083">
        <v>96876</v>
      </c>
      <c r="F326" s="1082" t="s">
        <v>621</v>
      </c>
      <c r="G326" s="1014" t="s">
        <v>663</v>
      </c>
      <c r="H326" s="1036"/>
      <c r="I326" s="1036"/>
      <c r="J326" s="1145" t="s">
        <v>2628</v>
      </c>
    </row>
    <row r="327" spans="1:10" ht="48" x14ac:dyDescent="0.2">
      <c r="A327" s="1144" t="s">
        <v>939</v>
      </c>
      <c r="B327" s="1013" t="s">
        <v>640</v>
      </c>
      <c r="C327" s="1013" t="s">
        <v>641</v>
      </c>
      <c r="D327" s="1084">
        <v>57</v>
      </c>
      <c r="E327" s="1083">
        <v>87290.5</v>
      </c>
      <c r="F327" s="1082" t="s">
        <v>13889</v>
      </c>
      <c r="G327" s="1014" t="s">
        <v>128</v>
      </c>
      <c r="H327" s="1036"/>
      <c r="I327" s="1036"/>
      <c r="J327" s="1145" t="s">
        <v>2628</v>
      </c>
    </row>
    <row r="328" spans="1:10" ht="36" x14ac:dyDescent="0.2">
      <c r="A328" s="1144" t="s">
        <v>699</v>
      </c>
      <c r="B328" s="1013" t="s">
        <v>678</v>
      </c>
      <c r="C328" s="1013" t="s">
        <v>641</v>
      </c>
      <c r="D328" s="1084">
        <v>36</v>
      </c>
      <c r="E328" s="1083">
        <v>152600</v>
      </c>
      <c r="F328" s="1082" t="s">
        <v>14020</v>
      </c>
      <c r="G328" s="1014" t="s">
        <v>128</v>
      </c>
      <c r="H328" s="1036"/>
      <c r="I328" s="1036"/>
      <c r="J328" s="1145" t="s">
        <v>2628</v>
      </c>
    </row>
    <row r="329" spans="1:10" ht="72" x14ac:dyDescent="0.2">
      <c r="A329" s="1144" t="s">
        <v>940</v>
      </c>
      <c r="B329" s="1013" t="s">
        <v>640</v>
      </c>
      <c r="C329" s="1013" t="s">
        <v>644</v>
      </c>
      <c r="D329" s="1084">
        <v>71</v>
      </c>
      <c r="E329" s="1083">
        <v>345600</v>
      </c>
      <c r="F329" s="1082" t="s">
        <v>13989</v>
      </c>
      <c r="G329" s="1014" t="s">
        <v>128</v>
      </c>
      <c r="H329" s="1036"/>
      <c r="I329" s="1036"/>
      <c r="J329" s="1145" t="s">
        <v>2628</v>
      </c>
    </row>
    <row r="330" spans="1:10" ht="36" x14ac:dyDescent="0.2">
      <c r="A330" s="1144" t="s">
        <v>941</v>
      </c>
      <c r="B330" s="1013" t="s">
        <v>640</v>
      </c>
      <c r="C330" s="1013" t="s">
        <v>641</v>
      </c>
      <c r="D330" s="1084">
        <v>50</v>
      </c>
      <c r="E330" s="1083">
        <v>51677.4</v>
      </c>
      <c r="F330" s="1082" t="s">
        <v>14021</v>
      </c>
      <c r="G330" s="1014" t="s">
        <v>128</v>
      </c>
      <c r="H330" s="1036"/>
      <c r="I330" s="1036"/>
      <c r="J330" s="1145" t="s">
        <v>2628</v>
      </c>
    </row>
    <row r="331" spans="1:10" ht="36" x14ac:dyDescent="0.2">
      <c r="A331" s="1144" t="s">
        <v>942</v>
      </c>
      <c r="B331" s="1013" t="s">
        <v>640</v>
      </c>
      <c r="C331" s="1013" t="s">
        <v>644</v>
      </c>
      <c r="D331" s="1084">
        <v>68</v>
      </c>
      <c r="E331" s="1083">
        <v>247680</v>
      </c>
      <c r="F331" s="1082" t="s">
        <v>14022</v>
      </c>
      <c r="G331" s="1014" t="s">
        <v>128</v>
      </c>
      <c r="H331" s="1036"/>
      <c r="I331" s="1036"/>
      <c r="J331" s="1145" t="s">
        <v>2628</v>
      </c>
    </row>
    <row r="332" spans="1:10" ht="24" x14ac:dyDescent="0.2">
      <c r="A332" s="1144" t="s">
        <v>943</v>
      </c>
      <c r="B332" s="1013" t="s">
        <v>640</v>
      </c>
      <c r="C332" s="1013" t="s">
        <v>644</v>
      </c>
      <c r="D332" s="1084">
        <v>66</v>
      </c>
      <c r="E332" s="1083">
        <v>182506.67</v>
      </c>
      <c r="F332" s="1082" t="s">
        <v>621</v>
      </c>
      <c r="G332" s="1014" t="s">
        <v>663</v>
      </c>
      <c r="H332" s="1036"/>
      <c r="I332" s="1036"/>
      <c r="J332" s="1145" t="s">
        <v>2628</v>
      </c>
    </row>
    <row r="333" spans="1:10" ht="36" x14ac:dyDescent="0.2">
      <c r="A333" s="1144" t="s">
        <v>944</v>
      </c>
      <c r="B333" s="1013" t="s">
        <v>640</v>
      </c>
      <c r="C333" s="1013" t="s">
        <v>641</v>
      </c>
      <c r="D333" s="1084">
        <v>58</v>
      </c>
      <c r="E333" s="1083">
        <v>51534.1</v>
      </c>
      <c r="F333" s="1082" t="s">
        <v>14023</v>
      </c>
      <c r="G333" s="1014" t="s">
        <v>128</v>
      </c>
      <c r="H333" s="1036"/>
      <c r="I333" s="1036"/>
      <c r="J333" s="1145" t="s">
        <v>2628</v>
      </c>
    </row>
    <row r="334" spans="1:10" ht="60" x14ac:dyDescent="0.2">
      <c r="A334" s="1144" t="s">
        <v>945</v>
      </c>
      <c r="B334" s="1013" t="s">
        <v>640</v>
      </c>
      <c r="C334" s="1013" t="s">
        <v>641</v>
      </c>
      <c r="D334" s="1084">
        <v>33</v>
      </c>
      <c r="E334" s="1083">
        <v>32880</v>
      </c>
      <c r="F334" s="1082" t="s">
        <v>14024</v>
      </c>
      <c r="G334" s="1014" t="s">
        <v>128</v>
      </c>
      <c r="H334" s="1036"/>
      <c r="I334" s="1036"/>
      <c r="J334" s="1145" t="s">
        <v>2628</v>
      </c>
    </row>
    <row r="335" spans="1:10" ht="60" x14ac:dyDescent="0.2">
      <c r="A335" s="1144" t="s">
        <v>946</v>
      </c>
      <c r="B335" s="1013" t="s">
        <v>640</v>
      </c>
      <c r="C335" s="1013" t="s">
        <v>641</v>
      </c>
      <c r="D335" s="1084">
        <v>41</v>
      </c>
      <c r="E335" s="1083">
        <v>77424</v>
      </c>
      <c r="F335" s="1082" t="s">
        <v>930</v>
      </c>
      <c r="G335" s="1014" t="s">
        <v>128</v>
      </c>
      <c r="H335" s="1036"/>
      <c r="I335" s="1036"/>
      <c r="J335" s="1145" t="s">
        <v>2628</v>
      </c>
    </row>
    <row r="336" spans="1:10" ht="30" customHeight="1" x14ac:dyDescent="0.2">
      <c r="A336" s="1144" t="s">
        <v>932</v>
      </c>
      <c r="B336" s="1013" t="s">
        <v>678</v>
      </c>
      <c r="C336" s="1013" t="s">
        <v>641</v>
      </c>
      <c r="D336" s="1084">
        <v>35</v>
      </c>
      <c r="E336" s="1083">
        <v>310000</v>
      </c>
      <c r="F336" s="1082" t="s">
        <v>14025</v>
      </c>
      <c r="G336" s="1014" t="s">
        <v>128</v>
      </c>
      <c r="H336" s="1036"/>
      <c r="I336" s="1036"/>
      <c r="J336" s="1145" t="s">
        <v>2628</v>
      </c>
    </row>
    <row r="337" spans="1:10" ht="30" customHeight="1" x14ac:dyDescent="0.2">
      <c r="A337" s="1144" t="s">
        <v>907</v>
      </c>
      <c r="B337" s="1013" t="s">
        <v>640</v>
      </c>
      <c r="C337" s="1013" t="s">
        <v>641</v>
      </c>
      <c r="D337" s="1084">
        <v>39</v>
      </c>
      <c r="E337" s="1083">
        <v>42189.5</v>
      </c>
      <c r="F337" s="1082" t="s">
        <v>14001</v>
      </c>
      <c r="G337" s="1014" t="s">
        <v>128</v>
      </c>
      <c r="H337" s="1036"/>
      <c r="I337" s="1036"/>
      <c r="J337" s="1145" t="s">
        <v>2628</v>
      </c>
    </row>
    <row r="338" spans="1:10" ht="30" customHeight="1" x14ac:dyDescent="0.2">
      <c r="A338" s="1144" t="s">
        <v>649</v>
      </c>
      <c r="B338" s="1013" t="s">
        <v>617</v>
      </c>
      <c r="C338" s="1013" t="s">
        <v>641</v>
      </c>
      <c r="D338" s="1084">
        <v>1</v>
      </c>
      <c r="E338" s="1083">
        <v>1653400</v>
      </c>
      <c r="F338" s="1082"/>
      <c r="G338" s="1014" t="s">
        <v>663</v>
      </c>
      <c r="H338" s="1036"/>
      <c r="I338" s="1036"/>
      <c r="J338" s="1145" t="s">
        <v>2628</v>
      </c>
    </row>
    <row r="339" spans="1:10" ht="30" customHeight="1" x14ac:dyDescent="0.2">
      <c r="A339" s="1144" t="s">
        <v>947</v>
      </c>
      <c r="B339" s="1013" t="s">
        <v>640</v>
      </c>
      <c r="C339" s="1013" t="s">
        <v>641</v>
      </c>
      <c r="D339" s="1084">
        <v>22</v>
      </c>
      <c r="E339" s="1083">
        <v>253600</v>
      </c>
      <c r="F339" s="1082" t="s">
        <v>13913</v>
      </c>
      <c r="G339" s="1014" t="s">
        <v>128</v>
      </c>
      <c r="H339" s="1036"/>
      <c r="I339" s="1036"/>
      <c r="J339" s="1145" t="s">
        <v>2628</v>
      </c>
    </row>
    <row r="340" spans="1:10" ht="30" customHeight="1" x14ac:dyDescent="0.2">
      <c r="A340" s="1144" t="s">
        <v>948</v>
      </c>
      <c r="B340" s="1013" t="s">
        <v>640</v>
      </c>
      <c r="C340" s="1013" t="s">
        <v>641</v>
      </c>
      <c r="D340" s="1084">
        <v>34</v>
      </c>
      <c r="E340" s="1083">
        <v>61540</v>
      </c>
      <c r="F340" s="1082" t="s">
        <v>621</v>
      </c>
      <c r="G340" s="1014" t="s">
        <v>663</v>
      </c>
      <c r="H340" s="1036"/>
      <c r="I340" s="1036"/>
      <c r="J340" s="1145" t="s">
        <v>2628</v>
      </c>
    </row>
    <row r="341" spans="1:10" ht="36" x14ac:dyDescent="0.2">
      <c r="A341" s="1144" t="s">
        <v>949</v>
      </c>
      <c r="B341" s="1013" t="s">
        <v>640</v>
      </c>
      <c r="C341" s="1013" t="s">
        <v>641</v>
      </c>
      <c r="D341" s="1084">
        <v>20</v>
      </c>
      <c r="E341" s="1083">
        <v>69855</v>
      </c>
      <c r="F341" s="1082" t="s">
        <v>14026</v>
      </c>
      <c r="G341" s="1014" t="s">
        <v>128</v>
      </c>
      <c r="H341" s="1036"/>
      <c r="I341" s="1036"/>
      <c r="J341" s="1145" t="s">
        <v>2628</v>
      </c>
    </row>
    <row r="342" spans="1:10" ht="19.5" customHeight="1" x14ac:dyDescent="0.2">
      <c r="A342" s="1144" t="s">
        <v>950</v>
      </c>
      <c r="B342" s="1013" t="s">
        <v>678</v>
      </c>
      <c r="C342" s="1013" t="s">
        <v>641</v>
      </c>
      <c r="D342" s="1084">
        <v>31</v>
      </c>
      <c r="E342" s="1083">
        <v>46000</v>
      </c>
      <c r="F342" s="1082" t="s">
        <v>14027</v>
      </c>
      <c r="G342" s="1014" t="s">
        <v>128</v>
      </c>
      <c r="H342" s="1036"/>
      <c r="I342" s="1036"/>
      <c r="J342" s="1145" t="s">
        <v>2628</v>
      </c>
    </row>
    <row r="343" spans="1:10" ht="21.75" customHeight="1" x14ac:dyDescent="0.2">
      <c r="A343" s="1144" t="s">
        <v>932</v>
      </c>
      <c r="B343" s="1013" t="s">
        <v>678</v>
      </c>
      <c r="C343" s="1013" t="s">
        <v>641</v>
      </c>
      <c r="D343" s="1084">
        <v>33</v>
      </c>
      <c r="E343" s="1083">
        <v>58400</v>
      </c>
      <c r="F343" s="1082" t="s">
        <v>14028</v>
      </c>
      <c r="G343" s="1014" t="s">
        <v>128</v>
      </c>
      <c r="H343" s="1036"/>
      <c r="I343" s="1036"/>
      <c r="J343" s="1145" t="s">
        <v>2628</v>
      </c>
    </row>
    <row r="344" spans="1:10" ht="60" x14ac:dyDescent="0.2">
      <c r="A344" s="1144" t="s">
        <v>951</v>
      </c>
      <c r="B344" s="1013" t="s">
        <v>640</v>
      </c>
      <c r="C344" s="1013" t="s">
        <v>641</v>
      </c>
      <c r="D344" s="1084">
        <v>21</v>
      </c>
      <c r="E344" s="1083">
        <v>45045</v>
      </c>
      <c r="F344" s="1082" t="s">
        <v>930</v>
      </c>
      <c r="G344" s="1014" t="s">
        <v>128</v>
      </c>
      <c r="H344" s="1036"/>
      <c r="I344" s="1036"/>
      <c r="J344" s="1145" t="s">
        <v>2628</v>
      </c>
    </row>
    <row r="345" spans="1:10" ht="30" customHeight="1" x14ac:dyDescent="0.2">
      <c r="A345" s="1144" t="s">
        <v>699</v>
      </c>
      <c r="B345" s="1013" t="s">
        <v>678</v>
      </c>
      <c r="C345" s="1013" t="s">
        <v>641</v>
      </c>
      <c r="D345" s="1084">
        <v>34</v>
      </c>
      <c r="E345" s="1083">
        <v>45331.9</v>
      </c>
      <c r="F345" s="1082" t="s">
        <v>14006</v>
      </c>
      <c r="G345" s="1014" t="s">
        <v>128</v>
      </c>
      <c r="H345" s="1036"/>
      <c r="I345" s="1036"/>
      <c r="J345" s="1145" t="s">
        <v>2628</v>
      </c>
    </row>
    <row r="346" spans="1:10" ht="29.25" customHeight="1" x14ac:dyDescent="0.2">
      <c r="A346" s="1144" t="s">
        <v>952</v>
      </c>
      <c r="B346" s="1013" t="s">
        <v>640</v>
      </c>
      <c r="C346" s="1013" t="s">
        <v>641</v>
      </c>
      <c r="D346" s="1084">
        <v>36</v>
      </c>
      <c r="E346" s="1083">
        <v>67500</v>
      </c>
      <c r="F346" s="1082" t="s">
        <v>14029</v>
      </c>
      <c r="G346" s="1014" t="s">
        <v>128</v>
      </c>
      <c r="H346" s="1036"/>
      <c r="I346" s="1036"/>
      <c r="J346" s="1145" t="s">
        <v>2628</v>
      </c>
    </row>
    <row r="347" spans="1:10" ht="36" x14ac:dyDescent="0.2">
      <c r="A347" s="1144" t="s">
        <v>699</v>
      </c>
      <c r="B347" s="1013" t="s">
        <v>678</v>
      </c>
      <c r="C347" s="1013" t="s">
        <v>641</v>
      </c>
      <c r="D347" s="1084">
        <v>29</v>
      </c>
      <c r="E347" s="1083">
        <v>69900</v>
      </c>
      <c r="F347" s="1082" t="s">
        <v>14006</v>
      </c>
      <c r="G347" s="1014" t="s">
        <v>128</v>
      </c>
      <c r="H347" s="1036"/>
      <c r="I347" s="1036"/>
      <c r="J347" s="1145" t="s">
        <v>2628</v>
      </c>
    </row>
    <row r="348" spans="1:10" ht="48" x14ac:dyDescent="0.2">
      <c r="A348" s="1144" t="s">
        <v>953</v>
      </c>
      <c r="B348" s="1013" t="s">
        <v>678</v>
      </c>
      <c r="C348" s="1013" t="s">
        <v>641</v>
      </c>
      <c r="D348" s="1084">
        <v>19</v>
      </c>
      <c r="E348" s="1083">
        <v>176136</v>
      </c>
      <c r="F348" s="1082" t="s">
        <v>14030</v>
      </c>
      <c r="G348" s="1014" t="s">
        <v>128</v>
      </c>
      <c r="H348" s="1036"/>
      <c r="I348" s="1036"/>
      <c r="J348" s="1145" t="s">
        <v>2628</v>
      </c>
    </row>
    <row r="349" spans="1:10" ht="48" x14ac:dyDescent="0.2">
      <c r="A349" s="1144" t="s">
        <v>950</v>
      </c>
      <c r="B349" s="1013" t="s">
        <v>678</v>
      </c>
      <c r="C349" s="1013" t="s">
        <v>641</v>
      </c>
      <c r="D349" s="1084">
        <v>18</v>
      </c>
      <c r="E349" s="1083">
        <v>54990</v>
      </c>
      <c r="F349" s="1082" t="s">
        <v>14031</v>
      </c>
      <c r="G349" s="1014" t="s">
        <v>128</v>
      </c>
      <c r="H349" s="1036"/>
      <c r="I349" s="1036"/>
      <c r="J349" s="1145" t="s">
        <v>2628</v>
      </c>
    </row>
    <row r="350" spans="1:10" ht="36" x14ac:dyDescent="0.2">
      <c r="A350" s="1144" t="s">
        <v>954</v>
      </c>
      <c r="B350" s="1013" t="s">
        <v>678</v>
      </c>
      <c r="C350" s="1013" t="s">
        <v>641</v>
      </c>
      <c r="D350" s="1084">
        <v>28</v>
      </c>
      <c r="E350" s="1083">
        <v>56779</v>
      </c>
      <c r="F350" s="1082" t="s">
        <v>13918</v>
      </c>
      <c r="G350" s="1014" t="s">
        <v>128</v>
      </c>
      <c r="H350" s="1036"/>
      <c r="I350" s="1036"/>
      <c r="J350" s="1145" t="s">
        <v>2628</v>
      </c>
    </row>
    <row r="351" spans="1:10" ht="36" x14ac:dyDescent="0.2">
      <c r="A351" s="1144" t="s">
        <v>842</v>
      </c>
      <c r="B351" s="1013" t="s">
        <v>640</v>
      </c>
      <c r="C351" s="1013" t="s">
        <v>641</v>
      </c>
      <c r="D351" s="1084">
        <v>27</v>
      </c>
      <c r="E351" s="1083">
        <v>119603.5</v>
      </c>
      <c r="F351" s="1082" t="s">
        <v>14032</v>
      </c>
      <c r="G351" s="1014" t="s">
        <v>128</v>
      </c>
      <c r="H351" s="1036"/>
      <c r="I351" s="1036"/>
      <c r="J351" s="1145" t="s">
        <v>2628</v>
      </c>
    </row>
    <row r="352" spans="1:10" ht="30" customHeight="1" x14ac:dyDescent="0.2">
      <c r="A352" s="1144" t="s">
        <v>955</v>
      </c>
      <c r="B352" s="1013" t="s">
        <v>640</v>
      </c>
      <c r="C352" s="1013" t="s">
        <v>641</v>
      </c>
      <c r="D352" s="1084">
        <v>42</v>
      </c>
      <c r="E352" s="1083">
        <v>101490</v>
      </c>
      <c r="F352" s="1082" t="s">
        <v>14033</v>
      </c>
      <c r="G352" s="1014" t="s">
        <v>128</v>
      </c>
      <c r="H352" s="1036"/>
      <c r="I352" s="1036"/>
      <c r="J352" s="1145" t="s">
        <v>2628</v>
      </c>
    </row>
    <row r="353" spans="1:10" ht="30" customHeight="1" x14ac:dyDescent="0.2">
      <c r="A353" s="1144" t="s">
        <v>956</v>
      </c>
      <c r="B353" s="1013" t="s">
        <v>640</v>
      </c>
      <c r="C353" s="1013" t="s">
        <v>641</v>
      </c>
      <c r="D353" s="1084">
        <v>24</v>
      </c>
      <c r="E353" s="1083">
        <v>88587</v>
      </c>
      <c r="F353" s="1082" t="s">
        <v>14034</v>
      </c>
      <c r="G353" s="1014" t="s">
        <v>128</v>
      </c>
      <c r="H353" s="1036"/>
      <c r="I353" s="1036"/>
      <c r="J353" s="1145" t="s">
        <v>2628</v>
      </c>
    </row>
    <row r="354" spans="1:10" ht="30" customHeight="1" x14ac:dyDescent="0.2">
      <c r="A354" s="1144" t="s">
        <v>932</v>
      </c>
      <c r="B354" s="1013" t="s">
        <v>678</v>
      </c>
      <c r="C354" s="1013" t="s">
        <v>641</v>
      </c>
      <c r="D354" s="1084">
        <v>30</v>
      </c>
      <c r="E354" s="1083">
        <v>192045</v>
      </c>
      <c r="F354" s="1082" t="s">
        <v>14035</v>
      </c>
      <c r="G354" s="1014" t="s">
        <v>128</v>
      </c>
      <c r="H354" s="1036"/>
      <c r="I354" s="1036"/>
      <c r="J354" s="1145" t="s">
        <v>2628</v>
      </c>
    </row>
    <row r="355" spans="1:10" ht="30" customHeight="1" x14ac:dyDescent="0.2">
      <c r="A355" s="1144" t="s">
        <v>957</v>
      </c>
      <c r="B355" s="1013" t="s">
        <v>675</v>
      </c>
      <c r="C355" s="1013" t="s">
        <v>641</v>
      </c>
      <c r="D355" s="1084">
        <v>2</v>
      </c>
      <c r="E355" s="1083">
        <v>54000</v>
      </c>
      <c r="F355" s="1082"/>
      <c r="G355" s="1014" t="s">
        <v>663</v>
      </c>
      <c r="H355" s="1036"/>
      <c r="I355" s="1036"/>
      <c r="J355" s="1145" t="s">
        <v>2628</v>
      </c>
    </row>
    <row r="356" spans="1:10" ht="30" customHeight="1" x14ac:dyDescent="0.2">
      <c r="A356" s="1144" t="s">
        <v>958</v>
      </c>
      <c r="B356" s="1013" t="s">
        <v>640</v>
      </c>
      <c r="C356" s="1013" t="s">
        <v>641</v>
      </c>
      <c r="D356" s="1084">
        <v>17</v>
      </c>
      <c r="E356" s="1083">
        <v>49750</v>
      </c>
      <c r="F356" s="1082" t="s">
        <v>14036</v>
      </c>
      <c r="G356" s="1014" t="s">
        <v>128</v>
      </c>
      <c r="H356" s="1036"/>
      <c r="I356" s="1036"/>
      <c r="J356" s="1145" t="s">
        <v>2628</v>
      </c>
    </row>
    <row r="357" spans="1:10" ht="30" customHeight="1" x14ac:dyDescent="0.2">
      <c r="A357" s="1144" t="s">
        <v>959</v>
      </c>
      <c r="B357" s="1013" t="s">
        <v>640</v>
      </c>
      <c r="C357" s="1013" t="s">
        <v>641</v>
      </c>
      <c r="D357" s="1084">
        <v>25</v>
      </c>
      <c r="E357" s="1083">
        <v>41945</v>
      </c>
      <c r="F357" s="1082" t="s">
        <v>13951</v>
      </c>
      <c r="G357" s="1014" t="s">
        <v>128</v>
      </c>
      <c r="H357" s="1036"/>
      <c r="I357" s="1036"/>
      <c r="J357" s="1145" t="s">
        <v>2628</v>
      </c>
    </row>
    <row r="358" spans="1:10" ht="30" customHeight="1" x14ac:dyDescent="0.2">
      <c r="A358" s="1144" t="s">
        <v>960</v>
      </c>
      <c r="B358" s="1013" t="s">
        <v>678</v>
      </c>
      <c r="C358" s="1013" t="s">
        <v>641</v>
      </c>
      <c r="D358" s="1084">
        <v>25</v>
      </c>
      <c r="E358" s="1083">
        <v>79550</v>
      </c>
      <c r="F358" s="1082" t="s">
        <v>14037</v>
      </c>
      <c r="G358" s="1014" t="s">
        <v>128</v>
      </c>
      <c r="H358" s="1036"/>
      <c r="I358" s="1036"/>
      <c r="J358" s="1145" t="s">
        <v>2628</v>
      </c>
    </row>
    <row r="359" spans="1:10" ht="30" customHeight="1" x14ac:dyDescent="0.2">
      <c r="A359" s="1144" t="s">
        <v>960</v>
      </c>
      <c r="B359" s="1013" t="s">
        <v>678</v>
      </c>
      <c r="C359" s="1013" t="s">
        <v>641</v>
      </c>
      <c r="D359" s="1084">
        <v>26</v>
      </c>
      <c r="E359" s="1083">
        <v>127500</v>
      </c>
      <c r="F359" s="1082" t="s">
        <v>14038</v>
      </c>
      <c r="G359" s="1014" t="s">
        <v>128</v>
      </c>
      <c r="H359" s="1036"/>
      <c r="I359" s="1036"/>
      <c r="J359" s="1145" t="s">
        <v>2628</v>
      </c>
    </row>
    <row r="360" spans="1:10" ht="30" customHeight="1" x14ac:dyDescent="0.2">
      <c r="A360" s="1144" t="s">
        <v>961</v>
      </c>
      <c r="B360" s="1013" t="s">
        <v>640</v>
      </c>
      <c r="C360" s="1013" t="s">
        <v>641</v>
      </c>
      <c r="D360" s="1084">
        <v>8</v>
      </c>
      <c r="E360" s="1083">
        <v>39322.800000000003</v>
      </c>
      <c r="F360" s="1082" t="s">
        <v>621</v>
      </c>
      <c r="G360" s="1014" t="s">
        <v>1089</v>
      </c>
      <c r="H360" s="1036"/>
      <c r="I360" s="1036"/>
      <c r="J360" s="1145" t="s">
        <v>2628</v>
      </c>
    </row>
    <row r="361" spans="1:10" ht="30" customHeight="1" x14ac:dyDescent="0.2">
      <c r="A361" s="1144" t="s">
        <v>798</v>
      </c>
      <c r="B361" s="1013" t="s">
        <v>678</v>
      </c>
      <c r="C361" s="1013" t="s">
        <v>641</v>
      </c>
      <c r="D361" s="1084">
        <v>14</v>
      </c>
      <c r="E361" s="1083">
        <v>302000</v>
      </c>
      <c r="F361" s="1082" t="s">
        <v>13915</v>
      </c>
      <c r="G361" s="1014" t="s">
        <v>128</v>
      </c>
      <c r="H361" s="1036"/>
      <c r="I361" s="1036"/>
      <c r="J361" s="1145" t="s">
        <v>2628</v>
      </c>
    </row>
    <row r="362" spans="1:10" ht="30" customHeight="1" x14ac:dyDescent="0.2">
      <c r="A362" s="1144" t="s">
        <v>962</v>
      </c>
      <c r="B362" s="1013" t="s">
        <v>640</v>
      </c>
      <c r="C362" s="1013" t="s">
        <v>644</v>
      </c>
      <c r="D362" s="1084">
        <v>18</v>
      </c>
      <c r="E362" s="1083">
        <v>128339.96</v>
      </c>
      <c r="F362" s="1082" t="s">
        <v>14039</v>
      </c>
      <c r="G362" s="1014" t="s">
        <v>128</v>
      </c>
      <c r="H362" s="1036"/>
      <c r="I362" s="1036"/>
      <c r="J362" s="1145" t="s">
        <v>2628</v>
      </c>
    </row>
    <row r="363" spans="1:10" ht="30" customHeight="1" x14ac:dyDescent="0.2">
      <c r="A363" s="1144" t="s">
        <v>699</v>
      </c>
      <c r="B363" s="1013" t="s">
        <v>678</v>
      </c>
      <c r="C363" s="1013" t="s">
        <v>641</v>
      </c>
      <c r="D363" s="1084">
        <v>20</v>
      </c>
      <c r="E363" s="1083">
        <v>270000</v>
      </c>
      <c r="F363" s="1082" t="s">
        <v>14006</v>
      </c>
      <c r="G363" s="1014" t="s">
        <v>128</v>
      </c>
      <c r="H363" s="1036"/>
      <c r="I363" s="1036"/>
      <c r="J363" s="1145" t="s">
        <v>2628</v>
      </c>
    </row>
    <row r="364" spans="1:10" ht="30" customHeight="1" x14ac:dyDescent="0.2">
      <c r="A364" s="1144" t="s">
        <v>792</v>
      </c>
      <c r="B364" s="1013" t="s">
        <v>640</v>
      </c>
      <c r="C364" s="1013" t="s">
        <v>641</v>
      </c>
      <c r="D364" s="1084">
        <v>26</v>
      </c>
      <c r="E364" s="1083">
        <v>42995</v>
      </c>
      <c r="F364" s="1082" t="s">
        <v>14040</v>
      </c>
      <c r="G364" s="1014" t="s">
        <v>128</v>
      </c>
      <c r="H364" s="1036"/>
      <c r="I364" s="1036"/>
      <c r="J364" s="1145" t="s">
        <v>2628</v>
      </c>
    </row>
    <row r="365" spans="1:10" ht="30" customHeight="1" x14ac:dyDescent="0.2">
      <c r="A365" s="1144" t="s">
        <v>876</v>
      </c>
      <c r="B365" s="1013" t="s">
        <v>678</v>
      </c>
      <c r="C365" s="1013" t="s">
        <v>641</v>
      </c>
      <c r="D365" s="1084">
        <v>16</v>
      </c>
      <c r="E365" s="1083">
        <v>148699.39000000001</v>
      </c>
      <c r="F365" s="1082" t="s">
        <v>14010</v>
      </c>
      <c r="G365" s="1014" t="s">
        <v>128</v>
      </c>
      <c r="H365" s="1036"/>
      <c r="I365" s="1036"/>
      <c r="J365" s="1145" t="s">
        <v>2628</v>
      </c>
    </row>
    <row r="366" spans="1:10" ht="30" customHeight="1" x14ac:dyDescent="0.2">
      <c r="A366" s="1144" t="s">
        <v>963</v>
      </c>
      <c r="B366" s="1013" t="s">
        <v>640</v>
      </c>
      <c r="C366" s="1013" t="s">
        <v>641</v>
      </c>
      <c r="D366" s="1084">
        <v>5</v>
      </c>
      <c r="E366" s="1083">
        <v>205200</v>
      </c>
      <c r="F366" s="1082" t="s">
        <v>964</v>
      </c>
      <c r="G366" s="1014" t="s">
        <v>128</v>
      </c>
      <c r="H366" s="1036"/>
      <c r="I366" s="1036"/>
      <c r="J366" s="1145" t="s">
        <v>2628</v>
      </c>
    </row>
    <row r="367" spans="1:10" ht="30" customHeight="1" x14ac:dyDescent="0.2">
      <c r="A367" s="1144" t="s">
        <v>965</v>
      </c>
      <c r="B367" s="1013" t="s">
        <v>640</v>
      </c>
      <c r="C367" s="1013" t="s">
        <v>641</v>
      </c>
      <c r="D367" s="1084">
        <v>11</v>
      </c>
      <c r="E367" s="1083">
        <v>62550</v>
      </c>
      <c r="F367" s="1082" t="s">
        <v>621</v>
      </c>
      <c r="G367" s="1014" t="s">
        <v>14041</v>
      </c>
      <c r="H367" s="1036"/>
      <c r="I367" s="1036"/>
      <c r="J367" s="1145" t="s">
        <v>2628</v>
      </c>
    </row>
    <row r="368" spans="1:10" ht="30" customHeight="1" x14ac:dyDescent="0.2">
      <c r="A368" s="1144" t="s">
        <v>966</v>
      </c>
      <c r="B368" s="1013" t="s">
        <v>640</v>
      </c>
      <c r="C368" s="1013" t="s">
        <v>641</v>
      </c>
      <c r="D368" s="1084">
        <v>15</v>
      </c>
      <c r="E368" s="1083">
        <v>120053.3</v>
      </c>
      <c r="F368" s="1082" t="s">
        <v>14042</v>
      </c>
      <c r="G368" s="1014" t="s">
        <v>128</v>
      </c>
      <c r="H368" s="1036"/>
      <c r="I368" s="1036"/>
      <c r="J368" s="1145" t="s">
        <v>2628</v>
      </c>
    </row>
    <row r="369" spans="1:10" ht="30" customHeight="1" x14ac:dyDescent="0.2">
      <c r="A369" s="1144" t="s">
        <v>967</v>
      </c>
      <c r="B369" s="1013" t="s">
        <v>640</v>
      </c>
      <c r="C369" s="1013" t="s">
        <v>641</v>
      </c>
      <c r="D369" s="1084">
        <v>14</v>
      </c>
      <c r="E369" s="1083">
        <v>125274</v>
      </c>
      <c r="F369" s="1082" t="s">
        <v>14001</v>
      </c>
      <c r="G369" s="1014" t="s">
        <v>128</v>
      </c>
      <c r="H369" s="1036"/>
      <c r="I369" s="1036"/>
      <c r="J369" s="1145" t="s">
        <v>2628</v>
      </c>
    </row>
    <row r="370" spans="1:10" ht="30" customHeight="1" x14ac:dyDescent="0.2">
      <c r="A370" s="1144" t="s">
        <v>699</v>
      </c>
      <c r="B370" s="1013" t="s">
        <v>678</v>
      </c>
      <c r="C370" s="1013" t="s">
        <v>641</v>
      </c>
      <c r="D370" s="1084">
        <v>17</v>
      </c>
      <c r="E370" s="1083">
        <v>110000</v>
      </c>
      <c r="F370" s="1082" t="s">
        <v>14006</v>
      </c>
      <c r="G370" s="1014" t="s">
        <v>128</v>
      </c>
      <c r="H370" s="1036"/>
      <c r="I370" s="1036"/>
      <c r="J370" s="1145" t="s">
        <v>2628</v>
      </c>
    </row>
    <row r="371" spans="1:10" ht="30" customHeight="1" x14ac:dyDescent="0.2">
      <c r="A371" s="1144" t="s">
        <v>699</v>
      </c>
      <c r="B371" s="1013" t="s">
        <v>678</v>
      </c>
      <c r="C371" s="1013" t="s">
        <v>641</v>
      </c>
      <c r="D371" s="1084">
        <v>21</v>
      </c>
      <c r="E371" s="1083">
        <v>56084.5</v>
      </c>
      <c r="F371" s="1082" t="s">
        <v>14006</v>
      </c>
      <c r="G371" s="1014" t="s">
        <v>128</v>
      </c>
      <c r="H371" s="1036"/>
      <c r="I371" s="1036"/>
      <c r="J371" s="1145" t="s">
        <v>2628</v>
      </c>
    </row>
    <row r="372" spans="1:10" ht="30" customHeight="1" x14ac:dyDescent="0.2">
      <c r="A372" s="1144" t="s">
        <v>968</v>
      </c>
      <c r="B372" s="1013" t="s">
        <v>678</v>
      </c>
      <c r="C372" s="1013" t="s">
        <v>641</v>
      </c>
      <c r="D372" s="1084">
        <v>15</v>
      </c>
      <c r="E372" s="1083">
        <v>45463.32</v>
      </c>
      <c r="F372" s="1082" t="s">
        <v>14043</v>
      </c>
      <c r="G372" s="1014" t="s">
        <v>128</v>
      </c>
      <c r="H372" s="1036"/>
      <c r="I372" s="1036"/>
      <c r="J372" s="1145" t="s">
        <v>2628</v>
      </c>
    </row>
    <row r="373" spans="1:10" ht="30" customHeight="1" x14ac:dyDescent="0.2">
      <c r="A373" s="1144" t="s">
        <v>969</v>
      </c>
      <c r="B373" s="1013" t="s">
        <v>640</v>
      </c>
      <c r="C373" s="1013" t="s">
        <v>641</v>
      </c>
      <c r="D373" s="1084">
        <v>23</v>
      </c>
      <c r="E373" s="1083">
        <v>298000</v>
      </c>
      <c r="F373" s="1082" t="s">
        <v>14018</v>
      </c>
      <c r="G373" s="1014" t="s">
        <v>128</v>
      </c>
      <c r="H373" s="1036"/>
      <c r="I373" s="1036"/>
      <c r="J373" s="1145" t="s">
        <v>2628</v>
      </c>
    </row>
    <row r="374" spans="1:10" ht="30" customHeight="1" x14ac:dyDescent="0.2">
      <c r="A374" s="1144" t="s">
        <v>970</v>
      </c>
      <c r="B374" s="1013" t="s">
        <v>678</v>
      </c>
      <c r="C374" s="1013" t="s">
        <v>641</v>
      </c>
      <c r="D374" s="1084">
        <v>22</v>
      </c>
      <c r="E374" s="1083">
        <v>26000</v>
      </c>
      <c r="F374" s="1082" t="s">
        <v>13912</v>
      </c>
      <c r="G374" s="1014" t="s">
        <v>128</v>
      </c>
      <c r="H374" s="1036"/>
      <c r="I374" s="1036"/>
      <c r="J374" s="1145" t="s">
        <v>2628</v>
      </c>
    </row>
    <row r="375" spans="1:10" ht="30" customHeight="1" x14ac:dyDescent="0.2">
      <c r="A375" s="1144" t="s">
        <v>971</v>
      </c>
      <c r="B375" s="1013" t="s">
        <v>640</v>
      </c>
      <c r="C375" s="1013" t="s">
        <v>644</v>
      </c>
      <c r="D375" s="1084">
        <v>12</v>
      </c>
      <c r="E375" s="1083">
        <v>259750</v>
      </c>
      <c r="F375" s="1082" t="s">
        <v>14008</v>
      </c>
      <c r="G375" s="1014" t="s">
        <v>128</v>
      </c>
      <c r="H375" s="1036"/>
      <c r="I375" s="1036"/>
      <c r="J375" s="1145" t="s">
        <v>2628</v>
      </c>
    </row>
    <row r="376" spans="1:10" ht="30" customHeight="1" x14ac:dyDescent="0.2">
      <c r="A376" s="1144" t="s">
        <v>972</v>
      </c>
      <c r="B376" s="1013" t="s">
        <v>640</v>
      </c>
      <c r="C376" s="1013" t="s">
        <v>641</v>
      </c>
      <c r="D376" s="1084">
        <v>10</v>
      </c>
      <c r="E376" s="1083">
        <v>290975</v>
      </c>
      <c r="F376" s="1082" t="s">
        <v>14044</v>
      </c>
      <c r="G376" s="1014" t="s">
        <v>128</v>
      </c>
      <c r="H376" s="1036"/>
      <c r="I376" s="1036"/>
      <c r="J376" s="1145" t="s">
        <v>2628</v>
      </c>
    </row>
    <row r="377" spans="1:10" ht="30" customHeight="1" x14ac:dyDescent="0.2">
      <c r="A377" s="1144" t="s">
        <v>973</v>
      </c>
      <c r="B377" s="1013" t="s">
        <v>640</v>
      </c>
      <c r="C377" s="1013" t="s">
        <v>641</v>
      </c>
      <c r="D377" s="1084">
        <v>6</v>
      </c>
      <c r="E377" s="1083">
        <v>205900</v>
      </c>
      <c r="F377" s="1082" t="s">
        <v>14033</v>
      </c>
      <c r="G377" s="1014" t="s">
        <v>128</v>
      </c>
      <c r="H377" s="1036"/>
      <c r="I377" s="1036"/>
      <c r="J377" s="1145" t="s">
        <v>2628</v>
      </c>
    </row>
    <row r="378" spans="1:10" ht="30" customHeight="1" x14ac:dyDescent="0.2">
      <c r="A378" s="1144" t="s">
        <v>974</v>
      </c>
      <c r="B378" s="1013" t="s">
        <v>640</v>
      </c>
      <c r="C378" s="1013" t="s">
        <v>644</v>
      </c>
      <c r="D378" s="1084">
        <v>7</v>
      </c>
      <c r="E378" s="1083">
        <v>44992</v>
      </c>
      <c r="F378" s="1082" t="s">
        <v>14045</v>
      </c>
      <c r="G378" s="1014" t="s">
        <v>128</v>
      </c>
      <c r="H378" s="1036"/>
      <c r="I378" s="1036"/>
      <c r="J378" s="1145" t="s">
        <v>2628</v>
      </c>
    </row>
    <row r="379" spans="1:10" ht="30" customHeight="1" x14ac:dyDescent="0.2">
      <c r="A379" s="1144" t="s">
        <v>975</v>
      </c>
      <c r="B379" s="1013" t="s">
        <v>640</v>
      </c>
      <c r="C379" s="1013" t="s">
        <v>641</v>
      </c>
      <c r="D379" s="1084">
        <v>9</v>
      </c>
      <c r="E379" s="1083">
        <v>114850</v>
      </c>
      <c r="F379" s="1082" t="s">
        <v>14046</v>
      </c>
      <c r="G379" s="1014" t="s">
        <v>128</v>
      </c>
      <c r="H379" s="1036"/>
      <c r="I379" s="1036"/>
      <c r="J379" s="1145" t="s">
        <v>2628</v>
      </c>
    </row>
    <row r="380" spans="1:10" ht="30" customHeight="1" x14ac:dyDescent="0.2">
      <c r="A380" s="1144" t="s">
        <v>950</v>
      </c>
      <c r="B380" s="1013" t="s">
        <v>678</v>
      </c>
      <c r="C380" s="1013" t="s">
        <v>641</v>
      </c>
      <c r="D380" s="1084">
        <v>6</v>
      </c>
      <c r="E380" s="1083">
        <v>124500</v>
      </c>
      <c r="F380" s="1082" t="s">
        <v>14003</v>
      </c>
      <c r="G380" s="1014" t="s">
        <v>128</v>
      </c>
      <c r="H380" s="1036"/>
      <c r="I380" s="1036"/>
      <c r="J380" s="1145" t="s">
        <v>2628</v>
      </c>
    </row>
    <row r="381" spans="1:10" ht="30" customHeight="1" x14ac:dyDescent="0.2">
      <c r="A381" s="1144" t="s">
        <v>699</v>
      </c>
      <c r="B381" s="1013" t="s">
        <v>678</v>
      </c>
      <c r="C381" s="1013" t="s">
        <v>641</v>
      </c>
      <c r="D381" s="1084">
        <v>7</v>
      </c>
      <c r="E381" s="1083">
        <v>440000</v>
      </c>
      <c r="F381" s="1082" t="s">
        <v>13929</v>
      </c>
      <c r="G381" s="1014" t="s">
        <v>128</v>
      </c>
      <c r="H381" s="1036"/>
      <c r="I381" s="1036"/>
      <c r="J381" s="1145" t="s">
        <v>2628</v>
      </c>
    </row>
    <row r="382" spans="1:10" ht="30" customHeight="1" x14ac:dyDescent="0.2">
      <c r="A382" s="1144" t="s">
        <v>932</v>
      </c>
      <c r="B382" s="1013" t="s">
        <v>678</v>
      </c>
      <c r="C382" s="1013" t="s">
        <v>641</v>
      </c>
      <c r="D382" s="1084">
        <v>9</v>
      </c>
      <c r="E382" s="1083">
        <v>149900</v>
      </c>
      <c r="F382" s="1082" t="s">
        <v>14047</v>
      </c>
      <c r="G382" s="1014" t="s">
        <v>128</v>
      </c>
      <c r="H382" s="1036"/>
      <c r="I382" s="1036"/>
      <c r="J382" s="1145" t="s">
        <v>2628</v>
      </c>
    </row>
    <row r="383" spans="1:10" ht="30" customHeight="1" x14ac:dyDescent="0.2">
      <c r="A383" s="1144" t="s">
        <v>976</v>
      </c>
      <c r="B383" s="1013" t="s">
        <v>678</v>
      </c>
      <c r="C383" s="1013" t="s">
        <v>641</v>
      </c>
      <c r="D383" s="1084">
        <v>11</v>
      </c>
      <c r="E383" s="1083">
        <v>270548</v>
      </c>
      <c r="F383" s="1082"/>
      <c r="G383" s="1014" t="s">
        <v>663</v>
      </c>
      <c r="H383" s="1036"/>
      <c r="I383" s="1036"/>
      <c r="J383" s="1145" t="s">
        <v>2628</v>
      </c>
    </row>
    <row r="384" spans="1:10" ht="30" customHeight="1" x14ac:dyDescent="0.2">
      <c r="A384" s="1144" t="s">
        <v>699</v>
      </c>
      <c r="B384" s="1013" t="s">
        <v>678</v>
      </c>
      <c r="C384" s="1013" t="s">
        <v>641</v>
      </c>
      <c r="D384" s="1084">
        <v>5</v>
      </c>
      <c r="E384" s="1083">
        <v>236470</v>
      </c>
      <c r="F384" s="1082" t="s">
        <v>13929</v>
      </c>
      <c r="G384" s="1014" t="s">
        <v>128</v>
      </c>
      <c r="H384" s="1036"/>
      <c r="I384" s="1036"/>
      <c r="J384" s="1145" t="s">
        <v>2628</v>
      </c>
    </row>
    <row r="385" spans="1:10" ht="30" customHeight="1" x14ac:dyDescent="0.2">
      <c r="A385" s="1144" t="s">
        <v>950</v>
      </c>
      <c r="B385" s="1013" t="s">
        <v>678</v>
      </c>
      <c r="C385" s="1013" t="s">
        <v>641</v>
      </c>
      <c r="D385" s="1084">
        <v>12</v>
      </c>
      <c r="E385" s="1083">
        <v>164000</v>
      </c>
      <c r="F385" s="1082" t="s">
        <v>14048</v>
      </c>
      <c r="G385" s="1014" t="s">
        <v>128</v>
      </c>
      <c r="H385" s="1036"/>
      <c r="I385" s="1036"/>
      <c r="J385" s="1145" t="s">
        <v>2628</v>
      </c>
    </row>
    <row r="386" spans="1:10" ht="30" customHeight="1" x14ac:dyDescent="0.2">
      <c r="A386" s="1144" t="s">
        <v>699</v>
      </c>
      <c r="B386" s="1013" t="s">
        <v>678</v>
      </c>
      <c r="C386" s="1013" t="s">
        <v>641</v>
      </c>
      <c r="D386" s="1084">
        <v>8</v>
      </c>
      <c r="E386" s="1083">
        <v>192000</v>
      </c>
      <c r="F386" s="1082" t="s">
        <v>13929</v>
      </c>
      <c r="G386" s="1014" t="s">
        <v>128</v>
      </c>
      <c r="H386" s="1036"/>
      <c r="I386" s="1036"/>
      <c r="J386" s="1145" t="s">
        <v>2628</v>
      </c>
    </row>
    <row r="387" spans="1:10" ht="30" customHeight="1" x14ac:dyDescent="0.2">
      <c r="A387" s="1144" t="s">
        <v>14049</v>
      </c>
      <c r="B387" s="1013" t="s">
        <v>675</v>
      </c>
      <c r="C387" s="1013" t="s">
        <v>641</v>
      </c>
      <c r="D387" s="1084">
        <v>1</v>
      </c>
      <c r="E387" s="1083">
        <v>62300</v>
      </c>
      <c r="F387" s="1082"/>
      <c r="G387" s="1014" t="s">
        <v>663</v>
      </c>
      <c r="H387" s="1036"/>
      <c r="I387" s="1036"/>
      <c r="J387" s="1145" t="s">
        <v>2628</v>
      </c>
    </row>
    <row r="388" spans="1:10" ht="30" customHeight="1" x14ac:dyDescent="0.2">
      <c r="A388" s="1144" t="s">
        <v>977</v>
      </c>
      <c r="B388" s="1013" t="s">
        <v>640</v>
      </c>
      <c r="C388" s="1013" t="s">
        <v>641</v>
      </c>
      <c r="D388" s="1084">
        <v>4</v>
      </c>
      <c r="E388" s="1083">
        <v>69615</v>
      </c>
      <c r="F388" s="1082" t="s">
        <v>14050</v>
      </c>
      <c r="G388" s="1014" t="s">
        <v>128</v>
      </c>
      <c r="H388" s="1036"/>
      <c r="I388" s="1036"/>
      <c r="J388" s="1145" t="s">
        <v>2628</v>
      </c>
    </row>
    <row r="389" spans="1:10" ht="36" x14ac:dyDescent="0.2">
      <c r="A389" s="1144" t="s">
        <v>978</v>
      </c>
      <c r="B389" s="1013" t="s">
        <v>640</v>
      </c>
      <c r="C389" s="1013" t="s">
        <v>644</v>
      </c>
      <c r="D389" s="1084">
        <v>3</v>
      </c>
      <c r="E389" s="1083">
        <v>183240</v>
      </c>
      <c r="F389" s="1082" t="s">
        <v>14022</v>
      </c>
      <c r="G389" s="1014" t="s">
        <v>128</v>
      </c>
      <c r="H389" s="1036"/>
      <c r="I389" s="1036"/>
      <c r="J389" s="1145" t="s">
        <v>2628</v>
      </c>
    </row>
    <row r="390" spans="1:10" ht="32.25" customHeight="1" x14ac:dyDescent="0.2">
      <c r="A390" s="1144" t="s">
        <v>979</v>
      </c>
      <c r="B390" s="1013" t="s">
        <v>640</v>
      </c>
      <c r="C390" s="1013" t="s">
        <v>641</v>
      </c>
      <c r="D390" s="1084">
        <v>1</v>
      </c>
      <c r="E390" s="1083">
        <v>58955</v>
      </c>
      <c r="F390" s="1082" t="s">
        <v>14005</v>
      </c>
      <c r="G390" s="1014" t="s">
        <v>128</v>
      </c>
      <c r="H390" s="1036"/>
      <c r="I390" s="1036"/>
      <c r="J390" s="1145" t="s">
        <v>2628</v>
      </c>
    </row>
    <row r="391" spans="1:10" ht="18.75" customHeight="1" thickBot="1" x14ac:dyDescent="0.25">
      <c r="A391" s="1146" t="s">
        <v>980</v>
      </c>
      <c r="B391" s="1093" t="s">
        <v>678</v>
      </c>
      <c r="C391" s="1093" t="s">
        <v>641</v>
      </c>
      <c r="D391" s="1094">
        <v>1</v>
      </c>
      <c r="E391" s="1095">
        <v>40660</v>
      </c>
      <c r="F391" s="1096" t="s">
        <v>13929</v>
      </c>
      <c r="G391" s="1097" t="s">
        <v>128</v>
      </c>
      <c r="H391" s="602"/>
      <c r="I391" s="602"/>
      <c r="J391" s="1147" t="s">
        <v>2628</v>
      </c>
    </row>
    <row r="392" spans="1:10" s="81" customFormat="1" ht="18.75" customHeight="1" thickBot="1" x14ac:dyDescent="0.25">
      <c r="A392" s="1104" t="s">
        <v>13716</v>
      </c>
      <c r="B392" s="1098"/>
      <c r="C392" s="1098"/>
      <c r="D392" s="1099"/>
      <c r="E392" s="1100"/>
      <c r="F392" s="1101"/>
      <c r="G392" s="1102"/>
      <c r="H392" s="1102"/>
      <c r="I392" s="1102"/>
      <c r="J392" s="1103"/>
    </row>
    <row r="393" spans="1:10" s="81" customFormat="1" ht="73.5" customHeight="1" x14ac:dyDescent="0.2">
      <c r="A393" s="1148" t="s">
        <v>14051</v>
      </c>
      <c r="B393" s="1015" t="s">
        <v>640</v>
      </c>
      <c r="C393" s="1015" t="s">
        <v>737</v>
      </c>
      <c r="D393" s="530">
        <v>20</v>
      </c>
      <c r="E393" s="1106">
        <v>200000</v>
      </c>
      <c r="F393" s="440"/>
      <c r="G393" s="1015" t="s">
        <v>3301</v>
      </c>
      <c r="H393" s="1015"/>
      <c r="I393" s="1017"/>
      <c r="J393" s="1149"/>
    </row>
    <row r="394" spans="1:10" s="81" customFormat="1" ht="79.5" customHeight="1" x14ac:dyDescent="0.2">
      <c r="A394" s="1148" t="s">
        <v>14052</v>
      </c>
      <c r="B394" s="1015" t="s">
        <v>678</v>
      </c>
      <c r="C394" s="1015" t="s">
        <v>641</v>
      </c>
      <c r="D394" s="530">
        <v>17</v>
      </c>
      <c r="E394" s="1106">
        <v>158271.20000000001</v>
      </c>
      <c r="F394" s="440"/>
      <c r="G394" s="1015" t="s">
        <v>3301</v>
      </c>
      <c r="H394" s="1015"/>
      <c r="I394" s="1017"/>
      <c r="J394" s="1149"/>
    </row>
    <row r="395" spans="1:10" s="81" customFormat="1" ht="72" customHeight="1" x14ac:dyDescent="0.2">
      <c r="A395" s="1148" t="s">
        <v>14053</v>
      </c>
      <c r="B395" s="1015" t="s">
        <v>640</v>
      </c>
      <c r="C395" s="1015" t="s">
        <v>641</v>
      </c>
      <c r="D395" s="530">
        <v>6</v>
      </c>
      <c r="E395" s="1106">
        <v>174020.5</v>
      </c>
      <c r="F395" s="440"/>
      <c r="G395" s="1015" t="s">
        <v>3301</v>
      </c>
      <c r="H395" s="1015"/>
      <c r="I395" s="1017"/>
      <c r="J395" s="1149"/>
    </row>
    <row r="396" spans="1:10" s="81" customFormat="1" ht="72" customHeight="1" x14ac:dyDescent="0.2">
      <c r="A396" s="1148" t="s">
        <v>14054</v>
      </c>
      <c r="B396" s="1015" t="s">
        <v>640</v>
      </c>
      <c r="C396" s="1015" t="s">
        <v>641</v>
      </c>
      <c r="D396" s="530">
        <v>56</v>
      </c>
      <c r="E396" s="1106">
        <v>83541.75</v>
      </c>
      <c r="F396" s="440"/>
      <c r="G396" s="1015" t="s">
        <v>3301</v>
      </c>
      <c r="H396" s="1105">
        <v>44047</v>
      </c>
      <c r="I396" s="1017"/>
      <c r="J396" s="1149"/>
    </row>
    <row r="397" spans="1:10" s="81" customFormat="1" ht="50.1" customHeight="1" x14ac:dyDescent="0.2">
      <c r="A397" s="1148" t="s">
        <v>14055</v>
      </c>
      <c r="B397" s="1015" t="s">
        <v>640</v>
      </c>
      <c r="C397" s="1015" t="s">
        <v>641</v>
      </c>
      <c r="D397" s="530">
        <v>113</v>
      </c>
      <c r="E397" s="1106">
        <v>1360000</v>
      </c>
      <c r="F397" s="440"/>
      <c r="G397" s="1015"/>
      <c r="H397" s="1015"/>
      <c r="I397" s="1017"/>
      <c r="J397" s="1149"/>
    </row>
    <row r="398" spans="1:10" s="81" customFormat="1" ht="50.1" customHeight="1" x14ac:dyDescent="0.2">
      <c r="A398" s="1148" t="s">
        <v>14056</v>
      </c>
      <c r="B398" s="1015" t="s">
        <v>640</v>
      </c>
      <c r="C398" s="1015" t="s">
        <v>644</v>
      </c>
      <c r="D398" s="530">
        <v>105</v>
      </c>
      <c r="E398" s="1106">
        <v>220000</v>
      </c>
      <c r="F398" s="440"/>
      <c r="G398" s="1015" t="s">
        <v>3301</v>
      </c>
      <c r="H398" s="1015"/>
      <c r="I398" s="1017"/>
      <c r="J398" s="1149"/>
    </row>
    <row r="399" spans="1:10" s="81" customFormat="1" ht="50.1" customHeight="1" x14ac:dyDescent="0.2">
      <c r="A399" s="1148" t="s">
        <v>14057</v>
      </c>
      <c r="B399" s="1015" t="s">
        <v>640</v>
      </c>
      <c r="C399" s="1015" t="s">
        <v>644</v>
      </c>
      <c r="D399" s="530">
        <v>95</v>
      </c>
      <c r="E399" s="1106">
        <v>358073</v>
      </c>
      <c r="F399" s="440"/>
      <c r="G399" s="1015" t="s">
        <v>3301</v>
      </c>
      <c r="H399" s="1015"/>
      <c r="I399" s="1017"/>
      <c r="J399" s="1149"/>
    </row>
    <row r="400" spans="1:10" s="81" customFormat="1" ht="50.1" customHeight="1" x14ac:dyDescent="0.2">
      <c r="A400" s="1148" t="s">
        <v>14058</v>
      </c>
      <c r="B400" s="1015" t="s">
        <v>640</v>
      </c>
      <c r="C400" s="1015" t="s">
        <v>641</v>
      </c>
      <c r="D400" s="530">
        <v>202</v>
      </c>
      <c r="E400" s="1106">
        <v>172000</v>
      </c>
      <c r="F400" s="440"/>
      <c r="G400" s="1015"/>
      <c r="H400" s="1015"/>
      <c r="I400" s="1017"/>
      <c r="J400" s="1149"/>
    </row>
    <row r="401" spans="1:10" s="81" customFormat="1" ht="50.1" customHeight="1" x14ac:dyDescent="0.2">
      <c r="A401" s="1148" t="s">
        <v>14059</v>
      </c>
      <c r="B401" s="1015" t="s">
        <v>640</v>
      </c>
      <c r="C401" s="1015" t="s">
        <v>641</v>
      </c>
      <c r="D401" s="530">
        <v>130</v>
      </c>
      <c r="E401" s="1106">
        <v>84000</v>
      </c>
      <c r="F401" s="440"/>
      <c r="G401" s="1015"/>
      <c r="H401" s="1015"/>
      <c r="I401" s="1017"/>
      <c r="J401" s="1149"/>
    </row>
    <row r="402" spans="1:10" s="81" customFormat="1" ht="50.1" customHeight="1" x14ac:dyDescent="0.2">
      <c r="A402" s="1148" t="s">
        <v>14060</v>
      </c>
      <c r="B402" s="1015" t="s">
        <v>640</v>
      </c>
      <c r="C402" s="1015" t="s">
        <v>644</v>
      </c>
      <c r="D402" s="530">
        <v>104</v>
      </c>
      <c r="E402" s="1106">
        <v>158152</v>
      </c>
      <c r="F402" s="440"/>
      <c r="G402" s="1015" t="s">
        <v>3301</v>
      </c>
      <c r="H402" s="1015"/>
      <c r="I402" s="1017"/>
      <c r="J402" s="1149"/>
    </row>
    <row r="403" spans="1:10" s="81" customFormat="1" ht="50.1" customHeight="1" x14ac:dyDescent="0.2">
      <c r="A403" s="1148" t="s">
        <v>14061</v>
      </c>
      <c r="B403" s="1015" t="s">
        <v>1929</v>
      </c>
      <c r="C403" s="1015" t="s">
        <v>644</v>
      </c>
      <c r="D403" s="530">
        <v>16</v>
      </c>
      <c r="E403" s="1106">
        <v>465000.33</v>
      </c>
      <c r="F403" s="440"/>
      <c r="G403" s="1015"/>
      <c r="H403" s="1015"/>
      <c r="I403" s="1017"/>
      <c r="J403" s="1149"/>
    </row>
    <row r="404" spans="1:10" s="81" customFormat="1" ht="50.1" customHeight="1" x14ac:dyDescent="0.2">
      <c r="A404" s="1148" t="s">
        <v>14062</v>
      </c>
      <c r="B404" s="1015" t="s">
        <v>1929</v>
      </c>
      <c r="C404" s="1015" t="s">
        <v>644</v>
      </c>
      <c r="D404" s="530">
        <v>12</v>
      </c>
      <c r="E404" s="1106">
        <v>830000</v>
      </c>
      <c r="F404" s="440"/>
      <c r="G404" s="1015"/>
      <c r="H404" s="1015"/>
      <c r="I404" s="1017"/>
      <c r="J404" s="1149"/>
    </row>
    <row r="405" spans="1:10" s="81" customFormat="1" ht="50.1" customHeight="1" x14ac:dyDescent="0.2">
      <c r="A405" s="1148" t="s">
        <v>14063</v>
      </c>
      <c r="B405" s="1015" t="s">
        <v>1929</v>
      </c>
      <c r="C405" s="1015" t="s">
        <v>644</v>
      </c>
      <c r="D405" s="530">
        <v>15</v>
      </c>
      <c r="E405" s="1106">
        <v>2195737.5499999998</v>
      </c>
      <c r="F405" s="440"/>
      <c r="G405" s="1015"/>
      <c r="H405" s="1015"/>
      <c r="I405" s="1017"/>
      <c r="J405" s="1149"/>
    </row>
    <row r="406" spans="1:10" s="81" customFormat="1" ht="50.1" customHeight="1" x14ac:dyDescent="0.2">
      <c r="A406" s="1148" t="s">
        <v>14064</v>
      </c>
      <c r="B406" s="1015" t="s">
        <v>1929</v>
      </c>
      <c r="C406" s="1015" t="s">
        <v>644</v>
      </c>
      <c r="D406" s="530">
        <v>13</v>
      </c>
      <c r="E406" s="1106">
        <v>964320.7</v>
      </c>
      <c r="F406" s="440"/>
      <c r="G406" s="1015"/>
      <c r="H406" s="1015"/>
      <c r="I406" s="1017"/>
      <c r="J406" s="1149"/>
    </row>
    <row r="407" spans="1:10" s="81" customFormat="1" ht="50.1" customHeight="1" x14ac:dyDescent="0.2">
      <c r="A407" s="1148" t="s">
        <v>14065</v>
      </c>
      <c r="B407" s="1015" t="s">
        <v>640</v>
      </c>
      <c r="C407" s="1015" t="s">
        <v>641</v>
      </c>
      <c r="D407" s="530">
        <v>88</v>
      </c>
      <c r="E407" s="1106">
        <v>372212.43</v>
      </c>
      <c r="F407" s="440" t="s">
        <v>14066</v>
      </c>
      <c r="G407" s="1015" t="s">
        <v>13824</v>
      </c>
      <c r="H407" s="1105">
        <v>44098</v>
      </c>
      <c r="I407" s="1017"/>
      <c r="J407" s="1149"/>
    </row>
    <row r="408" spans="1:10" s="81" customFormat="1" ht="50.1" customHeight="1" x14ac:dyDescent="0.2">
      <c r="A408" s="1148" t="s">
        <v>14067</v>
      </c>
      <c r="B408" s="1015" t="s">
        <v>640</v>
      </c>
      <c r="C408" s="1015" t="s">
        <v>641</v>
      </c>
      <c r="D408" s="530">
        <v>65</v>
      </c>
      <c r="E408" s="1106">
        <v>188860</v>
      </c>
      <c r="F408" s="440"/>
      <c r="G408" s="1015" t="s">
        <v>3301</v>
      </c>
      <c r="H408" s="1015"/>
      <c r="I408" s="1017"/>
      <c r="J408" s="1149"/>
    </row>
    <row r="409" spans="1:10" s="81" customFormat="1" ht="106.5" customHeight="1" x14ac:dyDescent="0.2">
      <c r="A409" s="1148" t="s">
        <v>635</v>
      </c>
      <c r="B409" s="1015" t="s">
        <v>617</v>
      </c>
      <c r="C409" s="1015" t="s">
        <v>665</v>
      </c>
      <c r="D409" s="530">
        <v>5</v>
      </c>
      <c r="E409" s="1106">
        <v>1837118.79</v>
      </c>
      <c r="F409" s="440"/>
      <c r="G409" s="1015" t="s">
        <v>3301</v>
      </c>
      <c r="H409" s="1015"/>
      <c r="I409" s="1017"/>
      <c r="J409" s="1149"/>
    </row>
    <row r="410" spans="1:10" s="81" customFormat="1" ht="76.5" customHeight="1" x14ac:dyDescent="0.2">
      <c r="A410" s="1148" t="s">
        <v>14068</v>
      </c>
      <c r="B410" s="1015" t="s">
        <v>640</v>
      </c>
      <c r="C410" s="1015" t="s">
        <v>644</v>
      </c>
      <c r="D410" s="530">
        <v>73</v>
      </c>
      <c r="E410" s="1106">
        <v>233800</v>
      </c>
      <c r="F410" s="440" t="s">
        <v>14069</v>
      </c>
      <c r="G410" s="1015" t="s">
        <v>13824</v>
      </c>
      <c r="H410" s="1105">
        <v>44076</v>
      </c>
      <c r="I410" s="1017"/>
      <c r="J410" s="1149"/>
    </row>
    <row r="411" spans="1:10" s="81" customFormat="1" ht="50.1" customHeight="1" x14ac:dyDescent="0.2">
      <c r="A411" s="1148" t="s">
        <v>14070</v>
      </c>
      <c r="B411" s="1015" t="s">
        <v>678</v>
      </c>
      <c r="C411" s="1015" t="s">
        <v>641</v>
      </c>
      <c r="D411" s="530">
        <v>16</v>
      </c>
      <c r="E411" s="1106">
        <v>160050</v>
      </c>
      <c r="F411" s="440" t="s">
        <v>14071</v>
      </c>
      <c r="G411" s="1015" t="s">
        <v>13824</v>
      </c>
      <c r="H411" s="1015"/>
      <c r="I411" s="1017"/>
      <c r="J411" s="1149"/>
    </row>
    <row r="412" spans="1:10" s="81" customFormat="1" ht="50.1" customHeight="1" x14ac:dyDescent="0.2">
      <c r="A412" s="1148" t="s">
        <v>14072</v>
      </c>
      <c r="B412" s="1015" t="s">
        <v>640</v>
      </c>
      <c r="C412" s="1015" t="s">
        <v>641</v>
      </c>
      <c r="D412" s="530">
        <v>75</v>
      </c>
      <c r="E412" s="1106">
        <v>207800</v>
      </c>
      <c r="F412" s="440" t="s">
        <v>14073</v>
      </c>
      <c r="G412" s="1015" t="s">
        <v>13824</v>
      </c>
      <c r="H412" s="1105">
        <v>44076</v>
      </c>
      <c r="I412" s="1017"/>
      <c r="J412" s="1149"/>
    </row>
    <row r="413" spans="1:10" s="81" customFormat="1" ht="109.5" customHeight="1" x14ac:dyDescent="0.2">
      <c r="A413" s="1148" t="s">
        <v>14074</v>
      </c>
      <c r="B413" s="1015" t="s">
        <v>655</v>
      </c>
      <c r="C413" s="1015" t="s">
        <v>737</v>
      </c>
      <c r="D413" s="530">
        <v>1</v>
      </c>
      <c r="E413" s="1106">
        <v>960000</v>
      </c>
      <c r="F413" s="440"/>
      <c r="G413" s="1015" t="s">
        <v>14075</v>
      </c>
      <c r="H413" s="1015"/>
      <c r="I413" s="1017"/>
      <c r="J413" s="1149"/>
    </row>
    <row r="414" spans="1:10" s="81" customFormat="1" ht="127.5" customHeight="1" x14ac:dyDescent="0.2">
      <c r="A414" s="1148" t="s">
        <v>14076</v>
      </c>
      <c r="B414" s="1015" t="s">
        <v>640</v>
      </c>
      <c r="C414" s="1015" t="s">
        <v>641</v>
      </c>
      <c r="D414" s="530">
        <v>86</v>
      </c>
      <c r="E414" s="1106">
        <v>187885.71</v>
      </c>
      <c r="F414" s="440" t="s">
        <v>14077</v>
      </c>
      <c r="G414" s="1015" t="s">
        <v>13824</v>
      </c>
      <c r="H414" s="1105">
        <v>44106</v>
      </c>
      <c r="I414" s="1017"/>
      <c r="J414" s="1149"/>
    </row>
    <row r="415" spans="1:10" s="81" customFormat="1" ht="50.1" customHeight="1" x14ac:dyDescent="0.2">
      <c r="A415" s="1148" t="s">
        <v>14078</v>
      </c>
      <c r="B415" s="1015" t="s">
        <v>640</v>
      </c>
      <c r="C415" s="1015" t="s">
        <v>641</v>
      </c>
      <c r="D415" s="530">
        <v>268</v>
      </c>
      <c r="E415" s="1106">
        <v>63512</v>
      </c>
      <c r="F415" s="440"/>
      <c r="G415" s="1015"/>
      <c r="H415" s="1015"/>
      <c r="I415" s="1017"/>
      <c r="J415" s="1149"/>
    </row>
    <row r="416" spans="1:10" s="81" customFormat="1" ht="50.1" customHeight="1" x14ac:dyDescent="0.2">
      <c r="A416" s="1148" t="s">
        <v>14079</v>
      </c>
      <c r="B416" s="1015" t="s">
        <v>640</v>
      </c>
      <c r="C416" s="1015" t="s">
        <v>641</v>
      </c>
      <c r="D416" s="530">
        <v>59</v>
      </c>
      <c r="E416" s="1106">
        <v>215060.6</v>
      </c>
      <c r="F416" s="440"/>
      <c r="G416" s="1015" t="s">
        <v>14075</v>
      </c>
      <c r="H416" s="1105">
        <v>44049</v>
      </c>
      <c r="I416" s="1017"/>
      <c r="J416" s="1149"/>
    </row>
    <row r="417" spans="1:10" s="81" customFormat="1" ht="50.1" customHeight="1" x14ac:dyDescent="0.2">
      <c r="A417" s="1148" t="s">
        <v>14080</v>
      </c>
      <c r="B417" s="1015" t="s">
        <v>678</v>
      </c>
      <c r="C417" s="1015" t="s">
        <v>641</v>
      </c>
      <c r="D417" s="530">
        <v>24</v>
      </c>
      <c r="E417" s="1106">
        <v>51720</v>
      </c>
      <c r="F417" s="440" t="s">
        <v>14081</v>
      </c>
      <c r="G417" s="1015" t="s">
        <v>13824</v>
      </c>
      <c r="H417" s="1015"/>
      <c r="I417" s="1017"/>
      <c r="J417" s="1149"/>
    </row>
    <row r="418" spans="1:10" s="81" customFormat="1" ht="93.75" customHeight="1" x14ac:dyDescent="0.2">
      <c r="A418" s="1148" t="s">
        <v>14082</v>
      </c>
      <c r="B418" s="1015" t="s">
        <v>678</v>
      </c>
      <c r="C418" s="1015" t="s">
        <v>641</v>
      </c>
      <c r="D418" s="530">
        <v>6</v>
      </c>
      <c r="E418" s="1106">
        <v>65700</v>
      </c>
      <c r="F418" s="440" t="s">
        <v>14083</v>
      </c>
      <c r="G418" s="1015" t="s">
        <v>13824</v>
      </c>
      <c r="H418" s="1015"/>
      <c r="I418" s="1017"/>
      <c r="J418" s="1149"/>
    </row>
    <row r="419" spans="1:10" s="81" customFormat="1" ht="98.25" customHeight="1" x14ac:dyDescent="0.2">
      <c r="A419" s="1148" t="s">
        <v>14084</v>
      </c>
      <c r="B419" s="1015" t="s">
        <v>640</v>
      </c>
      <c r="C419" s="1015" t="s">
        <v>641</v>
      </c>
      <c r="D419" s="530">
        <v>81</v>
      </c>
      <c r="E419" s="1106">
        <v>115973</v>
      </c>
      <c r="F419" s="440"/>
      <c r="G419" s="1015" t="s">
        <v>14075</v>
      </c>
      <c r="H419" s="1105">
        <v>44106</v>
      </c>
      <c r="I419" s="1017"/>
      <c r="J419" s="1149"/>
    </row>
    <row r="420" spans="1:10" s="81" customFormat="1" ht="92.25" customHeight="1" x14ac:dyDescent="0.2">
      <c r="A420" s="1148" t="s">
        <v>14085</v>
      </c>
      <c r="B420" s="1015" t="s">
        <v>640</v>
      </c>
      <c r="C420" s="1015" t="s">
        <v>641</v>
      </c>
      <c r="D420" s="530">
        <v>78</v>
      </c>
      <c r="E420" s="1106">
        <v>145000</v>
      </c>
      <c r="F420" s="440" t="s">
        <v>14086</v>
      </c>
      <c r="G420" s="1015" t="s">
        <v>13824</v>
      </c>
      <c r="H420" s="1105">
        <v>44040</v>
      </c>
      <c r="I420" s="1017"/>
      <c r="J420" s="1149"/>
    </row>
    <row r="421" spans="1:10" s="81" customFormat="1" ht="86.25" customHeight="1" x14ac:dyDescent="0.2">
      <c r="A421" s="1148" t="s">
        <v>14087</v>
      </c>
      <c r="B421" s="1015" t="s">
        <v>640</v>
      </c>
      <c r="C421" s="1015" t="s">
        <v>641</v>
      </c>
      <c r="D421" s="530">
        <v>35</v>
      </c>
      <c r="E421" s="1106">
        <v>394666.67</v>
      </c>
      <c r="F421" s="440" t="s">
        <v>14088</v>
      </c>
      <c r="G421" s="1015" t="s">
        <v>13824</v>
      </c>
      <c r="H421" s="1015"/>
      <c r="I421" s="1017"/>
      <c r="J421" s="1149"/>
    </row>
    <row r="422" spans="1:10" s="81" customFormat="1" ht="50.1" customHeight="1" x14ac:dyDescent="0.2">
      <c r="A422" s="1148" t="s">
        <v>14089</v>
      </c>
      <c r="B422" s="1015" t="s">
        <v>640</v>
      </c>
      <c r="C422" s="1015" t="s">
        <v>644</v>
      </c>
      <c r="D422" s="530">
        <v>87</v>
      </c>
      <c r="E422" s="1106">
        <v>384901</v>
      </c>
      <c r="F422" s="440" t="s">
        <v>14090</v>
      </c>
      <c r="G422" s="1015" t="s">
        <v>13824</v>
      </c>
      <c r="H422" s="1105">
        <v>44103</v>
      </c>
      <c r="I422" s="1017"/>
      <c r="J422" s="1149"/>
    </row>
    <row r="423" spans="1:10" s="81" customFormat="1" ht="50.1" customHeight="1" x14ac:dyDescent="0.2">
      <c r="A423" s="1148" t="s">
        <v>14091</v>
      </c>
      <c r="B423" s="1015" t="s">
        <v>640</v>
      </c>
      <c r="C423" s="1015" t="s">
        <v>641</v>
      </c>
      <c r="D423" s="530">
        <v>24</v>
      </c>
      <c r="E423" s="1106">
        <v>452853.33</v>
      </c>
      <c r="F423" s="440"/>
      <c r="G423" s="1015" t="s">
        <v>14075</v>
      </c>
      <c r="H423" s="1105">
        <v>44102</v>
      </c>
      <c r="I423" s="1017"/>
      <c r="J423" s="1149"/>
    </row>
    <row r="424" spans="1:10" s="81" customFormat="1" ht="50.1" customHeight="1" x14ac:dyDescent="0.2">
      <c r="A424" s="1148" t="s">
        <v>14092</v>
      </c>
      <c r="B424" s="1015" t="s">
        <v>1929</v>
      </c>
      <c r="C424" s="1015" t="s">
        <v>644</v>
      </c>
      <c r="D424" s="530">
        <v>14</v>
      </c>
      <c r="E424" s="1106">
        <v>115000</v>
      </c>
      <c r="F424" s="440"/>
      <c r="G424" s="1015"/>
      <c r="H424" s="1015"/>
      <c r="I424" s="1017"/>
      <c r="J424" s="1149"/>
    </row>
    <row r="425" spans="1:10" s="81" customFormat="1" ht="50.1" customHeight="1" x14ac:dyDescent="0.2">
      <c r="A425" s="1148" t="s">
        <v>14093</v>
      </c>
      <c r="B425" s="1015" t="s">
        <v>640</v>
      </c>
      <c r="C425" s="1015" t="s">
        <v>644</v>
      </c>
      <c r="D425" s="530">
        <v>91</v>
      </c>
      <c r="E425" s="1106">
        <v>87321</v>
      </c>
      <c r="F425" s="440" t="s">
        <v>14094</v>
      </c>
      <c r="G425" s="1015" t="s">
        <v>13824</v>
      </c>
      <c r="H425" s="1015"/>
      <c r="I425" s="1017"/>
      <c r="J425" s="1149"/>
    </row>
    <row r="426" spans="1:10" s="81" customFormat="1" ht="50.1" customHeight="1" x14ac:dyDescent="0.2">
      <c r="A426" s="1148" t="s">
        <v>14095</v>
      </c>
      <c r="B426" s="1015" t="s">
        <v>640</v>
      </c>
      <c r="C426" s="1015" t="s">
        <v>641</v>
      </c>
      <c r="D426" s="530">
        <v>40</v>
      </c>
      <c r="E426" s="1106">
        <v>60027</v>
      </c>
      <c r="F426" s="440" t="s">
        <v>1264</v>
      </c>
      <c r="G426" s="1015" t="s">
        <v>13824</v>
      </c>
      <c r="H426" s="1015"/>
      <c r="I426" s="1017"/>
      <c r="J426" s="1149"/>
    </row>
    <row r="427" spans="1:10" s="81" customFormat="1" ht="50.1" customHeight="1" x14ac:dyDescent="0.2">
      <c r="A427" s="1148" t="s">
        <v>14096</v>
      </c>
      <c r="B427" s="1015" t="s">
        <v>640</v>
      </c>
      <c r="C427" s="1015" t="s">
        <v>644</v>
      </c>
      <c r="D427" s="530">
        <v>82</v>
      </c>
      <c r="E427" s="1106">
        <v>145920</v>
      </c>
      <c r="F427" s="440"/>
      <c r="G427" s="1015" t="s">
        <v>14075</v>
      </c>
      <c r="H427" s="1105">
        <v>44103</v>
      </c>
      <c r="I427" s="1017"/>
      <c r="J427" s="1149"/>
    </row>
    <row r="428" spans="1:10" s="81" customFormat="1" ht="50.1" customHeight="1" x14ac:dyDescent="0.2">
      <c r="A428" s="1148" t="s">
        <v>14097</v>
      </c>
      <c r="B428" s="1015" t="s">
        <v>678</v>
      </c>
      <c r="C428" s="1015" t="s">
        <v>641</v>
      </c>
      <c r="D428" s="530">
        <v>23</v>
      </c>
      <c r="E428" s="1106">
        <v>245076</v>
      </c>
      <c r="F428" s="440" t="s">
        <v>14098</v>
      </c>
      <c r="G428" s="1015" t="s">
        <v>13824</v>
      </c>
      <c r="H428" s="1015"/>
      <c r="I428" s="1017"/>
      <c r="J428" s="1149"/>
    </row>
    <row r="429" spans="1:10" s="81" customFormat="1" ht="50.1" customHeight="1" x14ac:dyDescent="0.2">
      <c r="A429" s="1148" t="s">
        <v>14099</v>
      </c>
      <c r="B429" s="1015" t="s">
        <v>640</v>
      </c>
      <c r="C429" s="1015" t="s">
        <v>641</v>
      </c>
      <c r="D429" s="530">
        <v>2</v>
      </c>
      <c r="E429" s="1106">
        <v>57500</v>
      </c>
      <c r="F429" s="440"/>
      <c r="G429" s="1015" t="s">
        <v>14075</v>
      </c>
      <c r="H429" s="1015"/>
      <c r="I429" s="1017"/>
      <c r="J429" s="1149"/>
    </row>
    <row r="430" spans="1:10" s="81" customFormat="1" ht="85.5" customHeight="1" x14ac:dyDescent="0.2">
      <c r="A430" s="1148" t="s">
        <v>14100</v>
      </c>
      <c r="B430" s="1015" t="s">
        <v>640</v>
      </c>
      <c r="C430" s="1015" t="s">
        <v>641</v>
      </c>
      <c r="D430" s="530">
        <v>83</v>
      </c>
      <c r="E430" s="1106">
        <v>63700</v>
      </c>
      <c r="F430" s="440" t="s">
        <v>14101</v>
      </c>
      <c r="G430" s="1015" t="s">
        <v>13824</v>
      </c>
      <c r="H430" s="1105">
        <v>44102</v>
      </c>
      <c r="I430" s="1017"/>
      <c r="J430" s="1149"/>
    </row>
    <row r="431" spans="1:10" s="81" customFormat="1" ht="50.1" customHeight="1" x14ac:dyDescent="0.2">
      <c r="A431" s="1148" t="s">
        <v>14102</v>
      </c>
      <c r="B431" s="1015" t="s">
        <v>640</v>
      </c>
      <c r="C431" s="1015" t="s">
        <v>641</v>
      </c>
      <c r="D431" s="530">
        <v>238</v>
      </c>
      <c r="E431" s="1106">
        <v>99409.16</v>
      </c>
      <c r="F431" s="440"/>
      <c r="G431" s="1015"/>
      <c r="H431" s="1015"/>
      <c r="I431" s="1017"/>
      <c r="J431" s="1149"/>
    </row>
    <row r="432" spans="1:10" s="81" customFormat="1" ht="50.1" customHeight="1" x14ac:dyDescent="0.2">
      <c r="A432" s="1148" t="s">
        <v>14103</v>
      </c>
      <c r="B432" s="1015" t="s">
        <v>640</v>
      </c>
      <c r="C432" s="1015" t="s">
        <v>641</v>
      </c>
      <c r="D432" s="530">
        <v>160</v>
      </c>
      <c r="E432" s="1106">
        <v>381577.83</v>
      </c>
      <c r="F432" s="440"/>
      <c r="G432" s="1015"/>
      <c r="H432" s="1015"/>
      <c r="I432" s="1017"/>
      <c r="J432" s="1149"/>
    </row>
    <row r="433" spans="1:10" s="81" customFormat="1" ht="50.1" customHeight="1" x14ac:dyDescent="0.2">
      <c r="A433" s="1148" t="s">
        <v>14104</v>
      </c>
      <c r="B433" s="1015" t="s">
        <v>640</v>
      </c>
      <c r="C433" s="1015" t="s">
        <v>641</v>
      </c>
      <c r="D433" s="530">
        <v>37</v>
      </c>
      <c r="E433" s="1106">
        <v>56000</v>
      </c>
      <c r="F433" s="440"/>
      <c r="G433" s="1015" t="s">
        <v>14075</v>
      </c>
      <c r="H433" s="1015"/>
      <c r="I433" s="1017"/>
      <c r="J433" s="1149"/>
    </row>
    <row r="434" spans="1:10" s="81" customFormat="1" ht="50.1" customHeight="1" x14ac:dyDescent="0.2">
      <c r="A434" s="1148" t="s">
        <v>637</v>
      </c>
      <c r="B434" s="1015" t="s">
        <v>617</v>
      </c>
      <c r="C434" s="1015" t="s">
        <v>665</v>
      </c>
      <c r="D434" s="530">
        <v>4</v>
      </c>
      <c r="E434" s="1106">
        <v>25965557.09</v>
      </c>
      <c r="F434" s="440"/>
      <c r="G434" s="1015" t="s">
        <v>14075</v>
      </c>
      <c r="H434" s="1105">
        <v>44106</v>
      </c>
      <c r="I434" s="1017"/>
      <c r="J434" s="1149"/>
    </row>
    <row r="435" spans="1:10" s="81" customFormat="1" ht="93" customHeight="1" x14ac:dyDescent="0.2">
      <c r="A435" s="1148" t="s">
        <v>14105</v>
      </c>
      <c r="B435" s="1015" t="s">
        <v>640</v>
      </c>
      <c r="C435" s="1015" t="s">
        <v>641</v>
      </c>
      <c r="D435" s="530">
        <v>193</v>
      </c>
      <c r="E435" s="1106">
        <v>1857800</v>
      </c>
      <c r="F435" s="440"/>
      <c r="G435" s="1015"/>
      <c r="H435" s="1015"/>
      <c r="I435" s="1017"/>
      <c r="J435" s="1149"/>
    </row>
    <row r="436" spans="1:10" s="81" customFormat="1" ht="50.1" customHeight="1" x14ac:dyDescent="0.2">
      <c r="A436" s="1148" t="s">
        <v>14106</v>
      </c>
      <c r="B436" s="1015" t="s">
        <v>678</v>
      </c>
      <c r="C436" s="1015" t="s">
        <v>641</v>
      </c>
      <c r="D436" s="530">
        <v>26</v>
      </c>
      <c r="E436" s="1106">
        <v>107830</v>
      </c>
      <c r="F436" s="440" t="s">
        <v>14107</v>
      </c>
      <c r="G436" s="1015" t="s">
        <v>13824</v>
      </c>
      <c r="H436" s="1015"/>
      <c r="I436" s="1017"/>
      <c r="J436" s="1149"/>
    </row>
    <row r="437" spans="1:10" s="81" customFormat="1" ht="50.1" customHeight="1" x14ac:dyDescent="0.2">
      <c r="A437" s="1148" t="s">
        <v>14108</v>
      </c>
      <c r="B437" s="1015" t="s">
        <v>640</v>
      </c>
      <c r="C437" s="1015" t="s">
        <v>641</v>
      </c>
      <c r="D437" s="530">
        <v>77</v>
      </c>
      <c r="E437" s="1106">
        <v>97337.5</v>
      </c>
      <c r="F437" s="440" t="s">
        <v>14109</v>
      </c>
      <c r="G437" s="1015" t="s">
        <v>13824</v>
      </c>
      <c r="H437" s="1105">
        <v>44078</v>
      </c>
      <c r="I437" s="1017"/>
      <c r="J437" s="1149"/>
    </row>
    <row r="438" spans="1:10" s="81" customFormat="1" ht="50.1" customHeight="1" x14ac:dyDescent="0.2">
      <c r="A438" s="1148" t="s">
        <v>14110</v>
      </c>
      <c r="B438" s="1015" t="s">
        <v>640</v>
      </c>
      <c r="C438" s="1015" t="s">
        <v>644</v>
      </c>
      <c r="D438" s="530">
        <v>286</v>
      </c>
      <c r="E438" s="1106">
        <v>84333.33</v>
      </c>
      <c r="F438" s="440"/>
      <c r="G438" s="1015"/>
      <c r="H438" s="1015"/>
      <c r="I438" s="1017"/>
      <c r="J438" s="1149"/>
    </row>
    <row r="439" spans="1:10" s="81" customFormat="1" ht="87.75" customHeight="1" x14ac:dyDescent="0.2">
      <c r="A439" s="1148" t="s">
        <v>14111</v>
      </c>
      <c r="B439" s="1015" t="s">
        <v>640</v>
      </c>
      <c r="C439" s="1015" t="s">
        <v>641</v>
      </c>
      <c r="D439" s="530">
        <v>49</v>
      </c>
      <c r="E439" s="1106">
        <v>109774.16</v>
      </c>
      <c r="F439" s="440"/>
      <c r="G439" s="1015" t="s">
        <v>3301</v>
      </c>
      <c r="H439" s="1105">
        <v>44077</v>
      </c>
      <c r="I439" s="1017"/>
      <c r="J439" s="1149"/>
    </row>
    <row r="440" spans="1:10" s="81" customFormat="1" ht="99" customHeight="1" x14ac:dyDescent="0.2">
      <c r="A440" s="1148" t="s">
        <v>14112</v>
      </c>
      <c r="B440" s="1015" t="s">
        <v>640</v>
      </c>
      <c r="C440" s="1015" t="s">
        <v>641</v>
      </c>
      <c r="D440" s="530">
        <v>34</v>
      </c>
      <c r="E440" s="1106">
        <v>109333.33</v>
      </c>
      <c r="F440" s="440"/>
      <c r="G440" s="1015" t="s">
        <v>14075</v>
      </c>
      <c r="H440" s="1105">
        <v>44078</v>
      </c>
      <c r="I440" s="1017"/>
      <c r="J440" s="1149"/>
    </row>
    <row r="441" spans="1:10" s="81" customFormat="1" ht="94.5" customHeight="1" x14ac:dyDescent="0.2">
      <c r="A441" s="1148" t="s">
        <v>14113</v>
      </c>
      <c r="B441" s="1015" t="s">
        <v>640</v>
      </c>
      <c r="C441" s="1015" t="s">
        <v>641</v>
      </c>
      <c r="D441" s="530">
        <v>66</v>
      </c>
      <c r="E441" s="1106">
        <v>140950</v>
      </c>
      <c r="F441" s="440"/>
      <c r="G441" s="1015" t="s">
        <v>3301</v>
      </c>
      <c r="H441" s="1105">
        <v>44077</v>
      </c>
      <c r="I441" s="1017"/>
      <c r="J441" s="1149"/>
    </row>
    <row r="442" spans="1:10" s="81" customFormat="1" ht="92.25" customHeight="1" x14ac:dyDescent="0.2">
      <c r="A442" s="1148" t="s">
        <v>14114</v>
      </c>
      <c r="B442" s="1015" t="s">
        <v>640</v>
      </c>
      <c r="C442" s="1015" t="s">
        <v>641</v>
      </c>
      <c r="D442" s="530">
        <v>79</v>
      </c>
      <c r="E442" s="1106">
        <v>77711</v>
      </c>
      <c r="F442" s="440" t="s">
        <v>14115</v>
      </c>
      <c r="G442" s="1015" t="s">
        <v>13824</v>
      </c>
      <c r="H442" s="1105">
        <v>44078</v>
      </c>
      <c r="I442" s="1017"/>
      <c r="J442" s="1149"/>
    </row>
    <row r="443" spans="1:10" s="81" customFormat="1" ht="104.25" customHeight="1" x14ac:dyDescent="0.2">
      <c r="A443" s="1148" t="s">
        <v>14116</v>
      </c>
      <c r="B443" s="1015" t="s">
        <v>640</v>
      </c>
      <c r="C443" s="1015" t="s">
        <v>641</v>
      </c>
      <c r="D443" s="530">
        <v>13</v>
      </c>
      <c r="E443" s="1106">
        <v>72683</v>
      </c>
      <c r="F443" s="440" t="s">
        <v>14117</v>
      </c>
      <c r="G443" s="1015" t="s">
        <v>13824</v>
      </c>
      <c r="H443" s="1105">
        <v>44081</v>
      </c>
      <c r="I443" s="1017"/>
      <c r="J443" s="1149"/>
    </row>
    <row r="444" spans="1:10" s="81" customFormat="1" ht="50.1" customHeight="1" x14ac:dyDescent="0.2">
      <c r="A444" s="1148" t="s">
        <v>14118</v>
      </c>
      <c r="B444" s="1015" t="s">
        <v>640</v>
      </c>
      <c r="C444" s="1015" t="s">
        <v>641</v>
      </c>
      <c r="D444" s="530">
        <v>247</v>
      </c>
      <c r="E444" s="1106">
        <v>276250</v>
      </c>
      <c r="F444" s="440"/>
      <c r="G444" s="1015"/>
      <c r="H444" s="1015"/>
      <c r="I444" s="1017"/>
      <c r="J444" s="1149"/>
    </row>
    <row r="445" spans="1:10" s="81" customFormat="1" ht="50.1" customHeight="1" x14ac:dyDescent="0.2">
      <c r="A445" s="1148" t="s">
        <v>14119</v>
      </c>
      <c r="B445" s="1015" t="s">
        <v>640</v>
      </c>
      <c r="C445" s="1015" t="s">
        <v>641</v>
      </c>
      <c r="D445" s="530">
        <v>246</v>
      </c>
      <c r="E445" s="1106">
        <v>276250</v>
      </c>
      <c r="F445" s="440"/>
      <c r="G445" s="1015"/>
      <c r="H445" s="1015"/>
      <c r="I445" s="1017"/>
      <c r="J445" s="1149"/>
    </row>
    <row r="446" spans="1:10" s="81" customFormat="1" ht="50.1" customHeight="1" x14ac:dyDescent="0.2">
      <c r="A446" s="1148" t="s">
        <v>14120</v>
      </c>
      <c r="B446" s="1015" t="s">
        <v>640</v>
      </c>
      <c r="C446" s="1015" t="s">
        <v>641</v>
      </c>
      <c r="D446" s="530">
        <v>26</v>
      </c>
      <c r="E446" s="1106">
        <v>59575</v>
      </c>
      <c r="F446" s="440" t="s">
        <v>1077</v>
      </c>
      <c r="G446" s="1015" t="s">
        <v>13824</v>
      </c>
      <c r="H446" s="1105">
        <v>44076</v>
      </c>
      <c r="I446" s="1017"/>
      <c r="J446" s="1149"/>
    </row>
    <row r="447" spans="1:10" s="81" customFormat="1" ht="50.1" customHeight="1" x14ac:dyDescent="0.2">
      <c r="A447" s="1148" t="s">
        <v>14121</v>
      </c>
      <c r="B447" s="1015" t="s">
        <v>678</v>
      </c>
      <c r="C447" s="1015" t="s">
        <v>641</v>
      </c>
      <c r="D447" s="530">
        <v>29</v>
      </c>
      <c r="E447" s="1106">
        <v>117600</v>
      </c>
      <c r="F447" s="440" t="s">
        <v>14122</v>
      </c>
      <c r="G447" s="1015" t="s">
        <v>13824</v>
      </c>
      <c r="H447" s="1015"/>
      <c r="I447" s="1017"/>
      <c r="J447" s="1149"/>
    </row>
    <row r="448" spans="1:10" s="81" customFormat="1" ht="50.1" customHeight="1" x14ac:dyDescent="0.2">
      <c r="A448" s="1148" t="s">
        <v>14123</v>
      </c>
      <c r="B448" s="1015" t="s">
        <v>640</v>
      </c>
      <c r="C448" s="1015" t="s">
        <v>641</v>
      </c>
      <c r="D448" s="530">
        <v>60</v>
      </c>
      <c r="E448" s="1106">
        <v>426761.56</v>
      </c>
      <c r="F448" s="440" t="s">
        <v>14124</v>
      </c>
      <c r="G448" s="1015" t="s">
        <v>13824</v>
      </c>
      <c r="H448" s="1105">
        <v>44077</v>
      </c>
      <c r="I448" s="1017"/>
      <c r="J448" s="1149"/>
    </row>
    <row r="449" spans="1:10" s="81" customFormat="1" ht="50.1" customHeight="1" x14ac:dyDescent="0.2">
      <c r="A449" s="1148" t="s">
        <v>14125</v>
      </c>
      <c r="B449" s="1015" t="s">
        <v>640</v>
      </c>
      <c r="C449" s="1015" t="s">
        <v>641</v>
      </c>
      <c r="D449" s="530">
        <v>33</v>
      </c>
      <c r="E449" s="1106">
        <v>81424.240000000005</v>
      </c>
      <c r="F449" s="440"/>
      <c r="G449" s="1015" t="s">
        <v>14075</v>
      </c>
      <c r="H449" s="1105">
        <v>44068</v>
      </c>
      <c r="I449" s="1017"/>
      <c r="J449" s="1149"/>
    </row>
    <row r="450" spans="1:10" s="81" customFormat="1" ht="50.1" customHeight="1" x14ac:dyDescent="0.2">
      <c r="A450" s="1148" t="s">
        <v>14126</v>
      </c>
      <c r="B450" s="1015" t="s">
        <v>640</v>
      </c>
      <c r="C450" s="1015" t="s">
        <v>641</v>
      </c>
      <c r="D450" s="530">
        <v>22</v>
      </c>
      <c r="E450" s="1106">
        <v>169575</v>
      </c>
      <c r="F450" s="440" t="s">
        <v>14127</v>
      </c>
      <c r="G450" s="1015" t="s">
        <v>13824</v>
      </c>
      <c r="H450" s="1105">
        <v>44033</v>
      </c>
      <c r="I450" s="1017"/>
      <c r="J450" s="1149"/>
    </row>
    <row r="451" spans="1:10" s="81" customFormat="1" ht="84" customHeight="1" x14ac:dyDescent="0.2">
      <c r="A451" s="1148" t="s">
        <v>14128</v>
      </c>
      <c r="B451" s="1015" t="s">
        <v>640</v>
      </c>
      <c r="C451" s="1015" t="s">
        <v>641</v>
      </c>
      <c r="D451" s="530">
        <v>10</v>
      </c>
      <c r="E451" s="1106">
        <v>120600</v>
      </c>
      <c r="F451" s="440" t="s">
        <v>1077</v>
      </c>
      <c r="G451" s="1015" t="s">
        <v>13824</v>
      </c>
      <c r="H451" s="1105">
        <v>44076</v>
      </c>
      <c r="I451" s="1017"/>
      <c r="J451" s="1149"/>
    </row>
    <row r="452" spans="1:10" s="81" customFormat="1" ht="78" customHeight="1" x14ac:dyDescent="0.2">
      <c r="A452" s="1148" t="s">
        <v>14129</v>
      </c>
      <c r="B452" s="1015" t="s">
        <v>640</v>
      </c>
      <c r="C452" s="1015" t="s">
        <v>641</v>
      </c>
      <c r="D452" s="530">
        <v>32</v>
      </c>
      <c r="E452" s="1106">
        <v>62566.400000000001</v>
      </c>
      <c r="F452" s="440" t="s">
        <v>14130</v>
      </c>
      <c r="G452" s="1015" t="s">
        <v>13824</v>
      </c>
      <c r="H452" s="1105">
        <v>44068</v>
      </c>
      <c r="I452" s="1017"/>
      <c r="J452" s="1149"/>
    </row>
    <row r="453" spans="1:10" s="81" customFormat="1" ht="72" customHeight="1" x14ac:dyDescent="0.2">
      <c r="A453" s="1148" t="s">
        <v>14131</v>
      </c>
      <c r="B453" s="1015" t="s">
        <v>640</v>
      </c>
      <c r="C453" s="1015" t="s">
        <v>641</v>
      </c>
      <c r="D453" s="530">
        <v>11</v>
      </c>
      <c r="E453" s="1106">
        <v>100000</v>
      </c>
      <c r="F453" s="440" t="s">
        <v>14132</v>
      </c>
      <c r="G453" s="1015" t="s">
        <v>13824</v>
      </c>
      <c r="H453" s="1105">
        <v>44033</v>
      </c>
      <c r="I453" s="1017"/>
      <c r="J453" s="1149"/>
    </row>
    <row r="454" spans="1:10" s="81" customFormat="1" ht="84.75" customHeight="1" x14ac:dyDescent="0.2">
      <c r="A454" s="1148" t="s">
        <v>14133</v>
      </c>
      <c r="B454" s="1015" t="s">
        <v>640</v>
      </c>
      <c r="C454" s="1015" t="s">
        <v>641</v>
      </c>
      <c r="D454" s="530">
        <v>1</v>
      </c>
      <c r="E454" s="1106">
        <v>100980</v>
      </c>
      <c r="F454" s="440" t="s">
        <v>14134</v>
      </c>
      <c r="G454" s="1015" t="s">
        <v>13824</v>
      </c>
      <c r="H454" s="1105">
        <v>44062</v>
      </c>
      <c r="I454" s="1017"/>
      <c r="J454" s="1149"/>
    </row>
    <row r="455" spans="1:10" s="81" customFormat="1" ht="50.1" customHeight="1" x14ac:dyDescent="0.2">
      <c r="A455" s="1148" t="s">
        <v>14135</v>
      </c>
      <c r="B455" s="1015" t="s">
        <v>640</v>
      </c>
      <c r="C455" s="1015" t="s">
        <v>641</v>
      </c>
      <c r="D455" s="530">
        <v>48</v>
      </c>
      <c r="E455" s="1106">
        <v>134476.66</v>
      </c>
      <c r="F455" s="440" t="s">
        <v>14136</v>
      </c>
      <c r="G455" s="1015" t="s">
        <v>13824</v>
      </c>
      <c r="H455" s="1105">
        <v>44050</v>
      </c>
      <c r="I455" s="1017"/>
      <c r="J455" s="1149"/>
    </row>
    <row r="456" spans="1:10" s="81" customFormat="1" ht="50.1" customHeight="1" x14ac:dyDescent="0.2">
      <c r="A456" s="1148" t="s">
        <v>14137</v>
      </c>
      <c r="B456" s="1015" t="s">
        <v>640</v>
      </c>
      <c r="C456" s="1015" t="s">
        <v>641</v>
      </c>
      <c r="D456" s="530">
        <v>31</v>
      </c>
      <c r="E456" s="1106">
        <v>92043.5</v>
      </c>
      <c r="F456" s="440" t="s">
        <v>14138</v>
      </c>
      <c r="G456" s="1015" t="s">
        <v>13824</v>
      </c>
      <c r="H456" s="1105">
        <v>44075</v>
      </c>
      <c r="I456" s="1017"/>
      <c r="J456" s="1149"/>
    </row>
    <row r="457" spans="1:10" s="81" customFormat="1" ht="50.1" customHeight="1" x14ac:dyDescent="0.2">
      <c r="A457" s="1148" t="s">
        <v>14139</v>
      </c>
      <c r="B457" s="1015" t="s">
        <v>640</v>
      </c>
      <c r="C457" s="1015" t="s">
        <v>641</v>
      </c>
      <c r="D457" s="530">
        <v>74</v>
      </c>
      <c r="E457" s="1106">
        <v>322725</v>
      </c>
      <c r="F457" s="440" t="s">
        <v>14140</v>
      </c>
      <c r="G457" s="1015" t="s">
        <v>13824</v>
      </c>
      <c r="H457" s="1105">
        <v>44064</v>
      </c>
      <c r="I457" s="1017"/>
      <c r="J457" s="1149"/>
    </row>
    <row r="458" spans="1:10" s="81" customFormat="1" ht="50.1" customHeight="1" x14ac:dyDescent="0.2">
      <c r="A458" s="1148" t="s">
        <v>14141</v>
      </c>
      <c r="B458" s="1015" t="s">
        <v>640</v>
      </c>
      <c r="C458" s="1015" t="s">
        <v>641</v>
      </c>
      <c r="D458" s="530">
        <v>43</v>
      </c>
      <c r="E458" s="1106">
        <v>119700</v>
      </c>
      <c r="F458" s="440" t="s">
        <v>14142</v>
      </c>
      <c r="G458" s="1015" t="s">
        <v>13824</v>
      </c>
      <c r="H458" s="1105">
        <v>44064</v>
      </c>
      <c r="I458" s="1017"/>
      <c r="J458" s="1149"/>
    </row>
    <row r="459" spans="1:10" s="81" customFormat="1" ht="50.1" customHeight="1" x14ac:dyDescent="0.2">
      <c r="A459" s="1148" t="s">
        <v>14143</v>
      </c>
      <c r="B459" s="1015" t="s">
        <v>640</v>
      </c>
      <c r="C459" s="1015" t="s">
        <v>641</v>
      </c>
      <c r="D459" s="530">
        <v>25</v>
      </c>
      <c r="E459" s="1106">
        <v>130110.41</v>
      </c>
      <c r="F459" s="440" t="s">
        <v>14144</v>
      </c>
      <c r="G459" s="1015" t="s">
        <v>13824</v>
      </c>
      <c r="H459" s="1105">
        <v>44076</v>
      </c>
      <c r="I459" s="1017"/>
      <c r="J459" s="1149"/>
    </row>
    <row r="460" spans="1:10" s="81" customFormat="1" ht="50.1" customHeight="1" x14ac:dyDescent="0.2">
      <c r="A460" s="1148" t="s">
        <v>14145</v>
      </c>
      <c r="B460" s="1015" t="s">
        <v>678</v>
      </c>
      <c r="C460" s="1015" t="s">
        <v>641</v>
      </c>
      <c r="D460" s="530">
        <v>67</v>
      </c>
      <c r="E460" s="1106">
        <v>266565</v>
      </c>
      <c r="F460" s="440"/>
      <c r="G460" s="1015"/>
      <c r="H460" s="1015"/>
      <c r="I460" s="1017"/>
      <c r="J460" s="1149"/>
    </row>
    <row r="461" spans="1:10" s="81" customFormat="1" ht="86.25" customHeight="1" x14ac:dyDescent="0.2">
      <c r="A461" s="1148" t="s">
        <v>14146</v>
      </c>
      <c r="B461" s="1015" t="s">
        <v>640</v>
      </c>
      <c r="C461" s="1015" t="s">
        <v>641</v>
      </c>
      <c r="D461" s="530">
        <v>30</v>
      </c>
      <c r="E461" s="1106">
        <v>110609.75</v>
      </c>
      <c r="F461" s="440"/>
      <c r="G461" s="1015" t="s">
        <v>14075</v>
      </c>
      <c r="H461" s="1105">
        <v>44047</v>
      </c>
      <c r="I461" s="1017"/>
      <c r="J461" s="1149"/>
    </row>
    <row r="462" spans="1:10" s="81" customFormat="1" ht="92.25" customHeight="1" x14ac:dyDescent="0.2">
      <c r="A462" s="1148" t="s">
        <v>14147</v>
      </c>
      <c r="B462" s="1015" t="s">
        <v>1929</v>
      </c>
      <c r="C462" s="1015" t="s">
        <v>644</v>
      </c>
      <c r="D462" s="530">
        <v>7</v>
      </c>
      <c r="E462" s="1106">
        <v>155000</v>
      </c>
      <c r="F462" s="440"/>
      <c r="G462" s="1015"/>
      <c r="H462" s="1015"/>
      <c r="I462" s="1017"/>
      <c r="J462" s="1149"/>
    </row>
    <row r="463" spans="1:10" s="81" customFormat="1" ht="50.1" customHeight="1" x14ac:dyDescent="0.2">
      <c r="A463" s="1148" t="s">
        <v>14148</v>
      </c>
      <c r="B463" s="1015" t="s">
        <v>1929</v>
      </c>
      <c r="C463" s="1015" t="s">
        <v>644</v>
      </c>
      <c r="D463" s="530">
        <v>5</v>
      </c>
      <c r="E463" s="1106">
        <v>364560</v>
      </c>
      <c r="F463" s="440"/>
      <c r="G463" s="1015"/>
      <c r="H463" s="1015"/>
      <c r="I463" s="1017"/>
      <c r="J463" s="1149"/>
    </row>
    <row r="464" spans="1:10" s="81" customFormat="1" ht="123.75" customHeight="1" x14ac:dyDescent="0.2">
      <c r="A464" s="1148" t="s">
        <v>14149</v>
      </c>
      <c r="B464" s="1015" t="s">
        <v>617</v>
      </c>
      <c r="C464" s="1015" t="s">
        <v>641</v>
      </c>
      <c r="D464" s="530">
        <v>1</v>
      </c>
      <c r="E464" s="1106">
        <v>1146816.67</v>
      </c>
      <c r="F464" s="440"/>
      <c r="G464" s="1015" t="s">
        <v>13824</v>
      </c>
      <c r="H464" s="1105">
        <v>44090</v>
      </c>
      <c r="I464" s="1017"/>
      <c r="J464" s="1149"/>
    </row>
    <row r="465" spans="1:10" s="81" customFormat="1" ht="82.5" customHeight="1" x14ac:dyDescent="0.2">
      <c r="A465" s="1148" t="s">
        <v>14150</v>
      </c>
      <c r="B465" s="1015" t="s">
        <v>1929</v>
      </c>
      <c r="C465" s="1015" t="s">
        <v>644</v>
      </c>
      <c r="D465" s="530">
        <v>9</v>
      </c>
      <c r="E465" s="1106">
        <v>245000</v>
      </c>
      <c r="F465" s="440"/>
      <c r="G465" s="1015"/>
      <c r="H465" s="1015"/>
      <c r="I465" s="1017"/>
      <c r="J465" s="1149"/>
    </row>
    <row r="466" spans="1:10" s="81" customFormat="1" ht="50.1" customHeight="1" x14ac:dyDescent="0.2">
      <c r="A466" s="1148" t="s">
        <v>14151</v>
      </c>
      <c r="B466" s="1015" t="s">
        <v>640</v>
      </c>
      <c r="C466" s="1015" t="s">
        <v>641</v>
      </c>
      <c r="D466" s="530">
        <v>67</v>
      </c>
      <c r="E466" s="1106">
        <v>105690</v>
      </c>
      <c r="F466" s="440" t="s">
        <v>13313</v>
      </c>
      <c r="G466" s="1015" t="s">
        <v>13824</v>
      </c>
      <c r="H466" s="1105">
        <v>44051</v>
      </c>
      <c r="I466" s="1017"/>
      <c r="J466" s="1149"/>
    </row>
    <row r="467" spans="1:10" s="81" customFormat="1" ht="50.1" customHeight="1" x14ac:dyDescent="0.2">
      <c r="A467" s="1148" t="s">
        <v>14152</v>
      </c>
      <c r="B467" s="1015" t="s">
        <v>640</v>
      </c>
      <c r="C467" s="1015" t="s">
        <v>641</v>
      </c>
      <c r="D467" s="530">
        <v>3</v>
      </c>
      <c r="E467" s="1106">
        <v>93008</v>
      </c>
      <c r="F467" s="440" t="s">
        <v>14153</v>
      </c>
      <c r="G467" s="1015" t="s">
        <v>13824</v>
      </c>
      <c r="H467" s="1105">
        <v>44061</v>
      </c>
      <c r="I467" s="1017"/>
      <c r="J467" s="1149"/>
    </row>
    <row r="468" spans="1:10" s="81" customFormat="1" ht="50.1" customHeight="1" x14ac:dyDescent="0.2">
      <c r="A468" s="1148" t="s">
        <v>14154</v>
      </c>
      <c r="B468" s="1015" t="s">
        <v>678</v>
      </c>
      <c r="C468" s="1015" t="s">
        <v>641</v>
      </c>
      <c r="D468" s="530">
        <v>27</v>
      </c>
      <c r="E468" s="1106">
        <v>231000</v>
      </c>
      <c r="F468" s="440" t="s">
        <v>14122</v>
      </c>
      <c r="G468" s="1015" t="s">
        <v>13824</v>
      </c>
      <c r="H468" s="1105">
        <v>44050</v>
      </c>
      <c r="I468" s="1017"/>
      <c r="J468" s="1149"/>
    </row>
    <row r="469" spans="1:10" s="81" customFormat="1" ht="50.1" customHeight="1" x14ac:dyDescent="0.2">
      <c r="A469" s="1148" t="s">
        <v>14155</v>
      </c>
      <c r="B469" s="1015" t="s">
        <v>1929</v>
      </c>
      <c r="C469" s="1015" t="s">
        <v>644</v>
      </c>
      <c r="D469" s="530">
        <v>8</v>
      </c>
      <c r="E469" s="1106">
        <v>350000</v>
      </c>
      <c r="F469" s="440"/>
      <c r="G469" s="1015"/>
      <c r="H469" s="1015"/>
      <c r="I469" s="1017"/>
      <c r="J469" s="1149"/>
    </row>
    <row r="470" spans="1:10" s="81" customFormat="1" ht="108.75" customHeight="1" x14ac:dyDescent="0.2">
      <c r="A470" s="1148" t="s">
        <v>14156</v>
      </c>
      <c r="B470" s="1015" t="s">
        <v>1929</v>
      </c>
      <c r="C470" s="1015" t="s">
        <v>644</v>
      </c>
      <c r="D470" s="530">
        <v>10</v>
      </c>
      <c r="E470" s="1106">
        <v>322000</v>
      </c>
      <c r="F470" s="440"/>
      <c r="G470" s="1015"/>
      <c r="H470" s="1015"/>
      <c r="I470" s="1017"/>
      <c r="J470" s="1149"/>
    </row>
    <row r="471" spans="1:10" s="81" customFormat="1" ht="110.25" customHeight="1" x14ac:dyDescent="0.2">
      <c r="A471" s="1148" t="s">
        <v>14157</v>
      </c>
      <c r="B471" s="1015" t="s">
        <v>1929</v>
      </c>
      <c r="C471" s="1015" t="s">
        <v>644</v>
      </c>
      <c r="D471" s="530">
        <v>11</v>
      </c>
      <c r="E471" s="1106">
        <v>91000</v>
      </c>
      <c r="F471" s="440"/>
      <c r="G471" s="1015"/>
      <c r="H471" s="1015"/>
      <c r="I471" s="1017"/>
      <c r="J471" s="1149"/>
    </row>
    <row r="472" spans="1:10" s="81" customFormat="1" ht="50.1" customHeight="1" x14ac:dyDescent="0.2">
      <c r="A472" s="1148" t="s">
        <v>14158</v>
      </c>
      <c r="B472" s="1015" t="s">
        <v>678</v>
      </c>
      <c r="C472" s="1015" t="s">
        <v>641</v>
      </c>
      <c r="D472" s="530">
        <v>22</v>
      </c>
      <c r="E472" s="1106">
        <v>262810</v>
      </c>
      <c r="F472" s="440" t="s">
        <v>14159</v>
      </c>
      <c r="G472" s="1015" t="s">
        <v>13824</v>
      </c>
      <c r="H472" s="1105">
        <v>44050</v>
      </c>
      <c r="I472" s="1017"/>
      <c r="J472" s="1149"/>
    </row>
    <row r="473" spans="1:10" s="81" customFormat="1" ht="50.1" customHeight="1" x14ac:dyDescent="0.2">
      <c r="A473" s="1148" t="s">
        <v>14160</v>
      </c>
      <c r="B473" s="1015" t="s">
        <v>640</v>
      </c>
      <c r="C473" s="1015" t="s">
        <v>644</v>
      </c>
      <c r="D473" s="530">
        <v>257</v>
      </c>
      <c r="E473" s="1106">
        <v>169088.94</v>
      </c>
      <c r="F473" s="440"/>
      <c r="G473" s="1015"/>
      <c r="H473" s="1015"/>
      <c r="I473" s="1017"/>
      <c r="J473" s="1149"/>
    </row>
    <row r="474" spans="1:10" s="81" customFormat="1" ht="50.1" customHeight="1" x14ac:dyDescent="0.2">
      <c r="A474" s="1148" t="s">
        <v>14161</v>
      </c>
      <c r="B474" s="1015" t="s">
        <v>640</v>
      </c>
      <c r="C474" s="1015" t="s">
        <v>641</v>
      </c>
      <c r="D474" s="530">
        <v>62</v>
      </c>
      <c r="E474" s="1106">
        <v>96000</v>
      </c>
      <c r="F474" s="440" t="s">
        <v>14162</v>
      </c>
      <c r="G474" s="1015" t="s">
        <v>13824</v>
      </c>
      <c r="H474" s="1105">
        <v>44049</v>
      </c>
      <c r="I474" s="1017"/>
      <c r="J474" s="1149"/>
    </row>
    <row r="475" spans="1:10" s="81" customFormat="1" ht="50.1" customHeight="1" x14ac:dyDescent="0.2">
      <c r="A475" s="1148" t="s">
        <v>14163</v>
      </c>
      <c r="B475" s="1015" t="s">
        <v>640</v>
      </c>
      <c r="C475" s="1015" t="s">
        <v>641</v>
      </c>
      <c r="D475" s="530">
        <v>255</v>
      </c>
      <c r="E475" s="1106">
        <v>58000</v>
      </c>
      <c r="F475" s="440"/>
      <c r="G475" s="1015"/>
      <c r="H475" s="1015"/>
      <c r="I475" s="1017"/>
      <c r="J475" s="1149"/>
    </row>
    <row r="476" spans="1:10" s="81" customFormat="1" ht="50.1" customHeight="1" x14ac:dyDescent="0.2">
      <c r="A476" s="1148" t="s">
        <v>14164</v>
      </c>
      <c r="B476" s="1015" t="s">
        <v>640</v>
      </c>
      <c r="C476" s="1015" t="s">
        <v>641</v>
      </c>
      <c r="D476" s="530">
        <v>80</v>
      </c>
      <c r="E476" s="1106">
        <v>156207.6</v>
      </c>
      <c r="F476" s="440" t="s">
        <v>14165</v>
      </c>
      <c r="G476" s="1015" t="s">
        <v>13824</v>
      </c>
      <c r="H476" s="1105">
        <v>44032</v>
      </c>
      <c r="I476" s="1017"/>
      <c r="J476" s="1149"/>
    </row>
    <row r="477" spans="1:10" s="81" customFormat="1" ht="50.1" customHeight="1" x14ac:dyDescent="0.2">
      <c r="A477" s="1148" t="s">
        <v>14166</v>
      </c>
      <c r="B477" s="1015" t="s">
        <v>678</v>
      </c>
      <c r="C477" s="1015" t="s">
        <v>641</v>
      </c>
      <c r="D477" s="530">
        <v>10</v>
      </c>
      <c r="E477" s="1106">
        <v>65998.67</v>
      </c>
      <c r="F477" s="440" t="s">
        <v>1404</v>
      </c>
      <c r="G477" s="1015" t="s">
        <v>13824</v>
      </c>
      <c r="H477" s="1105">
        <v>44042</v>
      </c>
      <c r="I477" s="1017"/>
      <c r="J477" s="1149"/>
    </row>
    <row r="478" spans="1:10" s="81" customFormat="1" ht="81.75" customHeight="1" x14ac:dyDescent="0.2">
      <c r="A478" s="1148" t="s">
        <v>14167</v>
      </c>
      <c r="B478" s="1015" t="s">
        <v>678</v>
      </c>
      <c r="C478" s="1015" t="s">
        <v>641</v>
      </c>
      <c r="D478" s="530">
        <v>28</v>
      </c>
      <c r="E478" s="1106">
        <v>132850.13</v>
      </c>
      <c r="F478" s="440" t="s">
        <v>14168</v>
      </c>
      <c r="G478" s="1015" t="s">
        <v>13824</v>
      </c>
      <c r="H478" s="1105">
        <v>44032</v>
      </c>
      <c r="I478" s="1017"/>
      <c r="J478" s="1149"/>
    </row>
    <row r="479" spans="1:10" s="81" customFormat="1" ht="87" customHeight="1" x14ac:dyDescent="0.2">
      <c r="A479" s="1148" t="s">
        <v>14169</v>
      </c>
      <c r="B479" s="1015" t="s">
        <v>640</v>
      </c>
      <c r="C479" s="1015" t="s">
        <v>641</v>
      </c>
      <c r="D479" s="530">
        <v>15</v>
      </c>
      <c r="E479" s="1106">
        <v>80655</v>
      </c>
      <c r="F479" s="440" t="s">
        <v>14117</v>
      </c>
      <c r="G479" s="1015" t="s">
        <v>13824</v>
      </c>
      <c r="H479" s="1105">
        <v>44042</v>
      </c>
      <c r="I479" s="1017"/>
      <c r="J479" s="1149"/>
    </row>
    <row r="480" spans="1:10" s="81" customFormat="1" ht="80.25" customHeight="1" x14ac:dyDescent="0.2">
      <c r="A480" s="1148" t="s">
        <v>14170</v>
      </c>
      <c r="B480" s="1015" t="s">
        <v>640</v>
      </c>
      <c r="C480" s="1015" t="s">
        <v>641</v>
      </c>
      <c r="D480" s="530">
        <v>27</v>
      </c>
      <c r="E480" s="1106">
        <v>201450</v>
      </c>
      <c r="F480" s="440" t="s">
        <v>14171</v>
      </c>
      <c r="G480" s="1015" t="s">
        <v>13824</v>
      </c>
      <c r="H480" s="1105">
        <v>44041</v>
      </c>
      <c r="I480" s="1017"/>
      <c r="J480" s="1149"/>
    </row>
    <row r="481" spans="1:10" s="81" customFormat="1" ht="50.1" customHeight="1" x14ac:dyDescent="0.2">
      <c r="A481" s="1148" t="s">
        <v>14172</v>
      </c>
      <c r="B481" s="1015" t="s">
        <v>640</v>
      </c>
      <c r="C481" s="1015" t="s">
        <v>644</v>
      </c>
      <c r="D481" s="530">
        <v>57</v>
      </c>
      <c r="E481" s="1106">
        <v>85126</v>
      </c>
      <c r="F481" s="440" t="s">
        <v>14173</v>
      </c>
      <c r="G481" s="1015" t="s">
        <v>13824</v>
      </c>
      <c r="H481" s="1105">
        <v>44048</v>
      </c>
      <c r="I481" s="1017"/>
      <c r="J481" s="1149"/>
    </row>
    <row r="482" spans="1:10" s="81" customFormat="1" ht="50.1" customHeight="1" x14ac:dyDescent="0.2">
      <c r="A482" s="1148" t="s">
        <v>14174</v>
      </c>
      <c r="B482" s="1015" t="s">
        <v>640</v>
      </c>
      <c r="C482" s="1015" t="s">
        <v>644</v>
      </c>
      <c r="D482" s="530">
        <v>55</v>
      </c>
      <c r="E482" s="1106">
        <v>93151</v>
      </c>
      <c r="F482" s="440" t="s">
        <v>14173</v>
      </c>
      <c r="G482" s="1015" t="s">
        <v>13824</v>
      </c>
      <c r="H482" s="1105">
        <v>44048</v>
      </c>
      <c r="I482" s="1017"/>
      <c r="J482" s="1149"/>
    </row>
    <row r="483" spans="1:10" s="81" customFormat="1" ht="50.1" customHeight="1" x14ac:dyDescent="0.2">
      <c r="A483" s="1148" t="s">
        <v>14175</v>
      </c>
      <c r="B483" s="1015" t="s">
        <v>640</v>
      </c>
      <c r="C483" s="1015" t="s">
        <v>644</v>
      </c>
      <c r="D483" s="530">
        <v>29</v>
      </c>
      <c r="E483" s="1106">
        <v>123500</v>
      </c>
      <c r="F483" s="440" t="s">
        <v>14176</v>
      </c>
      <c r="G483" s="1015" t="s">
        <v>13824</v>
      </c>
      <c r="H483" s="1105">
        <v>44049</v>
      </c>
      <c r="I483" s="1017"/>
      <c r="J483" s="1149"/>
    </row>
    <row r="484" spans="1:10" s="81" customFormat="1" ht="86.25" customHeight="1" x14ac:dyDescent="0.2">
      <c r="A484" s="1148" t="s">
        <v>14177</v>
      </c>
      <c r="B484" s="1015" t="s">
        <v>640</v>
      </c>
      <c r="C484" s="1015" t="s">
        <v>641</v>
      </c>
      <c r="D484" s="530">
        <v>47</v>
      </c>
      <c r="E484" s="1106">
        <v>160090</v>
      </c>
      <c r="F484" s="440" t="s">
        <v>14178</v>
      </c>
      <c r="G484" s="1015" t="s">
        <v>13824</v>
      </c>
      <c r="H484" s="1105">
        <v>44049</v>
      </c>
      <c r="I484" s="1017"/>
      <c r="J484" s="1149"/>
    </row>
    <row r="485" spans="1:10" s="81" customFormat="1" ht="50.1" customHeight="1" x14ac:dyDescent="0.2">
      <c r="A485" s="1148" t="s">
        <v>14179</v>
      </c>
      <c r="B485" s="1015" t="s">
        <v>678</v>
      </c>
      <c r="C485" s="1015" t="s">
        <v>641</v>
      </c>
      <c r="D485" s="530">
        <v>21</v>
      </c>
      <c r="E485" s="1106">
        <v>80205</v>
      </c>
      <c r="F485" s="440" t="s">
        <v>14180</v>
      </c>
      <c r="G485" s="1015" t="s">
        <v>13824</v>
      </c>
      <c r="H485" s="1105">
        <v>44033</v>
      </c>
      <c r="I485" s="1017"/>
      <c r="J485" s="1149"/>
    </row>
    <row r="486" spans="1:10" s="81" customFormat="1" ht="87" customHeight="1" x14ac:dyDescent="0.2">
      <c r="A486" s="1148" t="s">
        <v>14181</v>
      </c>
      <c r="B486" s="1015" t="s">
        <v>640</v>
      </c>
      <c r="C486" s="1015" t="s">
        <v>641</v>
      </c>
      <c r="D486" s="530">
        <v>38</v>
      </c>
      <c r="E486" s="1106">
        <v>121887.4</v>
      </c>
      <c r="F486" s="440" t="s">
        <v>14182</v>
      </c>
      <c r="G486" s="1015" t="s">
        <v>13824</v>
      </c>
      <c r="H486" s="1105">
        <v>44042</v>
      </c>
      <c r="I486" s="1017"/>
      <c r="J486" s="1149"/>
    </row>
    <row r="487" spans="1:10" s="81" customFormat="1" ht="94.5" customHeight="1" x14ac:dyDescent="0.2">
      <c r="A487" s="1148" t="s">
        <v>14183</v>
      </c>
      <c r="B487" s="1015" t="s">
        <v>640</v>
      </c>
      <c r="C487" s="1015" t="s">
        <v>641</v>
      </c>
      <c r="D487" s="530">
        <v>46</v>
      </c>
      <c r="E487" s="1106">
        <v>310981.34999999998</v>
      </c>
      <c r="F487" s="440" t="s">
        <v>14184</v>
      </c>
      <c r="G487" s="1015" t="s">
        <v>13824</v>
      </c>
      <c r="H487" s="1105">
        <v>44047</v>
      </c>
      <c r="I487" s="1017"/>
      <c r="J487" s="1149"/>
    </row>
    <row r="488" spans="1:10" s="81" customFormat="1" ht="50.1" customHeight="1" x14ac:dyDescent="0.2">
      <c r="A488" s="1148" t="s">
        <v>14185</v>
      </c>
      <c r="B488" s="1015" t="s">
        <v>640</v>
      </c>
      <c r="C488" s="1015" t="s">
        <v>641</v>
      </c>
      <c r="D488" s="530">
        <v>41</v>
      </c>
      <c r="E488" s="1106">
        <v>205800</v>
      </c>
      <c r="F488" s="440" t="s">
        <v>14186</v>
      </c>
      <c r="G488" s="1015" t="s">
        <v>13824</v>
      </c>
      <c r="H488" s="1105">
        <v>44074</v>
      </c>
      <c r="I488" s="1017"/>
      <c r="J488" s="1149"/>
    </row>
    <row r="489" spans="1:10" s="81" customFormat="1" ht="50.1" customHeight="1" x14ac:dyDescent="0.2">
      <c r="A489" s="1148" t="s">
        <v>14187</v>
      </c>
      <c r="B489" s="1015" t="s">
        <v>640</v>
      </c>
      <c r="C489" s="1015" t="s">
        <v>641</v>
      </c>
      <c r="D489" s="530">
        <v>72</v>
      </c>
      <c r="E489" s="1106">
        <v>351390</v>
      </c>
      <c r="F489" s="440" t="s">
        <v>14188</v>
      </c>
      <c r="G489" s="1015" t="s">
        <v>13824</v>
      </c>
      <c r="H489" s="1105">
        <v>44042</v>
      </c>
      <c r="I489" s="1017"/>
      <c r="J489" s="1149"/>
    </row>
    <row r="490" spans="1:10" s="81" customFormat="1" ht="50.1" customHeight="1" x14ac:dyDescent="0.2">
      <c r="A490" s="1148" t="s">
        <v>14189</v>
      </c>
      <c r="B490" s="1015" t="s">
        <v>640</v>
      </c>
      <c r="C490" s="1015" t="s">
        <v>641</v>
      </c>
      <c r="D490" s="530">
        <v>71</v>
      </c>
      <c r="E490" s="1106">
        <v>338234.76</v>
      </c>
      <c r="F490" s="440" t="s">
        <v>14190</v>
      </c>
      <c r="G490" s="1015" t="s">
        <v>13824</v>
      </c>
      <c r="H490" s="1105">
        <v>44034</v>
      </c>
      <c r="I490" s="1017"/>
      <c r="J490" s="1149"/>
    </row>
    <row r="491" spans="1:10" s="81" customFormat="1" ht="50.1" customHeight="1" x14ac:dyDescent="0.2">
      <c r="A491" s="1148" t="s">
        <v>14191</v>
      </c>
      <c r="B491" s="1015" t="s">
        <v>640</v>
      </c>
      <c r="C491" s="1015" t="s">
        <v>641</v>
      </c>
      <c r="D491" s="530">
        <v>17</v>
      </c>
      <c r="E491" s="1106">
        <v>41239</v>
      </c>
      <c r="F491" s="440" t="s">
        <v>14192</v>
      </c>
      <c r="G491" s="1015" t="s">
        <v>13824</v>
      </c>
      <c r="H491" s="1105">
        <v>44041</v>
      </c>
      <c r="I491" s="1017"/>
      <c r="J491" s="1149"/>
    </row>
    <row r="492" spans="1:10" s="81" customFormat="1" ht="110.25" customHeight="1" x14ac:dyDescent="0.2">
      <c r="A492" s="1148" t="s">
        <v>14193</v>
      </c>
      <c r="B492" s="1015" t="s">
        <v>640</v>
      </c>
      <c r="C492" s="1015" t="s">
        <v>641</v>
      </c>
      <c r="D492" s="530">
        <v>23</v>
      </c>
      <c r="E492" s="1106">
        <v>40486.5</v>
      </c>
      <c r="F492" s="440" t="s">
        <v>14194</v>
      </c>
      <c r="G492" s="1015" t="s">
        <v>13824</v>
      </c>
      <c r="H492" s="1105">
        <v>44034</v>
      </c>
      <c r="I492" s="1017"/>
      <c r="J492" s="1149"/>
    </row>
    <row r="493" spans="1:10" s="81" customFormat="1" ht="50.1" customHeight="1" x14ac:dyDescent="0.2">
      <c r="A493" s="1148" t="s">
        <v>14195</v>
      </c>
      <c r="B493" s="1015" t="s">
        <v>678</v>
      </c>
      <c r="C493" s="1015" t="s">
        <v>641</v>
      </c>
      <c r="D493" s="530">
        <v>8</v>
      </c>
      <c r="E493" s="1106">
        <v>1816250</v>
      </c>
      <c r="F493" s="440" t="s">
        <v>14196</v>
      </c>
      <c r="G493" s="1015" t="s">
        <v>13824</v>
      </c>
      <c r="H493" s="1105">
        <v>44039</v>
      </c>
      <c r="I493" s="1017"/>
      <c r="J493" s="1149"/>
    </row>
    <row r="494" spans="1:10" s="81" customFormat="1" ht="50.1" customHeight="1" x14ac:dyDescent="0.2">
      <c r="A494" s="1148" t="s">
        <v>14197</v>
      </c>
      <c r="B494" s="1015" t="s">
        <v>640</v>
      </c>
      <c r="C494" s="1015" t="s">
        <v>641</v>
      </c>
      <c r="D494" s="530">
        <v>42</v>
      </c>
      <c r="E494" s="1106">
        <v>75803</v>
      </c>
      <c r="F494" s="440" t="s">
        <v>14117</v>
      </c>
      <c r="G494" s="1015" t="s">
        <v>13824</v>
      </c>
      <c r="H494" s="1105">
        <v>44072</v>
      </c>
      <c r="I494" s="1017"/>
      <c r="J494" s="1149"/>
    </row>
    <row r="495" spans="1:10" s="81" customFormat="1" ht="50.1" customHeight="1" x14ac:dyDescent="0.2">
      <c r="A495" s="1148" t="s">
        <v>14198</v>
      </c>
      <c r="B495" s="1015" t="s">
        <v>640</v>
      </c>
      <c r="C495" s="1015" t="s">
        <v>641</v>
      </c>
      <c r="D495" s="530">
        <v>14</v>
      </c>
      <c r="E495" s="1106">
        <v>251774</v>
      </c>
      <c r="F495" s="440" t="s">
        <v>14199</v>
      </c>
      <c r="G495" s="1015" t="s">
        <v>13824</v>
      </c>
      <c r="H495" s="1105">
        <v>44041</v>
      </c>
      <c r="I495" s="1017"/>
      <c r="J495" s="1149"/>
    </row>
    <row r="496" spans="1:10" s="81" customFormat="1" ht="50.1" customHeight="1" x14ac:dyDescent="0.2">
      <c r="A496" s="1148" t="s">
        <v>14200</v>
      </c>
      <c r="B496" s="1015" t="s">
        <v>640</v>
      </c>
      <c r="C496" s="1015" t="s">
        <v>641</v>
      </c>
      <c r="D496" s="530">
        <v>5</v>
      </c>
      <c r="E496" s="1106">
        <v>189000</v>
      </c>
      <c r="F496" s="440" t="s">
        <v>14201</v>
      </c>
      <c r="G496" s="1015" t="s">
        <v>13824</v>
      </c>
      <c r="H496" s="1105">
        <v>44042</v>
      </c>
      <c r="I496" s="1017"/>
      <c r="J496" s="1149"/>
    </row>
    <row r="497" spans="1:10" s="81" customFormat="1" ht="50.1" customHeight="1" x14ac:dyDescent="0.2">
      <c r="A497" s="1148" t="s">
        <v>14202</v>
      </c>
      <c r="B497" s="1015" t="s">
        <v>640</v>
      </c>
      <c r="C497" s="1015" t="s">
        <v>641</v>
      </c>
      <c r="D497" s="530">
        <v>4</v>
      </c>
      <c r="E497" s="1106">
        <v>355298.24</v>
      </c>
      <c r="F497" s="440" t="s">
        <v>14203</v>
      </c>
      <c r="G497" s="1015" t="s">
        <v>13824</v>
      </c>
      <c r="H497" s="1105">
        <v>44022</v>
      </c>
      <c r="I497" s="1017"/>
      <c r="J497" s="1149"/>
    </row>
    <row r="498" spans="1:10" s="81" customFormat="1" ht="50.1" customHeight="1" x14ac:dyDescent="0.2">
      <c r="A498" s="1148" t="s">
        <v>14204</v>
      </c>
      <c r="B498" s="1015" t="s">
        <v>678</v>
      </c>
      <c r="C498" s="1015" t="s">
        <v>641</v>
      </c>
      <c r="D498" s="530">
        <v>25</v>
      </c>
      <c r="E498" s="1106">
        <v>48326.67</v>
      </c>
      <c r="F498" s="440" t="s">
        <v>14122</v>
      </c>
      <c r="G498" s="1015" t="s">
        <v>13824</v>
      </c>
      <c r="H498" s="1105">
        <v>44018</v>
      </c>
      <c r="I498" s="1017"/>
      <c r="J498" s="1149"/>
    </row>
    <row r="499" spans="1:10" s="81" customFormat="1" ht="87" customHeight="1" x14ac:dyDescent="0.2">
      <c r="A499" s="1148" t="s">
        <v>14205</v>
      </c>
      <c r="B499" s="1015" t="s">
        <v>678</v>
      </c>
      <c r="C499" s="1015" t="s">
        <v>641</v>
      </c>
      <c r="D499" s="530">
        <v>13</v>
      </c>
      <c r="E499" s="1106">
        <v>98000</v>
      </c>
      <c r="F499" s="440" t="s">
        <v>14122</v>
      </c>
      <c r="G499" s="1015" t="s">
        <v>13824</v>
      </c>
      <c r="H499" s="1105">
        <v>44033</v>
      </c>
      <c r="I499" s="1017"/>
      <c r="J499" s="1149"/>
    </row>
    <row r="500" spans="1:10" s="81" customFormat="1" ht="80.25" customHeight="1" x14ac:dyDescent="0.2">
      <c r="A500" s="1148" t="s">
        <v>14206</v>
      </c>
      <c r="B500" s="1015" t="s">
        <v>640</v>
      </c>
      <c r="C500" s="1015" t="s">
        <v>641</v>
      </c>
      <c r="D500" s="530">
        <v>16</v>
      </c>
      <c r="E500" s="1106">
        <v>72530</v>
      </c>
      <c r="F500" s="440" t="s">
        <v>14101</v>
      </c>
      <c r="G500" s="1015" t="s">
        <v>13824</v>
      </c>
      <c r="H500" s="1105">
        <v>44004</v>
      </c>
      <c r="I500" s="1017"/>
      <c r="J500" s="1149"/>
    </row>
    <row r="501" spans="1:10" s="81" customFormat="1" ht="50.1" customHeight="1" x14ac:dyDescent="0.2">
      <c r="A501" s="1148" t="s">
        <v>14207</v>
      </c>
      <c r="B501" s="1015" t="s">
        <v>678</v>
      </c>
      <c r="C501" s="1015" t="s">
        <v>641</v>
      </c>
      <c r="D501" s="530">
        <v>18</v>
      </c>
      <c r="E501" s="1106">
        <v>76180</v>
      </c>
      <c r="F501" s="440" t="s">
        <v>1404</v>
      </c>
      <c r="G501" s="1015" t="s">
        <v>13824</v>
      </c>
      <c r="H501" s="1105"/>
      <c r="I501" s="1017"/>
      <c r="J501" s="1149"/>
    </row>
    <row r="502" spans="1:10" s="81" customFormat="1" ht="50.1" customHeight="1" x14ac:dyDescent="0.2">
      <c r="A502" s="1148" t="s">
        <v>14208</v>
      </c>
      <c r="B502" s="1015" t="s">
        <v>678</v>
      </c>
      <c r="C502" s="1015" t="s">
        <v>641</v>
      </c>
      <c r="D502" s="530">
        <v>19</v>
      </c>
      <c r="E502" s="1106">
        <v>80696.67</v>
      </c>
      <c r="F502" s="440" t="s">
        <v>14209</v>
      </c>
      <c r="G502" s="1015" t="s">
        <v>13824</v>
      </c>
      <c r="H502" s="1105">
        <v>44018</v>
      </c>
      <c r="I502" s="1017"/>
      <c r="J502" s="1149"/>
    </row>
    <row r="503" spans="1:10" s="81" customFormat="1" ht="84.75" customHeight="1" x14ac:dyDescent="0.2">
      <c r="A503" s="1148" t="s">
        <v>14210</v>
      </c>
      <c r="B503" s="1015" t="s">
        <v>640</v>
      </c>
      <c r="C503" s="1015" t="s">
        <v>641</v>
      </c>
      <c r="D503" s="530">
        <v>19</v>
      </c>
      <c r="E503" s="1106">
        <v>82894</v>
      </c>
      <c r="F503" s="440" t="s">
        <v>14211</v>
      </c>
      <c r="G503" s="1015" t="s">
        <v>13824</v>
      </c>
      <c r="H503" s="1105">
        <v>44033</v>
      </c>
      <c r="I503" s="1017"/>
      <c r="J503" s="1149"/>
    </row>
    <row r="504" spans="1:10" s="81" customFormat="1" ht="119.25" customHeight="1" x14ac:dyDescent="0.2">
      <c r="A504" s="1148" t="s">
        <v>14212</v>
      </c>
      <c r="B504" s="1015" t="s">
        <v>1929</v>
      </c>
      <c r="C504" s="1015" t="s">
        <v>644</v>
      </c>
      <c r="D504" s="530">
        <v>4</v>
      </c>
      <c r="E504" s="1106">
        <v>133200</v>
      </c>
      <c r="F504" s="440"/>
      <c r="G504" s="1015"/>
      <c r="H504" s="1015"/>
      <c r="I504" s="1017"/>
      <c r="J504" s="1149"/>
    </row>
    <row r="505" spans="1:10" s="81" customFormat="1" ht="114.75" customHeight="1" x14ac:dyDescent="0.2">
      <c r="A505" s="1148" t="s">
        <v>14213</v>
      </c>
      <c r="B505" s="1015" t="s">
        <v>1929</v>
      </c>
      <c r="C505" s="1015" t="s">
        <v>644</v>
      </c>
      <c r="D505" s="530">
        <v>3</v>
      </c>
      <c r="E505" s="1106">
        <v>264180</v>
      </c>
      <c r="F505" s="440"/>
      <c r="G505" s="1015"/>
      <c r="H505" s="1015"/>
      <c r="I505" s="1017"/>
      <c r="J505" s="1149"/>
    </row>
    <row r="506" spans="1:10" s="81" customFormat="1" ht="50.1" customHeight="1" x14ac:dyDescent="0.2">
      <c r="A506" s="1148" t="s">
        <v>14214</v>
      </c>
      <c r="B506" s="1015" t="s">
        <v>1929</v>
      </c>
      <c r="C506" s="1015" t="s">
        <v>644</v>
      </c>
      <c r="D506" s="530">
        <v>2</v>
      </c>
      <c r="E506" s="1106">
        <v>140630</v>
      </c>
      <c r="F506" s="440"/>
      <c r="G506" s="1015"/>
      <c r="H506" s="1015"/>
      <c r="I506" s="1017"/>
      <c r="J506" s="1149"/>
    </row>
    <row r="507" spans="1:10" s="81" customFormat="1" ht="50.1" customHeight="1" x14ac:dyDescent="0.2">
      <c r="A507" s="1148" t="s">
        <v>14215</v>
      </c>
      <c r="B507" s="1015" t="s">
        <v>678</v>
      </c>
      <c r="C507" s="1015" t="s">
        <v>641</v>
      </c>
      <c r="D507" s="530">
        <v>3</v>
      </c>
      <c r="E507" s="1106">
        <v>176400</v>
      </c>
      <c r="F507" s="440" t="s">
        <v>14122</v>
      </c>
      <c r="G507" s="1015" t="s">
        <v>13824</v>
      </c>
      <c r="H507" s="1105">
        <v>43999</v>
      </c>
      <c r="I507" s="1017"/>
      <c r="J507" s="1149"/>
    </row>
    <row r="508" spans="1:10" s="81" customFormat="1" ht="50.1" customHeight="1" x14ac:dyDescent="0.2">
      <c r="A508" s="1148" t="s">
        <v>14216</v>
      </c>
      <c r="B508" s="1015" t="s">
        <v>640</v>
      </c>
      <c r="C508" s="1015" t="s">
        <v>641</v>
      </c>
      <c r="D508" s="530">
        <v>12</v>
      </c>
      <c r="E508" s="1106">
        <v>82546</v>
      </c>
      <c r="F508" s="440" t="s">
        <v>14217</v>
      </c>
      <c r="G508" s="1015" t="s">
        <v>13824</v>
      </c>
      <c r="H508" s="1105">
        <v>43987</v>
      </c>
      <c r="I508" s="1017"/>
      <c r="J508" s="1149"/>
    </row>
    <row r="509" spans="1:10" s="81" customFormat="1" ht="50.1" customHeight="1" x14ac:dyDescent="0.2">
      <c r="A509" s="1148" t="s">
        <v>14218</v>
      </c>
      <c r="B509" s="1015" t="s">
        <v>640</v>
      </c>
      <c r="C509" s="1015" t="s">
        <v>644</v>
      </c>
      <c r="D509" s="530">
        <v>18</v>
      </c>
      <c r="E509" s="1106">
        <v>74623.33</v>
      </c>
      <c r="F509" s="440"/>
      <c r="G509" s="1015" t="s">
        <v>1124</v>
      </c>
      <c r="H509" s="1015"/>
      <c r="I509" s="1017"/>
      <c r="J509" s="1149"/>
    </row>
    <row r="510" spans="1:10" s="81" customFormat="1" ht="50.1" customHeight="1" x14ac:dyDescent="0.2">
      <c r="A510" s="1148" t="s">
        <v>14219</v>
      </c>
      <c r="B510" s="1015" t="s">
        <v>640</v>
      </c>
      <c r="C510" s="1015" t="s">
        <v>641</v>
      </c>
      <c r="D510" s="530">
        <v>21</v>
      </c>
      <c r="E510" s="1106">
        <v>131180</v>
      </c>
      <c r="F510" s="440" t="s">
        <v>14194</v>
      </c>
      <c r="G510" s="1015" t="s">
        <v>13824</v>
      </c>
      <c r="H510" s="1105">
        <v>44034</v>
      </c>
      <c r="I510" s="1017"/>
      <c r="J510" s="1149"/>
    </row>
    <row r="511" spans="1:10" s="81" customFormat="1" ht="50.1" customHeight="1" x14ac:dyDescent="0.2">
      <c r="A511" s="1148" t="s">
        <v>14220</v>
      </c>
      <c r="B511" s="1015" t="s">
        <v>678</v>
      </c>
      <c r="C511" s="1015" t="s">
        <v>641</v>
      </c>
      <c r="D511" s="530">
        <v>11</v>
      </c>
      <c r="E511" s="1106">
        <v>56350</v>
      </c>
      <c r="F511" s="440" t="s">
        <v>14221</v>
      </c>
      <c r="G511" s="1015" t="s">
        <v>13824</v>
      </c>
      <c r="H511" s="1105"/>
      <c r="I511" s="1017"/>
      <c r="J511" s="1149"/>
    </row>
    <row r="512" spans="1:10" s="81" customFormat="1" ht="50.1" customHeight="1" x14ac:dyDescent="0.2">
      <c r="A512" s="1148" t="s">
        <v>14222</v>
      </c>
      <c r="B512" s="1015" t="s">
        <v>678</v>
      </c>
      <c r="C512" s="1015" t="s">
        <v>641</v>
      </c>
      <c r="D512" s="530">
        <v>7</v>
      </c>
      <c r="E512" s="1106">
        <v>108990</v>
      </c>
      <c r="F512" s="440" t="s">
        <v>14223</v>
      </c>
      <c r="G512" s="1015" t="s">
        <v>13824</v>
      </c>
      <c r="H512" s="1105"/>
      <c r="I512" s="1017"/>
      <c r="J512" s="1149"/>
    </row>
    <row r="513" spans="1:10" s="81" customFormat="1" ht="50.1" customHeight="1" x14ac:dyDescent="0.2">
      <c r="A513" s="1148" t="s">
        <v>14224</v>
      </c>
      <c r="B513" s="1015" t="s">
        <v>678</v>
      </c>
      <c r="C513" s="1015" t="s">
        <v>641</v>
      </c>
      <c r="D513" s="530">
        <v>1</v>
      </c>
      <c r="E513" s="1106">
        <v>115500</v>
      </c>
      <c r="F513" s="440" t="s">
        <v>14225</v>
      </c>
      <c r="G513" s="1015" t="s">
        <v>13824</v>
      </c>
      <c r="H513" s="1105">
        <v>43959</v>
      </c>
      <c r="I513" s="1017"/>
      <c r="J513" s="1149"/>
    </row>
    <row r="514" spans="1:10" s="81" customFormat="1" ht="50.1" customHeight="1" x14ac:dyDescent="0.2">
      <c r="A514" s="1148" t="s">
        <v>14224</v>
      </c>
      <c r="B514" s="1015" t="s">
        <v>678</v>
      </c>
      <c r="C514" s="1015" t="s">
        <v>641</v>
      </c>
      <c r="D514" s="530">
        <v>9</v>
      </c>
      <c r="E514" s="1106">
        <v>111125</v>
      </c>
      <c r="F514" s="440" t="s">
        <v>14226</v>
      </c>
      <c r="G514" s="1015" t="s">
        <v>13824</v>
      </c>
      <c r="H514" s="1105"/>
      <c r="I514" s="1017"/>
      <c r="J514" s="1149"/>
    </row>
    <row r="515" spans="1:10" s="81" customFormat="1" ht="50.1" customHeight="1" x14ac:dyDescent="0.2">
      <c r="A515" s="1148" t="s">
        <v>14227</v>
      </c>
      <c r="B515" s="1015" t="s">
        <v>678</v>
      </c>
      <c r="C515" s="1015" t="s">
        <v>641</v>
      </c>
      <c r="D515" s="530">
        <v>2</v>
      </c>
      <c r="E515" s="1106">
        <v>84000</v>
      </c>
      <c r="F515" s="440" t="s">
        <v>1404</v>
      </c>
      <c r="G515" s="1015" t="s">
        <v>13824</v>
      </c>
      <c r="H515" s="1105"/>
      <c r="I515" s="1017"/>
      <c r="J515" s="1149"/>
    </row>
    <row r="516" spans="1:10" s="81" customFormat="1" ht="50.1" customHeight="1" x14ac:dyDescent="0.2">
      <c r="A516" s="1148" t="s">
        <v>14228</v>
      </c>
      <c r="B516" s="1015" t="s">
        <v>678</v>
      </c>
      <c r="C516" s="1015" t="s">
        <v>641</v>
      </c>
      <c r="D516" s="530">
        <v>4</v>
      </c>
      <c r="E516" s="1106">
        <v>380133.8</v>
      </c>
      <c r="F516" s="440" t="s">
        <v>14229</v>
      </c>
      <c r="G516" s="1015" t="s">
        <v>13824</v>
      </c>
      <c r="H516" s="1105"/>
      <c r="I516" s="1017"/>
      <c r="J516" s="1149"/>
    </row>
    <row r="517" spans="1:10" s="81" customFormat="1" ht="91.5" customHeight="1" x14ac:dyDescent="0.2">
      <c r="A517" s="1148" t="s">
        <v>14230</v>
      </c>
      <c r="B517" s="1015" t="s">
        <v>678</v>
      </c>
      <c r="C517" s="1015" t="s">
        <v>641</v>
      </c>
      <c r="D517" s="530">
        <v>5</v>
      </c>
      <c r="E517" s="1106">
        <v>360000</v>
      </c>
      <c r="F517" s="440" t="s">
        <v>14159</v>
      </c>
      <c r="G517" s="1015" t="s">
        <v>13824</v>
      </c>
      <c r="H517" s="1105"/>
      <c r="I517" s="1017"/>
      <c r="J517" s="1149"/>
    </row>
    <row r="518" spans="1:10" s="81" customFormat="1" ht="50.1" customHeight="1" thickBot="1" x14ac:dyDescent="0.25">
      <c r="A518" s="1148" t="s">
        <v>14231</v>
      </c>
      <c r="B518" s="1015" t="s">
        <v>640</v>
      </c>
      <c r="C518" s="1015" t="s">
        <v>641</v>
      </c>
      <c r="D518" s="530">
        <v>313</v>
      </c>
      <c r="E518" s="1106">
        <v>173691.83</v>
      </c>
      <c r="F518" s="440"/>
      <c r="G518" s="1015"/>
      <c r="H518" s="1015"/>
      <c r="I518" s="1017"/>
      <c r="J518" s="1149"/>
    </row>
    <row r="519" spans="1:10" s="81" customFormat="1" ht="34.5" customHeight="1" thickBot="1" x14ac:dyDescent="0.25">
      <c r="A519" s="542" t="s">
        <v>1215</v>
      </c>
      <c r="B519" s="543"/>
      <c r="C519" s="543"/>
      <c r="D519" s="543"/>
      <c r="E519" s="543"/>
      <c r="F519" s="543"/>
      <c r="G519" s="543"/>
      <c r="H519" s="543"/>
      <c r="I519" s="543"/>
      <c r="J519" s="544"/>
    </row>
    <row r="520" spans="1:10" s="81" customFormat="1" ht="79.5" customHeight="1" x14ac:dyDescent="0.2">
      <c r="A520" s="1150" t="s">
        <v>1073</v>
      </c>
      <c r="B520" s="604" t="s">
        <v>1074</v>
      </c>
      <c r="C520" s="604" t="s">
        <v>1075</v>
      </c>
      <c r="D520" s="604" t="s">
        <v>1076</v>
      </c>
      <c r="E520" s="632">
        <v>2470000</v>
      </c>
      <c r="F520" s="633" t="s">
        <v>1077</v>
      </c>
      <c r="G520" s="633" t="s">
        <v>1078</v>
      </c>
      <c r="H520" s="634">
        <v>43700</v>
      </c>
      <c r="I520" s="635" t="s">
        <v>1079</v>
      </c>
      <c r="J520" s="1145" t="s">
        <v>2628</v>
      </c>
    </row>
    <row r="521" spans="1:10" ht="83.25" customHeight="1" x14ac:dyDescent="0.2">
      <c r="A521" s="1151" t="s">
        <v>1080</v>
      </c>
      <c r="B521" s="428" t="s">
        <v>1074</v>
      </c>
      <c r="C521" s="428" t="s">
        <v>1075</v>
      </c>
      <c r="D521" s="429" t="s">
        <v>1081</v>
      </c>
      <c r="E521" s="636">
        <v>3000000</v>
      </c>
      <c r="F521" s="637" t="s">
        <v>1082</v>
      </c>
      <c r="G521" s="637" t="s">
        <v>1078</v>
      </c>
      <c r="H521" s="638">
        <v>43801</v>
      </c>
      <c r="I521" s="515"/>
      <c r="J521" s="1145" t="s">
        <v>2628</v>
      </c>
    </row>
    <row r="522" spans="1:10" ht="96" x14ac:dyDescent="0.2">
      <c r="A522" s="1151" t="s">
        <v>1083</v>
      </c>
      <c r="B522" s="428" t="s">
        <v>1074</v>
      </c>
      <c r="C522" s="428" t="s">
        <v>1075</v>
      </c>
      <c r="D522" s="429" t="s">
        <v>1084</v>
      </c>
      <c r="E522" s="431">
        <v>915000</v>
      </c>
      <c r="F522" s="524" t="s">
        <v>1085</v>
      </c>
      <c r="G522" s="637" t="s">
        <v>1078</v>
      </c>
      <c r="H522" s="638">
        <v>43803</v>
      </c>
      <c r="I522" s="515"/>
      <c r="J522" s="1145" t="s">
        <v>2628</v>
      </c>
    </row>
    <row r="523" spans="1:10" ht="60" x14ac:dyDescent="0.2">
      <c r="A523" s="1152" t="s">
        <v>1086</v>
      </c>
      <c r="B523" s="1016" t="s">
        <v>1087</v>
      </c>
      <c r="C523" s="428" t="s">
        <v>1075</v>
      </c>
      <c r="D523" s="433" t="s">
        <v>1088</v>
      </c>
      <c r="E523" s="639">
        <v>1189768.9099999999</v>
      </c>
      <c r="F523" s="640" t="s">
        <v>1089</v>
      </c>
      <c r="G523" s="1016"/>
      <c r="H523" s="1016"/>
      <c r="I523" s="1016"/>
      <c r="J523" s="1145" t="s">
        <v>2628</v>
      </c>
    </row>
    <row r="524" spans="1:10" ht="48" x14ac:dyDescent="0.2">
      <c r="A524" s="1152" t="s">
        <v>1090</v>
      </c>
      <c r="B524" s="1016" t="s">
        <v>1087</v>
      </c>
      <c r="C524" s="428" t="s">
        <v>1075</v>
      </c>
      <c r="D524" s="433" t="s">
        <v>1091</v>
      </c>
      <c r="E524" s="639">
        <v>496989.77</v>
      </c>
      <c r="F524" s="640" t="s">
        <v>1089</v>
      </c>
      <c r="G524" s="1016"/>
      <c r="H524" s="1016"/>
      <c r="I524" s="1016"/>
      <c r="J524" s="1145" t="s">
        <v>2628</v>
      </c>
    </row>
    <row r="525" spans="1:10" ht="60" x14ac:dyDescent="0.2">
      <c r="A525" s="1152" t="s">
        <v>1092</v>
      </c>
      <c r="B525" s="1016" t="s">
        <v>1087</v>
      </c>
      <c r="C525" s="428" t="s">
        <v>1075</v>
      </c>
      <c r="D525" s="433" t="s">
        <v>1093</v>
      </c>
      <c r="E525" s="434">
        <v>1105000</v>
      </c>
      <c r="F525" s="641" t="s">
        <v>1094</v>
      </c>
      <c r="G525" s="637" t="s">
        <v>1078</v>
      </c>
      <c r="H525" s="435">
        <v>43790</v>
      </c>
      <c r="I525" s="1016"/>
      <c r="J525" s="1145" t="s">
        <v>2628</v>
      </c>
    </row>
    <row r="526" spans="1:10" ht="48" x14ac:dyDescent="0.2">
      <c r="A526" s="1151" t="s">
        <v>1095</v>
      </c>
      <c r="B526" s="428" t="s">
        <v>1096</v>
      </c>
      <c r="C526" s="428" t="s">
        <v>1075</v>
      </c>
      <c r="D526" s="428" t="s">
        <v>1097</v>
      </c>
      <c r="E526" s="639">
        <v>398212.37</v>
      </c>
      <c r="F526" s="637" t="s">
        <v>1098</v>
      </c>
      <c r="G526" s="637" t="s">
        <v>1078</v>
      </c>
      <c r="H526" s="642">
        <v>43544</v>
      </c>
      <c r="I526" s="643" t="s">
        <v>1079</v>
      </c>
      <c r="J526" s="1145" t="s">
        <v>2628</v>
      </c>
    </row>
    <row r="527" spans="1:10" ht="84" x14ac:dyDescent="0.2">
      <c r="A527" s="1151" t="s">
        <v>1099</v>
      </c>
      <c r="B527" s="428" t="s">
        <v>1096</v>
      </c>
      <c r="C527" s="428" t="s">
        <v>1075</v>
      </c>
      <c r="D527" s="428" t="s">
        <v>1100</v>
      </c>
      <c r="E527" s="639">
        <v>230406</v>
      </c>
      <c r="F527" s="637" t="s">
        <v>1101</v>
      </c>
      <c r="G527" s="637" t="s">
        <v>1078</v>
      </c>
      <c r="H527" s="642">
        <v>43602</v>
      </c>
      <c r="I527" s="643" t="s">
        <v>1079</v>
      </c>
      <c r="J527" s="1145" t="s">
        <v>2628</v>
      </c>
    </row>
    <row r="528" spans="1:10" ht="84" x14ac:dyDescent="0.2">
      <c r="A528" s="1151" t="s">
        <v>1102</v>
      </c>
      <c r="B528" s="428" t="s">
        <v>1096</v>
      </c>
      <c r="C528" s="428" t="s">
        <v>1075</v>
      </c>
      <c r="D528" s="428" t="s">
        <v>1103</v>
      </c>
      <c r="E528" s="639">
        <v>99248</v>
      </c>
      <c r="F528" s="436" t="s">
        <v>1101</v>
      </c>
      <c r="G528" s="637" t="s">
        <v>1078</v>
      </c>
      <c r="H528" s="642">
        <v>43602</v>
      </c>
      <c r="I528" s="643" t="s">
        <v>1079</v>
      </c>
      <c r="J528" s="1145" t="s">
        <v>2628</v>
      </c>
    </row>
    <row r="529" spans="1:10" ht="84" x14ac:dyDescent="0.2">
      <c r="A529" s="1151" t="s">
        <v>1104</v>
      </c>
      <c r="B529" s="428" t="s">
        <v>1096</v>
      </c>
      <c r="C529" s="428" t="s">
        <v>1075</v>
      </c>
      <c r="D529" s="428" t="s">
        <v>1105</v>
      </c>
      <c r="E529" s="606" t="s">
        <v>1106</v>
      </c>
      <c r="F529" s="640" t="s">
        <v>1089</v>
      </c>
      <c r="G529" s="606"/>
      <c r="H529" s="643" t="s">
        <v>1079</v>
      </c>
      <c r="I529" s="643" t="s">
        <v>1079</v>
      </c>
      <c r="J529" s="1145" t="s">
        <v>2628</v>
      </c>
    </row>
    <row r="530" spans="1:10" ht="84" x14ac:dyDescent="0.2">
      <c r="A530" s="1151" t="s">
        <v>1104</v>
      </c>
      <c r="B530" s="428" t="s">
        <v>1096</v>
      </c>
      <c r="C530" s="428" t="s">
        <v>1075</v>
      </c>
      <c r="D530" s="428" t="s">
        <v>1107</v>
      </c>
      <c r="E530" s="639">
        <v>296906</v>
      </c>
      <c r="F530" s="640" t="s">
        <v>1089</v>
      </c>
      <c r="G530" s="606"/>
      <c r="H530" s="643" t="s">
        <v>1079</v>
      </c>
      <c r="I530" s="643" t="s">
        <v>1079</v>
      </c>
      <c r="J530" s="1145" t="s">
        <v>2628</v>
      </c>
    </row>
    <row r="531" spans="1:10" ht="60" x14ac:dyDescent="0.2">
      <c r="A531" s="1151" t="s">
        <v>1108</v>
      </c>
      <c r="B531" s="428" t="s">
        <v>1096</v>
      </c>
      <c r="C531" s="428" t="s">
        <v>1075</v>
      </c>
      <c r="D531" s="428" t="s">
        <v>1109</v>
      </c>
      <c r="E531" s="639">
        <v>127531</v>
      </c>
      <c r="F531" s="637" t="s">
        <v>1110</v>
      </c>
      <c r="G531" s="637" t="s">
        <v>1078</v>
      </c>
      <c r="H531" s="642">
        <v>43690</v>
      </c>
      <c r="I531" s="643" t="s">
        <v>1079</v>
      </c>
      <c r="J531" s="1145" t="s">
        <v>2628</v>
      </c>
    </row>
    <row r="532" spans="1:10" ht="84" x14ac:dyDescent="0.2">
      <c r="A532" s="1151" t="s">
        <v>1111</v>
      </c>
      <c r="B532" s="428" t="s">
        <v>1096</v>
      </c>
      <c r="C532" s="428" t="s">
        <v>1075</v>
      </c>
      <c r="D532" s="428" t="s">
        <v>1112</v>
      </c>
      <c r="E532" s="639">
        <v>316800</v>
      </c>
      <c r="F532" s="637" t="s">
        <v>1113</v>
      </c>
      <c r="G532" s="637" t="s">
        <v>1078</v>
      </c>
      <c r="H532" s="642">
        <v>43616</v>
      </c>
      <c r="I532" s="643" t="s">
        <v>1079</v>
      </c>
      <c r="J532" s="1145" t="s">
        <v>2628</v>
      </c>
    </row>
    <row r="533" spans="1:10" ht="84" x14ac:dyDescent="0.2">
      <c r="A533" s="1151" t="s">
        <v>1114</v>
      </c>
      <c r="B533" s="428" t="s">
        <v>1096</v>
      </c>
      <c r="C533" s="428" t="s">
        <v>1075</v>
      </c>
      <c r="D533" s="428" t="s">
        <v>1115</v>
      </c>
      <c r="E533" s="606" t="s">
        <v>1116</v>
      </c>
      <c r="F533" s="640" t="s">
        <v>1117</v>
      </c>
      <c r="G533" s="606"/>
      <c r="H533" s="643" t="s">
        <v>1079</v>
      </c>
      <c r="I533" s="643" t="s">
        <v>1079</v>
      </c>
      <c r="J533" s="1145" t="s">
        <v>2628</v>
      </c>
    </row>
    <row r="534" spans="1:10" ht="96" x14ac:dyDescent="0.2">
      <c r="A534" s="1151" t="s">
        <v>1114</v>
      </c>
      <c r="B534" s="428" t="s">
        <v>1096</v>
      </c>
      <c r="C534" s="428" t="s">
        <v>1075</v>
      </c>
      <c r="D534" s="428" t="s">
        <v>1118</v>
      </c>
      <c r="E534" s="639">
        <v>300000</v>
      </c>
      <c r="F534" s="524" t="s">
        <v>1119</v>
      </c>
      <c r="G534" s="637" t="s">
        <v>1078</v>
      </c>
      <c r="H534" s="642">
        <v>44008</v>
      </c>
      <c r="I534" s="643" t="s">
        <v>1079</v>
      </c>
      <c r="J534" s="1145" t="s">
        <v>2628</v>
      </c>
    </row>
    <row r="535" spans="1:10" ht="72" x14ac:dyDescent="0.2">
      <c r="A535" s="1151" t="s">
        <v>1120</v>
      </c>
      <c r="B535" s="428" t="s">
        <v>1096</v>
      </c>
      <c r="C535" s="428" t="s">
        <v>1075</v>
      </c>
      <c r="D535" s="428" t="s">
        <v>1121</v>
      </c>
      <c r="E535" s="606" t="s">
        <v>1122</v>
      </c>
      <c r="F535" s="640" t="s">
        <v>1089</v>
      </c>
      <c r="G535" s="606"/>
      <c r="H535" s="643" t="s">
        <v>1079</v>
      </c>
      <c r="I535" s="643" t="s">
        <v>1079</v>
      </c>
      <c r="J535" s="1145" t="s">
        <v>2628</v>
      </c>
    </row>
    <row r="536" spans="1:10" ht="72" x14ac:dyDescent="0.2">
      <c r="A536" s="1151" t="s">
        <v>1120</v>
      </c>
      <c r="B536" s="428" t="s">
        <v>1096</v>
      </c>
      <c r="C536" s="428" t="s">
        <v>1075</v>
      </c>
      <c r="D536" s="428" t="s">
        <v>1123</v>
      </c>
      <c r="E536" s="639">
        <v>396000</v>
      </c>
      <c r="F536" s="640" t="s">
        <v>1124</v>
      </c>
      <c r="G536" s="606"/>
      <c r="H536" s="643" t="s">
        <v>1079</v>
      </c>
      <c r="I536" s="643" t="s">
        <v>1079</v>
      </c>
      <c r="J536" s="1145" t="s">
        <v>2628</v>
      </c>
    </row>
    <row r="537" spans="1:10" ht="84" x14ac:dyDescent="0.2">
      <c r="A537" s="1151" t="s">
        <v>1125</v>
      </c>
      <c r="B537" s="428" t="s">
        <v>1096</v>
      </c>
      <c r="C537" s="428" t="s">
        <v>1075</v>
      </c>
      <c r="D537" s="428" t="s">
        <v>1126</v>
      </c>
      <c r="E537" s="639">
        <v>95000</v>
      </c>
      <c r="F537" s="637" t="s">
        <v>1127</v>
      </c>
      <c r="G537" s="637" t="s">
        <v>1078</v>
      </c>
      <c r="H537" s="642">
        <v>43606</v>
      </c>
      <c r="I537" s="643" t="s">
        <v>1079</v>
      </c>
      <c r="J537" s="1145" t="s">
        <v>2628</v>
      </c>
    </row>
    <row r="538" spans="1:10" ht="24" x14ac:dyDescent="0.2">
      <c r="A538" s="1151" t="s">
        <v>1128</v>
      </c>
      <c r="B538" s="428" t="s">
        <v>1096</v>
      </c>
      <c r="C538" s="428" t="s">
        <v>1075</v>
      </c>
      <c r="D538" s="428" t="s">
        <v>1129</v>
      </c>
      <c r="E538" s="639">
        <v>79000</v>
      </c>
      <c r="F538" s="437" t="s">
        <v>1130</v>
      </c>
      <c r="G538" s="637" t="s">
        <v>1078</v>
      </c>
      <c r="H538" s="642">
        <v>43759</v>
      </c>
      <c r="I538" s="643" t="s">
        <v>1079</v>
      </c>
      <c r="J538" s="1145" t="s">
        <v>2628</v>
      </c>
    </row>
    <row r="539" spans="1:10" ht="48" x14ac:dyDescent="0.2">
      <c r="A539" s="1151" t="s">
        <v>1131</v>
      </c>
      <c r="B539" s="428" t="s">
        <v>1096</v>
      </c>
      <c r="C539" s="428" t="s">
        <v>1075</v>
      </c>
      <c r="D539" s="428" t="s">
        <v>1132</v>
      </c>
      <c r="E539" s="639">
        <v>256000</v>
      </c>
      <c r="F539" s="640" t="s">
        <v>1089</v>
      </c>
      <c r="G539" s="606"/>
      <c r="H539" s="643" t="s">
        <v>1079</v>
      </c>
      <c r="I539" s="643" t="s">
        <v>1079</v>
      </c>
      <c r="J539" s="1145" t="s">
        <v>2628</v>
      </c>
    </row>
    <row r="540" spans="1:10" ht="48" x14ac:dyDescent="0.2">
      <c r="A540" s="1151" t="s">
        <v>1133</v>
      </c>
      <c r="B540" s="428" t="s">
        <v>1096</v>
      </c>
      <c r="C540" s="428" t="s">
        <v>1075</v>
      </c>
      <c r="D540" s="428" t="s">
        <v>1134</v>
      </c>
      <c r="E540" s="639">
        <v>310001.34000000003</v>
      </c>
      <c r="F540" s="637" t="s">
        <v>1135</v>
      </c>
      <c r="G540" s="637" t="s">
        <v>1078</v>
      </c>
      <c r="H540" s="642">
        <v>43761</v>
      </c>
      <c r="I540" s="643" t="s">
        <v>1079</v>
      </c>
      <c r="J540" s="1145" t="s">
        <v>2628</v>
      </c>
    </row>
    <row r="541" spans="1:10" ht="48" x14ac:dyDescent="0.2">
      <c r="A541" s="1151" t="s">
        <v>1136</v>
      </c>
      <c r="B541" s="428" t="s">
        <v>1096</v>
      </c>
      <c r="C541" s="428" t="s">
        <v>1075</v>
      </c>
      <c r="D541" s="428" t="s">
        <v>1137</v>
      </c>
      <c r="E541" s="639">
        <v>97775</v>
      </c>
      <c r="F541" s="637" t="s">
        <v>1138</v>
      </c>
      <c r="G541" s="637" t="s">
        <v>1078</v>
      </c>
      <c r="H541" s="642">
        <v>43741</v>
      </c>
      <c r="I541" s="643" t="s">
        <v>1079</v>
      </c>
      <c r="J541" s="1145" t="s">
        <v>2628</v>
      </c>
    </row>
    <row r="542" spans="1:10" ht="48" x14ac:dyDescent="0.2">
      <c r="A542" s="1151" t="s">
        <v>1139</v>
      </c>
      <c r="B542" s="428" t="s">
        <v>1096</v>
      </c>
      <c r="C542" s="428" t="s">
        <v>1075</v>
      </c>
      <c r="D542" s="428" t="s">
        <v>1140</v>
      </c>
      <c r="E542" s="639">
        <v>176720</v>
      </c>
      <c r="F542" s="637" t="s">
        <v>1141</v>
      </c>
      <c r="G542" s="637" t="s">
        <v>1078</v>
      </c>
      <c r="H542" s="642">
        <v>43700</v>
      </c>
      <c r="I542" s="643" t="s">
        <v>1079</v>
      </c>
      <c r="J542" s="1145" t="s">
        <v>2628</v>
      </c>
    </row>
    <row r="543" spans="1:10" ht="84" x14ac:dyDescent="0.2">
      <c r="A543" s="1151" t="s">
        <v>1142</v>
      </c>
      <c r="B543" s="428" t="s">
        <v>1096</v>
      </c>
      <c r="C543" s="428" t="s">
        <v>1075</v>
      </c>
      <c r="D543" s="428" t="s">
        <v>1143</v>
      </c>
      <c r="E543" s="639">
        <v>198000</v>
      </c>
      <c r="F543" s="640" t="s">
        <v>1089</v>
      </c>
      <c r="G543" s="606"/>
      <c r="H543" s="643" t="s">
        <v>1079</v>
      </c>
      <c r="I543" s="643" t="s">
        <v>1079</v>
      </c>
      <c r="J543" s="1145" t="s">
        <v>2628</v>
      </c>
    </row>
    <row r="544" spans="1:10" ht="84" x14ac:dyDescent="0.2">
      <c r="A544" s="1151" t="s">
        <v>1142</v>
      </c>
      <c r="B544" s="428" t="s">
        <v>1096</v>
      </c>
      <c r="C544" s="428" t="s">
        <v>1075</v>
      </c>
      <c r="D544" s="428" t="s">
        <v>1144</v>
      </c>
      <c r="E544" s="639">
        <v>198000</v>
      </c>
      <c r="F544" s="640" t="s">
        <v>1089</v>
      </c>
      <c r="G544" s="606"/>
      <c r="H544" s="643" t="s">
        <v>1079</v>
      </c>
      <c r="I544" s="643" t="s">
        <v>1079</v>
      </c>
      <c r="J544" s="1145" t="s">
        <v>2628</v>
      </c>
    </row>
    <row r="545" spans="1:10" ht="84" x14ac:dyDescent="0.2">
      <c r="A545" s="1151" t="s">
        <v>1142</v>
      </c>
      <c r="B545" s="428" t="s">
        <v>1096</v>
      </c>
      <c r="C545" s="428" t="s">
        <v>1075</v>
      </c>
      <c r="D545" s="428" t="s">
        <v>1145</v>
      </c>
      <c r="E545" s="639">
        <v>230000</v>
      </c>
      <c r="F545" s="640" t="s">
        <v>1089</v>
      </c>
      <c r="G545" s="643" t="s">
        <v>1079</v>
      </c>
      <c r="H545" s="643" t="s">
        <v>1079</v>
      </c>
      <c r="I545" s="643" t="s">
        <v>1079</v>
      </c>
      <c r="J545" s="1145" t="s">
        <v>2628</v>
      </c>
    </row>
    <row r="546" spans="1:10" ht="84" x14ac:dyDescent="0.2">
      <c r="A546" s="1151" t="s">
        <v>1142</v>
      </c>
      <c r="B546" s="428" t="s">
        <v>1096</v>
      </c>
      <c r="C546" s="428" t="s">
        <v>1075</v>
      </c>
      <c r="D546" s="428" t="s">
        <v>1146</v>
      </c>
      <c r="E546" s="639">
        <v>230000</v>
      </c>
      <c r="F546" s="637" t="s">
        <v>1147</v>
      </c>
      <c r="G546" s="637" t="s">
        <v>1078</v>
      </c>
      <c r="H546" s="642">
        <v>43641</v>
      </c>
      <c r="I546" s="643" t="s">
        <v>1079</v>
      </c>
      <c r="J546" s="1145" t="s">
        <v>2628</v>
      </c>
    </row>
    <row r="547" spans="1:10" ht="48" x14ac:dyDescent="0.2">
      <c r="A547" s="1151" t="s">
        <v>1148</v>
      </c>
      <c r="B547" s="428" t="s">
        <v>1096</v>
      </c>
      <c r="C547" s="428" t="s">
        <v>1075</v>
      </c>
      <c r="D547" s="428" t="s">
        <v>1149</v>
      </c>
      <c r="E547" s="639">
        <v>397600</v>
      </c>
      <c r="F547" s="637" t="s">
        <v>1077</v>
      </c>
      <c r="G547" s="637" t="s">
        <v>1078</v>
      </c>
      <c r="H547" s="642">
        <v>44086</v>
      </c>
      <c r="I547" s="643" t="s">
        <v>1079</v>
      </c>
      <c r="J547" s="1145" t="s">
        <v>2628</v>
      </c>
    </row>
    <row r="548" spans="1:10" ht="60" x14ac:dyDescent="0.2">
      <c r="A548" s="1151" t="s">
        <v>1150</v>
      </c>
      <c r="B548" s="428" t="s">
        <v>1096</v>
      </c>
      <c r="C548" s="428" t="s">
        <v>1075</v>
      </c>
      <c r="D548" s="428" t="s">
        <v>1151</v>
      </c>
      <c r="E548" s="606" t="s">
        <v>1152</v>
      </c>
      <c r="F548" s="640" t="s">
        <v>1089</v>
      </c>
      <c r="G548" s="606"/>
      <c r="H548" s="643" t="s">
        <v>1079</v>
      </c>
      <c r="I548" s="643" t="s">
        <v>1079</v>
      </c>
      <c r="J548" s="1145" t="s">
        <v>2628</v>
      </c>
    </row>
    <row r="549" spans="1:10" ht="60" x14ac:dyDescent="0.2">
      <c r="A549" s="1151" t="s">
        <v>1150</v>
      </c>
      <c r="B549" s="428" t="s">
        <v>1096</v>
      </c>
      <c r="C549" s="428" t="s">
        <v>1075</v>
      </c>
      <c r="D549" s="428" t="s">
        <v>1153</v>
      </c>
      <c r="E549" s="639">
        <v>132311</v>
      </c>
      <c r="F549" s="637" t="s">
        <v>1154</v>
      </c>
      <c r="G549" s="637" t="s">
        <v>1078</v>
      </c>
      <c r="H549" s="642">
        <v>43748</v>
      </c>
      <c r="I549" s="643" t="s">
        <v>1079</v>
      </c>
      <c r="J549" s="1145" t="s">
        <v>2628</v>
      </c>
    </row>
    <row r="550" spans="1:10" ht="48" x14ac:dyDescent="0.2">
      <c r="A550" s="1151" t="s">
        <v>1155</v>
      </c>
      <c r="B550" s="428" t="s">
        <v>1096</v>
      </c>
      <c r="C550" s="428" t="s">
        <v>1075</v>
      </c>
      <c r="D550" s="428" t="s">
        <v>1156</v>
      </c>
      <c r="E550" s="606" t="s">
        <v>1157</v>
      </c>
      <c r="F550" s="640" t="s">
        <v>1089</v>
      </c>
      <c r="G550" s="606"/>
      <c r="H550" s="643" t="s">
        <v>1079</v>
      </c>
      <c r="I550" s="643" t="s">
        <v>1079</v>
      </c>
      <c r="J550" s="1145" t="s">
        <v>2628</v>
      </c>
    </row>
    <row r="551" spans="1:10" ht="48" x14ac:dyDescent="0.2">
      <c r="A551" s="1151" t="s">
        <v>1155</v>
      </c>
      <c r="B551" s="428" t="s">
        <v>1096</v>
      </c>
      <c r="C551" s="428" t="s">
        <v>1075</v>
      </c>
      <c r="D551" s="428" t="s">
        <v>1158</v>
      </c>
      <c r="E551" s="639">
        <v>399500</v>
      </c>
      <c r="F551" s="637" t="s">
        <v>1159</v>
      </c>
      <c r="G551" s="637" t="s">
        <v>1078</v>
      </c>
      <c r="H551" s="642">
        <v>43766</v>
      </c>
      <c r="I551" s="643" t="s">
        <v>1079</v>
      </c>
      <c r="J551" s="1145" t="s">
        <v>2628</v>
      </c>
    </row>
    <row r="552" spans="1:10" ht="96" x14ac:dyDescent="0.2">
      <c r="A552" s="1151" t="s">
        <v>1160</v>
      </c>
      <c r="B552" s="428" t="s">
        <v>1096</v>
      </c>
      <c r="C552" s="428" t="s">
        <v>1075</v>
      </c>
      <c r="D552" s="428" t="s">
        <v>1161</v>
      </c>
      <c r="E552" s="639">
        <v>341011.41</v>
      </c>
      <c r="F552" s="524" t="s">
        <v>1162</v>
      </c>
      <c r="G552" s="637" t="s">
        <v>1078</v>
      </c>
      <c r="H552" s="642">
        <v>43734</v>
      </c>
      <c r="I552" s="643" t="s">
        <v>1079</v>
      </c>
      <c r="J552" s="1145" t="s">
        <v>2628</v>
      </c>
    </row>
    <row r="553" spans="1:10" ht="60" x14ac:dyDescent="0.2">
      <c r="A553" s="1151" t="s">
        <v>1163</v>
      </c>
      <c r="B553" s="428" t="s">
        <v>1096</v>
      </c>
      <c r="C553" s="428" t="s">
        <v>1075</v>
      </c>
      <c r="D553" s="428" t="s">
        <v>1164</v>
      </c>
      <c r="E553" s="639">
        <v>221850</v>
      </c>
      <c r="F553" s="637" t="s">
        <v>1165</v>
      </c>
      <c r="G553" s="637" t="s">
        <v>1078</v>
      </c>
      <c r="H553" s="642">
        <v>43739</v>
      </c>
      <c r="I553" s="643" t="s">
        <v>1079</v>
      </c>
      <c r="J553" s="1145" t="s">
        <v>2628</v>
      </c>
    </row>
    <row r="554" spans="1:10" ht="84" x14ac:dyDescent="0.2">
      <c r="A554" s="1151" t="s">
        <v>1166</v>
      </c>
      <c r="B554" s="428" t="s">
        <v>1096</v>
      </c>
      <c r="C554" s="428" t="s">
        <v>1075</v>
      </c>
      <c r="D554" s="428" t="s">
        <v>1167</v>
      </c>
      <c r="E554" s="639">
        <v>159645</v>
      </c>
      <c r="F554" s="640" t="s">
        <v>1124</v>
      </c>
      <c r="G554" s="606"/>
      <c r="H554" s="643" t="s">
        <v>1079</v>
      </c>
      <c r="I554" s="643" t="s">
        <v>1079</v>
      </c>
      <c r="J554" s="1145" t="s">
        <v>2628</v>
      </c>
    </row>
    <row r="555" spans="1:10" ht="72" x14ac:dyDescent="0.2">
      <c r="A555" s="1151" t="s">
        <v>1168</v>
      </c>
      <c r="B555" s="428" t="s">
        <v>1096</v>
      </c>
      <c r="C555" s="428" t="s">
        <v>1075</v>
      </c>
      <c r="D555" s="428" t="s">
        <v>1169</v>
      </c>
      <c r="E555" s="639">
        <v>133500</v>
      </c>
      <c r="F555" s="640" t="s">
        <v>1089</v>
      </c>
      <c r="G555" s="606"/>
      <c r="H555" s="643" t="s">
        <v>1079</v>
      </c>
      <c r="I555" s="643" t="s">
        <v>1079</v>
      </c>
      <c r="J555" s="1145" t="s">
        <v>2628</v>
      </c>
    </row>
    <row r="556" spans="1:10" ht="72" x14ac:dyDescent="0.2">
      <c r="A556" s="1151" t="s">
        <v>1168</v>
      </c>
      <c r="B556" s="428" t="s">
        <v>1096</v>
      </c>
      <c r="C556" s="428" t="s">
        <v>1075</v>
      </c>
      <c r="D556" s="428" t="s">
        <v>1170</v>
      </c>
      <c r="E556" s="639">
        <v>133500</v>
      </c>
      <c r="F556" s="640" t="s">
        <v>1089</v>
      </c>
      <c r="G556" s="606"/>
      <c r="H556" s="643" t="s">
        <v>1079</v>
      </c>
      <c r="I556" s="643" t="s">
        <v>1079</v>
      </c>
      <c r="J556" s="1145" t="s">
        <v>2628</v>
      </c>
    </row>
    <row r="557" spans="1:10" ht="84" x14ac:dyDescent="0.2">
      <c r="A557" s="1151" t="s">
        <v>1168</v>
      </c>
      <c r="B557" s="428" t="s">
        <v>1096</v>
      </c>
      <c r="C557" s="428" t="s">
        <v>1075</v>
      </c>
      <c r="D557" s="428" t="s">
        <v>1171</v>
      </c>
      <c r="E557" s="639">
        <v>133500</v>
      </c>
      <c r="F557" s="524" t="s">
        <v>1172</v>
      </c>
      <c r="G557" s="637" t="s">
        <v>1078</v>
      </c>
      <c r="H557" s="642">
        <v>43833</v>
      </c>
      <c r="I557" s="643" t="s">
        <v>1079</v>
      </c>
      <c r="J557" s="1145" t="s">
        <v>2628</v>
      </c>
    </row>
    <row r="558" spans="1:10" ht="60" x14ac:dyDescent="0.2">
      <c r="A558" s="1151" t="s">
        <v>1173</v>
      </c>
      <c r="B558" s="428" t="s">
        <v>1096</v>
      </c>
      <c r="C558" s="428" t="s">
        <v>1075</v>
      </c>
      <c r="D558" s="428" t="s">
        <v>1174</v>
      </c>
      <c r="E558" s="639">
        <v>72000</v>
      </c>
      <c r="F558" s="640" t="s">
        <v>1089</v>
      </c>
      <c r="G558" s="606"/>
      <c r="H558" s="643" t="s">
        <v>1079</v>
      </c>
      <c r="I558" s="643" t="s">
        <v>1079</v>
      </c>
      <c r="J558" s="1145" t="s">
        <v>2628</v>
      </c>
    </row>
    <row r="559" spans="1:10" ht="60" x14ac:dyDescent="0.2">
      <c r="A559" s="1151" t="s">
        <v>1173</v>
      </c>
      <c r="B559" s="428" t="s">
        <v>1096</v>
      </c>
      <c r="C559" s="428" t="s">
        <v>1075</v>
      </c>
      <c r="D559" s="428" t="s">
        <v>1175</v>
      </c>
      <c r="E559" s="639">
        <v>88666.67</v>
      </c>
      <c r="F559" s="637" t="s">
        <v>1176</v>
      </c>
      <c r="G559" s="637" t="s">
        <v>1078</v>
      </c>
      <c r="H559" s="642">
        <v>43762</v>
      </c>
      <c r="I559" s="643" t="s">
        <v>1079</v>
      </c>
      <c r="J559" s="1145" t="s">
        <v>2628</v>
      </c>
    </row>
    <row r="560" spans="1:10" ht="48" x14ac:dyDescent="0.2">
      <c r="A560" s="1151" t="s">
        <v>1177</v>
      </c>
      <c r="B560" s="428" t="s">
        <v>1096</v>
      </c>
      <c r="C560" s="428" t="s">
        <v>1075</v>
      </c>
      <c r="D560" s="428" t="s">
        <v>1178</v>
      </c>
      <c r="E560" s="639">
        <v>289900</v>
      </c>
      <c r="F560" s="640" t="s">
        <v>1179</v>
      </c>
      <c r="G560" s="606"/>
      <c r="H560" s="643" t="s">
        <v>1079</v>
      </c>
      <c r="I560" s="643" t="s">
        <v>1079</v>
      </c>
      <c r="J560" s="1145" t="s">
        <v>2628</v>
      </c>
    </row>
    <row r="561" spans="1:10" ht="60" x14ac:dyDescent="0.2">
      <c r="A561" s="1151" t="s">
        <v>1180</v>
      </c>
      <c r="B561" s="428" t="s">
        <v>1096</v>
      </c>
      <c r="C561" s="428" t="s">
        <v>1075</v>
      </c>
      <c r="D561" s="428" t="s">
        <v>1181</v>
      </c>
      <c r="E561" s="639">
        <v>196000</v>
      </c>
      <c r="F561" s="436" t="s">
        <v>1182</v>
      </c>
      <c r="G561" s="637" t="s">
        <v>1078</v>
      </c>
      <c r="H561" s="642">
        <v>43810</v>
      </c>
      <c r="I561" s="643" t="s">
        <v>1079</v>
      </c>
      <c r="J561" s="1145" t="s">
        <v>2628</v>
      </c>
    </row>
    <row r="562" spans="1:10" ht="60" x14ac:dyDescent="0.2">
      <c r="A562" s="1151" t="s">
        <v>1086</v>
      </c>
      <c r="B562" s="428" t="s">
        <v>1096</v>
      </c>
      <c r="C562" s="428" t="s">
        <v>1075</v>
      </c>
      <c r="D562" s="428" t="s">
        <v>1183</v>
      </c>
      <c r="E562" s="644" t="s">
        <v>1184</v>
      </c>
      <c r="F562" s="640" t="s">
        <v>1089</v>
      </c>
      <c r="G562" s="606"/>
      <c r="H562" s="643" t="s">
        <v>1079</v>
      </c>
      <c r="I562" s="643" t="s">
        <v>1079</v>
      </c>
      <c r="J562" s="1145" t="s">
        <v>2628</v>
      </c>
    </row>
    <row r="563" spans="1:10" ht="60" x14ac:dyDescent="0.2">
      <c r="A563" s="1151" t="s">
        <v>1086</v>
      </c>
      <c r="B563" s="428" t="s">
        <v>1096</v>
      </c>
      <c r="C563" s="428" t="s">
        <v>1075</v>
      </c>
      <c r="D563" s="428" t="s">
        <v>1185</v>
      </c>
      <c r="E563" s="639">
        <v>1189768.9099999999</v>
      </c>
      <c r="F563" s="645" t="s">
        <v>1186</v>
      </c>
      <c r="G563" s="637" t="s">
        <v>1078</v>
      </c>
      <c r="H563" s="642">
        <v>43789</v>
      </c>
      <c r="I563" s="643" t="s">
        <v>1079</v>
      </c>
      <c r="J563" s="1145" t="s">
        <v>2628</v>
      </c>
    </row>
    <row r="564" spans="1:10" ht="60" customHeight="1" x14ac:dyDescent="0.2">
      <c r="A564" s="1151" t="s">
        <v>1187</v>
      </c>
      <c r="B564" s="428" t="s">
        <v>1096</v>
      </c>
      <c r="C564" s="428" t="s">
        <v>1075</v>
      </c>
      <c r="D564" s="428" t="s">
        <v>1188</v>
      </c>
      <c r="E564" s="639">
        <v>260000</v>
      </c>
      <c r="F564" s="637" t="s">
        <v>1189</v>
      </c>
      <c r="G564" s="637" t="s">
        <v>1078</v>
      </c>
      <c r="H564" s="642">
        <v>43812</v>
      </c>
      <c r="I564" s="643" t="s">
        <v>1079</v>
      </c>
      <c r="J564" s="1145" t="s">
        <v>2628</v>
      </c>
    </row>
    <row r="565" spans="1:10" ht="45" customHeight="1" x14ac:dyDescent="0.2">
      <c r="A565" s="1151" t="s">
        <v>1190</v>
      </c>
      <c r="B565" s="428" t="s">
        <v>1096</v>
      </c>
      <c r="C565" s="428" t="s">
        <v>1075</v>
      </c>
      <c r="D565" s="428" t="s">
        <v>1191</v>
      </c>
      <c r="E565" s="639">
        <v>337500</v>
      </c>
      <c r="F565" s="637" t="s">
        <v>1192</v>
      </c>
      <c r="G565" s="637" t="s">
        <v>1078</v>
      </c>
      <c r="H565" s="642">
        <v>43795</v>
      </c>
      <c r="I565" s="643" t="s">
        <v>1079</v>
      </c>
      <c r="J565" s="1145" t="s">
        <v>2628</v>
      </c>
    </row>
    <row r="566" spans="1:10" ht="60" x14ac:dyDescent="0.2">
      <c r="A566" s="1151" t="s">
        <v>1193</v>
      </c>
      <c r="B566" s="428" t="s">
        <v>1096</v>
      </c>
      <c r="C566" s="428" t="s">
        <v>1075</v>
      </c>
      <c r="D566" s="428" t="s">
        <v>1194</v>
      </c>
      <c r="E566" s="639">
        <v>203666.7</v>
      </c>
      <c r="F566" s="640" t="s">
        <v>1089</v>
      </c>
      <c r="G566" s="606"/>
      <c r="H566" s="643" t="s">
        <v>1079</v>
      </c>
      <c r="I566" s="643" t="s">
        <v>1079</v>
      </c>
      <c r="J566" s="1145" t="s">
        <v>2628</v>
      </c>
    </row>
    <row r="567" spans="1:10" ht="60" x14ac:dyDescent="0.2">
      <c r="A567" s="1151" t="s">
        <v>1193</v>
      </c>
      <c r="B567" s="428" t="s">
        <v>1096</v>
      </c>
      <c r="C567" s="428" t="s">
        <v>1075</v>
      </c>
      <c r="D567" s="428" t="s">
        <v>1195</v>
      </c>
      <c r="E567" s="639">
        <v>203666.7</v>
      </c>
      <c r="F567" s="640" t="s">
        <v>1089</v>
      </c>
      <c r="G567" s="606"/>
      <c r="H567" s="643" t="s">
        <v>1079</v>
      </c>
      <c r="I567" s="643" t="s">
        <v>1079</v>
      </c>
      <c r="J567" s="1145" t="s">
        <v>2628</v>
      </c>
    </row>
    <row r="568" spans="1:10" ht="48" x14ac:dyDescent="0.2">
      <c r="A568" s="1151" t="s">
        <v>1196</v>
      </c>
      <c r="B568" s="428" t="s">
        <v>1096</v>
      </c>
      <c r="C568" s="428" t="s">
        <v>1075</v>
      </c>
      <c r="D568" s="428" t="s">
        <v>1197</v>
      </c>
      <c r="E568" s="639">
        <v>93791.6</v>
      </c>
      <c r="F568" s="436" t="s">
        <v>1077</v>
      </c>
      <c r="G568" s="637" t="s">
        <v>1078</v>
      </c>
      <c r="H568" s="642">
        <v>43802</v>
      </c>
      <c r="I568" s="643" t="s">
        <v>1079</v>
      </c>
      <c r="J568" s="1145" t="s">
        <v>2628</v>
      </c>
    </row>
    <row r="569" spans="1:10" ht="60" x14ac:dyDescent="0.2">
      <c r="A569" s="1151" t="s">
        <v>1198</v>
      </c>
      <c r="B569" s="428" t="s">
        <v>1096</v>
      </c>
      <c r="C569" s="428" t="s">
        <v>1075</v>
      </c>
      <c r="D569" s="428" t="s">
        <v>1199</v>
      </c>
      <c r="E569" s="639">
        <v>218545.83</v>
      </c>
      <c r="F569" s="637" t="s">
        <v>1200</v>
      </c>
      <c r="G569" s="637" t="s">
        <v>1078</v>
      </c>
      <c r="H569" s="642">
        <v>44191</v>
      </c>
      <c r="I569" s="643" t="s">
        <v>1079</v>
      </c>
      <c r="J569" s="1145" t="s">
        <v>2628</v>
      </c>
    </row>
    <row r="570" spans="1:10" ht="48" x14ac:dyDescent="0.2">
      <c r="A570" s="1151" t="s">
        <v>1201</v>
      </c>
      <c r="B570" s="428" t="s">
        <v>1096</v>
      </c>
      <c r="C570" s="428" t="s">
        <v>1075</v>
      </c>
      <c r="D570" s="428" t="s">
        <v>1202</v>
      </c>
      <c r="E570" s="639">
        <v>102666.67</v>
      </c>
      <c r="F570" s="637" t="s">
        <v>1159</v>
      </c>
      <c r="G570" s="637" t="s">
        <v>1078</v>
      </c>
      <c r="H570" s="642">
        <v>43815</v>
      </c>
      <c r="I570" s="643" t="s">
        <v>1079</v>
      </c>
      <c r="J570" s="1145" t="s">
        <v>2628</v>
      </c>
    </row>
    <row r="571" spans="1:10" ht="48" x14ac:dyDescent="0.2">
      <c r="A571" s="1151" t="s">
        <v>1203</v>
      </c>
      <c r="B571" s="428" t="s">
        <v>1096</v>
      </c>
      <c r="C571" s="428" t="s">
        <v>1075</v>
      </c>
      <c r="D571" s="428" t="s">
        <v>1204</v>
      </c>
      <c r="E571" s="639">
        <v>141761.35</v>
      </c>
      <c r="F571" s="637" t="s">
        <v>1205</v>
      </c>
      <c r="G571" s="637" t="s">
        <v>1078</v>
      </c>
      <c r="H571" s="642">
        <v>43822</v>
      </c>
      <c r="I571" s="643" t="s">
        <v>1079</v>
      </c>
      <c r="J571" s="1145" t="s">
        <v>2628</v>
      </c>
    </row>
    <row r="572" spans="1:10" ht="48" x14ac:dyDescent="0.2">
      <c r="A572" s="1151" t="s">
        <v>1206</v>
      </c>
      <c r="B572" s="428" t="s">
        <v>1096</v>
      </c>
      <c r="C572" s="428" t="s">
        <v>1075</v>
      </c>
      <c r="D572" s="428" t="s">
        <v>1207</v>
      </c>
      <c r="E572" s="639">
        <v>82620</v>
      </c>
      <c r="F572" s="640" t="s">
        <v>1208</v>
      </c>
      <c r="G572" s="606"/>
      <c r="H572" s="643" t="s">
        <v>1079</v>
      </c>
      <c r="I572" s="643" t="s">
        <v>1079</v>
      </c>
      <c r="J572" s="1145" t="s">
        <v>2628</v>
      </c>
    </row>
    <row r="573" spans="1:10" ht="48" x14ac:dyDescent="0.2">
      <c r="A573" s="1151" t="s">
        <v>1090</v>
      </c>
      <c r="B573" s="428" t="s">
        <v>1096</v>
      </c>
      <c r="C573" s="428" t="s">
        <v>1075</v>
      </c>
      <c r="D573" s="428" t="s">
        <v>1209</v>
      </c>
      <c r="E573" s="639">
        <v>496989.77</v>
      </c>
      <c r="F573" s="637" t="s">
        <v>1159</v>
      </c>
      <c r="G573" s="637" t="s">
        <v>1078</v>
      </c>
      <c r="H573" s="642">
        <v>43818</v>
      </c>
      <c r="I573" s="643" t="s">
        <v>1079</v>
      </c>
      <c r="J573" s="1145" t="s">
        <v>2628</v>
      </c>
    </row>
    <row r="574" spans="1:10" ht="60" x14ac:dyDescent="0.2">
      <c r="A574" s="1151" t="s">
        <v>1210</v>
      </c>
      <c r="B574" s="428" t="s">
        <v>1096</v>
      </c>
      <c r="C574" s="428" t="s">
        <v>1075</v>
      </c>
      <c r="D574" s="428" t="s">
        <v>1211</v>
      </c>
      <c r="E574" s="639">
        <v>58850</v>
      </c>
      <c r="F574" s="637" t="s">
        <v>1212</v>
      </c>
      <c r="G574" s="637" t="s">
        <v>1078</v>
      </c>
      <c r="H574" s="642">
        <v>43878</v>
      </c>
      <c r="I574" s="643" t="s">
        <v>1079</v>
      </c>
      <c r="J574" s="1145" t="s">
        <v>2628</v>
      </c>
    </row>
    <row r="575" spans="1:10" ht="36.75" thickBot="1" x14ac:dyDescent="0.25">
      <c r="A575" s="1153" t="s">
        <v>1213</v>
      </c>
      <c r="B575" s="600" t="s">
        <v>1096</v>
      </c>
      <c r="C575" s="600" t="s">
        <v>1075</v>
      </c>
      <c r="D575" s="600" t="s">
        <v>1214</v>
      </c>
      <c r="E575" s="646">
        <v>179497.5</v>
      </c>
      <c r="F575" s="647" t="s">
        <v>1089</v>
      </c>
      <c r="G575" s="648" t="s">
        <v>1079</v>
      </c>
      <c r="H575" s="648" t="s">
        <v>1079</v>
      </c>
      <c r="I575" s="648" t="s">
        <v>1079</v>
      </c>
      <c r="J575" s="1145" t="s">
        <v>2628</v>
      </c>
    </row>
    <row r="576" spans="1:10" ht="31.5" customHeight="1" thickBot="1" x14ac:dyDescent="0.25">
      <c r="A576" s="542" t="s">
        <v>1216</v>
      </c>
      <c r="B576" s="543"/>
      <c r="C576" s="543"/>
      <c r="D576" s="543"/>
      <c r="E576" s="543"/>
      <c r="F576" s="543"/>
      <c r="G576" s="543"/>
      <c r="H576" s="543"/>
      <c r="I576" s="543"/>
      <c r="J576" s="544"/>
    </row>
    <row r="577" spans="1:10" ht="36" x14ac:dyDescent="0.2">
      <c r="A577" s="1154" t="s">
        <v>1217</v>
      </c>
      <c r="B577" s="521" t="s">
        <v>1218</v>
      </c>
      <c r="C577" s="521" t="s">
        <v>1219</v>
      </c>
      <c r="D577" s="521" t="s">
        <v>1220</v>
      </c>
      <c r="E577" s="601">
        <v>64225</v>
      </c>
      <c r="F577" s="444" t="s">
        <v>1221</v>
      </c>
      <c r="G577" s="522" t="s">
        <v>128</v>
      </c>
      <c r="H577" s="551">
        <v>43901</v>
      </c>
      <c r="I577" s="522" t="s">
        <v>1222</v>
      </c>
      <c r="J577" s="1145" t="s">
        <v>2628</v>
      </c>
    </row>
    <row r="578" spans="1:10" ht="36" x14ac:dyDescent="0.2">
      <c r="A578" s="1155" t="s">
        <v>1223</v>
      </c>
      <c r="B578" s="1015" t="s">
        <v>1218</v>
      </c>
      <c r="C578" s="1015" t="s">
        <v>1219</v>
      </c>
      <c r="D578" s="1015" t="s">
        <v>1224</v>
      </c>
      <c r="E578" s="450">
        <v>87400</v>
      </c>
      <c r="F578" s="440" t="s">
        <v>1225</v>
      </c>
      <c r="G578" s="1017" t="s">
        <v>128</v>
      </c>
      <c r="H578" s="1019">
        <v>43979</v>
      </c>
      <c r="I578" s="1017" t="s">
        <v>1226</v>
      </c>
      <c r="J578" s="1145" t="s">
        <v>2628</v>
      </c>
    </row>
    <row r="579" spans="1:10" ht="36" x14ac:dyDescent="0.2">
      <c r="A579" s="1156" t="s">
        <v>1227</v>
      </c>
      <c r="B579" s="1015" t="s">
        <v>1218</v>
      </c>
      <c r="C579" s="1015" t="s">
        <v>1219</v>
      </c>
      <c r="D579" s="1015" t="s">
        <v>1228</v>
      </c>
      <c r="E579" s="450">
        <v>113935</v>
      </c>
      <c r="F579" s="440" t="s">
        <v>1221</v>
      </c>
      <c r="G579" s="1017" t="s">
        <v>128</v>
      </c>
      <c r="H579" s="1019">
        <v>43985</v>
      </c>
      <c r="I579" s="1017" t="s">
        <v>1229</v>
      </c>
      <c r="J579" s="1145" t="s">
        <v>2628</v>
      </c>
    </row>
    <row r="580" spans="1:10" ht="60" x14ac:dyDescent="0.2">
      <c r="A580" s="1156" t="s">
        <v>1230</v>
      </c>
      <c r="B580" s="1015" t="s">
        <v>1218</v>
      </c>
      <c r="C580" s="1015" t="s">
        <v>1219</v>
      </c>
      <c r="D580" s="1015" t="s">
        <v>1231</v>
      </c>
      <c r="E580" s="450">
        <v>79717.02</v>
      </c>
      <c r="F580" s="440" t="s">
        <v>1232</v>
      </c>
      <c r="G580" s="1017" t="s">
        <v>1233</v>
      </c>
      <c r="H580" s="1019">
        <v>44118</v>
      </c>
      <c r="I580" s="1017" t="s">
        <v>1229</v>
      </c>
      <c r="J580" s="1145" t="s">
        <v>2628</v>
      </c>
    </row>
    <row r="581" spans="1:10" ht="48" x14ac:dyDescent="0.2">
      <c r="A581" s="1155" t="s">
        <v>1234</v>
      </c>
      <c r="B581" s="1015" t="s">
        <v>1218</v>
      </c>
      <c r="C581" s="1015" t="s">
        <v>1219</v>
      </c>
      <c r="D581" s="1015" t="s">
        <v>1235</v>
      </c>
      <c r="E581" s="450">
        <v>47200</v>
      </c>
      <c r="F581" s="440" t="s">
        <v>1236</v>
      </c>
      <c r="G581" s="1017" t="s">
        <v>128</v>
      </c>
      <c r="H581" s="1019">
        <v>43983</v>
      </c>
      <c r="I581" s="1017" t="s">
        <v>1226</v>
      </c>
      <c r="J581" s="1145" t="s">
        <v>2628</v>
      </c>
    </row>
    <row r="582" spans="1:10" ht="84" x14ac:dyDescent="0.2">
      <c r="A582" s="1156" t="s">
        <v>1237</v>
      </c>
      <c r="B582" s="1015" t="s">
        <v>1218</v>
      </c>
      <c r="C582" s="1015" t="s">
        <v>1219</v>
      </c>
      <c r="D582" s="1015" t="s">
        <v>1238</v>
      </c>
      <c r="E582" s="450">
        <v>65500</v>
      </c>
      <c r="F582" s="440" t="s">
        <v>1239</v>
      </c>
      <c r="G582" s="1017" t="s">
        <v>128</v>
      </c>
      <c r="H582" s="1019">
        <v>44057</v>
      </c>
      <c r="I582" s="439" t="s">
        <v>1240</v>
      </c>
      <c r="J582" s="1145" t="s">
        <v>2628</v>
      </c>
    </row>
    <row r="583" spans="1:10" ht="48" x14ac:dyDescent="0.2">
      <c r="A583" s="1156" t="s">
        <v>1241</v>
      </c>
      <c r="B583" s="1015" t="s">
        <v>1218</v>
      </c>
      <c r="C583" s="1015" t="s">
        <v>1219</v>
      </c>
      <c r="D583" s="1015" t="s">
        <v>1242</v>
      </c>
      <c r="E583" s="450">
        <v>91500</v>
      </c>
      <c r="F583" s="439" t="s">
        <v>1243</v>
      </c>
      <c r="G583" s="1017" t="s">
        <v>128</v>
      </c>
      <c r="H583" s="1019">
        <v>43997</v>
      </c>
      <c r="I583" s="1017" t="s">
        <v>1222</v>
      </c>
      <c r="J583" s="1145" t="s">
        <v>2628</v>
      </c>
    </row>
    <row r="584" spans="1:10" ht="36" x14ac:dyDescent="0.2">
      <c r="A584" s="1156" t="s">
        <v>1244</v>
      </c>
      <c r="B584" s="1015" t="s">
        <v>1218</v>
      </c>
      <c r="C584" s="1015" t="s">
        <v>1219</v>
      </c>
      <c r="D584" s="1015" t="s">
        <v>1245</v>
      </c>
      <c r="E584" s="450">
        <v>67560</v>
      </c>
      <c r="F584" s="440" t="s">
        <v>1246</v>
      </c>
      <c r="G584" s="1017" t="s">
        <v>128</v>
      </c>
      <c r="H584" s="1019">
        <v>43992</v>
      </c>
      <c r="I584" s="1017" t="s">
        <v>1229</v>
      </c>
      <c r="J584" s="1145" t="s">
        <v>2628</v>
      </c>
    </row>
    <row r="585" spans="1:10" ht="36" x14ac:dyDescent="0.2">
      <c r="A585" s="1156" t="s">
        <v>1247</v>
      </c>
      <c r="B585" s="1015" t="s">
        <v>1218</v>
      </c>
      <c r="C585" s="1015" t="s">
        <v>1219</v>
      </c>
      <c r="D585" s="1015" t="s">
        <v>1248</v>
      </c>
      <c r="E585" s="450">
        <v>72000</v>
      </c>
      <c r="F585" s="440" t="s">
        <v>1249</v>
      </c>
      <c r="G585" s="1017" t="s">
        <v>128</v>
      </c>
      <c r="H585" s="1019">
        <v>44078</v>
      </c>
      <c r="I585" s="1017" t="s">
        <v>1229</v>
      </c>
      <c r="J585" s="1145" t="s">
        <v>2628</v>
      </c>
    </row>
    <row r="586" spans="1:10" ht="36" x14ac:dyDescent="0.2">
      <c r="A586" s="1155" t="s">
        <v>1250</v>
      </c>
      <c r="B586" s="1015" t="s">
        <v>1218</v>
      </c>
      <c r="C586" s="1015" t="s">
        <v>1219</v>
      </c>
      <c r="D586" s="1015" t="s">
        <v>1251</v>
      </c>
      <c r="E586" s="450">
        <v>75705</v>
      </c>
      <c r="F586" s="440" t="s">
        <v>1252</v>
      </c>
      <c r="G586" s="1017" t="s">
        <v>128</v>
      </c>
      <c r="H586" s="1019">
        <v>44026</v>
      </c>
      <c r="I586" s="1017" t="s">
        <v>1253</v>
      </c>
      <c r="J586" s="1145" t="s">
        <v>2628</v>
      </c>
    </row>
    <row r="587" spans="1:10" ht="36" x14ac:dyDescent="0.2">
      <c r="A587" s="1155" t="s">
        <v>1254</v>
      </c>
      <c r="B587" s="1015" t="s">
        <v>1218</v>
      </c>
      <c r="C587" s="1015" t="s">
        <v>1219</v>
      </c>
      <c r="D587" s="1015" t="s">
        <v>1255</v>
      </c>
      <c r="E587" s="450">
        <v>150642</v>
      </c>
      <c r="F587" s="440" t="s">
        <v>1256</v>
      </c>
      <c r="G587" s="1017" t="s">
        <v>128</v>
      </c>
      <c r="H587" s="1019">
        <v>44054</v>
      </c>
      <c r="I587" s="1017" t="s">
        <v>1257</v>
      </c>
      <c r="J587" s="1145" t="s">
        <v>2628</v>
      </c>
    </row>
    <row r="588" spans="1:10" ht="84" x14ac:dyDescent="0.2">
      <c r="A588" s="1155" t="s">
        <v>1258</v>
      </c>
      <c r="B588" s="1015" t="s">
        <v>1218</v>
      </c>
      <c r="C588" s="1015" t="s">
        <v>1219</v>
      </c>
      <c r="D588" s="1015" t="s">
        <v>1259</v>
      </c>
      <c r="E588" s="450">
        <v>71100</v>
      </c>
      <c r="F588" s="440" t="s">
        <v>1260</v>
      </c>
      <c r="G588" s="1017" t="s">
        <v>128</v>
      </c>
      <c r="H588" s="1019">
        <v>44054</v>
      </c>
      <c r="I588" s="1017" t="s">
        <v>1261</v>
      </c>
      <c r="J588" s="1145" t="s">
        <v>2628</v>
      </c>
    </row>
    <row r="589" spans="1:10" ht="36" x14ac:dyDescent="0.2">
      <c r="A589" s="1156" t="s">
        <v>1262</v>
      </c>
      <c r="B589" s="1015" t="s">
        <v>1218</v>
      </c>
      <c r="C589" s="1015" t="s">
        <v>1219</v>
      </c>
      <c r="D589" s="1015" t="s">
        <v>1263</v>
      </c>
      <c r="E589" s="450">
        <v>110368.01</v>
      </c>
      <c r="F589" s="440" t="s">
        <v>1264</v>
      </c>
      <c r="G589" s="1017" t="s">
        <v>128</v>
      </c>
      <c r="H589" s="1019">
        <v>44057</v>
      </c>
      <c r="I589" s="1017" t="s">
        <v>1257</v>
      </c>
      <c r="J589" s="1145" t="s">
        <v>2628</v>
      </c>
    </row>
    <row r="590" spans="1:10" ht="36" x14ac:dyDescent="0.2">
      <c r="A590" s="1156" t="s">
        <v>1265</v>
      </c>
      <c r="B590" s="1015" t="s">
        <v>1218</v>
      </c>
      <c r="C590" s="1015" t="s">
        <v>1219</v>
      </c>
      <c r="D590" s="1015" t="s">
        <v>1266</v>
      </c>
      <c r="E590" s="450">
        <v>102987</v>
      </c>
      <c r="F590" s="440" t="s">
        <v>1267</v>
      </c>
      <c r="G590" s="1017" t="s">
        <v>128</v>
      </c>
      <c r="H590" s="1019">
        <v>44053</v>
      </c>
      <c r="I590" s="1017" t="s">
        <v>1268</v>
      </c>
      <c r="J590" s="1145" t="s">
        <v>2628</v>
      </c>
    </row>
    <row r="591" spans="1:10" ht="30" customHeight="1" x14ac:dyDescent="0.2">
      <c r="A591" s="1155" t="s">
        <v>1269</v>
      </c>
      <c r="B591" s="1015" t="s">
        <v>1218</v>
      </c>
      <c r="C591" s="1015" t="s">
        <v>1219</v>
      </c>
      <c r="D591" s="1015" t="s">
        <v>1270</v>
      </c>
      <c r="E591" s="450">
        <v>81107</v>
      </c>
      <c r="F591" s="440" t="s">
        <v>1271</v>
      </c>
      <c r="G591" s="1017" t="s">
        <v>128</v>
      </c>
      <c r="H591" s="1019">
        <v>44064</v>
      </c>
      <c r="I591" s="1017" t="s">
        <v>1272</v>
      </c>
      <c r="J591" s="1145" t="s">
        <v>2628</v>
      </c>
    </row>
    <row r="592" spans="1:10" ht="30" customHeight="1" x14ac:dyDescent="0.2">
      <c r="A592" s="1156" t="s">
        <v>1273</v>
      </c>
      <c r="B592" s="1015" t="s">
        <v>1218</v>
      </c>
      <c r="C592" s="1015" t="s">
        <v>1219</v>
      </c>
      <c r="D592" s="1015" t="s">
        <v>1274</v>
      </c>
      <c r="E592" s="450">
        <v>87400</v>
      </c>
      <c r="F592" s="440" t="s">
        <v>1271</v>
      </c>
      <c r="G592" s="1017" t="s">
        <v>128</v>
      </c>
      <c r="H592" s="1019">
        <v>44054</v>
      </c>
      <c r="I592" s="1017" t="s">
        <v>1275</v>
      </c>
      <c r="J592" s="1145" t="s">
        <v>2628</v>
      </c>
    </row>
    <row r="593" spans="1:10" ht="24" x14ac:dyDescent="0.2">
      <c r="A593" s="1156" t="s">
        <v>1276</v>
      </c>
      <c r="B593" s="1015" t="s">
        <v>1218</v>
      </c>
      <c r="C593" s="1015" t="s">
        <v>1219</v>
      </c>
      <c r="D593" s="1015" t="s">
        <v>1277</v>
      </c>
      <c r="E593" s="450">
        <v>76250</v>
      </c>
      <c r="F593" s="440" t="s">
        <v>1278</v>
      </c>
      <c r="G593" s="1017" t="s">
        <v>128</v>
      </c>
      <c r="H593" s="468" t="s">
        <v>1279</v>
      </c>
      <c r="I593" s="1017" t="s">
        <v>1222</v>
      </c>
      <c r="J593" s="1145" t="s">
        <v>2628</v>
      </c>
    </row>
    <row r="594" spans="1:10" ht="46.5" customHeight="1" x14ac:dyDescent="0.2">
      <c r="A594" s="1155" t="s">
        <v>1280</v>
      </c>
      <c r="B594" s="1015" t="s">
        <v>1218</v>
      </c>
      <c r="C594" s="1015" t="s">
        <v>1219</v>
      </c>
      <c r="D594" s="1015" t="s">
        <v>1281</v>
      </c>
      <c r="E594" s="450">
        <v>100000</v>
      </c>
      <c r="F594" s="440" t="s">
        <v>1282</v>
      </c>
      <c r="G594" s="1017" t="s">
        <v>128</v>
      </c>
      <c r="H594" s="1019">
        <v>44046</v>
      </c>
      <c r="I594" s="1017" t="s">
        <v>1226</v>
      </c>
      <c r="J594" s="1145" t="s">
        <v>2628</v>
      </c>
    </row>
    <row r="595" spans="1:10" ht="63" customHeight="1" x14ac:dyDescent="0.2">
      <c r="A595" s="1155" t="s">
        <v>1283</v>
      </c>
      <c r="B595" s="1015" t="s">
        <v>1218</v>
      </c>
      <c r="C595" s="1015" t="s">
        <v>1219</v>
      </c>
      <c r="D595" s="1015" t="s">
        <v>1284</v>
      </c>
      <c r="E595" s="450">
        <v>585000</v>
      </c>
      <c r="F595" s="440" t="s">
        <v>1285</v>
      </c>
      <c r="G595" s="1017" t="s">
        <v>128</v>
      </c>
      <c r="H595" s="1019">
        <v>44092</v>
      </c>
      <c r="I595" s="1017" t="s">
        <v>1286</v>
      </c>
      <c r="J595" s="1145" t="s">
        <v>2628</v>
      </c>
    </row>
    <row r="596" spans="1:10" ht="96" x14ac:dyDescent="0.2">
      <c r="A596" s="1155" t="s">
        <v>1287</v>
      </c>
      <c r="B596" s="1015" t="s">
        <v>1218</v>
      </c>
      <c r="C596" s="1015" t="s">
        <v>1219</v>
      </c>
      <c r="D596" s="1015" t="s">
        <v>1288</v>
      </c>
      <c r="E596" s="450">
        <v>194560</v>
      </c>
      <c r="F596" s="440" t="s">
        <v>1289</v>
      </c>
      <c r="G596" s="1017" t="s">
        <v>1233</v>
      </c>
      <c r="H596" s="1019">
        <v>44120</v>
      </c>
      <c r="I596" s="1017" t="s">
        <v>1272</v>
      </c>
      <c r="J596" s="1145" t="s">
        <v>2628</v>
      </c>
    </row>
    <row r="597" spans="1:10" ht="48" x14ac:dyDescent="0.2">
      <c r="A597" s="1157" t="s">
        <v>1290</v>
      </c>
      <c r="B597" s="1015" t="s">
        <v>1291</v>
      </c>
      <c r="C597" s="1015" t="s">
        <v>1219</v>
      </c>
      <c r="D597" s="1015" t="s">
        <v>1292</v>
      </c>
      <c r="E597" s="450">
        <v>225000</v>
      </c>
      <c r="F597" s="440" t="s">
        <v>1293</v>
      </c>
      <c r="G597" s="1017" t="s">
        <v>128</v>
      </c>
      <c r="H597" s="1019">
        <v>44076</v>
      </c>
      <c r="I597" s="1017" t="s">
        <v>1294</v>
      </c>
      <c r="J597" s="1145" t="s">
        <v>2628</v>
      </c>
    </row>
    <row r="598" spans="1:10" ht="30" customHeight="1" x14ac:dyDescent="0.2">
      <c r="A598" s="1158" t="s">
        <v>2620</v>
      </c>
      <c r="B598" s="649" t="s">
        <v>1291</v>
      </c>
      <c r="C598" s="1015" t="s">
        <v>1219</v>
      </c>
      <c r="D598" s="1015" t="s">
        <v>1295</v>
      </c>
      <c r="E598" s="450">
        <v>236250</v>
      </c>
      <c r="F598" s="440" t="s">
        <v>1296</v>
      </c>
      <c r="G598" s="1017" t="s">
        <v>128</v>
      </c>
      <c r="H598" s="1019">
        <v>43972</v>
      </c>
      <c r="I598" s="440" t="s">
        <v>1297</v>
      </c>
      <c r="J598" s="1145" t="s">
        <v>2628</v>
      </c>
    </row>
    <row r="599" spans="1:10" ht="36" x14ac:dyDescent="0.2">
      <c r="A599" s="1158" t="s">
        <v>2621</v>
      </c>
      <c r="B599" s="649" t="s">
        <v>1291</v>
      </c>
      <c r="C599" s="1015" t="s">
        <v>1219</v>
      </c>
      <c r="D599" s="1015" t="s">
        <v>1298</v>
      </c>
      <c r="E599" s="450">
        <v>255000</v>
      </c>
      <c r="F599" s="440" t="s">
        <v>1299</v>
      </c>
      <c r="G599" s="1017" t="s">
        <v>128</v>
      </c>
      <c r="H599" s="1019">
        <v>43983</v>
      </c>
      <c r="I599" s="439" t="s">
        <v>1294</v>
      </c>
      <c r="J599" s="1145" t="s">
        <v>2628</v>
      </c>
    </row>
    <row r="600" spans="1:10" ht="36" x14ac:dyDescent="0.2">
      <c r="A600" s="1158" t="s">
        <v>2622</v>
      </c>
      <c r="B600" s="649" t="s">
        <v>1291</v>
      </c>
      <c r="C600" s="1015" t="s">
        <v>1219</v>
      </c>
      <c r="D600" s="1015" t="s">
        <v>1300</v>
      </c>
      <c r="E600" s="450">
        <v>210000</v>
      </c>
      <c r="F600" s="440" t="s">
        <v>1301</v>
      </c>
      <c r="G600" s="1017" t="s">
        <v>128</v>
      </c>
      <c r="H600" s="1019">
        <v>43900</v>
      </c>
      <c r="I600" s="440" t="s">
        <v>1297</v>
      </c>
      <c r="J600" s="1145" t="s">
        <v>2628</v>
      </c>
    </row>
    <row r="601" spans="1:10" ht="48" x14ac:dyDescent="0.2">
      <c r="A601" s="1158" t="s">
        <v>2623</v>
      </c>
      <c r="B601" s="649" t="s">
        <v>1291</v>
      </c>
      <c r="C601" s="1015" t="s">
        <v>1219</v>
      </c>
      <c r="D601" s="1015" t="s">
        <v>1302</v>
      </c>
      <c r="E601" s="450">
        <v>112900</v>
      </c>
      <c r="F601" s="440" t="s">
        <v>1303</v>
      </c>
      <c r="G601" s="1017" t="s">
        <v>128</v>
      </c>
      <c r="H601" s="1019">
        <v>44071</v>
      </c>
      <c r="I601" s="440" t="s">
        <v>1297</v>
      </c>
      <c r="J601" s="1145" t="s">
        <v>2628</v>
      </c>
    </row>
    <row r="602" spans="1:10" ht="120" x14ac:dyDescent="0.2">
      <c r="A602" s="1158" t="s">
        <v>2624</v>
      </c>
      <c r="B602" s="649" t="s">
        <v>1291</v>
      </c>
      <c r="C602" s="1015" t="s">
        <v>1219</v>
      </c>
      <c r="D602" s="1015" t="s">
        <v>1304</v>
      </c>
      <c r="E602" s="450">
        <v>746800</v>
      </c>
      <c r="F602" s="440" t="s">
        <v>1305</v>
      </c>
      <c r="G602" s="1017" t="s">
        <v>128</v>
      </c>
      <c r="H602" s="1019">
        <v>44005</v>
      </c>
      <c r="I602" s="439" t="s">
        <v>1294</v>
      </c>
      <c r="J602" s="1145" t="s">
        <v>2628</v>
      </c>
    </row>
    <row r="603" spans="1:10" ht="36" x14ac:dyDescent="0.2">
      <c r="A603" s="1158" t="s">
        <v>2625</v>
      </c>
      <c r="B603" s="649" t="s">
        <v>1291</v>
      </c>
      <c r="C603" s="1015" t="s">
        <v>1219</v>
      </c>
      <c r="D603" s="1015" t="s">
        <v>1306</v>
      </c>
      <c r="E603" s="450">
        <v>136000</v>
      </c>
      <c r="F603" s="440" t="s">
        <v>1307</v>
      </c>
      <c r="G603" s="1017" t="s">
        <v>128</v>
      </c>
      <c r="H603" s="1019">
        <v>44021</v>
      </c>
      <c r="I603" s="1017" t="s">
        <v>1294</v>
      </c>
      <c r="J603" s="1145" t="s">
        <v>2628</v>
      </c>
    </row>
    <row r="604" spans="1:10" ht="48" x14ac:dyDescent="0.2">
      <c r="A604" s="1151" t="s">
        <v>2626</v>
      </c>
      <c r="B604" s="649" t="s">
        <v>1291</v>
      </c>
      <c r="C604" s="1015" t="s">
        <v>1219</v>
      </c>
      <c r="D604" s="1015" t="s">
        <v>1308</v>
      </c>
      <c r="E604" s="450">
        <v>39180</v>
      </c>
      <c r="F604" s="440" t="s">
        <v>1309</v>
      </c>
      <c r="G604" s="1017" t="s">
        <v>128</v>
      </c>
      <c r="H604" s="1019">
        <v>44026</v>
      </c>
      <c r="I604" s="1017" t="s">
        <v>1222</v>
      </c>
      <c r="J604" s="1145" t="s">
        <v>2628</v>
      </c>
    </row>
    <row r="605" spans="1:10" ht="21.75" customHeight="1" x14ac:dyDescent="0.2">
      <c r="A605" s="1158" t="s">
        <v>2627</v>
      </c>
      <c r="B605" s="649" t="s">
        <v>1291</v>
      </c>
      <c r="C605" s="1015" t="s">
        <v>1219</v>
      </c>
      <c r="D605" s="1015" t="s">
        <v>1310</v>
      </c>
      <c r="E605" s="450">
        <v>204700</v>
      </c>
      <c r="F605" s="1015" t="s">
        <v>1311</v>
      </c>
      <c r="G605" s="1017" t="s">
        <v>128</v>
      </c>
      <c r="H605" s="1019">
        <v>44027</v>
      </c>
      <c r="I605" s="1017" t="s">
        <v>1294</v>
      </c>
      <c r="J605" s="1145" t="s">
        <v>2628</v>
      </c>
    </row>
    <row r="606" spans="1:10" ht="31.5" customHeight="1" x14ac:dyDescent="0.2">
      <c r="A606" s="1156" t="s">
        <v>1312</v>
      </c>
      <c r="B606" s="649" t="s">
        <v>1291</v>
      </c>
      <c r="C606" s="1015" t="s">
        <v>1219</v>
      </c>
      <c r="D606" s="1015" t="s">
        <v>1313</v>
      </c>
      <c r="E606" s="450">
        <v>264500</v>
      </c>
      <c r="F606" s="1015" t="s">
        <v>1314</v>
      </c>
      <c r="G606" s="1017" t="s">
        <v>1233</v>
      </c>
      <c r="H606" s="1017"/>
      <c r="I606" s="440" t="s">
        <v>1297</v>
      </c>
      <c r="J606" s="1145" t="s">
        <v>2628</v>
      </c>
    </row>
    <row r="607" spans="1:10" ht="29.25" customHeight="1" x14ac:dyDescent="0.2">
      <c r="A607" s="1159" t="s">
        <v>1315</v>
      </c>
      <c r="B607" s="523"/>
      <c r="C607" s="523"/>
      <c r="D607" s="523"/>
      <c r="E607" s="523"/>
      <c r="F607" s="523"/>
      <c r="G607" s="523"/>
      <c r="H607" s="523"/>
      <c r="I607" s="523"/>
      <c r="J607" s="1160"/>
    </row>
    <row r="608" spans="1:10" ht="120" x14ac:dyDescent="0.2">
      <c r="A608" s="1156" t="s">
        <v>1316</v>
      </c>
      <c r="B608" s="1015" t="s">
        <v>1317</v>
      </c>
      <c r="C608" s="1015" t="s">
        <v>1318</v>
      </c>
      <c r="D608" s="1015" t="s">
        <v>1319</v>
      </c>
      <c r="E608" s="451">
        <v>1770960</v>
      </c>
      <c r="F608" s="440" t="s">
        <v>1320</v>
      </c>
      <c r="G608" s="1017"/>
      <c r="H608" s="1019">
        <v>43622</v>
      </c>
      <c r="I608" s="1017"/>
      <c r="J608" s="1145" t="s">
        <v>2628</v>
      </c>
    </row>
    <row r="609" spans="1:10" ht="36" x14ac:dyDescent="0.2">
      <c r="A609" s="1156" t="s">
        <v>1321</v>
      </c>
      <c r="B609" s="1015" t="s">
        <v>1322</v>
      </c>
      <c r="C609" s="1015" t="s">
        <v>1318</v>
      </c>
      <c r="D609" s="1015" t="s">
        <v>1323</v>
      </c>
      <c r="E609" s="451">
        <v>994963.04</v>
      </c>
      <c r="F609" s="440" t="s">
        <v>1324</v>
      </c>
      <c r="G609" s="1017"/>
      <c r="H609" s="1019">
        <v>43670</v>
      </c>
      <c r="I609" s="1017"/>
      <c r="J609" s="1145" t="s">
        <v>2628</v>
      </c>
    </row>
    <row r="610" spans="1:10" ht="106.5" customHeight="1" x14ac:dyDescent="0.2">
      <c r="A610" s="1155" t="s">
        <v>1325</v>
      </c>
      <c r="B610" s="1015" t="s">
        <v>1326</v>
      </c>
      <c r="C610" s="1015" t="s">
        <v>1318</v>
      </c>
      <c r="D610" s="1015" t="s">
        <v>1327</v>
      </c>
      <c r="E610" s="451">
        <v>1256000</v>
      </c>
      <c r="F610" s="440" t="s">
        <v>1328</v>
      </c>
      <c r="G610" s="1017"/>
      <c r="H610" s="1019">
        <v>43784</v>
      </c>
      <c r="I610" s="1017"/>
      <c r="J610" s="1145" t="s">
        <v>2628</v>
      </c>
    </row>
    <row r="611" spans="1:10" ht="73.5" customHeight="1" x14ac:dyDescent="0.2">
      <c r="A611" s="1155" t="s">
        <v>1329</v>
      </c>
      <c r="B611" s="1015" t="s">
        <v>1330</v>
      </c>
      <c r="C611" s="1015" t="s">
        <v>1318</v>
      </c>
      <c r="D611" s="1015" t="s">
        <v>1331</v>
      </c>
      <c r="E611" s="451">
        <v>1660000</v>
      </c>
      <c r="F611" s="440" t="s">
        <v>1332</v>
      </c>
      <c r="G611" s="1017"/>
      <c r="H611" s="1019">
        <v>43784</v>
      </c>
      <c r="I611" s="1017"/>
      <c r="J611" s="1145" t="s">
        <v>2628</v>
      </c>
    </row>
    <row r="612" spans="1:10" ht="37.5" customHeight="1" thickBot="1" x14ac:dyDescent="0.25">
      <c r="A612" s="1161" t="s">
        <v>1333</v>
      </c>
      <c r="B612" s="495" t="s">
        <v>1334</v>
      </c>
      <c r="C612" s="495" t="s">
        <v>1318</v>
      </c>
      <c r="D612" s="495" t="s">
        <v>1335</v>
      </c>
      <c r="E612" s="593">
        <v>2826000</v>
      </c>
      <c r="F612" s="594" t="s">
        <v>1336</v>
      </c>
      <c r="G612" s="538"/>
      <c r="H612" s="563">
        <v>44019</v>
      </c>
      <c r="I612" s="538"/>
      <c r="J612" s="1145" t="s">
        <v>2628</v>
      </c>
    </row>
    <row r="613" spans="1:10" ht="26.25" customHeight="1" thickBot="1" x14ac:dyDescent="0.25">
      <c r="A613" s="542" t="s">
        <v>1461</v>
      </c>
      <c r="B613" s="543"/>
      <c r="C613" s="543"/>
      <c r="D613" s="543"/>
      <c r="E613" s="543"/>
      <c r="F613" s="543"/>
      <c r="G613" s="543"/>
      <c r="H613" s="543"/>
      <c r="I613" s="543"/>
      <c r="J613" s="544"/>
    </row>
    <row r="614" spans="1:10" ht="47.25" customHeight="1" x14ac:dyDescent="0.2">
      <c r="A614" s="1162" t="s">
        <v>1337</v>
      </c>
      <c r="B614" s="595" t="s">
        <v>1338</v>
      </c>
      <c r="C614" s="596" t="s">
        <v>1339</v>
      </c>
      <c r="D614" s="597">
        <v>14</v>
      </c>
      <c r="E614" s="598">
        <v>39300</v>
      </c>
      <c r="F614" s="595" t="s">
        <v>1340</v>
      </c>
      <c r="G614" s="597" t="s">
        <v>128</v>
      </c>
      <c r="H614" s="599">
        <v>43825</v>
      </c>
      <c r="I614" s="599">
        <v>43829</v>
      </c>
      <c r="J614" s="1145" t="s">
        <v>2628</v>
      </c>
    </row>
    <row r="615" spans="1:10" ht="36.75" customHeight="1" x14ac:dyDescent="0.2">
      <c r="A615" s="1163" t="s">
        <v>1341</v>
      </c>
      <c r="B615" s="453" t="s">
        <v>1338</v>
      </c>
      <c r="C615" s="453" t="s">
        <v>1339</v>
      </c>
      <c r="D615" s="455">
        <v>13</v>
      </c>
      <c r="E615" s="454">
        <v>51975</v>
      </c>
      <c r="F615" s="453" t="s">
        <v>1342</v>
      </c>
      <c r="G615" s="455" t="s">
        <v>128</v>
      </c>
      <c r="H615" s="455" t="s">
        <v>1343</v>
      </c>
      <c r="I615" s="456">
        <v>43822</v>
      </c>
      <c r="J615" s="1145" t="s">
        <v>2628</v>
      </c>
    </row>
    <row r="616" spans="1:10" ht="48.75" customHeight="1" x14ac:dyDescent="0.2">
      <c r="A616" s="1163" t="s">
        <v>1344</v>
      </c>
      <c r="B616" s="453" t="s">
        <v>1338</v>
      </c>
      <c r="C616" s="453" t="s">
        <v>1339</v>
      </c>
      <c r="D616" s="455">
        <v>11</v>
      </c>
      <c r="E616" s="454">
        <v>50425</v>
      </c>
      <c r="F616" s="453" t="s">
        <v>1345</v>
      </c>
      <c r="G616" s="455" t="s">
        <v>128</v>
      </c>
      <c r="H616" s="455" t="s">
        <v>1346</v>
      </c>
      <c r="I616" s="456">
        <v>43801</v>
      </c>
      <c r="J616" s="1145" t="s">
        <v>2628</v>
      </c>
    </row>
    <row r="617" spans="1:10" ht="39" customHeight="1" x14ac:dyDescent="0.2">
      <c r="A617" s="1164" t="s">
        <v>1347</v>
      </c>
      <c r="B617" s="453" t="s">
        <v>1218</v>
      </c>
      <c r="C617" s="453" t="s">
        <v>1339</v>
      </c>
      <c r="D617" s="455">
        <v>5</v>
      </c>
      <c r="E617" s="457">
        <v>170618.01</v>
      </c>
      <c r="F617" s="432" t="s">
        <v>1348</v>
      </c>
      <c r="G617" s="455" t="s">
        <v>128</v>
      </c>
      <c r="H617" s="458">
        <v>43816</v>
      </c>
      <c r="I617" s="458">
        <v>43819</v>
      </c>
      <c r="J617" s="1145" t="s">
        <v>2628</v>
      </c>
    </row>
    <row r="618" spans="1:10" ht="46.5" customHeight="1" x14ac:dyDescent="0.2">
      <c r="A618" s="1164" t="s">
        <v>1349</v>
      </c>
      <c r="B618" s="453" t="s">
        <v>1338</v>
      </c>
      <c r="C618" s="453" t="s">
        <v>1339</v>
      </c>
      <c r="D618" s="455">
        <v>12</v>
      </c>
      <c r="E618" s="457">
        <v>62950</v>
      </c>
      <c r="F618" s="432" t="s">
        <v>1350</v>
      </c>
      <c r="G618" s="455" t="s">
        <v>128</v>
      </c>
      <c r="H618" s="458">
        <v>43781</v>
      </c>
      <c r="I618" s="458">
        <v>43782</v>
      </c>
      <c r="J618" s="1145" t="s">
        <v>2628</v>
      </c>
    </row>
    <row r="619" spans="1:10" ht="42.75" customHeight="1" x14ac:dyDescent="0.2">
      <c r="A619" s="1164" t="s">
        <v>1351</v>
      </c>
      <c r="B619" s="453" t="s">
        <v>1218</v>
      </c>
      <c r="C619" s="453" t="s">
        <v>1339</v>
      </c>
      <c r="D619" s="455">
        <v>4</v>
      </c>
      <c r="E619" s="457">
        <v>299694</v>
      </c>
      <c r="F619" s="432" t="s">
        <v>1352</v>
      </c>
      <c r="G619" s="455" t="s">
        <v>128</v>
      </c>
      <c r="H619" s="458">
        <v>43787</v>
      </c>
      <c r="I619" s="458">
        <v>43786</v>
      </c>
      <c r="J619" s="1145" t="s">
        <v>2628</v>
      </c>
    </row>
    <row r="620" spans="1:10" ht="35.25" customHeight="1" x14ac:dyDescent="0.2">
      <c r="A620" s="1164" t="s">
        <v>1353</v>
      </c>
      <c r="B620" s="453" t="s">
        <v>1218</v>
      </c>
      <c r="C620" s="453" t="s">
        <v>1339</v>
      </c>
      <c r="D620" s="455">
        <v>13</v>
      </c>
      <c r="E620" s="457">
        <v>84106.67</v>
      </c>
      <c r="F620" s="432" t="s">
        <v>1354</v>
      </c>
      <c r="G620" s="455" t="s">
        <v>128</v>
      </c>
      <c r="H620" s="458">
        <v>43781</v>
      </c>
      <c r="I620" s="459">
        <v>43788</v>
      </c>
      <c r="J620" s="1145" t="s">
        <v>2628</v>
      </c>
    </row>
    <row r="621" spans="1:10" ht="46.5" customHeight="1" x14ac:dyDescent="0.2">
      <c r="A621" s="1164" t="s">
        <v>1355</v>
      </c>
      <c r="B621" s="453" t="s">
        <v>1218</v>
      </c>
      <c r="C621" s="453" t="s">
        <v>1339</v>
      </c>
      <c r="D621" s="455">
        <v>6</v>
      </c>
      <c r="E621" s="460">
        <v>44360.04</v>
      </c>
      <c r="F621" s="432" t="s">
        <v>1356</v>
      </c>
      <c r="G621" s="455" t="s">
        <v>128</v>
      </c>
      <c r="H621" s="458">
        <v>43774</v>
      </c>
      <c r="I621" s="458">
        <v>43791</v>
      </c>
      <c r="J621" s="1145" t="s">
        <v>2628</v>
      </c>
    </row>
    <row r="622" spans="1:10" ht="76.5" customHeight="1" x14ac:dyDescent="0.2">
      <c r="A622" s="1164" t="s">
        <v>1357</v>
      </c>
      <c r="B622" s="453" t="s">
        <v>1218</v>
      </c>
      <c r="C622" s="453" t="s">
        <v>1339</v>
      </c>
      <c r="D622" s="455">
        <v>10</v>
      </c>
      <c r="E622" s="460">
        <v>271603</v>
      </c>
      <c r="F622" s="524" t="s">
        <v>1358</v>
      </c>
      <c r="G622" s="455" t="s">
        <v>128</v>
      </c>
      <c r="H622" s="461">
        <v>43774</v>
      </c>
      <c r="I622" s="461">
        <v>43802</v>
      </c>
      <c r="J622" s="1145" t="s">
        <v>2628</v>
      </c>
    </row>
    <row r="623" spans="1:10" ht="75.75" customHeight="1" x14ac:dyDescent="0.2">
      <c r="A623" s="1164" t="s">
        <v>1359</v>
      </c>
      <c r="B623" s="453" t="s">
        <v>1218</v>
      </c>
      <c r="C623" s="453" t="s">
        <v>1339</v>
      </c>
      <c r="D623" s="455">
        <v>7</v>
      </c>
      <c r="E623" s="457">
        <v>272633</v>
      </c>
      <c r="F623" s="524" t="s">
        <v>1360</v>
      </c>
      <c r="G623" s="455" t="s">
        <v>128</v>
      </c>
      <c r="H623" s="461">
        <v>43790</v>
      </c>
      <c r="I623" s="461">
        <v>43804</v>
      </c>
      <c r="J623" s="1145" t="s">
        <v>2628</v>
      </c>
    </row>
    <row r="624" spans="1:10" ht="84" x14ac:dyDescent="0.2">
      <c r="A624" s="1164" t="s">
        <v>1361</v>
      </c>
      <c r="B624" s="453" t="s">
        <v>1218</v>
      </c>
      <c r="C624" s="453" t="s">
        <v>1339</v>
      </c>
      <c r="D624" s="455">
        <v>9</v>
      </c>
      <c r="E624" s="457">
        <v>255149</v>
      </c>
      <c r="F624" s="524" t="s">
        <v>1362</v>
      </c>
      <c r="G624" s="455" t="s">
        <v>128</v>
      </c>
      <c r="H624" s="461">
        <v>43774</v>
      </c>
      <c r="I624" s="461">
        <v>43802</v>
      </c>
      <c r="J624" s="1145" t="s">
        <v>2628</v>
      </c>
    </row>
    <row r="625" spans="1:10" ht="48" x14ac:dyDescent="0.2">
      <c r="A625" s="1164" t="s">
        <v>1363</v>
      </c>
      <c r="B625" s="453" t="s">
        <v>1338</v>
      </c>
      <c r="C625" s="453" t="s">
        <v>1339</v>
      </c>
      <c r="D625" s="455">
        <v>9</v>
      </c>
      <c r="E625" s="457">
        <v>39886</v>
      </c>
      <c r="F625" s="524" t="s">
        <v>1364</v>
      </c>
      <c r="G625" s="455" t="s">
        <v>128</v>
      </c>
      <c r="H625" s="461">
        <v>43753</v>
      </c>
      <c r="I625" s="461">
        <v>43755</v>
      </c>
      <c r="J625" s="1145" t="s">
        <v>2628</v>
      </c>
    </row>
    <row r="626" spans="1:10" ht="39" customHeight="1" x14ac:dyDescent="0.2">
      <c r="A626" s="1164" t="s">
        <v>1365</v>
      </c>
      <c r="B626" s="453" t="s">
        <v>1218</v>
      </c>
      <c r="C626" s="453" t="s">
        <v>1339</v>
      </c>
      <c r="D626" s="455">
        <v>5</v>
      </c>
      <c r="E626" s="457">
        <v>170618.01</v>
      </c>
      <c r="F626" s="453"/>
      <c r="G626" s="455" t="s">
        <v>1366</v>
      </c>
      <c r="H626" s="455"/>
      <c r="I626" s="455"/>
      <c r="J626" s="1145" t="s">
        <v>2628</v>
      </c>
    </row>
    <row r="627" spans="1:10" ht="72.75" customHeight="1" x14ac:dyDescent="0.2">
      <c r="A627" s="1164" t="s">
        <v>1367</v>
      </c>
      <c r="B627" s="453" t="s">
        <v>1218</v>
      </c>
      <c r="C627" s="453" t="s">
        <v>1339</v>
      </c>
      <c r="D627" s="462">
        <v>11</v>
      </c>
      <c r="E627" s="457">
        <v>155281</v>
      </c>
      <c r="F627" s="524" t="s">
        <v>1368</v>
      </c>
      <c r="G627" s="455" t="s">
        <v>128</v>
      </c>
      <c r="H627" s="461">
        <v>43763</v>
      </c>
      <c r="I627" s="461">
        <v>43794</v>
      </c>
      <c r="J627" s="1145" t="s">
        <v>2628</v>
      </c>
    </row>
    <row r="628" spans="1:10" ht="85.5" customHeight="1" x14ac:dyDescent="0.2">
      <c r="A628" s="1164" t="s">
        <v>1369</v>
      </c>
      <c r="B628" s="453" t="s">
        <v>1218</v>
      </c>
      <c r="C628" s="453" t="s">
        <v>1339</v>
      </c>
      <c r="D628" s="462">
        <v>8</v>
      </c>
      <c r="E628" s="457">
        <v>236576</v>
      </c>
      <c r="F628" s="524" t="s">
        <v>1370</v>
      </c>
      <c r="G628" s="455" t="s">
        <v>128</v>
      </c>
      <c r="H628" s="461">
        <v>43775</v>
      </c>
      <c r="I628" s="461">
        <v>43802</v>
      </c>
      <c r="J628" s="1145" t="s">
        <v>2628</v>
      </c>
    </row>
    <row r="629" spans="1:10" ht="48" customHeight="1" x14ac:dyDescent="0.2">
      <c r="A629" s="1164" t="s">
        <v>1371</v>
      </c>
      <c r="B629" s="453" t="s">
        <v>1218</v>
      </c>
      <c r="C629" s="453" t="s">
        <v>1339</v>
      </c>
      <c r="D629" s="462">
        <v>12</v>
      </c>
      <c r="E629" s="457">
        <v>153166.67000000001</v>
      </c>
      <c r="F629" s="525" t="s">
        <v>1372</v>
      </c>
      <c r="G629" s="455" t="s">
        <v>128</v>
      </c>
      <c r="H629" s="461">
        <v>43749</v>
      </c>
      <c r="I629" s="461">
        <v>43773</v>
      </c>
      <c r="J629" s="1145" t="s">
        <v>2628</v>
      </c>
    </row>
    <row r="630" spans="1:10" ht="48.75" customHeight="1" x14ac:dyDescent="0.2">
      <c r="A630" s="1164" t="s">
        <v>1373</v>
      </c>
      <c r="B630" s="453" t="s">
        <v>1218</v>
      </c>
      <c r="C630" s="453" t="s">
        <v>1339</v>
      </c>
      <c r="D630" s="462">
        <v>6</v>
      </c>
      <c r="E630" s="457">
        <v>44360.04</v>
      </c>
      <c r="F630" s="427"/>
      <c r="G630" s="462" t="s">
        <v>1089</v>
      </c>
      <c r="H630" s="462"/>
      <c r="I630" s="462"/>
      <c r="J630" s="1145" t="s">
        <v>2628</v>
      </c>
    </row>
    <row r="631" spans="1:10" ht="44.25" customHeight="1" x14ac:dyDescent="0.2">
      <c r="A631" s="1164" t="s">
        <v>1374</v>
      </c>
      <c r="B631" s="453" t="s">
        <v>1338</v>
      </c>
      <c r="C631" s="453" t="s">
        <v>1339</v>
      </c>
      <c r="D631" s="462">
        <v>10</v>
      </c>
      <c r="E631" s="457">
        <v>62928</v>
      </c>
      <c r="F631" s="524" t="s">
        <v>1375</v>
      </c>
      <c r="G631" s="455" t="s">
        <v>128</v>
      </c>
      <c r="H631" s="461">
        <v>43735</v>
      </c>
      <c r="I631" s="461">
        <v>43740</v>
      </c>
      <c r="J631" s="1145" t="s">
        <v>2628</v>
      </c>
    </row>
    <row r="632" spans="1:10" ht="36" x14ac:dyDescent="0.2">
      <c r="A632" s="1164" t="s">
        <v>1376</v>
      </c>
      <c r="B632" s="453" t="s">
        <v>1338</v>
      </c>
      <c r="C632" s="453" t="s">
        <v>1339</v>
      </c>
      <c r="D632" s="462">
        <v>8</v>
      </c>
      <c r="E632" s="457">
        <v>62820</v>
      </c>
      <c r="F632" s="524" t="s">
        <v>1377</v>
      </c>
      <c r="G632" s="455" t="s">
        <v>128</v>
      </c>
      <c r="H632" s="461">
        <v>43712</v>
      </c>
      <c r="I632" s="461">
        <v>43712</v>
      </c>
      <c r="J632" s="1145" t="s">
        <v>2628</v>
      </c>
    </row>
    <row r="633" spans="1:10" ht="96" x14ac:dyDescent="0.2">
      <c r="A633" s="1164" t="s">
        <v>1378</v>
      </c>
      <c r="B633" s="453" t="s">
        <v>1338</v>
      </c>
      <c r="C633" s="453" t="s">
        <v>1339</v>
      </c>
      <c r="D633" s="462">
        <v>7</v>
      </c>
      <c r="E633" s="457">
        <v>62945</v>
      </c>
      <c r="F633" s="524" t="s">
        <v>1379</v>
      </c>
      <c r="G633" s="455" t="s">
        <v>128</v>
      </c>
      <c r="H633" s="461">
        <v>43712</v>
      </c>
      <c r="I633" s="461">
        <v>43717</v>
      </c>
      <c r="J633" s="1145" t="s">
        <v>2628</v>
      </c>
    </row>
    <row r="634" spans="1:10" ht="36" customHeight="1" x14ac:dyDescent="0.2">
      <c r="A634" s="1165" t="s">
        <v>1380</v>
      </c>
      <c r="B634" s="453" t="s">
        <v>1338</v>
      </c>
      <c r="C634" s="453" t="s">
        <v>1339</v>
      </c>
      <c r="D634" s="462">
        <v>6</v>
      </c>
      <c r="E634" s="457">
        <v>37107</v>
      </c>
      <c r="F634" s="524" t="s">
        <v>1381</v>
      </c>
      <c r="G634" s="455" t="s">
        <v>128</v>
      </c>
      <c r="H634" s="461">
        <v>43712</v>
      </c>
      <c r="I634" s="461">
        <v>43710</v>
      </c>
      <c r="J634" s="1145" t="s">
        <v>2628</v>
      </c>
    </row>
    <row r="635" spans="1:10" ht="51.75" customHeight="1" x14ac:dyDescent="0.2">
      <c r="A635" s="1164" t="s">
        <v>1382</v>
      </c>
      <c r="B635" s="453" t="s">
        <v>1338</v>
      </c>
      <c r="C635" s="453" t="s">
        <v>1339</v>
      </c>
      <c r="D635" s="462">
        <v>5</v>
      </c>
      <c r="E635" s="457">
        <v>62779.76</v>
      </c>
      <c r="F635" s="524" t="s">
        <v>1383</v>
      </c>
      <c r="G635" s="455" t="s">
        <v>128</v>
      </c>
      <c r="H635" s="461">
        <v>43689</v>
      </c>
      <c r="I635" s="461">
        <v>43690</v>
      </c>
      <c r="J635" s="1145" t="s">
        <v>2628</v>
      </c>
    </row>
    <row r="636" spans="1:10" ht="84" x14ac:dyDescent="0.2">
      <c r="A636" s="1164" t="s">
        <v>1384</v>
      </c>
      <c r="B636" s="453" t="s">
        <v>1338</v>
      </c>
      <c r="C636" s="453" t="s">
        <v>1339</v>
      </c>
      <c r="D636" s="462">
        <v>2</v>
      </c>
      <c r="E636" s="457">
        <v>58480</v>
      </c>
      <c r="F636" s="524" t="s">
        <v>1385</v>
      </c>
      <c r="G636" s="455" t="s">
        <v>128</v>
      </c>
      <c r="H636" s="461">
        <v>43628</v>
      </c>
      <c r="I636" s="461">
        <v>43630</v>
      </c>
      <c r="J636" s="1145" t="s">
        <v>2628</v>
      </c>
    </row>
    <row r="637" spans="1:10" ht="36" x14ac:dyDescent="0.2">
      <c r="A637" s="1164" t="s">
        <v>1386</v>
      </c>
      <c r="B637" s="453" t="s">
        <v>1338</v>
      </c>
      <c r="C637" s="453" t="s">
        <v>1339</v>
      </c>
      <c r="D637" s="462">
        <v>3</v>
      </c>
      <c r="E637" s="457">
        <v>53100</v>
      </c>
      <c r="F637" s="524" t="s">
        <v>1387</v>
      </c>
      <c r="G637" s="455" t="s">
        <v>128</v>
      </c>
      <c r="H637" s="461">
        <v>43628</v>
      </c>
      <c r="I637" s="461">
        <v>43637</v>
      </c>
      <c r="J637" s="1145" t="s">
        <v>2628</v>
      </c>
    </row>
    <row r="638" spans="1:10" ht="42" customHeight="1" x14ac:dyDescent="0.2">
      <c r="A638" s="1164" t="s">
        <v>1388</v>
      </c>
      <c r="B638" s="453" t="s">
        <v>1338</v>
      </c>
      <c r="C638" s="453" t="s">
        <v>1339</v>
      </c>
      <c r="D638" s="462">
        <v>1</v>
      </c>
      <c r="E638" s="457">
        <v>62700</v>
      </c>
      <c r="F638" s="524" t="s">
        <v>1389</v>
      </c>
      <c r="G638" s="455" t="s">
        <v>128</v>
      </c>
      <c r="H638" s="461">
        <v>43629</v>
      </c>
      <c r="I638" s="461">
        <v>43634</v>
      </c>
      <c r="J638" s="1145" t="s">
        <v>2628</v>
      </c>
    </row>
    <row r="639" spans="1:10" ht="84" x14ac:dyDescent="0.2">
      <c r="A639" s="1164" t="s">
        <v>1390</v>
      </c>
      <c r="B639" s="463" t="s">
        <v>1291</v>
      </c>
      <c r="C639" s="453" t="s">
        <v>1339</v>
      </c>
      <c r="D639" s="462">
        <v>2</v>
      </c>
      <c r="E639" s="457">
        <v>40950</v>
      </c>
      <c r="F639" s="524" t="s">
        <v>1391</v>
      </c>
      <c r="G639" s="455" t="s">
        <v>128</v>
      </c>
      <c r="H639" s="461">
        <v>43635</v>
      </c>
      <c r="I639" s="461">
        <v>43829</v>
      </c>
      <c r="J639" s="1145" t="s">
        <v>2628</v>
      </c>
    </row>
    <row r="640" spans="1:10" ht="60" x14ac:dyDescent="0.2">
      <c r="A640" s="1164" t="s">
        <v>1392</v>
      </c>
      <c r="B640" s="453" t="s">
        <v>1218</v>
      </c>
      <c r="C640" s="453" t="s">
        <v>1339</v>
      </c>
      <c r="D640" s="462">
        <v>3</v>
      </c>
      <c r="E640" s="457">
        <v>92532</v>
      </c>
      <c r="F640" s="524" t="s">
        <v>1393</v>
      </c>
      <c r="G640" s="455" t="s">
        <v>128</v>
      </c>
      <c r="H640" s="461">
        <v>43633</v>
      </c>
      <c r="I640" s="461">
        <v>43663</v>
      </c>
      <c r="J640" s="1145" t="s">
        <v>2628</v>
      </c>
    </row>
    <row r="641" spans="1:10" ht="48" x14ac:dyDescent="0.2">
      <c r="A641" s="1164" t="s">
        <v>1394</v>
      </c>
      <c r="B641" s="453" t="s">
        <v>1218</v>
      </c>
      <c r="C641" s="453" t="s">
        <v>1339</v>
      </c>
      <c r="D641" s="462">
        <v>3</v>
      </c>
      <c r="E641" s="457">
        <v>212652</v>
      </c>
      <c r="F641" s="524" t="s">
        <v>1395</v>
      </c>
      <c r="G641" s="455" t="s">
        <v>128</v>
      </c>
      <c r="H641" s="461">
        <v>43613</v>
      </c>
      <c r="I641" s="461">
        <v>43615</v>
      </c>
      <c r="J641" s="1145" t="s">
        <v>2628</v>
      </c>
    </row>
    <row r="642" spans="1:10" ht="54" customHeight="1" x14ac:dyDescent="0.2">
      <c r="A642" s="1164" t="s">
        <v>1396</v>
      </c>
      <c r="B642" s="453" t="s">
        <v>1218</v>
      </c>
      <c r="C642" s="453" t="s">
        <v>1339</v>
      </c>
      <c r="D642" s="462">
        <v>2</v>
      </c>
      <c r="E642" s="457">
        <v>78115</v>
      </c>
      <c r="F642" s="524" t="s">
        <v>1397</v>
      </c>
      <c r="G642" s="455" t="s">
        <v>128</v>
      </c>
      <c r="H642" s="461">
        <v>43606</v>
      </c>
      <c r="I642" s="461">
        <v>43612</v>
      </c>
      <c r="J642" s="1145" t="s">
        <v>2628</v>
      </c>
    </row>
    <row r="643" spans="1:10" ht="45.75" customHeight="1" x14ac:dyDescent="0.2">
      <c r="A643" s="1164" t="s">
        <v>1398</v>
      </c>
      <c r="B643" s="432" t="s">
        <v>1399</v>
      </c>
      <c r="C643" s="453" t="s">
        <v>1339</v>
      </c>
      <c r="D643" s="462">
        <v>1</v>
      </c>
      <c r="E643" s="457">
        <v>2002000</v>
      </c>
      <c r="F643" s="524" t="s">
        <v>1400</v>
      </c>
      <c r="G643" s="455" t="s">
        <v>128</v>
      </c>
      <c r="H643" s="461">
        <v>43558</v>
      </c>
      <c r="I643" s="461">
        <v>43677</v>
      </c>
      <c r="J643" s="1145" t="s">
        <v>2628</v>
      </c>
    </row>
    <row r="644" spans="1:10" ht="36" x14ac:dyDescent="0.2">
      <c r="A644" s="1164" t="s">
        <v>1401</v>
      </c>
      <c r="B644" s="453" t="s">
        <v>1218</v>
      </c>
      <c r="C644" s="453" t="s">
        <v>1339</v>
      </c>
      <c r="D644" s="462">
        <v>1</v>
      </c>
      <c r="E644" s="457">
        <v>93100</v>
      </c>
      <c r="F644" s="524" t="s">
        <v>1402</v>
      </c>
      <c r="G644" s="455" t="s">
        <v>128</v>
      </c>
      <c r="H644" s="461">
        <v>43587</v>
      </c>
      <c r="I644" s="461">
        <v>43829</v>
      </c>
      <c r="J644" s="1145" t="s">
        <v>2628</v>
      </c>
    </row>
    <row r="645" spans="1:10" ht="52.5" customHeight="1" x14ac:dyDescent="0.2">
      <c r="A645" s="1164" t="s">
        <v>1403</v>
      </c>
      <c r="B645" s="463" t="s">
        <v>1291</v>
      </c>
      <c r="C645" s="453" t="s">
        <v>1339</v>
      </c>
      <c r="D645" s="462">
        <v>1</v>
      </c>
      <c r="E645" s="457">
        <v>70556.14</v>
      </c>
      <c r="F645" s="524" t="s">
        <v>1404</v>
      </c>
      <c r="G645" s="455" t="s">
        <v>128</v>
      </c>
      <c r="H645" s="461">
        <v>43559</v>
      </c>
      <c r="I645" s="461">
        <v>43829</v>
      </c>
      <c r="J645" s="1145" t="s">
        <v>2628</v>
      </c>
    </row>
    <row r="646" spans="1:10" ht="96" x14ac:dyDescent="0.2">
      <c r="A646" s="1164" t="s">
        <v>1405</v>
      </c>
      <c r="B646" s="453" t="s">
        <v>1406</v>
      </c>
      <c r="C646" s="453" t="s">
        <v>1339</v>
      </c>
      <c r="D646" s="462">
        <v>1</v>
      </c>
      <c r="E646" s="628">
        <v>98883</v>
      </c>
      <c r="F646" s="524" t="s">
        <v>1379</v>
      </c>
      <c r="G646" s="455" t="s">
        <v>128</v>
      </c>
      <c r="H646" s="461">
        <v>43535</v>
      </c>
      <c r="I646" s="461">
        <v>43532</v>
      </c>
      <c r="J646" s="1145" t="s">
        <v>2628</v>
      </c>
    </row>
    <row r="647" spans="1:10" ht="24" x14ac:dyDescent="0.2">
      <c r="A647" s="1163" t="s">
        <v>1407</v>
      </c>
      <c r="B647" s="455" t="s">
        <v>1408</v>
      </c>
      <c r="C647" s="455" t="s">
        <v>1339</v>
      </c>
      <c r="D647" s="455">
        <v>6</v>
      </c>
      <c r="E647" s="452" t="s">
        <v>1409</v>
      </c>
      <c r="F647" s="455"/>
      <c r="G647" s="455" t="s">
        <v>1410</v>
      </c>
      <c r="H647" s="455"/>
      <c r="I647" s="455"/>
      <c r="J647" s="1145" t="s">
        <v>2628</v>
      </c>
    </row>
    <row r="648" spans="1:10" ht="84" x14ac:dyDescent="0.2">
      <c r="A648" s="1163" t="s">
        <v>1411</v>
      </c>
      <c r="B648" s="455" t="s">
        <v>1412</v>
      </c>
      <c r="C648" s="455" t="s">
        <v>1339</v>
      </c>
      <c r="D648" s="455">
        <v>8</v>
      </c>
      <c r="E648" s="452" t="s">
        <v>1409</v>
      </c>
      <c r="F648" s="455"/>
      <c r="G648" s="455" t="s">
        <v>1410</v>
      </c>
      <c r="H648" s="455"/>
      <c r="I648" s="456"/>
      <c r="J648" s="1145" t="s">
        <v>2628</v>
      </c>
    </row>
    <row r="649" spans="1:10" ht="48" customHeight="1" x14ac:dyDescent="0.2">
      <c r="A649" s="1163" t="s">
        <v>1413</v>
      </c>
      <c r="B649" s="455" t="s">
        <v>1414</v>
      </c>
      <c r="C649" s="455" t="s">
        <v>1339</v>
      </c>
      <c r="D649" s="455">
        <v>9</v>
      </c>
      <c r="E649" s="455" t="s">
        <v>1415</v>
      </c>
      <c r="F649" s="455">
        <v>20467534026</v>
      </c>
      <c r="G649" s="455" t="s">
        <v>1416</v>
      </c>
      <c r="H649" s="455"/>
      <c r="I649" s="456"/>
      <c r="J649" s="1145" t="s">
        <v>2628</v>
      </c>
    </row>
    <row r="650" spans="1:10" ht="96" x14ac:dyDescent="0.2">
      <c r="A650" s="1164" t="s">
        <v>1417</v>
      </c>
      <c r="B650" s="455" t="s">
        <v>1418</v>
      </c>
      <c r="C650" s="455" t="s">
        <v>1339</v>
      </c>
      <c r="D650" s="455">
        <v>3</v>
      </c>
      <c r="E650" s="455" t="s">
        <v>1419</v>
      </c>
      <c r="F650" s="455"/>
      <c r="G650" s="455" t="s">
        <v>128</v>
      </c>
      <c r="H650" s="455"/>
      <c r="I650" s="456"/>
      <c r="J650" s="1145" t="s">
        <v>2628</v>
      </c>
    </row>
    <row r="651" spans="1:10" ht="84" x14ac:dyDescent="0.2">
      <c r="A651" s="1164" t="s">
        <v>1420</v>
      </c>
      <c r="B651" s="455" t="s">
        <v>1421</v>
      </c>
      <c r="C651" s="455" t="s">
        <v>1339</v>
      </c>
      <c r="D651" s="455">
        <v>7</v>
      </c>
      <c r="E651" s="455" t="s">
        <v>1422</v>
      </c>
      <c r="F651" s="455"/>
      <c r="G651" s="455" t="s">
        <v>1416</v>
      </c>
      <c r="H651" s="455"/>
      <c r="I651" s="456"/>
      <c r="J651" s="1145" t="s">
        <v>2628</v>
      </c>
    </row>
    <row r="652" spans="1:10" ht="108" x14ac:dyDescent="0.2">
      <c r="A652" s="1164" t="s">
        <v>1423</v>
      </c>
      <c r="B652" s="455" t="s">
        <v>1424</v>
      </c>
      <c r="C652" s="455" t="s">
        <v>1339</v>
      </c>
      <c r="D652" s="455">
        <v>2</v>
      </c>
      <c r="E652" s="629" t="s">
        <v>1425</v>
      </c>
      <c r="F652" s="432">
        <v>20491174693</v>
      </c>
      <c r="G652" s="455" t="s">
        <v>128</v>
      </c>
      <c r="H652" s="465">
        <v>44075</v>
      </c>
      <c r="I652" s="465">
        <v>44088</v>
      </c>
      <c r="J652" s="1145" t="s">
        <v>2628</v>
      </c>
    </row>
    <row r="653" spans="1:10" ht="84" x14ac:dyDescent="0.2">
      <c r="A653" s="1164" t="s">
        <v>1426</v>
      </c>
      <c r="B653" s="455" t="s">
        <v>1427</v>
      </c>
      <c r="C653" s="455" t="s">
        <v>1339</v>
      </c>
      <c r="D653" s="455">
        <v>4</v>
      </c>
      <c r="E653" s="629" t="s">
        <v>1428</v>
      </c>
      <c r="F653" s="464">
        <v>20601052921</v>
      </c>
      <c r="G653" s="455" t="s">
        <v>128</v>
      </c>
      <c r="H653" s="465">
        <v>44070</v>
      </c>
      <c r="I653" s="465">
        <v>44074</v>
      </c>
      <c r="J653" s="1145" t="s">
        <v>2628</v>
      </c>
    </row>
    <row r="654" spans="1:10" ht="84" x14ac:dyDescent="0.2">
      <c r="A654" s="1164" t="s">
        <v>1429</v>
      </c>
      <c r="B654" s="455" t="s">
        <v>1430</v>
      </c>
      <c r="C654" s="455" t="s">
        <v>1339</v>
      </c>
      <c r="D654" s="455">
        <v>4</v>
      </c>
      <c r="E654" s="629" t="s">
        <v>1431</v>
      </c>
      <c r="F654" s="464">
        <v>20601531977</v>
      </c>
      <c r="G654" s="455" t="s">
        <v>128</v>
      </c>
      <c r="H654" s="466">
        <v>44050</v>
      </c>
      <c r="I654" s="465">
        <v>44057</v>
      </c>
      <c r="J654" s="1145" t="s">
        <v>2628</v>
      </c>
    </row>
    <row r="655" spans="1:10" ht="96" x14ac:dyDescent="0.2">
      <c r="A655" s="1164" t="s">
        <v>1432</v>
      </c>
      <c r="B655" s="455" t="s">
        <v>1433</v>
      </c>
      <c r="C655" s="455" t="s">
        <v>1339</v>
      </c>
      <c r="D655" s="455">
        <v>1</v>
      </c>
      <c r="E655" s="629" t="s">
        <v>1434</v>
      </c>
      <c r="F655" s="464">
        <v>20100380065</v>
      </c>
      <c r="G655" s="455" t="s">
        <v>128</v>
      </c>
      <c r="H655" s="466">
        <v>43937</v>
      </c>
      <c r="I655" s="465">
        <v>43951</v>
      </c>
      <c r="J655" s="1145" t="s">
        <v>2628</v>
      </c>
    </row>
    <row r="656" spans="1:10" ht="48" x14ac:dyDescent="0.2">
      <c r="A656" s="1164" t="s">
        <v>1435</v>
      </c>
      <c r="B656" s="455" t="s">
        <v>1436</v>
      </c>
      <c r="C656" s="455" t="s">
        <v>1339</v>
      </c>
      <c r="D656" s="455">
        <v>5</v>
      </c>
      <c r="E656" s="630" t="s">
        <v>1437</v>
      </c>
      <c r="F656" s="464">
        <v>20601052921</v>
      </c>
      <c r="G656" s="455" t="s">
        <v>128</v>
      </c>
      <c r="H656" s="465">
        <v>44061</v>
      </c>
      <c r="I656" s="465">
        <v>44068</v>
      </c>
      <c r="J656" s="1145" t="s">
        <v>2628</v>
      </c>
    </row>
    <row r="657" spans="1:10" ht="96" x14ac:dyDescent="0.2">
      <c r="A657" s="1164" t="s">
        <v>1438</v>
      </c>
      <c r="B657" s="455" t="s">
        <v>1439</v>
      </c>
      <c r="C657" s="455" t="s">
        <v>1339</v>
      </c>
      <c r="D657" s="455">
        <v>2</v>
      </c>
      <c r="E657" s="630" t="s">
        <v>1440</v>
      </c>
      <c r="F657" s="467">
        <v>10244877295</v>
      </c>
      <c r="G657" s="455" t="s">
        <v>128</v>
      </c>
      <c r="H657" s="466">
        <v>44033</v>
      </c>
      <c r="I657" s="456">
        <v>44036</v>
      </c>
      <c r="J657" s="1145" t="s">
        <v>2628</v>
      </c>
    </row>
    <row r="658" spans="1:10" ht="69" customHeight="1" x14ac:dyDescent="0.2">
      <c r="A658" s="1164" t="s">
        <v>1441</v>
      </c>
      <c r="B658" s="455" t="s">
        <v>1442</v>
      </c>
      <c r="C658" s="455" t="s">
        <v>1339</v>
      </c>
      <c r="D658" s="455">
        <v>2</v>
      </c>
      <c r="E658" s="630" t="s">
        <v>1443</v>
      </c>
      <c r="F658" s="464">
        <v>20523109899</v>
      </c>
      <c r="G658" s="455" t="s">
        <v>128</v>
      </c>
      <c r="H658" s="465">
        <v>44027</v>
      </c>
      <c r="I658" s="456">
        <v>44035</v>
      </c>
      <c r="J658" s="1145" t="s">
        <v>2628</v>
      </c>
    </row>
    <row r="659" spans="1:10" ht="24" x14ac:dyDescent="0.2">
      <c r="A659" s="1164" t="s">
        <v>1444</v>
      </c>
      <c r="B659" s="455" t="s">
        <v>1445</v>
      </c>
      <c r="C659" s="455" t="s">
        <v>1339</v>
      </c>
      <c r="D659" s="455">
        <v>2</v>
      </c>
      <c r="E659" s="630" t="s">
        <v>1446</v>
      </c>
      <c r="F659" s="464">
        <v>20600170822</v>
      </c>
      <c r="G659" s="455" t="s">
        <v>1078</v>
      </c>
      <c r="H659" s="465">
        <v>44018</v>
      </c>
      <c r="I659" s="465">
        <v>44195</v>
      </c>
      <c r="J659" s="1145" t="s">
        <v>2628</v>
      </c>
    </row>
    <row r="660" spans="1:10" ht="32.25" customHeight="1" x14ac:dyDescent="0.2">
      <c r="A660" s="1164" t="s">
        <v>1444</v>
      </c>
      <c r="B660" s="455" t="s">
        <v>1447</v>
      </c>
      <c r="C660" s="455" t="s">
        <v>1339</v>
      </c>
      <c r="D660" s="455">
        <v>2</v>
      </c>
      <c r="E660" s="630" t="s">
        <v>1446</v>
      </c>
      <c r="F660" s="455"/>
      <c r="G660" s="455"/>
      <c r="H660" s="455"/>
      <c r="I660" s="455"/>
      <c r="J660" s="1145" t="s">
        <v>2628</v>
      </c>
    </row>
    <row r="661" spans="1:10" ht="42.75" customHeight="1" x14ac:dyDescent="0.2">
      <c r="A661" s="1164" t="s">
        <v>1448</v>
      </c>
      <c r="B661" s="455" t="s">
        <v>1449</v>
      </c>
      <c r="C661" s="455" t="s">
        <v>1339</v>
      </c>
      <c r="D661" s="455">
        <v>1</v>
      </c>
      <c r="E661" s="629" t="s">
        <v>1450</v>
      </c>
      <c r="F661" s="464" t="s">
        <v>1451</v>
      </c>
      <c r="G661" s="455" t="s">
        <v>128</v>
      </c>
      <c r="H661" s="465">
        <v>43873</v>
      </c>
      <c r="I661" s="465">
        <v>44012</v>
      </c>
      <c r="J661" s="1145" t="s">
        <v>2628</v>
      </c>
    </row>
    <row r="662" spans="1:10" ht="47.25" customHeight="1" x14ac:dyDescent="0.2">
      <c r="A662" s="1164" t="s">
        <v>1452</v>
      </c>
      <c r="B662" s="455" t="s">
        <v>1453</v>
      </c>
      <c r="C662" s="455" t="s">
        <v>1339</v>
      </c>
      <c r="D662" s="455">
        <v>1</v>
      </c>
      <c r="E662" s="630" t="s">
        <v>1454</v>
      </c>
      <c r="F662" s="464">
        <v>20277577314</v>
      </c>
      <c r="G662" s="455" t="s">
        <v>1078</v>
      </c>
      <c r="H662" s="465">
        <v>43901</v>
      </c>
      <c r="I662" s="456">
        <v>44196</v>
      </c>
      <c r="J662" s="1145" t="s">
        <v>2628</v>
      </c>
    </row>
    <row r="663" spans="1:10" ht="24" x14ac:dyDescent="0.2">
      <c r="A663" s="1164" t="s">
        <v>1455</v>
      </c>
      <c r="B663" s="455" t="s">
        <v>1456</v>
      </c>
      <c r="C663" s="455" t="s">
        <v>1339</v>
      </c>
      <c r="D663" s="455">
        <v>1</v>
      </c>
      <c r="E663" s="630" t="s">
        <v>1457</v>
      </c>
      <c r="F663" s="467">
        <v>20498475052</v>
      </c>
      <c r="G663" s="455" t="s">
        <v>128</v>
      </c>
      <c r="H663" s="465">
        <v>44026</v>
      </c>
      <c r="I663" s="465">
        <v>44028</v>
      </c>
      <c r="J663" s="1145" t="s">
        <v>2628</v>
      </c>
    </row>
    <row r="664" spans="1:10" ht="84" customHeight="1" thickBot="1" x14ac:dyDescent="0.25">
      <c r="A664" s="1166" t="s">
        <v>1458</v>
      </c>
      <c r="B664" s="587" t="s">
        <v>1459</v>
      </c>
      <c r="C664" s="587" t="s">
        <v>1339</v>
      </c>
      <c r="D664" s="587">
        <v>1</v>
      </c>
      <c r="E664" s="631" t="s">
        <v>1460</v>
      </c>
      <c r="F664" s="588">
        <v>10408381547</v>
      </c>
      <c r="G664" s="587" t="s">
        <v>128</v>
      </c>
      <c r="H664" s="589">
        <v>43878</v>
      </c>
      <c r="I664" s="590">
        <v>43881</v>
      </c>
      <c r="J664" s="1145" t="s">
        <v>2628</v>
      </c>
    </row>
    <row r="665" spans="1:10" ht="27.75" customHeight="1" thickBot="1" x14ac:dyDescent="0.25">
      <c r="A665" s="542" t="s">
        <v>1462</v>
      </c>
      <c r="B665" s="543"/>
      <c r="C665" s="543"/>
      <c r="D665" s="543"/>
      <c r="E665" s="543"/>
      <c r="F665" s="543"/>
      <c r="G665" s="543"/>
      <c r="H665" s="543"/>
      <c r="I665" s="543"/>
      <c r="J665" s="544"/>
    </row>
    <row r="666" spans="1:10" ht="42" customHeight="1" x14ac:dyDescent="0.2">
      <c r="A666" s="1154" t="s">
        <v>1463</v>
      </c>
      <c r="B666" s="444" t="s">
        <v>1291</v>
      </c>
      <c r="C666" s="444" t="s">
        <v>1464</v>
      </c>
      <c r="D666" s="444" t="s">
        <v>1465</v>
      </c>
      <c r="E666" s="591">
        <v>52500</v>
      </c>
      <c r="F666" s="444" t="s">
        <v>1466</v>
      </c>
      <c r="G666" s="443" t="s">
        <v>128</v>
      </c>
      <c r="H666" s="592">
        <v>43664</v>
      </c>
      <c r="I666" s="443"/>
      <c r="J666" s="1145" t="s">
        <v>2628</v>
      </c>
    </row>
    <row r="667" spans="1:10" ht="36" x14ac:dyDescent="0.2">
      <c r="A667" s="1155" t="s">
        <v>1467</v>
      </c>
      <c r="B667" s="440" t="s">
        <v>1291</v>
      </c>
      <c r="C667" s="440" t="s">
        <v>1464</v>
      </c>
      <c r="D667" s="440" t="s">
        <v>1468</v>
      </c>
      <c r="E667" s="526">
        <v>50000</v>
      </c>
      <c r="F667" s="440" t="s">
        <v>1469</v>
      </c>
      <c r="G667" s="439" t="s">
        <v>128</v>
      </c>
      <c r="H667" s="527">
        <v>43691</v>
      </c>
      <c r="I667" s="439"/>
      <c r="J667" s="1145" t="s">
        <v>2628</v>
      </c>
    </row>
    <row r="668" spans="1:10" ht="36" x14ac:dyDescent="0.2">
      <c r="A668" s="1155" t="s">
        <v>1470</v>
      </c>
      <c r="B668" s="440" t="s">
        <v>1338</v>
      </c>
      <c r="C668" s="440" t="s">
        <v>1339</v>
      </c>
      <c r="D668" s="440" t="s">
        <v>1465</v>
      </c>
      <c r="E668" s="526">
        <v>62900</v>
      </c>
      <c r="F668" s="440" t="s">
        <v>1471</v>
      </c>
      <c r="G668" s="439" t="s">
        <v>128</v>
      </c>
      <c r="H668" s="527">
        <v>43791</v>
      </c>
      <c r="I668" s="439"/>
      <c r="J668" s="1145" t="s">
        <v>2628</v>
      </c>
    </row>
    <row r="669" spans="1:10" ht="72" x14ac:dyDescent="0.2">
      <c r="A669" s="1155" t="s">
        <v>1472</v>
      </c>
      <c r="B669" s="440" t="s">
        <v>1473</v>
      </c>
      <c r="C669" s="440" t="s">
        <v>1339</v>
      </c>
      <c r="D669" s="440" t="s">
        <v>1465</v>
      </c>
      <c r="E669" s="526">
        <v>258500</v>
      </c>
      <c r="F669" s="440" t="s">
        <v>1474</v>
      </c>
      <c r="G669" s="439" t="s">
        <v>128</v>
      </c>
      <c r="H669" s="527">
        <v>43623</v>
      </c>
      <c r="I669" s="439"/>
      <c r="J669" s="1145" t="s">
        <v>2628</v>
      </c>
    </row>
    <row r="670" spans="1:10" ht="48" x14ac:dyDescent="0.2">
      <c r="A670" s="1155" t="s">
        <v>1475</v>
      </c>
      <c r="B670" s="440" t="s">
        <v>1473</v>
      </c>
      <c r="C670" s="440" t="s">
        <v>1339</v>
      </c>
      <c r="D670" s="440" t="s">
        <v>1468</v>
      </c>
      <c r="E670" s="526">
        <v>367050</v>
      </c>
      <c r="F670" s="440" t="s">
        <v>1476</v>
      </c>
      <c r="G670" s="439" t="s">
        <v>128</v>
      </c>
      <c r="H670" s="527">
        <v>43658</v>
      </c>
      <c r="I670" s="439"/>
      <c r="J670" s="1145" t="s">
        <v>2628</v>
      </c>
    </row>
    <row r="671" spans="1:10" ht="60" x14ac:dyDescent="0.2">
      <c r="A671" s="1155" t="s">
        <v>1477</v>
      </c>
      <c r="B671" s="440" t="s">
        <v>1473</v>
      </c>
      <c r="C671" s="440" t="s">
        <v>1339</v>
      </c>
      <c r="D671" s="440" t="s">
        <v>1478</v>
      </c>
      <c r="E671" s="526">
        <v>147658</v>
      </c>
      <c r="F671" s="440" t="s">
        <v>1479</v>
      </c>
      <c r="G671" s="439" t="s">
        <v>128</v>
      </c>
      <c r="H671" s="527">
        <v>43801</v>
      </c>
      <c r="I671" s="439"/>
      <c r="J671" s="1145" t="s">
        <v>2628</v>
      </c>
    </row>
    <row r="672" spans="1:10" ht="39.75" customHeight="1" x14ac:dyDescent="0.2">
      <c r="A672" s="1155" t="s">
        <v>1480</v>
      </c>
      <c r="B672" s="440" t="s">
        <v>1473</v>
      </c>
      <c r="C672" s="440" t="s">
        <v>1339</v>
      </c>
      <c r="D672" s="439" t="s">
        <v>1481</v>
      </c>
      <c r="E672" s="526">
        <v>89270</v>
      </c>
      <c r="F672" s="439" t="s">
        <v>1482</v>
      </c>
      <c r="G672" s="439" t="s">
        <v>128</v>
      </c>
      <c r="H672" s="527">
        <v>43822</v>
      </c>
      <c r="I672" s="439"/>
      <c r="J672" s="1145" t="s">
        <v>2628</v>
      </c>
    </row>
    <row r="673" spans="1:10" ht="72" x14ac:dyDescent="0.2">
      <c r="A673" s="1155" t="s">
        <v>1483</v>
      </c>
      <c r="B673" s="440" t="s">
        <v>1473</v>
      </c>
      <c r="C673" s="440" t="s">
        <v>1339</v>
      </c>
      <c r="D673" s="440" t="s">
        <v>1484</v>
      </c>
      <c r="E673" s="526">
        <v>115000</v>
      </c>
      <c r="F673" s="440" t="s">
        <v>1485</v>
      </c>
      <c r="G673" s="439" t="s">
        <v>128</v>
      </c>
      <c r="H673" s="527">
        <v>43812</v>
      </c>
      <c r="I673" s="439"/>
      <c r="J673" s="1145" t="s">
        <v>2628</v>
      </c>
    </row>
    <row r="674" spans="1:10" ht="78" customHeight="1" x14ac:dyDescent="0.2">
      <c r="A674" s="1155" t="s">
        <v>1486</v>
      </c>
      <c r="B674" s="440" t="s">
        <v>1473</v>
      </c>
      <c r="C674" s="440" t="s">
        <v>1339</v>
      </c>
      <c r="D674" s="440" t="s">
        <v>1487</v>
      </c>
      <c r="E674" s="526">
        <v>100350</v>
      </c>
      <c r="F674" s="440" t="s">
        <v>1488</v>
      </c>
      <c r="G674" s="439" t="s">
        <v>128</v>
      </c>
      <c r="H674" s="527">
        <v>43801</v>
      </c>
      <c r="I674" s="439"/>
      <c r="J674" s="1145" t="s">
        <v>2628</v>
      </c>
    </row>
    <row r="675" spans="1:10" ht="81" customHeight="1" x14ac:dyDescent="0.2">
      <c r="A675" s="1155" t="s">
        <v>1489</v>
      </c>
      <c r="B675" s="440" t="s">
        <v>1473</v>
      </c>
      <c r="C675" s="440" t="s">
        <v>1339</v>
      </c>
      <c r="D675" s="440" t="s">
        <v>1490</v>
      </c>
      <c r="E675" s="526">
        <v>157176.67000000001</v>
      </c>
      <c r="F675" s="440" t="s">
        <v>1491</v>
      </c>
      <c r="G675" s="439" t="s">
        <v>128</v>
      </c>
      <c r="H675" s="527">
        <v>43802</v>
      </c>
      <c r="I675" s="439"/>
      <c r="J675" s="1145" t="s">
        <v>2628</v>
      </c>
    </row>
    <row r="676" spans="1:10" ht="36" x14ac:dyDescent="0.2">
      <c r="A676" s="1155" t="s">
        <v>1492</v>
      </c>
      <c r="B676" s="440" t="s">
        <v>1473</v>
      </c>
      <c r="C676" s="440" t="s">
        <v>1339</v>
      </c>
      <c r="D676" s="440" t="s">
        <v>1493</v>
      </c>
      <c r="E676" s="526">
        <v>193000</v>
      </c>
      <c r="F676" s="440" t="s">
        <v>1494</v>
      </c>
      <c r="G676" s="439" t="s">
        <v>128</v>
      </c>
      <c r="H676" s="527">
        <v>43809</v>
      </c>
      <c r="I676" s="439"/>
      <c r="J676" s="1145" t="s">
        <v>2628</v>
      </c>
    </row>
    <row r="677" spans="1:10" ht="72" x14ac:dyDescent="0.2">
      <c r="A677" s="1155" t="s">
        <v>1495</v>
      </c>
      <c r="B677" s="440" t="s">
        <v>1473</v>
      </c>
      <c r="C677" s="440" t="s">
        <v>1339</v>
      </c>
      <c r="D677" s="440" t="s">
        <v>1496</v>
      </c>
      <c r="E677" s="526">
        <v>199701</v>
      </c>
      <c r="F677" s="440" t="s">
        <v>1497</v>
      </c>
      <c r="G677" s="439" t="s">
        <v>128</v>
      </c>
      <c r="H677" s="527">
        <v>43537</v>
      </c>
      <c r="I677" s="439"/>
      <c r="J677" s="1145" t="s">
        <v>2628</v>
      </c>
    </row>
    <row r="678" spans="1:10" ht="132" x14ac:dyDescent="0.2">
      <c r="A678" s="1155" t="s">
        <v>1498</v>
      </c>
      <c r="B678" s="440" t="s">
        <v>1499</v>
      </c>
      <c r="C678" s="440" t="s">
        <v>1339</v>
      </c>
      <c r="D678" s="440" t="s">
        <v>1500</v>
      </c>
      <c r="E678" s="526">
        <v>3857152.63</v>
      </c>
      <c r="F678" s="440" t="s">
        <v>1501</v>
      </c>
      <c r="G678" s="439" t="s">
        <v>128</v>
      </c>
      <c r="H678" s="527">
        <v>44000</v>
      </c>
      <c r="I678" s="439"/>
      <c r="J678" s="1145" t="s">
        <v>2628</v>
      </c>
    </row>
    <row r="679" spans="1:10" ht="108" x14ac:dyDescent="0.2">
      <c r="A679" s="1155" t="s">
        <v>1502</v>
      </c>
      <c r="B679" s="440" t="s">
        <v>1499</v>
      </c>
      <c r="C679" s="440" t="s">
        <v>1339</v>
      </c>
      <c r="D679" s="440" t="s">
        <v>1503</v>
      </c>
      <c r="E679" s="526">
        <v>2383529.44</v>
      </c>
      <c r="F679" s="440" t="s">
        <v>1501</v>
      </c>
      <c r="G679" s="439" t="s">
        <v>128</v>
      </c>
      <c r="H679" s="527">
        <v>44000</v>
      </c>
      <c r="I679" s="439"/>
      <c r="J679" s="1145" t="s">
        <v>2628</v>
      </c>
    </row>
    <row r="680" spans="1:10" ht="48" x14ac:dyDescent="0.2">
      <c r="A680" s="1155" t="s">
        <v>1504</v>
      </c>
      <c r="B680" s="440" t="s">
        <v>1473</v>
      </c>
      <c r="C680" s="440" t="s">
        <v>1339</v>
      </c>
      <c r="D680" s="440" t="s">
        <v>1505</v>
      </c>
      <c r="E680" s="526">
        <v>110509.3</v>
      </c>
      <c r="F680" s="440" t="s">
        <v>1506</v>
      </c>
      <c r="G680" s="439" t="s">
        <v>128</v>
      </c>
      <c r="H680" s="527">
        <v>44046</v>
      </c>
      <c r="I680" s="439"/>
      <c r="J680" s="1145" t="s">
        <v>2628</v>
      </c>
    </row>
    <row r="681" spans="1:10" ht="60" x14ac:dyDescent="0.2">
      <c r="A681" s="1155" t="s">
        <v>1507</v>
      </c>
      <c r="B681" s="440" t="s">
        <v>1473</v>
      </c>
      <c r="C681" s="440" t="s">
        <v>1339</v>
      </c>
      <c r="D681" s="440" t="s">
        <v>1508</v>
      </c>
      <c r="E681" s="526">
        <v>128976.59</v>
      </c>
      <c r="F681" s="440" t="s">
        <v>1509</v>
      </c>
      <c r="G681" s="439" t="s">
        <v>128</v>
      </c>
      <c r="H681" s="527">
        <v>44043</v>
      </c>
      <c r="I681" s="439"/>
      <c r="J681" s="1145" t="s">
        <v>2628</v>
      </c>
    </row>
    <row r="682" spans="1:10" ht="48" x14ac:dyDescent="0.2">
      <c r="A682" s="1155" t="s">
        <v>1510</v>
      </c>
      <c r="B682" s="440" t="s">
        <v>1473</v>
      </c>
      <c r="C682" s="440" t="s">
        <v>1339</v>
      </c>
      <c r="D682" s="440" t="s">
        <v>1511</v>
      </c>
      <c r="E682" s="526">
        <v>98793.26</v>
      </c>
      <c r="F682" s="440" t="s">
        <v>1512</v>
      </c>
      <c r="G682" s="439" t="s">
        <v>128</v>
      </c>
      <c r="H682" s="527">
        <v>44043</v>
      </c>
      <c r="I682" s="439"/>
      <c r="J682" s="1145" t="s">
        <v>2628</v>
      </c>
    </row>
    <row r="683" spans="1:10" ht="48" x14ac:dyDescent="0.2">
      <c r="A683" s="1155" t="s">
        <v>1513</v>
      </c>
      <c r="B683" s="440" t="s">
        <v>1473</v>
      </c>
      <c r="C683" s="440" t="s">
        <v>1339</v>
      </c>
      <c r="D683" s="440" t="s">
        <v>1514</v>
      </c>
      <c r="E683" s="526">
        <v>85455.99</v>
      </c>
      <c r="F683" s="440" t="s">
        <v>1515</v>
      </c>
      <c r="G683" s="439" t="s">
        <v>128</v>
      </c>
      <c r="H683" s="527">
        <v>44043</v>
      </c>
      <c r="I683" s="439"/>
      <c r="J683" s="1145" t="s">
        <v>2628</v>
      </c>
    </row>
    <row r="684" spans="1:10" ht="48" x14ac:dyDescent="0.2">
      <c r="A684" s="1155" t="s">
        <v>1516</v>
      </c>
      <c r="B684" s="440" t="s">
        <v>1473</v>
      </c>
      <c r="C684" s="440" t="s">
        <v>1339</v>
      </c>
      <c r="D684" s="440" t="s">
        <v>1517</v>
      </c>
      <c r="E684" s="526">
        <v>45950.61</v>
      </c>
      <c r="F684" s="440" t="s">
        <v>1515</v>
      </c>
      <c r="G684" s="439" t="s">
        <v>128</v>
      </c>
      <c r="H684" s="527">
        <v>44043</v>
      </c>
      <c r="I684" s="439"/>
      <c r="J684" s="1145" t="s">
        <v>2628</v>
      </c>
    </row>
    <row r="685" spans="1:10" ht="60" x14ac:dyDescent="0.2">
      <c r="A685" s="1155" t="s">
        <v>1518</v>
      </c>
      <c r="B685" s="440" t="s">
        <v>1473</v>
      </c>
      <c r="C685" s="440" t="s">
        <v>1339</v>
      </c>
      <c r="D685" s="440" t="s">
        <v>1519</v>
      </c>
      <c r="E685" s="526">
        <v>80981.25</v>
      </c>
      <c r="F685" s="440" t="s">
        <v>1520</v>
      </c>
      <c r="G685" s="439" t="s">
        <v>128</v>
      </c>
      <c r="H685" s="527">
        <v>44040</v>
      </c>
      <c r="I685" s="439"/>
      <c r="J685" s="1145" t="s">
        <v>2628</v>
      </c>
    </row>
    <row r="686" spans="1:10" ht="60" x14ac:dyDescent="0.2">
      <c r="A686" s="1155" t="s">
        <v>1521</v>
      </c>
      <c r="B686" s="440" t="s">
        <v>1473</v>
      </c>
      <c r="C686" s="440" t="s">
        <v>1339</v>
      </c>
      <c r="D686" s="440" t="s">
        <v>1522</v>
      </c>
      <c r="E686" s="526">
        <v>70439.03</v>
      </c>
      <c r="F686" s="440" t="s">
        <v>1506</v>
      </c>
      <c r="G686" s="439" t="s">
        <v>128</v>
      </c>
      <c r="H686" s="527">
        <v>44043</v>
      </c>
      <c r="I686" s="439"/>
      <c r="J686" s="1145" t="s">
        <v>2628</v>
      </c>
    </row>
    <row r="687" spans="1:10" ht="48" x14ac:dyDescent="0.2">
      <c r="A687" s="1155" t="s">
        <v>1523</v>
      </c>
      <c r="B687" s="440" t="s">
        <v>1473</v>
      </c>
      <c r="C687" s="440" t="s">
        <v>1339</v>
      </c>
      <c r="D687" s="440" t="s">
        <v>1524</v>
      </c>
      <c r="E687" s="526">
        <v>180000</v>
      </c>
      <c r="F687" s="440" t="s">
        <v>1525</v>
      </c>
      <c r="G687" s="439" t="s">
        <v>128</v>
      </c>
      <c r="H687" s="527">
        <v>44046</v>
      </c>
      <c r="I687" s="439"/>
      <c r="J687" s="1145" t="s">
        <v>2628</v>
      </c>
    </row>
    <row r="688" spans="1:10" ht="48" x14ac:dyDescent="0.2">
      <c r="A688" s="1155" t="s">
        <v>1526</v>
      </c>
      <c r="B688" s="440" t="s">
        <v>1473</v>
      </c>
      <c r="C688" s="440" t="s">
        <v>1339</v>
      </c>
      <c r="D688" s="440" t="s">
        <v>1527</v>
      </c>
      <c r="E688" s="526">
        <v>199760.78</v>
      </c>
      <c r="F688" s="440" t="s">
        <v>1528</v>
      </c>
      <c r="G688" s="439" t="s">
        <v>128</v>
      </c>
      <c r="H688" s="527">
        <v>44046</v>
      </c>
      <c r="I688" s="439"/>
      <c r="J688" s="1145" t="s">
        <v>2628</v>
      </c>
    </row>
    <row r="689" spans="1:10" ht="60" x14ac:dyDescent="0.2">
      <c r="A689" s="1155" t="s">
        <v>1529</v>
      </c>
      <c r="B689" s="440" t="s">
        <v>1473</v>
      </c>
      <c r="C689" s="440" t="s">
        <v>1339</v>
      </c>
      <c r="D689" s="440" t="s">
        <v>1530</v>
      </c>
      <c r="E689" s="526">
        <v>170000</v>
      </c>
      <c r="F689" s="440" t="s">
        <v>1531</v>
      </c>
      <c r="G689" s="439" t="s">
        <v>128</v>
      </c>
      <c r="H689" s="527">
        <v>44046</v>
      </c>
      <c r="I689" s="439"/>
      <c r="J689" s="1145" t="s">
        <v>2628</v>
      </c>
    </row>
    <row r="690" spans="1:10" ht="48" x14ac:dyDescent="0.2">
      <c r="A690" s="1155" t="s">
        <v>1532</v>
      </c>
      <c r="B690" s="440" t="s">
        <v>1473</v>
      </c>
      <c r="C690" s="440" t="s">
        <v>1339</v>
      </c>
      <c r="D690" s="440" t="s">
        <v>1533</v>
      </c>
      <c r="E690" s="526">
        <v>85029.55</v>
      </c>
      <c r="F690" s="440" t="s">
        <v>1534</v>
      </c>
      <c r="G690" s="439" t="s">
        <v>128</v>
      </c>
      <c r="H690" s="527">
        <v>44046</v>
      </c>
      <c r="I690" s="439"/>
      <c r="J690" s="1145" t="s">
        <v>2628</v>
      </c>
    </row>
    <row r="691" spans="1:10" ht="48" x14ac:dyDescent="0.2">
      <c r="A691" s="1155" t="s">
        <v>1535</v>
      </c>
      <c r="B691" s="440" t="s">
        <v>1473</v>
      </c>
      <c r="C691" s="440" t="s">
        <v>1339</v>
      </c>
      <c r="D691" s="440" t="s">
        <v>1536</v>
      </c>
      <c r="E691" s="526">
        <v>153209.48000000001</v>
      </c>
      <c r="F691" s="440" t="s">
        <v>1515</v>
      </c>
      <c r="G691" s="439" t="s">
        <v>128</v>
      </c>
      <c r="H691" s="527">
        <v>44046</v>
      </c>
      <c r="I691" s="439"/>
      <c r="J691" s="1145" t="s">
        <v>2628</v>
      </c>
    </row>
    <row r="692" spans="1:10" ht="108" x14ac:dyDescent="0.2">
      <c r="A692" s="1155" t="s">
        <v>1537</v>
      </c>
      <c r="B692" s="440" t="s">
        <v>1538</v>
      </c>
      <c r="C692" s="440" t="s">
        <v>1339</v>
      </c>
      <c r="D692" s="440" t="s">
        <v>1505</v>
      </c>
      <c r="E692" s="526">
        <v>44942.2</v>
      </c>
      <c r="F692" s="440" t="s">
        <v>1539</v>
      </c>
      <c r="G692" s="439" t="s">
        <v>128</v>
      </c>
      <c r="H692" s="527">
        <v>44078</v>
      </c>
      <c r="I692" s="439"/>
      <c r="J692" s="1145" t="s">
        <v>2628</v>
      </c>
    </row>
    <row r="693" spans="1:10" ht="108" x14ac:dyDescent="0.2">
      <c r="A693" s="1155" t="s">
        <v>1540</v>
      </c>
      <c r="B693" s="440" t="s">
        <v>1538</v>
      </c>
      <c r="C693" s="440" t="s">
        <v>1339</v>
      </c>
      <c r="D693" s="440" t="s">
        <v>1505</v>
      </c>
      <c r="E693" s="526">
        <v>67970.06</v>
      </c>
      <c r="F693" s="440" t="s">
        <v>1541</v>
      </c>
      <c r="G693" s="439" t="s">
        <v>128</v>
      </c>
      <c r="H693" s="527">
        <v>44078</v>
      </c>
      <c r="I693" s="439"/>
      <c r="J693" s="1145" t="s">
        <v>2628</v>
      </c>
    </row>
    <row r="694" spans="1:10" ht="120" x14ac:dyDescent="0.2">
      <c r="A694" s="1155" t="s">
        <v>1542</v>
      </c>
      <c r="B694" s="440" t="s">
        <v>1538</v>
      </c>
      <c r="C694" s="440" t="s">
        <v>1339</v>
      </c>
      <c r="D694" s="440" t="s">
        <v>1505</v>
      </c>
      <c r="E694" s="526">
        <v>84280.17</v>
      </c>
      <c r="F694" s="440" t="s">
        <v>1543</v>
      </c>
      <c r="G694" s="439" t="s">
        <v>128</v>
      </c>
      <c r="H694" s="527">
        <v>44078</v>
      </c>
      <c r="I694" s="439"/>
      <c r="J694" s="1145" t="s">
        <v>2628</v>
      </c>
    </row>
    <row r="695" spans="1:10" ht="108" x14ac:dyDescent="0.2">
      <c r="A695" s="1155" t="s">
        <v>1544</v>
      </c>
      <c r="B695" s="440" t="s">
        <v>1538</v>
      </c>
      <c r="C695" s="440" t="s">
        <v>1339</v>
      </c>
      <c r="D695" s="440" t="s">
        <v>1545</v>
      </c>
      <c r="E695" s="526">
        <v>66263.67</v>
      </c>
      <c r="F695" s="440" t="s">
        <v>1546</v>
      </c>
      <c r="G695" s="439" t="s">
        <v>128</v>
      </c>
      <c r="H695" s="527">
        <v>44078</v>
      </c>
      <c r="I695" s="439"/>
      <c r="J695" s="1145" t="s">
        <v>2628</v>
      </c>
    </row>
    <row r="696" spans="1:10" ht="108" x14ac:dyDescent="0.2">
      <c r="A696" s="1155" t="s">
        <v>1547</v>
      </c>
      <c r="B696" s="440" t="s">
        <v>1538</v>
      </c>
      <c r="C696" s="440" t="s">
        <v>1339</v>
      </c>
      <c r="D696" s="440" t="s">
        <v>1545</v>
      </c>
      <c r="E696" s="526">
        <v>49428.36</v>
      </c>
      <c r="F696" s="440" t="s">
        <v>1548</v>
      </c>
      <c r="G696" s="439" t="s">
        <v>128</v>
      </c>
      <c r="H696" s="527">
        <v>44088</v>
      </c>
      <c r="I696" s="439"/>
      <c r="J696" s="1145" t="s">
        <v>2628</v>
      </c>
    </row>
    <row r="697" spans="1:10" ht="108" x14ac:dyDescent="0.2">
      <c r="A697" s="1155" t="s">
        <v>1549</v>
      </c>
      <c r="B697" s="440" t="s">
        <v>1538</v>
      </c>
      <c r="C697" s="440" t="s">
        <v>1339</v>
      </c>
      <c r="D697" s="440" t="s">
        <v>1545</v>
      </c>
      <c r="E697" s="526">
        <v>52344.639999999999</v>
      </c>
      <c r="F697" s="440" t="s">
        <v>1550</v>
      </c>
      <c r="G697" s="439" t="s">
        <v>128</v>
      </c>
      <c r="H697" s="527">
        <v>44078</v>
      </c>
      <c r="I697" s="439"/>
      <c r="J697" s="1145" t="s">
        <v>2628</v>
      </c>
    </row>
    <row r="698" spans="1:10" ht="108" x14ac:dyDescent="0.2">
      <c r="A698" s="1155" t="s">
        <v>1551</v>
      </c>
      <c r="B698" s="440" t="s">
        <v>1538</v>
      </c>
      <c r="C698" s="440" t="s">
        <v>1339</v>
      </c>
      <c r="D698" s="440" t="s">
        <v>1545</v>
      </c>
      <c r="E698" s="526">
        <v>74966.34</v>
      </c>
      <c r="F698" s="440" t="s">
        <v>1552</v>
      </c>
      <c r="G698" s="439" t="s">
        <v>128</v>
      </c>
      <c r="H698" s="527">
        <v>44078</v>
      </c>
      <c r="I698" s="439"/>
      <c r="J698" s="1145" t="s">
        <v>2628</v>
      </c>
    </row>
    <row r="699" spans="1:10" ht="108" x14ac:dyDescent="0.2">
      <c r="A699" s="1155" t="s">
        <v>1553</v>
      </c>
      <c r="B699" s="440" t="s">
        <v>1538</v>
      </c>
      <c r="C699" s="440" t="s">
        <v>1339</v>
      </c>
      <c r="D699" s="440" t="s">
        <v>1545</v>
      </c>
      <c r="E699" s="526">
        <v>79626.350000000006</v>
      </c>
      <c r="F699" s="440" t="s">
        <v>1554</v>
      </c>
      <c r="G699" s="439" t="s">
        <v>128</v>
      </c>
      <c r="H699" s="527">
        <v>44078</v>
      </c>
      <c r="I699" s="439"/>
      <c r="J699" s="1145" t="s">
        <v>2628</v>
      </c>
    </row>
    <row r="700" spans="1:10" ht="108" x14ac:dyDescent="0.2">
      <c r="A700" s="1155" t="s">
        <v>1555</v>
      </c>
      <c r="B700" s="440" t="s">
        <v>1538</v>
      </c>
      <c r="C700" s="440" t="s">
        <v>1339</v>
      </c>
      <c r="D700" s="440" t="s">
        <v>1545</v>
      </c>
      <c r="E700" s="526">
        <v>43553.16</v>
      </c>
      <c r="F700" s="440" t="s">
        <v>1554</v>
      </c>
      <c r="G700" s="439" t="s">
        <v>128</v>
      </c>
      <c r="H700" s="527">
        <v>44078</v>
      </c>
      <c r="I700" s="439"/>
      <c r="J700" s="1145" t="s">
        <v>2628</v>
      </c>
    </row>
    <row r="701" spans="1:10" ht="108" x14ac:dyDescent="0.2">
      <c r="A701" s="1155" t="s">
        <v>1556</v>
      </c>
      <c r="B701" s="440" t="s">
        <v>1538</v>
      </c>
      <c r="C701" s="440" t="s">
        <v>1339</v>
      </c>
      <c r="D701" s="440" t="s">
        <v>1545</v>
      </c>
      <c r="E701" s="526">
        <v>36539.129999999997</v>
      </c>
      <c r="F701" s="440" t="s">
        <v>1557</v>
      </c>
      <c r="G701" s="439" t="s">
        <v>128</v>
      </c>
      <c r="H701" s="527">
        <v>44088</v>
      </c>
      <c r="I701" s="439"/>
      <c r="J701" s="1145" t="s">
        <v>2628</v>
      </c>
    </row>
    <row r="702" spans="1:10" ht="108" x14ac:dyDescent="0.2">
      <c r="A702" s="1155" t="s">
        <v>1558</v>
      </c>
      <c r="B702" s="440" t="s">
        <v>1538</v>
      </c>
      <c r="C702" s="440" t="s">
        <v>1339</v>
      </c>
      <c r="D702" s="440" t="s">
        <v>1545</v>
      </c>
      <c r="E702" s="526">
        <v>88436.01</v>
      </c>
      <c r="F702" s="440" t="s">
        <v>1559</v>
      </c>
      <c r="G702" s="439" t="s">
        <v>128</v>
      </c>
      <c r="H702" s="527">
        <v>44078</v>
      </c>
      <c r="I702" s="439"/>
      <c r="J702" s="1145" t="s">
        <v>2628</v>
      </c>
    </row>
    <row r="703" spans="1:10" ht="108" x14ac:dyDescent="0.2">
      <c r="A703" s="1155" t="s">
        <v>1560</v>
      </c>
      <c r="B703" s="440" t="s">
        <v>1538</v>
      </c>
      <c r="C703" s="440" t="s">
        <v>1339</v>
      </c>
      <c r="D703" s="440" t="s">
        <v>1545</v>
      </c>
      <c r="E703" s="526">
        <v>80677.279999999999</v>
      </c>
      <c r="F703" s="440" t="s">
        <v>1552</v>
      </c>
      <c r="G703" s="439" t="s">
        <v>128</v>
      </c>
      <c r="H703" s="527">
        <v>44078</v>
      </c>
      <c r="I703" s="439"/>
      <c r="J703" s="1145" t="s">
        <v>2628</v>
      </c>
    </row>
    <row r="704" spans="1:10" ht="108" x14ac:dyDescent="0.2">
      <c r="A704" s="1155" t="s">
        <v>1561</v>
      </c>
      <c r="B704" s="440" t="s">
        <v>1538</v>
      </c>
      <c r="C704" s="440" t="s">
        <v>1339</v>
      </c>
      <c r="D704" s="440" t="s">
        <v>1545</v>
      </c>
      <c r="E704" s="526">
        <v>60330.879999999997</v>
      </c>
      <c r="F704" s="440" t="s">
        <v>1548</v>
      </c>
      <c r="G704" s="439" t="s">
        <v>128</v>
      </c>
      <c r="H704" s="527">
        <v>44088</v>
      </c>
      <c r="I704" s="439"/>
      <c r="J704" s="1145" t="s">
        <v>2628</v>
      </c>
    </row>
    <row r="705" spans="1:10" ht="108" x14ac:dyDescent="0.2">
      <c r="A705" s="1155" t="s">
        <v>1562</v>
      </c>
      <c r="B705" s="440" t="s">
        <v>1538</v>
      </c>
      <c r="C705" s="440" t="s">
        <v>1339</v>
      </c>
      <c r="D705" s="440" t="s">
        <v>1545</v>
      </c>
      <c r="E705" s="526">
        <v>51486.400000000001</v>
      </c>
      <c r="F705" s="440" t="s">
        <v>1548</v>
      </c>
      <c r="G705" s="439" t="s">
        <v>128</v>
      </c>
      <c r="H705" s="527">
        <v>44088</v>
      </c>
      <c r="I705" s="439"/>
      <c r="J705" s="1145" t="s">
        <v>2628</v>
      </c>
    </row>
    <row r="706" spans="1:10" ht="48" x14ac:dyDescent="0.2">
      <c r="A706" s="1167" t="s">
        <v>1563</v>
      </c>
      <c r="B706" s="515" t="s">
        <v>1499</v>
      </c>
      <c r="C706" s="440" t="str">
        <f>+C705</f>
        <v>SIN MODALIDAD</v>
      </c>
      <c r="D706" s="606" t="s">
        <v>1564</v>
      </c>
      <c r="E706" s="650">
        <v>926276.02</v>
      </c>
      <c r="F706" s="440"/>
      <c r="G706" s="439" t="s">
        <v>1565</v>
      </c>
      <c r="H706" s="527"/>
      <c r="I706" s="439"/>
      <c r="J706" s="1145" t="s">
        <v>2628</v>
      </c>
    </row>
    <row r="707" spans="1:10" ht="60" x14ac:dyDescent="0.2">
      <c r="A707" s="1168" t="s">
        <v>1566</v>
      </c>
      <c r="B707" s="440" t="str">
        <f t="shared" ref="B707:C719" si="0">+B706</f>
        <v>CONCURSO PÚBLICO</v>
      </c>
      <c r="C707" s="440" t="s">
        <v>1339</v>
      </c>
      <c r="D707" s="606" t="s">
        <v>1567</v>
      </c>
      <c r="E707" s="650">
        <v>814294.17</v>
      </c>
      <c r="F707" s="440"/>
      <c r="G707" s="510" t="s">
        <v>1568</v>
      </c>
      <c r="H707" s="527"/>
      <c r="I707" s="439"/>
      <c r="J707" s="1145" t="s">
        <v>2628</v>
      </c>
    </row>
    <row r="708" spans="1:10" ht="48" x14ac:dyDescent="0.2">
      <c r="A708" s="1168" t="s">
        <v>1569</v>
      </c>
      <c r="B708" s="440" t="str">
        <f t="shared" si="0"/>
        <v>CONCURSO PÚBLICO</v>
      </c>
      <c r="C708" s="440" t="str">
        <f t="shared" si="0"/>
        <v>SIN MODALIDAD</v>
      </c>
      <c r="D708" s="606" t="s">
        <v>1570</v>
      </c>
      <c r="E708" s="650">
        <v>948558.44</v>
      </c>
      <c r="F708" s="440"/>
      <c r="G708" s="439" t="str">
        <f>+G707</f>
        <v>PRESENTACION DE DOCUMENTOS PARA FIRMA DE CONTRATO</v>
      </c>
      <c r="H708" s="527"/>
      <c r="I708" s="439"/>
      <c r="J708" s="1145" t="s">
        <v>2628</v>
      </c>
    </row>
    <row r="709" spans="1:10" ht="60" x14ac:dyDescent="0.2">
      <c r="A709" s="1168" t="s">
        <v>1571</v>
      </c>
      <c r="B709" s="440" t="str">
        <f t="shared" si="0"/>
        <v>CONCURSO PÚBLICO</v>
      </c>
      <c r="C709" s="440" t="s">
        <v>1339</v>
      </c>
      <c r="D709" s="472" t="s">
        <v>1572</v>
      </c>
      <c r="E709" s="650">
        <v>1840000</v>
      </c>
      <c r="F709" s="440"/>
      <c r="G709" s="439" t="str">
        <f>+G708</f>
        <v>PRESENTACION DE DOCUMENTOS PARA FIRMA DE CONTRATO</v>
      </c>
      <c r="H709" s="527"/>
      <c r="I709" s="439"/>
      <c r="J709" s="1145" t="s">
        <v>2628</v>
      </c>
    </row>
    <row r="710" spans="1:10" ht="60" x14ac:dyDescent="0.2">
      <c r="A710" s="1168" t="s">
        <v>1573</v>
      </c>
      <c r="B710" s="440" t="str">
        <f t="shared" si="0"/>
        <v>CONCURSO PÚBLICO</v>
      </c>
      <c r="C710" s="440" t="str">
        <f t="shared" si="0"/>
        <v>SIN MODALIDAD</v>
      </c>
      <c r="D710" s="606" t="s">
        <v>1574</v>
      </c>
      <c r="E710" s="650">
        <v>439431.37</v>
      </c>
      <c r="F710" s="440"/>
      <c r="G710" s="439" t="s">
        <v>1575</v>
      </c>
      <c r="H710" s="527"/>
      <c r="I710" s="439"/>
      <c r="J710" s="1145" t="s">
        <v>2628</v>
      </c>
    </row>
    <row r="711" spans="1:10" ht="60" x14ac:dyDescent="0.2">
      <c r="A711" s="1168" t="s">
        <v>1576</v>
      </c>
      <c r="B711" s="440" t="str">
        <f t="shared" si="0"/>
        <v>CONCURSO PÚBLICO</v>
      </c>
      <c r="C711" s="440" t="s">
        <v>1339</v>
      </c>
      <c r="D711" s="606" t="s">
        <v>1577</v>
      </c>
      <c r="E711" s="650">
        <v>669876.63</v>
      </c>
      <c r="F711" s="440"/>
      <c r="G711" s="439" t="str">
        <f>+G710</f>
        <v xml:space="preserve">CONSENTIMIENTO DE BUENA PRO </v>
      </c>
      <c r="H711" s="527"/>
      <c r="I711" s="439"/>
      <c r="J711" s="1145" t="s">
        <v>2628</v>
      </c>
    </row>
    <row r="712" spans="1:10" ht="72" x14ac:dyDescent="0.2">
      <c r="A712" s="1168" t="s">
        <v>1578</v>
      </c>
      <c r="B712" s="440" t="str">
        <f t="shared" si="0"/>
        <v>CONCURSO PÚBLICO</v>
      </c>
      <c r="C712" s="440" t="str">
        <f t="shared" si="0"/>
        <v>SIN MODALIDAD</v>
      </c>
      <c r="D712" s="606" t="s">
        <v>1579</v>
      </c>
      <c r="E712" s="650">
        <v>444047.04</v>
      </c>
      <c r="F712" s="440"/>
      <c r="G712" s="439" t="str">
        <f>+G711</f>
        <v xml:space="preserve">CONSENTIMIENTO DE BUENA PRO </v>
      </c>
      <c r="H712" s="527"/>
      <c r="I712" s="439"/>
      <c r="J712" s="1145" t="s">
        <v>2628</v>
      </c>
    </row>
    <row r="713" spans="1:10" ht="72" x14ac:dyDescent="0.2">
      <c r="A713" s="1168" t="s">
        <v>1580</v>
      </c>
      <c r="B713" s="440" t="str">
        <f t="shared" si="0"/>
        <v>CONCURSO PÚBLICO</v>
      </c>
      <c r="C713" s="440" t="s">
        <v>1339</v>
      </c>
      <c r="D713" s="606" t="s">
        <v>1581</v>
      </c>
      <c r="E713" s="650">
        <v>651990</v>
      </c>
      <c r="F713" s="440"/>
      <c r="G713" s="439" t="str">
        <f>+G712</f>
        <v xml:space="preserve">CONSENTIMIENTO DE BUENA PRO </v>
      </c>
      <c r="H713" s="527"/>
      <c r="I713" s="439"/>
      <c r="J713" s="1145" t="s">
        <v>2628</v>
      </c>
    </row>
    <row r="714" spans="1:10" ht="60" x14ac:dyDescent="0.2">
      <c r="A714" s="1168" t="s">
        <v>1582</v>
      </c>
      <c r="B714" s="440" t="str">
        <f t="shared" si="0"/>
        <v>CONCURSO PÚBLICO</v>
      </c>
      <c r="C714" s="440" t="str">
        <f t="shared" si="0"/>
        <v>SIN MODALIDAD</v>
      </c>
      <c r="D714" s="606" t="s">
        <v>1583</v>
      </c>
      <c r="E714" s="650">
        <v>561093.29</v>
      </c>
      <c r="F714" s="440"/>
      <c r="G714" s="439" t="str">
        <f>+G709</f>
        <v>PRESENTACION DE DOCUMENTOS PARA FIRMA DE CONTRATO</v>
      </c>
      <c r="H714" s="527"/>
      <c r="I714" s="439"/>
      <c r="J714" s="1145" t="s">
        <v>2628</v>
      </c>
    </row>
    <row r="715" spans="1:10" ht="60" x14ac:dyDescent="0.2">
      <c r="A715" s="1168" t="s">
        <v>1584</v>
      </c>
      <c r="B715" s="440" t="str">
        <f t="shared" si="0"/>
        <v>CONCURSO PÚBLICO</v>
      </c>
      <c r="C715" s="440" t="s">
        <v>1339</v>
      </c>
      <c r="D715" s="606" t="s">
        <v>1585</v>
      </c>
      <c r="E715" s="650">
        <v>842342.44</v>
      </c>
      <c r="F715" s="440"/>
      <c r="G715" s="439" t="str">
        <f>+G714</f>
        <v>PRESENTACION DE DOCUMENTOS PARA FIRMA DE CONTRATO</v>
      </c>
      <c r="H715" s="527"/>
      <c r="I715" s="439"/>
      <c r="J715" s="1145" t="s">
        <v>2628</v>
      </c>
    </row>
    <row r="716" spans="1:10" ht="60" x14ac:dyDescent="0.2">
      <c r="A716" s="1168" t="s">
        <v>1586</v>
      </c>
      <c r="B716" s="440" t="str">
        <f t="shared" si="0"/>
        <v>CONCURSO PÚBLICO</v>
      </c>
      <c r="C716" s="440" t="str">
        <f t="shared" si="0"/>
        <v>SIN MODALIDAD</v>
      </c>
      <c r="D716" s="606" t="s">
        <v>1587</v>
      </c>
      <c r="E716" s="650">
        <v>815000</v>
      </c>
      <c r="F716" s="440"/>
      <c r="G716" s="439" t="str">
        <f>+G715</f>
        <v>PRESENTACION DE DOCUMENTOS PARA FIRMA DE CONTRATO</v>
      </c>
      <c r="H716" s="527"/>
      <c r="I716" s="439"/>
      <c r="J716" s="1145" t="s">
        <v>2628</v>
      </c>
    </row>
    <row r="717" spans="1:10" ht="60" x14ac:dyDescent="0.2">
      <c r="A717" s="1168" t="s">
        <v>1588</v>
      </c>
      <c r="B717" s="440" t="str">
        <f t="shared" si="0"/>
        <v>CONCURSO PÚBLICO</v>
      </c>
      <c r="C717" s="440" t="s">
        <v>1339</v>
      </c>
      <c r="D717" s="606" t="s">
        <v>1589</v>
      </c>
      <c r="E717" s="650">
        <v>1192387.6599999999</v>
      </c>
      <c r="F717" s="440"/>
      <c r="G717" s="439" t="s">
        <v>1565</v>
      </c>
      <c r="H717" s="527"/>
      <c r="I717" s="439"/>
      <c r="J717" s="1145" t="s">
        <v>2628</v>
      </c>
    </row>
    <row r="718" spans="1:10" ht="60" x14ac:dyDescent="0.2">
      <c r="A718" s="1168" t="s">
        <v>1590</v>
      </c>
      <c r="B718" s="440" t="str">
        <f t="shared" si="0"/>
        <v>CONCURSO PÚBLICO</v>
      </c>
      <c r="C718" s="440" t="str">
        <f t="shared" si="0"/>
        <v>SIN MODALIDAD</v>
      </c>
      <c r="D718" s="606" t="s">
        <v>1591</v>
      </c>
      <c r="E718" s="650">
        <v>730000</v>
      </c>
      <c r="F718" s="440"/>
      <c r="G718" s="439" t="str">
        <f>+G716</f>
        <v>PRESENTACION DE DOCUMENTOS PARA FIRMA DE CONTRATO</v>
      </c>
      <c r="H718" s="527"/>
      <c r="I718" s="439"/>
      <c r="J718" s="1145" t="s">
        <v>2628</v>
      </c>
    </row>
    <row r="719" spans="1:10" ht="60" x14ac:dyDescent="0.2">
      <c r="A719" s="1168" t="s">
        <v>1592</v>
      </c>
      <c r="B719" s="440" t="str">
        <f t="shared" si="0"/>
        <v>CONCURSO PÚBLICO</v>
      </c>
      <c r="C719" s="440" t="s">
        <v>1339</v>
      </c>
      <c r="D719" s="606" t="s">
        <v>1593</v>
      </c>
      <c r="E719" s="650">
        <v>1099000</v>
      </c>
      <c r="F719" s="440"/>
      <c r="G719" s="439" t="str">
        <f>+G718</f>
        <v>PRESENTACION DE DOCUMENTOS PARA FIRMA DE CONTRATO</v>
      </c>
      <c r="H719" s="527"/>
      <c r="I719" s="439"/>
      <c r="J719" s="1145" t="s">
        <v>2628</v>
      </c>
    </row>
    <row r="720" spans="1:10" ht="60" x14ac:dyDescent="0.2">
      <c r="A720" s="1168" t="s">
        <v>1594</v>
      </c>
      <c r="B720" s="440" t="s">
        <v>1595</v>
      </c>
      <c r="C720" s="440" t="str">
        <f t="shared" ref="C720" si="1">+C719</f>
        <v>SIN MODALIDAD</v>
      </c>
      <c r="D720" s="606" t="s">
        <v>1596</v>
      </c>
      <c r="E720" s="650">
        <v>300274.59999999998</v>
      </c>
      <c r="F720" s="440"/>
      <c r="G720" s="439" t="s">
        <v>1575</v>
      </c>
      <c r="H720" s="527"/>
      <c r="I720" s="439"/>
      <c r="J720" s="1145" t="s">
        <v>2628</v>
      </c>
    </row>
    <row r="721" spans="1:10" ht="60" x14ac:dyDescent="0.2">
      <c r="A721" s="1168" t="s">
        <v>1597</v>
      </c>
      <c r="B721" s="440" t="str">
        <f>+B720</f>
        <v xml:space="preserve">ADJUDICACION SIMPLIFICADA </v>
      </c>
      <c r="C721" s="440" t="s">
        <v>1339</v>
      </c>
      <c r="D721" s="606" t="s">
        <v>1598</v>
      </c>
      <c r="E721" s="650">
        <v>373570.28</v>
      </c>
      <c r="F721" s="440"/>
      <c r="G721" s="439" t="str">
        <f>+G720</f>
        <v xml:space="preserve">CONSENTIMIENTO DE BUENA PRO </v>
      </c>
      <c r="H721" s="527"/>
      <c r="I721" s="439"/>
      <c r="J721" s="1145" t="s">
        <v>2628</v>
      </c>
    </row>
    <row r="722" spans="1:10" ht="60" x14ac:dyDescent="0.2">
      <c r="A722" s="1168" t="s">
        <v>1599</v>
      </c>
      <c r="B722" s="440" t="s">
        <v>1600</v>
      </c>
      <c r="C722" s="440" t="str">
        <f t="shared" ref="C722" si="2">+C721</f>
        <v>SIN MODALIDAD</v>
      </c>
      <c r="D722" s="606" t="s">
        <v>1601</v>
      </c>
      <c r="E722" s="650">
        <v>1101055.72</v>
      </c>
      <c r="F722" s="440"/>
      <c r="G722" s="439" t="s">
        <v>1602</v>
      </c>
      <c r="H722" s="527"/>
      <c r="I722" s="439"/>
      <c r="J722" s="1145" t="s">
        <v>2628</v>
      </c>
    </row>
    <row r="723" spans="1:10" ht="60" x14ac:dyDescent="0.2">
      <c r="A723" s="1168" t="s">
        <v>1603</v>
      </c>
      <c r="B723" s="440" t="str">
        <f>+B721</f>
        <v xml:space="preserve">ADJUDICACION SIMPLIFICADA </v>
      </c>
      <c r="C723" s="440" t="s">
        <v>1339</v>
      </c>
      <c r="D723" s="606" t="s">
        <v>1604</v>
      </c>
      <c r="E723" s="650">
        <v>190866.35</v>
      </c>
      <c r="F723" s="440"/>
      <c r="G723" s="439" t="s">
        <v>1605</v>
      </c>
      <c r="H723" s="527"/>
      <c r="I723" s="439"/>
      <c r="J723" s="1145" t="s">
        <v>2628</v>
      </c>
    </row>
    <row r="724" spans="1:10" ht="60" x14ac:dyDescent="0.2">
      <c r="A724" s="1168" t="s">
        <v>1606</v>
      </c>
      <c r="B724" s="440" t="str">
        <f t="shared" ref="B724:C733" si="3">+B723</f>
        <v xml:space="preserve">ADJUDICACION SIMPLIFICADA </v>
      </c>
      <c r="C724" s="440" t="str">
        <f t="shared" si="3"/>
        <v>SIN MODALIDAD</v>
      </c>
      <c r="D724" s="606" t="s">
        <v>1607</v>
      </c>
      <c r="E724" s="650">
        <v>101832.65</v>
      </c>
      <c r="F724" s="440"/>
      <c r="G724" s="439" t="str">
        <f t="shared" ref="G724:G733" si="4">+G723</f>
        <v>2DA CONVOCATORIA</v>
      </c>
      <c r="H724" s="527"/>
      <c r="I724" s="439"/>
      <c r="J724" s="1145" t="s">
        <v>2628</v>
      </c>
    </row>
    <row r="725" spans="1:10" ht="60" x14ac:dyDescent="0.2">
      <c r="A725" s="1168" t="s">
        <v>1608</v>
      </c>
      <c r="B725" s="440" t="str">
        <f t="shared" si="3"/>
        <v xml:space="preserve">ADJUDICACION SIMPLIFICADA </v>
      </c>
      <c r="C725" s="440" t="s">
        <v>1339</v>
      </c>
      <c r="D725" s="606" t="s">
        <v>1609</v>
      </c>
      <c r="E725" s="650">
        <v>101832.85</v>
      </c>
      <c r="F725" s="440"/>
      <c r="G725" s="439" t="str">
        <f t="shared" si="4"/>
        <v>2DA CONVOCATORIA</v>
      </c>
      <c r="H725" s="527"/>
      <c r="I725" s="439"/>
      <c r="J725" s="1145" t="s">
        <v>2628</v>
      </c>
    </row>
    <row r="726" spans="1:10" ht="72" x14ac:dyDescent="0.2">
      <c r="A726" s="1167" t="s">
        <v>1610</v>
      </c>
      <c r="B726" s="440" t="str">
        <f t="shared" si="3"/>
        <v xml:space="preserve">ADJUDICACION SIMPLIFICADA </v>
      </c>
      <c r="C726" s="440" t="str">
        <f t="shared" si="3"/>
        <v>SIN MODALIDAD</v>
      </c>
      <c r="D726" s="606" t="s">
        <v>1611</v>
      </c>
      <c r="E726" s="650">
        <v>110761.39</v>
      </c>
      <c r="F726" s="440"/>
      <c r="G726" s="439" t="str">
        <f t="shared" si="4"/>
        <v>2DA CONVOCATORIA</v>
      </c>
      <c r="H726" s="527"/>
      <c r="I726" s="439"/>
      <c r="J726" s="1145" t="s">
        <v>2628</v>
      </c>
    </row>
    <row r="727" spans="1:10" ht="72" x14ac:dyDescent="0.2">
      <c r="A727" s="1168" t="s">
        <v>1612</v>
      </c>
      <c r="B727" s="440" t="str">
        <f t="shared" si="3"/>
        <v xml:space="preserve">ADJUDICACION SIMPLIFICADA </v>
      </c>
      <c r="C727" s="440" t="s">
        <v>1339</v>
      </c>
      <c r="D727" s="606" t="s">
        <v>1613</v>
      </c>
      <c r="E727" s="650">
        <v>78000</v>
      </c>
      <c r="F727" s="440"/>
      <c r="G727" s="439" t="str">
        <f t="shared" si="4"/>
        <v>2DA CONVOCATORIA</v>
      </c>
      <c r="H727" s="527"/>
      <c r="I727" s="439"/>
      <c r="J727" s="1145" t="s">
        <v>2628</v>
      </c>
    </row>
    <row r="728" spans="1:10" ht="72" x14ac:dyDescent="0.2">
      <c r="A728" s="1168" t="s">
        <v>1614</v>
      </c>
      <c r="B728" s="440" t="str">
        <f t="shared" si="3"/>
        <v xml:space="preserve">ADJUDICACION SIMPLIFICADA </v>
      </c>
      <c r="C728" s="440" t="str">
        <f t="shared" si="3"/>
        <v>SIN MODALIDAD</v>
      </c>
      <c r="D728" s="606" t="s">
        <v>1615</v>
      </c>
      <c r="E728" s="650">
        <v>117000</v>
      </c>
      <c r="F728" s="440"/>
      <c r="G728" s="439" t="str">
        <f t="shared" si="4"/>
        <v>2DA CONVOCATORIA</v>
      </c>
      <c r="H728" s="527"/>
      <c r="I728" s="439"/>
      <c r="J728" s="1145" t="s">
        <v>2628</v>
      </c>
    </row>
    <row r="729" spans="1:10" ht="72" x14ac:dyDescent="0.2">
      <c r="A729" s="1168" t="s">
        <v>1616</v>
      </c>
      <c r="B729" s="440" t="str">
        <f t="shared" si="3"/>
        <v xml:space="preserve">ADJUDICACION SIMPLIFICADA </v>
      </c>
      <c r="C729" s="440" t="s">
        <v>1339</v>
      </c>
      <c r="D729" s="606" t="s">
        <v>1617</v>
      </c>
      <c r="E729" s="650">
        <v>90760</v>
      </c>
      <c r="F729" s="440"/>
      <c r="G729" s="439" t="str">
        <f t="shared" si="4"/>
        <v>2DA CONVOCATORIA</v>
      </c>
      <c r="H729" s="527"/>
      <c r="I729" s="439"/>
      <c r="J729" s="1145" t="s">
        <v>2628</v>
      </c>
    </row>
    <row r="730" spans="1:10" ht="72" x14ac:dyDescent="0.2">
      <c r="A730" s="1168" t="s">
        <v>1618</v>
      </c>
      <c r="B730" s="440" t="str">
        <f t="shared" si="3"/>
        <v xml:space="preserve">ADJUDICACION SIMPLIFICADA </v>
      </c>
      <c r="C730" s="440" t="str">
        <f t="shared" si="3"/>
        <v>SIN MODALIDAD</v>
      </c>
      <c r="D730" s="606" t="s">
        <v>1619</v>
      </c>
      <c r="E730" s="650">
        <v>136140</v>
      </c>
      <c r="F730" s="440"/>
      <c r="G730" s="439" t="str">
        <f t="shared" si="4"/>
        <v>2DA CONVOCATORIA</v>
      </c>
      <c r="H730" s="527"/>
      <c r="I730" s="439"/>
      <c r="J730" s="1145" t="s">
        <v>2628</v>
      </c>
    </row>
    <row r="731" spans="1:10" ht="72" x14ac:dyDescent="0.2">
      <c r="A731" s="1168" t="s">
        <v>1620</v>
      </c>
      <c r="B731" s="440" t="str">
        <f t="shared" si="3"/>
        <v xml:space="preserve">ADJUDICACION SIMPLIFICADA </v>
      </c>
      <c r="C731" s="440" t="s">
        <v>1339</v>
      </c>
      <c r="D731" s="606" t="s">
        <v>1621</v>
      </c>
      <c r="E731" s="650">
        <v>84000</v>
      </c>
      <c r="F731" s="440"/>
      <c r="G731" s="439" t="str">
        <f t="shared" si="4"/>
        <v>2DA CONVOCATORIA</v>
      </c>
      <c r="H731" s="527"/>
      <c r="I731" s="439"/>
      <c r="J731" s="1145" t="s">
        <v>2628</v>
      </c>
    </row>
    <row r="732" spans="1:10" ht="72" x14ac:dyDescent="0.2">
      <c r="A732" s="1168" t="s">
        <v>1622</v>
      </c>
      <c r="B732" s="440" t="str">
        <f t="shared" si="3"/>
        <v xml:space="preserve">ADJUDICACION SIMPLIFICADA </v>
      </c>
      <c r="C732" s="440" t="str">
        <f t="shared" si="3"/>
        <v>SIN MODALIDAD</v>
      </c>
      <c r="D732" s="606" t="s">
        <v>1623</v>
      </c>
      <c r="E732" s="650">
        <v>126000</v>
      </c>
      <c r="F732" s="440"/>
      <c r="G732" s="439" t="str">
        <f t="shared" si="4"/>
        <v>2DA CONVOCATORIA</v>
      </c>
      <c r="H732" s="527"/>
      <c r="I732" s="439"/>
      <c r="J732" s="1145" t="s">
        <v>2628</v>
      </c>
    </row>
    <row r="733" spans="1:10" ht="48" x14ac:dyDescent="0.2">
      <c r="A733" s="1168" t="s">
        <v>1624</v>
      </c>
      <c r="B733" s="440" t="str">
        <f t="shared" si="3"/>
        <v xml:space="preserve">ADJUDICACION SIMPLIFICADA </v>
      </c>
      <c r="C733" s="440" t="s">
        <v>1339</v>
      </c>
      <c r="D733" s="606" t="s">
        <v>1625</v>
      </c>
      <c r="E733" s="650">
        <v>190000</v>
      </c>
      <c r="F733" s="440"/>
      <c r="G733" s="439" t="str">
        <f t="shared" si="4"/>
        <v>2DA CONVOCATORIA</v>
      </c>
      <c r="H733" s="527"/>
      <c r="I733" s="439"/>
      <c r="J733" s="1145" t="s">
        <v>2628</v>
      </c>
    </row>
    <row r="734" spans="1:10" ht="60" x14ac:dyDescent="0.2">
      <c r="A734" s="1168" t="s">
        <v>1626</v>
      </c>
      <c r="B734" s="440" t="s">
        <v>1627</v>
      </c>
      <c r="C734" s="440" t="str">
        <f t="shared" ref="C734" si="5">+C733</f>
        <v>SIN MODALIDAD</v>
      </c>
      <c r="D734" s="606" t="s">
        <v>1628</v>
      </c>
      <c r="E734" s="650">
        <v>1339992</v>
      </c>
      <c r="F734" s="440"/>
      <c r="G734" s="439" t="s">
        <v>1629</v>
      </c>
      <c r="H734" s="527"/>
      <c r="I734" s="439"/>
      <c r="J734" s="1145" t="s">
        <v>2628</v>
      </c>
    </row>
    <row r="735" spans="1:10" ht="48" x14ac:dyDescent="0.2">
      <c r="A735" s="1168" t="s">
        <v>1630</v>
      </c>
      <c r="B735" s="440" t="str">
        <f>+B734</f>
        <v xml:space="preserve">LICITACION PUBLICA </v>
      </c>
      <c r="C735" s="440" t="s">
        <v>1339</v>
      </c>
      <c r="D735" s="606" t="s">
        <v>1601</v>
      </c>
      <c r="E735" s="644" t="s">
        <v>1631</v>
      </c>
      <c r="F735" s="440"/>
      <c r="G735" s="439" t="str">
        <f>+G734</f>
        <v xml:space="preserve">CONVOCATORIA </v>
      </c>
      <c r="H735" s="527"/>
      <c r="I735" s="439"/>
      <c r="J735" s="1145" t="s">
        <v>2628</v>
      </c>
    </row>
    <row r="736" spans="1:10" ht="84" x14ac:dyDescent="0.2">
      <c r="A736" s="1168" t="s">
        <v>1632</v>
      </c>
      <c r="B736" s="440" t="str">
        <f>+B733</f>
        <v xml:space="preserve">ADJUDICACION SIMPLIFICADA </v>
      </c>
      <c r="C736" s="440" t="str">
        <f t="shared" ref="C736" si="6">+C735</f>
        <v>SIN MODALIDAD</v>
      </c>
      <c r="D736" s="606" t="s">
        <v>1633</v>
      </c>
      <c r="E736" s="644" t="s">
        <v>1634</v>
      </c>
      <c r="F736" s="440"/>
      <c r="G736" s="439" t="s">
        <v>1565</v>
      </c>
      <c r="H736" s="527"/>
      <c r="I736" s="439"/>
      <c r="J736" s="1145" t="s">
        <v>2628</v>
      </c>
    </row>
    <row r="737" spans="1:10" ht="48" x14ac:dyDescent="0.2">
      <c r="A737" s="1168" t="s">
        <v>1635</v>
      </c>
      <c r="B737" s="440" t="s">
        <v>1636</v>
      </c>
      <c r="C737" s="440" t="s">
        <v>1339</v>
      </c>
      <c r="D737" s="606" t="s">
        <v>1637</v>
      </c>
      <c r="E737" s="644" t="s">
        <v>1638</v>
      </c>
      <c r="F737" s="440"/>
      <c r="G737" s="439" t="s">
        <v>1639</v>
      </c>
      <c r="H737" s="527"/>
      <c r="I737" s="439"/>
      <c r="J737" s="1145" t="s">
        <v>2628</v>
      </c>
    </row>
    <row r="738" spans="1:10" ht="48" x14ac:dyDescent="0.2">
      <c r="A738" s="1168" t="s">
        <v>1640</v>
      </c>
      <c r="B738" s="440" t="str">
        <f>+B737</f>
        <v>SUBASTA INVERSA  ELECTRONICA</v>
      </c>
      <c r="C738" s="440" t="str">
        <f t="shared" ref="C738" si="7">+C737</f>
        <v>SIN MODALIDAD</v>
      </c>
      <c r="D738" s="606" t="s">
        <v>1641</v>
      </c>
      <c r="E738" s="644" t="s">
        <v>1642</v>
      </c>
      <c r="F738" s="440"/>
      <c r="G738" s="439" t="str">
        <f>+G737</f>
        <v>BUENA PRO</v>
      </c>
      <c r="H738" s="527"/>
      <c r="I738" s="439"/>
      <c r="J738" s="1145" t="s">
        <v>2628</v>
      </c>
    </row>
    <row r="739" spans="1:10" ht="48" x14ac:dyDescent="0.2">
      <c r="A739" s="1167" t="s">
        <v>1643</v>
      </c>
      <c r="B739" s="440" t="str">
        <f>+B738</f>
        <v>SUBASTA INVERSA  ELECTRONICA</v>
      </c>
      <c r="C739" s="440" t="s">
        <v>1339</v>
      </c>
      <c r="D739" s="606" t="s">
        <v>1644</v>
      </c>
      <c r="E739" s="644" t="s">
        <v>1645</v>
      </c>
      <c r="F739" s="440"/>
      <c r="G739" s="439" t="str">
        <f>+G738</f>
        <v>BUENA PRO</v>
      </c>
      <c r="H739" s="527"/>
      <c r="I739" s="439"/>
      <c r="J739" s="1145" t="s">
        <v>2628</v>
      </c>
    </row>
    <row r="740" spans="1:10" ht="72" x14ac:dyDescent="0.2">
      <c r="A740" s="1167" t="s">
        <v>1646</v>
      </c>
      <c r="B740" s="440" t="str">
        <f>+B741</f>
        <v xml:space="preserve">PROCEDIMIENTO ESPECIAL </v>
      </c>
      <c r="C740" s="440" t="str">
        <f t="shared" ref="C740" si="8">+C739</f>
        <v>SIN MODALIDAD</v>
      </c>
      <c r="D740" s="606" t="s">
        <v>1647</v>
      </c>
      <c r="E740" s="644" t="s">
        <v>1648</v>
      </c>
      <c r="F740" s="440"/>
      <c r="G740" s="439" t="s">
        <v>1565</v>
      </c>
      <c r="H740" s="527"/>
      <c r="I740" s="439"/>
      <c r="J740" s="1145" t="s">
        <v>2628</v>
      </c>
    </row>
    <row r="741" spans="1:10" ht="69.75" customHeight="1" x14ac:dyDescent="0.2">
      <c r="A741" s="1168" t="s">
        <v>1649</v>
      </c>
      <c r="B741" s="440" t="s">
        <v>1650</v>
      </c>
      <c r="C741" s="440" t="s">
        <v>1339</v>
      </c>
      <c r="D741" s="606" t="s">
        <v>1651</v>
      </c>
      <c r="E741" s="644" t="s">
        <v>1652</v>
      </c>
      <c r="F741" s="440"/>
      <c r="G741" s="439" t="s">
        <v>1653</v>
      </c>
      <c r="H741" s="527"/>
      <c r="I741" s="439"/>
      <c r="J741" s="1145" t="s">
        <v>2628</v>
      </c>
    </row>
    <row r="742" spans="1:10" ht="58.5" customHeight="1" x14ac:dyDescent="0.2">
      <c r="A742" s="1168" t="s">
        <v>1654</v>
      </c>
      <c r="B742" s="440" t="str">
        <f>+B741</f>
        <v xml:space="preserve">PROCEDIMIENTO ESPECIAL </v>
      </c>
      <c r="C742" s="440" t="str">
        <f t="shared" ref="C742" si="9">+C741</f>
        <v>SIN MODALIDAD</v>
      </c>
      <c r="D742" s="606" t="s">
        <v>1655</v>
      </c>
      <c r="E742" s="644" t="s">
        <v>1656</v>
      </c>
      <c r="F742" s="440"/>
      <c r="G742" s="439" t="s">
        <v>1565</v>
      </c>
      <c r="H742" s="527"/>
      <c r="I742" s="439"/>
      <c r="J742" s="1145" t="s">
        <v>2628</v>
      </c>
    </row>
    <row r="743" spans="1:10" ht="24" customHeight="1" x14ac:dyDescent="0.2">
      <c r="A743" s="1159" t="s">
        <v>1657</v>
      </c>
      <c r="B743" s="523"/>
      <c r="C743" s="523"/>
      <c r="D743" s="523"/>
      <c r="E743" s="523"/>
      <c r="F743" s="523"/>
      <c r="G743" s="523"/>
      <c r="H743" s="523"/>
      <c r="I743" s="523"/>
      <c r="J743" s="1160"/>
    </row>
    <row r="744" spans="1:10" ht="28.5" customHeight="1" x14ac:dyDescent="0.2">
      <c r="A744" s="1155" t="s">
        <v>1658</v>
      </c>
      <c r="B744" s="1015" t="s">
        <v>1659</v>
      </c>
      <c r="C744" s="1015" t="s">
        <v>1339</v>
      </c>
      <c r="D744" s="469" t="s">
        <v>621</v>
      </c>
      <c r="E744" s="470">
        <v>180000</v>
      </c>
      <c r="F744" s="469" t="s">
        <v>1660</v>
      </c>
      <c r="G744" s="469" t="s">
        <v>1661</v>
      </c>
      <c r="H744" s="471">
        <v>43763</v>
      </c>
      <c r="I744" s="471">
        <v>44180</v>
      </c>
      <c r="J744" s="1145" t="s">
        <v>2628</v>
      </c>
    </row>
    <row r="745" spans="1:10" ht="36" x14ac:dyDescent="0.2">
      <c r="A745" s="1155" t="s">
        <v>1662</v>
      </c>
      <c r="B745" s="1015" t="s">
        <v>1218</v>
      </c>
      <c r="C745" s="1015" t="s">
        <v>1219</v>
      </c>
      <c r="D745" s="469" t="s">
        <v>1663</v>
      </c>
      <c r="E745" s="470">
        <v>71337.2</v>
      </c>
      <c r="F745" s="472" t="s">
        <v>1664</v>
      </c>
      <c r="G745" s="469" t="s">
        <v>1661</v>
      </c>
      <c r="H745" s="471">
        <v>43766</v>
      </c>
      <c r="I745" s="471">
        <v>43819</v>
      </c>
      <c r="J745" s="1145" t="s">
        <v>2628</v>
      </c>
    </row>
    <row r="746" spans="1:10" ht="48" x14ac:dyDescent="0.2">
      <c r="A746" s="1155" t="s">
        <v>1665</v>
      </c>
      <c r="B746" s="1015" t="s">
        <v>1218</v>
      </c>
      <c r="C746" s="1015" t="s">
        <v>1219</v>
      </c>
      <c r="D746" s="469" t="s">
        <v>1666</v>
      </c>
      <c r="E746" s="470">
        <v>18000</v>
      </c>
      <c r="F746" s="472" t="s">
        <v>1667</v>
      </c>
      <c r="G746" s="469" t="s">
        <v>1661</v>
      </c>
      <c r="H746" s="471">
        <v>43773</v>
      </c>
      <c r="I746" s="471">
        <v>43814</v>
      </c>
      <c r="J746" s="1145" t="s">
        <v>2628</v>
      </c>
    </row>
    <row r="747" spans="1:10" ht="48" x14ac:dyDescent="0.2">
      <c r="A747" s="1151" t="s">
        <v>1668</v>
      </c>
      <c r="B747" s="1015" t="s">
        <v>1218</v>
      </c>
      <c r="C747" s="1015" t="s">
        <v>1219</v>
      </c>
      <c r="D747" s="469" t="s">
        <v>1669</v>
      </c>
      <c r="E747" s="470">
        <v>66582</v>
      </c>
      <c r="F747" s="472" t="s">
        <v>1670</v>
      </c>
      <c r="G747" s="469" t="s">
        <v>1661</v>
      </c>
      <c r="H747" s="471">
        <v>43790</v>
      </c>
      <c r="I747" s="471">
        <v>43829</v>
      </c>
      <c r="J747" s="1145" t="s">
        <v>2628</v>
      </c>
    </row>
    <row r="748" spans="1:10" ht="45.75" customHeight="1" x14ac:dyDescent="0.2">
      <c r="A748" s="1155" t="s">
        <v>1671</v>
      </c>
      <c r="B748" s="1015" t="s">
        <v>1218</v>
      </c>
      <c r="C748" s="1015" t="s">
        <v>1219</v>
      </c>
      <c r="D748" s="469" t="s">
        <v>1672</v>
      </c>
      <c r="E748" s="470">
        <v>350000</v>
      </c>
      <c r="F748" s="472" t="s">
        <v>1673</v>
      </c>
      <c r="G748" s="469" t="s">
        <v>1661</v>
      </c>
      <c r="H748" s="471">
        <v>43796</v>
      </c>
      <c r="I748" s="471">
        <v>43830</v>
      </c>
      <c r="J748" s="1145" t="s">
        <v>2628</v>
      </c>
    </row>
    <row r="749" spans="1:10" ht="48" x14ac:dyDescent="0.2">
      <c r="A749" s="1155" t="s">
        <v>1674</v>
      </c>
      <c r="B749" s="1015" t="s">
        <v>1218</v>
      </c>
      <c r="C749" s="1015" t="s">
        <v>1219</v>
      </c>
      <c r="D749" s="469" t="s">
        <v>1675</v>
      </c>
      <c r="E749" s="470">
        <v>57000</v>
      </c>
      <c r="F749" s="472" t="s">
        <v>1667</v>
      </c>
      <c r="G749" s="469" t="s">
        <v>1661</v>
      </c>
      <c r="H749" s="471">
        <v>43826</v>
      </c>
      <c r="I749" s="471">
        <v>43833</v>
      </c>
      <c r="J749" s="1145" t="s">
        <v>2628</v>
      </c>
    </row>
    <row r="750" spans="1:10" ht="24" x14ac:dyDescent="0.2">
      <c r="A750" s="1155" t="s">
        <v>1676</v>
      </c>
      <c r="B750" s="1015" t="s">
        <v>1218</v>
      </c>
      <c r="C750" s="1015" t="s">
        <v>1219</v>
      </c>
      <c r="D750" s="469" t="s">
        <v>1677</v>
      </c>
      <c r="E750" s="470">
        <v>100000</v>
      </c>
      <c r="F750" s="472" t="s">
        <v>1673</v>
      </c>
      <c r="G750" s="469" t="s">
        <v>1661</v>
      </c>
      <c r="H750" s="471">
        <v>43797</v>
      </c>
      <c r="I750" s="471">
        <v>43829</v>
      </c>
      <c r="J750" s="1145" t="s">
        <v>2628</v>
      </c>
    </row>
    <row r="751" spans="1:10" ht="31.5" customHeight="1" x14ac:dyDescent="0.2">
      <c r="A751" s="1155" t="s">
        <v>1678</v>
      </c>
      <c r="B751" s="1015" t="s">
        <v>1218</v>
      </c>
      <c r="C751" s="1015" t="s">
        <v>1219</v>
      </c>
      <c r="D751" s="469" t="s">
        <v>1679</v>
      </c>
      <c r="E751" s="470">
        <v>71100</v>
      </c>
      <c r="F751" s="469" t="s">
        <v>1680</v>
      </c>
      <c r="G751" s="469" t="s">
        <v>1680</v>
      </c>
      <c r="H751" s="471">
        <v>44104</v>
      </c>
      <c r="I751" s="469"/>
      <c r="J751" s="1145" t="s">
        <v>2628</v>
      </c>
    </row>
    <row r="752" spans="1:10" ht="35.25" customHeight="1" x14ac:dyDescent="0.2">
      <c r="A752" s="1155" t="s">
        <v>1681</v>
      </c>
      <c r="B752" s="1015" t="s">
        <v>1218</v>
      </c>
      <c r="C752" s="1015" t="s">
        <v>1219</v>
      </c>
      <c r="D752" s="469" t="s">
        <v>1682</v>
      </c>
      <c r="E752" s="470">
        <v>63000</v>
      </c>
      <c r="F752" s="469" t="s">
        <v>1680</v>
      </c>
      <c r="G752" s="469" t="s">
        <v>1680</v>
      </c>
      <c r="H752" s="471">
        <v>44104</v>
      </c>
      <c r="I752" s="469"/>
      <c r="J752" s="1145" t="s">
        <v>2628</v>
      </c>
    </row>
    <row r="753" spans="1:10" ht="20.100000000000001" customHeight="1" thickBot="1" x14ac:dyDescent="0.25">
      <c r="A753" s="1161" t="s">
        <v>1683</v>
      </c>
      <c r="B753" s="495" t="s">
        <v>1218</v>
      </c>
      <c r="C753" s="495" t="s">
        <v>1219</v>
      </c>
      <c r="D753" s="496" t="s">
        <v>1684</v>
      </c>
      <c r="E753" s="567">
        <v>74400</v>
      </c>
      <c r="F753" s="496" t="s">
        <v>1680</v>
      </c>
      <c r="G753" s="496" t="s">
        <v>1680</v>
      </c>
      <c r="H753" s="497">
        <v>44104</v>
      </c>
      <c r="I753" s="496"/>
      <c r="J753" s="1145" t="s">
        <v>2628</v>
      </c>
    </row>
    <row r="754" spans="1:10" ht="30.75" customHeight="1" thickBot="1" x14ac:dyDescent="0.25">
      <c r="A754" s="542" t="s">
        <v>1685</v>
      </c>
      <c r="B754" s="543"/>
      <c r="C754" s="543"/>
      <c r="D754" s="543"/>
      <c r="E754" s="543"/>
      <c r="F754" s="543"/>
      <c r="G754" s="543"/>
      <c r="H754" s="543"/>
      <c r="I754" s="543"/>
      <c r="J754" s="544"/>
    </row>
    <row r="755" spans="1:10" ht="72" x14ac:dyDescent="0.2">
      <c r="A755" s="1169" t="s">
        <v>1686</v>
      </c>
      <c r="B755" s="521" t="s">
        <v>1687</v>
      </c>
      <c r="C755" s="539" t="s">
        <v>1688</v>
      </c>
      <c r="D755" s="571" t="s">
        <v>1689</v>
      </c>
      <c r="E755" s="585">
        <v>91535.44</v>
      </c>
      <c r="F755" s="584" t="s">
        <v>1690</v>
      </c>
      <c r="G755" s="539" t="s">
        <v>1691</v>
      </c>
      <c r="H755" s="586">
        <v>43788</v>
      </c>
      <c r="I755" s="586">
        <v>43796</v>
      </c>
      <c r="J755" s="1145" t="s">
        <v>2628</v>
      </c>
    </row>
    <row r="756" spans="1:10" ht="84" x14ac:dyDescent="0.2">
      <c r="A756" s="1170" t="s">
        <v>1692</v>
      </c>
      <c r="B756" s="1015" t="s">
        <v>1687</v>
      </c>
      <c r="C756" s="469" t="s">
        <v>1688</v>
      </c>
      <c r="D756" s="474" t="s">
        <v>1689</v>
      </c>
      <c r="E756" s="475">
        <v>88206.34</v>
      </c>
      <c r="F756" s="473" t="s">
        <v>1693</v>
      </c>
      <c r="G756" s="469" t="s">
        <v>1691</v>
      </c>
      <c r="H756" s="476">
        <v>43788</v>
      </c>
      <c r="I756" s="476">
        <v>43796</v>
      </c>
      <c r="J756" s="1145" t="s">
        <v>2628</v>
      </c>
    </row>
    <row r="757" spans="1:10" ht="84" x14ac:dyDescent="0.2">
      <c r="A757" s="1170" t="s">
        <v>1693</v>
      </c>
      <c r="B757" s="1015" t="s">
        <v>1687</v>
      </c>
      <c r="C757" s="469" t="s">
        <v>1688</v>
      </c>
      <c r="D757" s="474" t="s">
        <v>1689</v>
      </c>
      <c r="E757" s="475">
        <v>68075.53</v>
      </c>
      <c r="F757" s="473" t="s">
        <v>1693</v>
      </c>
      <c r="G757" s="469" t="s">
        <v>1691</v>
      </c>
      <c r="H757" s="476">
        <v>43593</v>
      </c>
      <c r="I757" s="476">
        <v>43601</v>
      </c>
      <c r="J757" s="1145" t="s">
        <v>2628</v>
      </c>
    </row>
    <row r="758" spans="1:10" ht="96" x14ac:dyDescent="0.2">
      <c r="A758" s="1170" t="s">
        <v>1694</v>
      </c>
      <c r="B758" s="1015" t="s">
        <v>1687</v>
      </c>
      <c r="C758" s="469" t="s">
        <v>1688</v>
      </c>
      <c r="D758" s="474" t="s">
        <v>1689</v>
      </c>
      <c r="E758" s="475">
        <v>64176</v>
      </c>
      <c r="F758" s="473" t="s">
        <v>1695</v>
      </c>
      <c r="G758" s="469" t="s">
        <v>1691</v>
      </c>
      <c r="H758" s="476">
        <v>43762</v>
      </c>
      <c r="I758" s="476">
        <v>43768</v>
      </c>
      <c r="J758" s="1145" t="s">
        <v>2628</v>
      </c>
    </row>
    <row r="759" spans="1:10" ht="120" x14ac:dyDescent="0.2">
      <c r="A759" s="1170" t="s">
        <v>1695</v>
      </c>
      <c r="B759" s="440" t="s">
        <v>1696</v>
      </c>
      <c r="C759" s="469" t="s">
        <v>1219</v>
      </c>
      <c r="D759" s="474">
        <v>1</v>
      </c>
      <c r="E759" s="475">
        <v>63861.599999999999</v>
      </c>
      <c r="F759" s="473" t="s">
        <v>1697</v>
      </c>
      <c r="G759" s="469" t="s">
        <v>1691</v>
      </c>
      <c r="H759" s="476">
        <v>43598</v>
      </c>
      <c r="I759" s="476">
        <v>43605</v>
      </c>
      <c r="J759" s="1145" t="s">
        <v>2628</v>
      </c>
    </row>
    <row r="760" spans="1:10" ht="132" x14ac:dyDescent="0.2">
      <c r="A760" s="1170" t="s">
        <v>1697</v>
      </c>
      <c r="B760" s="1015" t="s">
        <v>1687</v>
      </c>
      <c r="C760" s="469" t="s">
        <v>1688</v>
      </c>
      <c r="D760" s="474" t="s">
        <v>1689</v>
      </c>
      <c r="E760" s="475">
        <v>61640.87</v>
      </c>
      <c r="F760" s="473" t="s">
        <v>1698</v>
      </c>
      <c r="G760" s="469" t="s">
        <v>1691</v>
      </c>
      <c r="H760" s="476">
        <v>43509</v>
      </c>
      <c r="I760" s="476">
        <v>43514</v>
      </c>
      <c r="J760" s="1145" t="s">
        <v>2628</v>
      </c>
    </row>
    <row r="761" spans="1:10" ht="144" x14ac:dyDescent="0.2">
      <c r="A761" s="1170" t="s">
        <v>1698</v>
      </c>
      <c r="B761" s="1015" t="s">
        <v>1687</v>
      </c>
      <c r="C761" s="469" t="s">
        <v>1688</v>
      </c>
      <c r="D761" s="474" t="s">
        <v>1689</v>
      </c>
      <c r="E761" s="475">
        <v>61453.81</v>
      </c>
      <c r="F761" s="473" t="s">
        <v>1699</v>
      </c>
      <c r="G761" s="469" t="s">
        <v>1691</v>
      </c>
      <c r="H761" s="476">
        <v>43613</v>
      </c>
      <c r="I761" s="476">
        <v>43615</v>
      </c>
      <c r="J761" s="1145" t="s">
        <v>2628</v>
      </c>
    </row>
    <row r="762" spans="1:10" ht="84" x14ac:dyDescent="0.2">
      <c r="A762" s="1170" t="s">
        <v>1700</v>
      </c>
      <c r="B762" s="1015" t="s">
        <v>1687</v>
      </c>
      <c r="C762" s="469" t="s">
        <v>1688</v>
      </c>
      <c r="D762" s="474" t="s">
        <v>1689</v>
      </c>
      <c r="E762" s="475">
        <v>60281.48</v>
      </c>
      <c r="F762" s="473" t="s">
        <v>1694</v>
      </c>
      <c r="G762" s="469" t="s">
        <v>1691</v>
      </c>
      <c r="H762" s="476">
        <v>43644</v>
      </c>
      <c r="I762" s="476">
        <v>43646</v>
      </c>
      <c r="J762" s="1145" t="s">
        <v>2628</v>
      </c>
    </row>
    <row r="763" spans="1:10" ht="96" x14ac:dyDescent="0.2">
      <c r="A763" s="1170" t="s">
        <v>1694</v>
      </c>
      <c r="B763" s="1015" t="s">
        <v>1687</v>
      </c>
      <c r="C763" s="469" t="s">
        <v>1688</v>
      </c>
      <c r="D763" s="474" t="s">
        <v>1689</v>
      </c>
      <c r="E763" s="475">
        <v>60157.34</v>
      </c>
      <c r="F763" s="473" t="s">
        <v>1701</v>
      </c>
      <c r="G763" s="469" t="s">
        <v>1691</v>
      </c>
      <c r="H763" s="476">
        <v>43762</v>
      </c>
      <c r="I763" s="476">
        <v>43768</v>
      </c>
      <c r="J763" s="1145" t="s">
        <v>2628</v>
      </c>
    </row>
    <row r="764" spans="1:10" ht="84" x14ac:dyDescent="0.2">
      <c r="A764" s="1170" t="s">
        <v>1693</v>
      </c>
      <c r="B764" s="1015" t="s">
        <v>1687</v>
      </c>
      <c r="C764" s="469" t="s">
        <v>1688</v>
      </c>
      <c r="D764" s="474" t="s">
        <v>1689</v>
      </c>
      <c r="E764" s="475">
        <v>57761.279999999999</v>
      </c>
      <c r="F764" s="473" t="s">
        <v>1702</v>
      </c>
      <c r="G764" s="469" t="s">
        <v>1691</v>
      </c>
      <c r="H764" s="476">
        <v>43593</v>
      </c>
      <c r="I764" s="476">
        <v>43593</v>
      </c>
      <c r="J764" s="1145" t="s">
        <v>2628</v>
      </c>
    </row>
    <row r="765" spans="1:10" ht="120" x14ac:dyDescent="0.2">
      <c r="A765" s="1170" t="s">
        <v>1703</v>
      </c>
      <c r="B765" s="1015" t="s">
        <v>1687</v>
      </c>
      <c r="C765" s="469" t="s">
        <v>1688</v>
      </c>
      <c r="D765" s="474" t="s">
        <v>1689</v>
      </c>
      <c r="E765" s="475">
        <v>57480.160000000003</v>
      </c>
      <c r="F765" s="473" t="s">
        <v>1704</v>
      </c>
      <c r="G765" s="469" t="s">
        <v>1691</v>
      </c>
      <c r="H765" s="476">
        <v>43668</v>
      </c>
      <c r="I765" s="476">
        <v>43668</v>
      </c>
      <c r="J765" s="1145" t="s">
        <v>2628</v>
      </c>
    </row>
    <row r="766" spans="1:10" ht="132" x14ac:dyDescent="0.2">
      <c r="A766" s="1170" t="s">
        <v>1705</v>
      </c>
      <c r="B766" s="1015" t="s">
        <v>1687</v>
      </c>
      <c r="C766" s="469" t="s">
        <v>1688</v>
      </c>
      <c r="D766" s="474" t="s">
        <v>1689</v>
      </c>
      <c r="E766" s="475">
        <v>57466.07</v>
      </c>
      <c r="F766" s="473" t="s">
        <v>1706</v>
      </c>
      <c r="G766" s="469" t="s">
        <v>1691</v>
      </c>
      <c r="H766" s="476">
        <v>43696</v>
      </c>
      <c r="I766" s="476">
        <v>43696</v>
      </c>
      <c r="J766" s="1145" t="s">
        <v>2628</v>
      </c>
    </row>
    <row r="767" spans="1:10" ht="72" x14ac:dyDescent="0.2">
      <c r="A767" s="1170" t="s">
        <v>1706</v>
      </c>
      <c r="B767" s="1015" t="s">
        <v>1687</v>
      </c>
      <c r="C767" s="469" t="s">
        <v>1688</v>
      </c>
      <c r="D767" s="474" t="s">
        <v>1689</v>
      </c>
      <c r="E767" s="475">
        <v>48691.360000000001</v>
      </c>
      <c r="F767" s="473" t="s">
        <v>1707</v>
      </c>
      <c r="G767" s="469" t="s">
        <v>1691</v>
      </c>
      <c r="H767" s="476">
        <v>43788</v>
      </c>
      <c r="I767" s="476">
        <v>43788</v>
      </c>
      <c r="J767" s="1145" t="s">
        <v>2628</v>
      </c>
    </row>
    <row r="768" spans="1:10" ht="96" x14ac:dyDescent="0.2">
      <c r="A768" s="1170" t="s">
        <v>1708</v>
      </c>
      <c r="B768" s="1015" t="s">
        <v>1687</v>
      </c>
      <c r="C768" s="469" t="s">
        <v>1688</v>
      </c>
      <c r="D768" s="474" t="s">
        <v>1689</v>
      </c>
      <c r="E768" s="475">
        <v>44824.15</v>
      </c>
      <c r="F768" s="473" t="s">
        <v>1709</v>
      </c>
      <c r="G768" s="469" t="s">
        <v>1691</v>
      </c>
      <c r="H768" s="476">
        <v>43826</v>
      </c>
      <c r="I768" s="476">
        <v>43826</v>
      </c>
      <c r="J768" s="1145" t="s">
        <v>2628</v>
      </c>
    </row>
    <row r="769" spans="1:10" ht="72" x14ac:dyDescent="0.2">
      <c r="A769" s="1170" t="s">
        <v>1710</v>
      </c>
      <c r="B769" s="1015" t="s">
        <v>1687</v>
      </c>
      <c r="C769" s="469" t="s">
        <v>1688</v>
      </c>
      <c r="D769" s="474" t="s">
        <v>1689</v>
      </c>
      <c r="E769" s="475">
        <v>40548.93</v>
      </c>
      <c r="F769" s="473" t="s">
        <v>1711</v>
      </c>
      <c r="G769" s="469" t="s">
        <v>1691</v>
      </c>
      <c r="H769" s="476">
        <v>43763</v>
      </c>
      <c r="I769" s="476">
        <v>43763</v>
      </c>
      <c r="J769" s="1145" t="s">
        <v>2628</v>
      </c>
    </row>
    <row r="770" spans="1:10" ht="84" x14ac:dyDescent="0.2">
      <c r="A770" s="1170" t="s">
        <v>1712</v>
      </c>
      <c r="B770" s="1015" t="s">
        <v>1687</v>
      </c>
      <c r="C770" s="469" t="s">
        <v>1688</v>
      </c>
      <c r="D770" s="474" t="s">
        <v>1689</v>
      </c>
      <c r="E770" s="475">
        <v>39656.35</v>
      </c>
      <c r="F770" s="473" t="s">
        <v>1713</v>
      </c>
      <c r="G770" s="469" t="s">
        <v>1691</v>
      </c>
      <c r="H770" s="476">
        <v>43662</v>
      </c>
      <c r="I770" s="476">
        <v>43662</v>
      </c>
      <c r="J770" s="1145" t="s">
        <v>2628</v>
      </c>
    </row>
    <row r="771" spans="1:10" ht="84" x14ac:dyDescent="0.2">
      <c r="A771" s="1170" t="s">
        <v>1713</v>
      </c>
      <c r="B771" s="1015" t="s">
        <v>1687</v>
      </c>
      <c r="C771" s="469" t="s">
        <v>1688</v>
      </c>
      <c r="D771" s="474" t="s">
        <v>1689</v>
      </c>
      <c r="E771" s="478">
        <v>35808.870000000003</v>
      </c>
      <c r="F771" s="479" t="s">
        <v>1693</v>
      </c>
      <c r="G771" s="469" t="s">
        <v>1691</v>
      </c>
      <c r="H771" s="480">
        <v>43819</v>
      </c>
      <c r="I771" s="480">
        <v>43819</v>
      </c>
      <c r="J771" s="1145" t="s">
        <v>2628</v>
      </c>
    </row>
    <row r="772" spans="1:10" ht="84" x14ac:dyDescent="0.2">
      <c r="A772" s="1170" t="s">
        <v>1714</v>
      </c>
      <c r="B772" s="1015" t="s">
        <v>1687</v>
      </c>
      <c r="C772" s="469" t="s">
        <v>1688</v>
      </c>
      <c r="D772" s="474" t="s">
        <v>1689</v>
      </c>
      <c r="E772" s="478">
        <v>35742.199999999997</v>
      </c>
      <c r="F772" s="479" t="s">
        <v>1715</v>
      </c>
      <c r="G772" s="469" t="s">
        <v>1691</v>
      </c>
      <c r="H772" s="480">
        <v>43613</v>
      </c>
      <c r="I772" s="480">
        <v>43613</v>
      </c>
      <c r="J772" s="1145" t="s">
        <v>2628</v>
      </c>
    </row>
    <row r="773" spans="1:10" ht="24" x14ac:dyDescent="0.2">
      <c r="A773" s="1170" t="s">
        <v>1716</v>
      </c>
      <c r="B773" s="440" t="s">
        <v>1696</v>
      </c>
      <c r="C773" s="482" t="s">
        <v>1219</v>
      </c>
      <c r="D773" s="483" t="s">
        <v>1717</v>
      </c>
      <c r="E773" s="478">
        <v>63000</v>
      </c>
      <c r="F773" s="481" t="s">
        <v>1716</v>
      </c>
      <c r="G773" s="469" t="s">
        <v>1691</v>
      </c>
      <c r="H773" s="480">
        <v>43522</v>
      </c>
      <c r="I773" s="480">
        <v>43522</v>
      </c>
      <c r="J773" s="1145" t="s">
        <v>2628</v>
      </c>
    </row>
    <row r="774" spans="1:10" ht="84" x14ac:dyDescent="0.2">
      <c r="A774" s="1170" t="s">
        <v>1718</v>
      </c>
      <c r="B774" s="1015" t="s">
        <v>1687</v>
      </c>
      <c r="C774" s="469" t="s">
        <v>1688</v>
      </c>
      <c r="D774" s="483" t="s">
        <v>1717</v>
      </c>
      <c r="E774" s="475">
        <v>65000</v>
      </c>
      <c r="F774" s="473" t="s">
        <v>1718</v>
      </c>
      <c r="G774" s="469" t="s">
        <v>1719</v>
      </c>
      <c r="H774" s="476">
        <v>43948</v>
      </c>
      <c r="I774" s="476">
        <v>43948</v>
      </c>
      <c r="J774" s="1145" t="s">
        <v>2628</v>
      </c>
    </row>
    <row r="775" spans="1:10" ht="84" x14ac:dyDescent="0.2">
      <c r="A775" s="1170" t="s">
        <v>1720</v>
      </c>
      <c r="B775" s="1015" t="s">
        <v>1687</v>
      </c>
      <c r="C775" s="469" t="s">
        <v>1688</v>
      </c>
      <c r="D775" s="483" t="s">
        <v>1721</v>
      </c>
      <c r="E775" s="475">
        <v>65000</v>
      </c>
      <c r="F775" s="473" t="s">
        <v>1720</v>
      </c>
      <c r="G775" s="469" t="s">
        <v>1719</v>
      </c>
      <c r="H775" s="476">
        <v>43949</v>
      </c>
      <c r="I775" s="476">
        <v>43949</v>
      </c>
      <c r="J775" s="1145" t="s">
        <v>2628</v>
      </c>
    </row>
    <row r="776" spans="1:10" ht="84" x14ac:dyDescent="0.2">
      <c r="A776" s="1170" t="s">
        <v>1693</v>
      </c>
      <c r="B776" s="1015" t="s">
        <v>1687</v>
      </c>
      <c r="C776" s="469" t="s">
        <v>1688</v>
      </c>
      <c r="D776" s="483" t="s">
        <v>1722</v>
      </c>
      <c r="E776" s="475">
        <v>58000</v>
      </c>
      <c r="F776" s="473" t="s">
        <v>1693</v>
      </c>
      <c r="G776" s="469" t="s">
        <v>1719</v>
      </c>
      <c r="H776" s="476">
        <v>43950</v>
      </c>
      <c r="I776" s="476">
        <v>43950</v>
      </c>
      <c r="J776" s="1145" t="s">
        <v>2628</v>
      </c>
    </row>
    <row r="777" spans="1:10" ht="84" x14ac:dyDescent="0.2">
      <c r="A777" s="1170" t="s">
        <v>1702</v>
      </c>
      <c r="B777" s="1015" t="s">
        <v>1687</v>
      </c>
      <c r="C777" s="469" t="s">
        <v>1688</v>
      </c>
      <c r="D777" s="483" t="s">
        <v>1723</v>
      </c>
      <c r="E777" s="475">
        <v>58000</v>
      </c>
      <c r="F777" s="473" t="s">
        <v>1702</v>
      </c>
      <c r="G777" s="469" t="s">
        <v>1719</v>
      </c>
      <c r="H777" s="476">
        <v>43951</v>
      </c>
      <c r="I777" s="476">
        <v>43951</v>
      </c>
      <c r="J777" s="1145" t="s">
        <v>2628</v>
      </c>
    </row>
    <row r="778" spans="1:10" ht="84" x14ac:dyDescent="0.2">
      <c r="A778" s="1170" t="s">
        <v>1724</v>
      </c>
      <c r="B778" s="1015" t="s">
        <v>1687</v>
      </c>
      <c r="C778" s="469" t="s">
        <v>1688</v>
      </c>
      <c r="D778" s="483" t="s">
        <v>1725</v>
      </c>
      <c r="E778" s="475">
        <v>58000</v>
      </c>
      <c r="F778" s="473" t="s">
        <v>1724</v>
      </c>
      <c r="G778" s="469" t="s">
        <v>1719</v>
      </c>
      <c r="H778" s="476">
        <v>43952</v>
      </c>
      <c r="I778" s="476">
        <v>43966</v>
      </c>
      <c r="J778" s="1145" t="s">
        <v>2628</v>
      </c>
    </row>
    <row r="779" spans="1:10" ht="72" x14ac:dyDescent="0.2">
      <c r="A779" s="1170" t="s">
        <v>1690</v>
      </c>
      <c r="B779" s="1015" t="s">
        <v>1687</v>
      </c>
      <c r="C779" s="469" t="s">
        <v>1688</v>
      </c>
      <c r="D779" s="483" t="s">
        <v>1726</v>
      </c>
      <c r="E779" s="475">
        <v>50000</v>
      </c>
      <c r="F779" s="473" t="s">
        <v>1690</v>
      </c>
      <c r="G779" s="469" t="s">
        <v>1719</v>
      </c>
      <c r="H779" s="476">
        <v>43953</v>
      </c>
      <c r="I779" s="476">
        <v>43966</v>
      </c>
      <c r="J779" s="1145" t="s">
        <v>2628</v>
      </c>
    </row>
    <row r="780" spans="1:10" ht="72" x14ac:dyDescent="0.2">
      <c r="A780" s="1170" t="s">
        <v>1707</v>
      </c>
      <c r="B780" s="1015" t="s">
        <v>1687</v>
      </c>
      <c r="C780" s="469" t="s">
        <v>1688</v>
      </c>
      <c r="D780" s="483" t="s">
        <v>1727</v>
      </c>
      <c r="E780" s="475">
        <v>50000</v>
      </c>
      <c r="F780" s="473" t="s">
        <v>1707</v>
      </c>
      <c r="G780" s="469" t="s">
        <v>1719</v>
      </c>
      <c r="H780" s="476">
        <v>43954</v>
      </c>
      <c r="I780" s="476">
        <v>43964</v>
      </c>
      <c r="J780" s="1145" t="s">
        <v>2628</v>
      </c>
    </row>
    <row r="781" spans="1:10" ht="96" x14ac:dyDescent="0.2">
      <c r="A781" s="1170" t="s">
        <v>1728</v>
      </c>
      <c r="B781" s="1015" t="s">
        <v>1687</v>
      </c>
      <c r="C781" s="469" t="s">
        <v>1688</v>
      </c>
      <c r="D781" s="483" t="s">
        <v>1729</v>
      </c>
      <c r="E781" s="475">
        <v>45000</v>
      </c>
      <c r="F781" s="473" t="s">
        <v>1730</v>
      </c>
      <c r="G781" s="469" t="s">
        <v>1719</v>
      </c>
      <c r="H781" s="476">
        <v>43955</v>
      </c>
      <c r="I781" s="476">
        <v>43959</v>
      </c>
      <c r="J781" s="1145" t="s">
        <v>2628</v>
      </c>
    </row>
    <row r="782" spans="1:10" ht="36" x14ac:dyDescent="0.2">
      <c r="A782" s="1170" t="s">
        <v>1731</v>
      </c>
      <c r="B782" s="440" t="s">
        <v>1732</v>
      </c>
      <c r="C782" s="469" t="s">
        <v>1219</v>
      </c>
      <c r="D782" s="474">
        <v>1</v>
      </c>
      <c r="E782" s="484">
        <v>118844</v>
      </c>
      <c r="F782" s="1015" t="s">
        <v>1733</v>
      </c>
      <c r="G782" s="469" t="s">
        <v>1691</v>
      </c>
      <c r="H782" s="485">
        <v>44074</v>
      </c>
      <c r="I782" s="485">
        <v>44097</v>
      </c>
      <c r="J782" s="1145" t="s">
        <v>2628</v>
      </c>
    </row>
    <row r="783" spans="1:10" ht="120" x14ac:dyDescent="0.2">
      <c r="A783" s="1170" t="s">
        <v>1734</v>
      </c>
      <c r="B783" s="1015" t="s">
        <v>1687</v>
      </c>
      <c r="C783" s="469" t="s">
        <v>1688</v>
      </c>
      <c r="D783" s="474" t="s">
        <v>1735</v>
      </c>
      <c r="E783" s="475">
        <v>99274.8</v>
      </c>
      <c r="F783" s="473" t="s">
        <v>1734</v>
      </c>
      <c r="G783" s="469" t="s">
        <v>1691</v>
      </c>
      <c r="H783" s="486">
        <v>44106</v>
      </c>
      <c r="I783" s="485">
        <v>43984</v>
      </c>
      <c r="J783" s="1145" t="s">
        <v>2628</v>
      </c>
    </row>
    <row r="784" spans="1:10" ht="120" x14ac:dyDescent="0.2">
      <c r="A784" s="1170" t="s">
        <v>1734</v>
      </c>
      <c r="B784" s="1015" t="s">
        <v>1687</v>
      </c>
      <c r="C784" s="469" t="s">
        <v>1688</v>
      </c>
      <c r="D784" s="474" t="s">
        <v>1736</v>
      </c>
      <c r="E784" s="475">
        <v>66736.320000000007</v>
      </c>
      <c r="F784" s="473" t="s">
        <v>1734</v>
      </c>
      <c r="G784" s="469" t="s">
        <v>1691</v>
      </c>
      <c r="H784" s="476">
        <v>43883</v>
      </c>
      <c r="I784" s="485">
        <v>44074</v>
      </c>
      <c r="J784" s="1145" t="s">
        <v>2628</v>
      </c>
    </row>
    <row r="785" spans="1:10" ht="60" x14ac:dyDescent="0.2">
      <c r="A785" s="1170" t="s">
        <v>1737</v>
      </c>
      <c r="B785" s="1015" t="s">
        <v>1687</v>
      </c>
      <c r="C785" s="469" t="s">
        <v>1688</v>
      </c>
      <c r="D785" s="474" t="s">
        <v>1738</v>
      </c>
      <c r="E785" s="475">
        <v>59810.99</v>
      </c>
      <c r="F785" s="473" t="s">
        <v>1737</v>
      </c>
      <c r="G785" s="469" t="s">
        <v>1691</v>
      </c>
      <c r="H785" s="476">
        <v>43883</v>
      </c>
      <c r="I785" s="485">
        <v>44074</v>
      </c>
      <c r="J785" s="1145" t="s">
        <v>2628</v>
      </c>
    </row>
    <row r="786" spans="1:10" ht="84" x14ac:dyDescent="0.2">
      <c r="A786" s="1170" t="s">
        <v>1739</v>
      </c>
      <c r="B786" s="1015" t="s">
        <v>1687</v>
      </c>
      <c r="C786" s="469" t="s">
        <v>1688</v>
      </c>
      <c r="D786" s="474" t="s">
        <v>1740</v>
      </c>
      <c r="E786" s="475">
        <v>54752</v>
      </c>
      <c r="F786" s="473" t="s">
        <v>1741</v>
      </c>
      <c r="G786" s="469" t="s">
        <v>1691</v>
      </c>
      <c r="H786" s="487">
        <v>44063</v>
      </c>
      <c r="I786" s="485">
        <v>44074</v>
      </c>
      <c r="J786" s="1145" t="s">
        <v>2628</v>
      </c>
    </row>
    <row r="787" spans="1:10" ht="84" x14ac:dyDescent="0.2">
      <c r="A787" s="1170" t="s">
        <v>1739</v>
      </c>
      <c r="B787" s="1015" t="s">
        <v>1687</v>
      </c>
      <c r="C787" s="469" t="s">
        <v>1688</v>
      </c>
      <c r="D787" s="474" t="s">
        <v>1742</v>
      </c>
      <c r="E787" s="475">
        <v>54752</v>
      </c>
      <c r="F787" s="473" t="s">
        <v>1741</v>
      </c>
      <c r="G787" s="469" t="s">
        <v>1691</v>
      </c>
      <c r="H787" s="487">
        <v>44064</v>
      </c>
      <c r="I787" s="485">
        <v>44074</v>
      </c>
      <c r="J787" s="1145" t="s">
        <v>2628</v>
      </c>
    </row>
    <row r="788" spans="1:10" ht="108" x14ac:dyDescent="0.2">
      <c r="A788" s="1170" t="s">
        <v>1731</v>
      </c>
      <c r="B788" s="440" t="s">
        <v>1732</v>
      </c>
      <c r="C788" s="469" t="s">
        <v>1219</v>
      </c>
      <c r="D788" s="474">
        <v>1</v>
      </c>
      <c r="E788" s="484">
        <v>119700</v>
      </c>
      <c r="F788" s="473" t="s">
        <v>1731</v>
      </c>
      <c r="G788" s="469" t="s">
        <v>1719</v>
      </c>
      <c r="H788" s="488">
        <v>44198</v>
      </c>
      <c r="I788" s="488">
        <v>44227</v>
      </c>
      <c r="J788" s="1145" t="s">
        <v>2628</v>
      </c>
    </row>
    <row r="789" spans="1:10" ht="120" x14ac:dyDescent="0.2">
      <c r="A789" s="1170" t="s">
        <v>1743</v>
      </c>
      <c r="B789" s="1015" t="s">
        <v>1687</v>
      </c>
      <c r="C789" s="469" t="s">
        <v>1688</v>
      </c>
      <c r="D789" s="474" t="s">
        <v>1717</v>
      </c>
      <c r="E789" s="475">
        <v>77000</v>
      </c>
      <c r="F789" s="473" t="s">
        <v>1743</v>
      </c>
      <c r="G789" s="469" t="s">
        <v>1719</v>
      </c>
      <c r="H789" s="487">
        <v>44199</v>
      </c>
      <c r="I789" s="487">
        <v>44201</v>
      </c>
      <c r="J789" s="1145" t="s">
        <v>2628</v>
      </c>
    </row>
    <row r="790" spans="1:10" ht="120" x14ac:dyDescent="0.2">
      <c r="A790" s="1170" t="s">
        <v>1734</v>
      </c>
      <c r="B790" s="1015" t="s">
        <v>1687</v>
      </c>
      <c r="C790" s="469" t="s">
        <v>1688</v>
      </c>
      <c r="D790" s="474" t="s">
        <v>1721</v>
      </c>
      <c r="E790" s="475">
        <v>77000</v>
      </c>
      <c r="F790" s="473" t="s">
        <v>1734</v>
      </c>
      <c r="G790" s="469" t="s">
        <v>1719</v>
      </c>
      <c r="H790" s="487">
        <v>44199</v>
      </c>
      <c r="I790" s="487">
        <v>44201</v>
      </c>
      <c r="J790" s="1145" t="s">
        <v>2628</v>
      </c>
    </row>
    <row r="791" spans="1:10" ht="60" x14ac:dyDescent="0.2">
      <c r="A791" s="1170" t="s">
        <v>1737</v>
      </c>
      <c r="B791" s="1015" t="s">
        <v>1687</v>
      </c>
      <c r="C791" s="469" t="s">
        <v>1688</v>
      </c>
      <c r="D791" s="474" t="s">
        <v>1722</v>
      </c>
      <c r="E791" s="475">
        <v>6500</v>
      </c>
      <c r="F791" s="473" t="s">
        <v>1737</v>
      </c>
      <c r="G791" s="469" t="s">
        <v>1719</v>
      </c>
      <c r="H791" s="487">
        <v>44260</v>
      </c>
      <c r="I791" s="487">
        <v>44265</v>
      </c>
      <c r="J791" s="1145" t="s">
        <v>2628</v>
      </c>
    </row>
    <row r="792" spans="1:10" ht="84" x14ac:dyDescent="0.2">
      <c r="A792" s="1170" t="s">
        <v>1739</v>
      </c>
      <c r="B792" s="1015" t="s">
        <v>1687</v>
      </c>
      <c r="C792" s="469" t="s">
        <v>1688</v>
      </c>
      <c r="D792" s="474" t="s">
        <v>1723</v>
      </c>
      <c r="E792" s="475">
        <v>60000</v>
      </c>
      <c r="F792" s="473" t="s">
        <v>1741</v>
      </c>
      <c r="G792" s="469" t="s">
        <v>1719</v>
      </c>
      <c r="H792" s="487">
        <v>44261</v>
      </c>
      <c r="I792" s="487">
        <v>44261</v>
      </c>
      <c r="J792" s="1145" t="s">
        <v>2628</v>
      </c>
    </row>
    <row r="793" spans="1:10" ht="84" x14ac:dyDescent="0.2">
      <c r="A793" s="1170" t="s">
        <v>1739</v>
      </c>
      <c r="B793" s="1015" t="s">
        <v>1687</v>
      </c>
      <c r="C793" s="469" t="s">
        <v>1688</v>
      </c>
      <c r="D793" s="474" t="s">
        <v>1725</v>
      </c>
      <c r="E793" s="475">
        <v>30000</v>
      </c>
      <c r="F793" s="473" t="s">
        <v>1741</v>
      </c>
      <c r="G793" s="469" t="s">
        <v>1719</v>
      </c>
      <c r="H793" s="487">
        <v>44262</v>
      </c>
      <c r="I793" s="487">
        <v>44266</v>
      </c>
      <c r="J793" s="1145" t="s">
        <v>2628</v>
      </c>
    </row>
    <row r="794" spans="1:10" ht="96" x14ac:dyDescent="0.2">
      <c r="A794" s="1170" t="s">
        <v>1744</v>
      </c>
      <c r="B794" s="1015" t="s">
        <v>1687</v>
      </c>
      <c r="C794" s="469" t="s">
        <v>1688</v>
      </c>
      <c r="D794" s="474" t="s">
        <v>1726</v>
      </c>
      <c r="E794" s="475">
        <v>170000</v>
      </c>
      <c r="F794" s="473" t="s">
        <v>1744</v>
      </c>
      <c r="G794" s="469" t="s">
        <v>1719</v>
      </c>
      <c r="H794" s="487">
        <v>44263</v>
      </c>
      <c r="I794" s="487">
        <v>44266</v>
      </c>
      <c r="J794" s="1145" t="s">
        <v>2628</v>
      </c>
    </row>
    <row r="795" spans="1:10" ht="60" x14ac:dyDescent="0.2">
      <c r="A795" s="1170" t="s">
        <v>1745</v>
      </c>
      <c r="B795" s="1015" t="s">
        <v>1687</v>
      </c>
      <c r="C795" s="469" t="s">
        <v>1688</v>
      </c>
      <c r="D795" s="474" t="s">
        <v>1727</v>
      </c>
      <c r="E795" s="475">
        <v>99000</v>
      </c>
      <c r="F795" s="473" t="s">
        <v>1746</v>
      </c>
      <c r="G795" s="469" t="s">
        <v>1719</v>
      </c>
      <c r="H795" s="487">
        <v>44199</v>
      </c>
      <c r="I795" s="487">
        <v>44201</v>
      </c>
      <c r="J795" s="1145" t="s">
        <v>2628</v>
      </c>
    </row>
    <row r="796" spans="1:10" ht="72" x14ac:dyDescent="0.2">
      <c r="A796" s="1170" t="s">
        <v>1747</v>
      </c>
      <c r="B796" s="1015" t="s">
        <v>1687</v>
      </c>
      <c r="C796" s="469" t="s">
        <v>1688</v>
      </c>
      <c r="D796" s="474" t="s">
        <v>1729</v>
      </c>
      <c r="E796" s="475">
        <v>90000</v>
      </c>
      <c r="F796" s="473" t="s">
        <v>1747</v>
      </c>
      <c r="G796" s="469" t="s">
        <v>1719</v>
      </c>
      <c r="H796" s="487">
        <v>44262</v>
      </c>
      <c r="I796" s="487">
        <v>44260</v>
      </c>
      <c r="J796" s="1145" t="s">
        <v>2628</v>
      </c>
    </row>
    <row r="797" spans="1:10" ht="84" x14ac:dyDescent="0.2">
      <c r="A797" s="1170" t="s">
        <v>1748</v>
      </c>
      <c r="B797" s="1015" t="s">
        <v>1687</v>
      </c>
      <c r="C797" s="469" t="s">
        <v>1688</v>
      </c>
      <c r="D797" s="489" t="s">
        <v>1735</v>
      </c>
      <c r="E797" s="475">
        <v>70000</v>
      </c>
      <c r="F797" s="473" t="s">
        <v>1748</v>
      </c>
      <c r="G797" s="469" t="s">
        <v>1719</v>
      </c>
      <c r="H797" s="487">
        <v>44262</v>
      </c>
      <c r="I797" s="487">
        <v>44264</v>
      </c>
      <c r="J797" s="1145" t="s">
        <v>2628</v>
      </c>
    </row>
    <row r="798" spans="1:10" ht="72.75" thickBot="1" x14ac:dyDescent="0.25">
      <c r="A798" s="1171" t="s">
        <v>1716</v>
      </c>
      <c r="B798" s="576" t="s">
        <v>1696</v>
      </c>
      <c r="C798" s="577" t="s">
        <v>1219</v>
      </c>
      <c r="D798" s="578">
        <v>2</v>
      </c>
      <c r="E798" s="579">
        <v>63000</v>
      </c>
      <c r="F798" s="575" t="s">
        <v>1716</v>
      </c>
      <c r="G798" s="496" t="s">
        <v>1719</v>
      </c>
      <c r="H798" s="580">
        <v>44199</v>
      </c>
      <c r="I798" s="580">
        <v>44227</v>
      </c>
      <c r="J798" s="1145" t="s">
        <v>2628</v>
      </c>
    </row>
    <row r="799" spans="1:10" ht="31.5" customHeight="1" thickBot="1" x14ac:dyDescent="0.25">
      <c r="A799" s="542" t="s">
        <v>1749</v>
      </c>
      <c r="B799" s="543"/>
      <c r="C799" s="543"/>
      <c r="D799" s="543"/>
      <c r="E799" s="543"/>
      <c r="F799" s="543"/>
      <c r="G799" s="543"/>
      <c r="H799" s="543"/>
      <c r="I799" s="543"/>
      <c r="J799" s="544"/>
    </row>
    <row r="800" spans="1:10" ht="30" customHeight="1" x14ac:dyDescent="0.2">
      <c r="A800" s="1172" t="s">
        <v>1750</v>
      </c>
      <c r="B800" s="607" t="s">
        <v>1096</v>
      </c>
      <c r="C800" s="582" t="s">
        <v>1751</v>
      </c>
      <c r="D800" s="521" t="s">
        <v>1752</v>
      </c>
      <c r="E800" s="583">
        <v>244127.16</v>
      </c>
      <c r="F800" s="521" t="s">
        <v>1753</v>
      </c>
      <c r="G800" s="539" t="s">
        <v>1661</v>
      </c>
      <c r="H800" s="541">
        <v>43510</v>
      </c>
      <c r="I800" s="541">
        <v>43510</v>
      </c>
      <c r="J800" s="1145" t="s">
        <v>2628</v>
      </c>
    </row>
    <row r="801" spans="1:10" ht="30" customHeight="1" x14ac:dyDescent="0.2">
      <c r="A801" s="1173" t="s">
        <v>1754</v>
      </c>
      <c r="B801" s="608" t="s">
        <v>1096</v>
      </c>
      <c r="C801" s="472" t="s">
        <v>1751</v>
      </c>
      <c r="D801" s="1015" t="s">
        <v>1755</v>
      </c>
      <c r="E801" s="528">
        <v>274394</v>
      </c>
      <c r="F801" s="1015" t="s">
        <v>1756</v>
      </c>
      <c r="G801" s="469" t="s">
        <v>1661</v>
      </c>
      <c r="H801" s="471">
        <v>43740</v>
      </c>
      <c r="I801" s="471">
        <v>43740</v>
      </c>
      <c r="J801" s="1145" t="s">
        <v>2628</v>
      </c>
    </row>
    <row r="802" spans="1:10" ht="30" customHeight="1" x14ac:dyDescent="0.2">
      <c r="A802" s="1173" t="s">
        <v>1757</v>
      </c>
      <c r="B802" s="608" t="s">
        <v>1096</v>
      </c>
      <c r="C802" s="472" t="s">
        <v>1758</v>
      </c>
      <c r="D802" s="1015" t="s">
        <v>1755</v>
      </c>
      <c r="E802" s="528">
        <v>44400</v>
      </c>
      <c r="F802" s="1015" t="s">
        <v>1759</v>
      </c>
      <c r="G802" s="469" t="s">
        <v>1760</v>
      </c>
      <c r="H802" s="471">
        <v>43752</v>
      </c>
      <c r="I802" s="471">
        <v>43752</v>
      </c>
      <c r="J802" s="1145" t="s">
        <v>2628</v>
      </c>
    </row>
    <row r="803" spans="1:10" ht="30" customHeight="1" x14ac:dyDescent="0.2">
      <c r="A803" s="1173" t="s">
        <v>1761</v>
      </c>
      <c r="B803" s="608" t="s">
        <v>1096</v>
      </c>
      <c r="C803" s="472" t="s">
        <v>1751</v>
      </c>
      <c r="D803" s="1015" t="s">
        <v>1762</v>
      </c>
      <c r="E803" s="528">
        <v>81760</v>
      </c>
      <c r="F803" s="1015" t="s">
        <v>1763</v>
      </c>
      <c r="G803" s="469" t="s">
        <v>1760</v>
      </c>
      <c r="H803" s="471">
        <v>43732</v>
      </c>
      <c r="I803" s="471">
        <v>43732</v>
      </c>
      <c r="J803" s="1145" t="s">
        <v>2628</v>
      </c>
    </row>
    <row r="804" spans="1:10" ht="43.5" customHeight="1" x14ac:dyDescent="0.2">
      <c r="A804" s="1173" t="s">
        <v>1764</v>
      </c>
      <c r="B804" s="608" t="s">
        <v>1096</v>
      </c>
      <c r="C804" s="472" t="s">
        <v>1751</v>
      </c>
      <c r="D804" s="1015" t="s">
        <v>1765</v>
      </c>
      <c r="E804" s="493">
        <v>148566.20000000001</v>
      </c>
      <c r="F804" s="1015" t="s">
        <v>1766</v>
      </c>
      <c r="G804" s="469" t="s">
        <v>1661</v>
      </c>
      <c r="H804" s="471">
        <v>43787</v>
      </c>
      <c r="I804" s="471">
        <v>43787</v>
      </c>
      <c r="J804" s="1145" t="s">
        <v>2628</v>
      </c>
    </row>
    <row r="805" spans="1:10" ht="30" customHeight="1" x14ac:dyDescent="0.2">
      <c r="A805" s="1173" t="s">
        <v>1767</v>
      </c>
      <c r="B805" s="608" t="s">
        <v>1096</v>
      </c>
      <c r="C805" s="472" t="s">
        <v>1751</v>
      </c>
      <c r="D805" s="1015" t="s">
        <v>1768</v>
      </c>
      <c r="E805" s="493">
        <v>262000</v>
      </c>
      <c r="F805" s="1015" t="s">
        <v>1769</v>
      </c>
      <c r="G805" s="469" t="s">
        <v>1661</v>
      </c>
      <c r="H805" s="471">
        <v>43798</v>
      </c>
      <c r="I805" s="471" t="s">
        <v>1770</v>
      </c>
      <c r="J805" s="1145" t="s">
        <v>2628</v>
      </c>
    </row>
    <row r="806" spans="1:10" ht="30" customHeight="1" x14ac:dyDescent="0.2">
      <c r="A806" s="1173" t="s">
        <v>1771</v>
      </c>
      <c r="B806" s="609" t="s">
        <v>1096</v>
      </c>
      <c r="C806" s="472" t="s">
        <v>1751</v>
      </c>
      <c r="D806" s="440" t="s">
        <v>1772</v>
      </c>
      <c r="E806" s="528">
        <v>359400</v>
      </c>
      <c r="F806" s="472" t="s">
        <v>1773</v>
      </c>
      <c r="G806" s="472" t="s">
        <v>1661</v>
      </c>
      <c r="H806" s="507">
        <v>43829</v>
      </c>
      <c r="I806" s="471">
        <v>43829</v>
      </c>
      <c r="J806" s="1145" t="s">
        <v>2628</v>
      </c>
    </row>
    <row r="807" spans="1:10" ht="30" customHeight="1" x14ac:dyDescent="0.2">
      <c r="A807" s="1173" t="s">
        <v>1774</v>
      </c>
      <c r="B807" s="609" t="s">
        <v>1775</v>
      </c>
      <c r="C807" s="472" t="s">
        <v>1776</v>
      </c>
      <c r="D807" s="529" t="s">
        <v>1777</v>
      </c>
      <c r="E807" s="528">
        <v>46312.639999999999</v>
      </c>
      <c r="F807" s="1015" t="s">
        <v>1778</v>
      </c>
      <c r="G807" s="469" t="s">
        <v>1661</v>
      </c>
      <c r="H807" s="471">
        <v>43496</v>
      </c>
      <c r="I807" s="471">
        <v>43496</v>
      </c>
      <c r="J807" s="1145" t="s">
        <v>2628</v>
      </c>
    </row>
    <row r="808" spans="1:10" ht="30" customHeight="1" x14ac:dyDescent="0.2">
      <c r="A808" s="1173" t="s">
        <v>1779</v>
      </c>
      <c r="B808" s="609" t="s">
        <v>1775</v>
      </c>
      <c r="C808" s="472" t="s">
        <v>1776</v>
      </c>
      <c r="D808" s="1013" t="s">
        <v>1777</v>
      </c>
      <c r="E808" s="528">
        <v>19475.66</v>
      </c>
      <c r="F808" s="1015" t="s">
        <v>1780</v>
      </c>
      <c r="G808" s="469" t="s">
        <v>1661</v>
      </c>
      <c r="H808" s="471">
        <v>43496</v>
      </c>
      <c r="I808" s="471">
        <v>43496</v>
      </c>
      <c r="J808" s="1145" t="s">
        <v>2628</v>
      </c>
    </row>
    <row r="809" spans="1:10" ht="30" customHeight="1" x14ac:dyDescent="0.2">
      <c r="A809" s="1173" t="s">
        <v>1781</v>
      </c>
      <c r="B809" s="609" t="s">
        <v>1775</v>
      </c>
      <c r="C809" s="472" t="s">
        <v>1776</v>
      </c>
      <c r="D809" s="1013" t="s">
        <v>1777</v>
      </c>
      <c r="E809" s="528">
        <v>21929.22</v>
      </c>
      <c r="F809" s="1015" t="s">
        <v>1782</v>
      </c>
      <c r="G809" s="469" t="s">
        <v>1661</v>
      </c>
      <c r="H809" s="471">
        <v>43496</v>
      </c>
      <c r="I809" s="471">
        <v>43496</v>
      </c>
      <c r="J809" s="1145" t="s">
        <v>2628</v>
      </c>
    </row>
    <row r="810" spans="1:10" ht="30" customHeight="1" x14ac:dyDescent="0.2">
      <c r="A810" s="1173" t="s">
        <v>1781</v>
      </c>
      <c r="B810" s="609" t="s">
        <v>1775</v>
      </c>
      <c r="C810" s="472" t="s">
        <v>1776</v>
      </c>
      <c r="D810" s="1013" t="s">
        <v>1777</v>
      </c>
      <c r="E810" s="528">
        <v>45834.03</v>
      </c>
      <c r="F810" s="1015" t="s">
        <v>1782</v>
      </c>
      <c r="G810" s="469" t="s">
        <v>1661</v>
      </c>
      <c r="H810" s="471">
        <v>43496</v>
      </c>
      <c r="I810" s="471">
        <v>43496</v>
      </c>
      <c r="J810" s="1145" t="s">
        <v>2628</v>
      </c>
    </row>
    <row r="811" spans="1:10" ht="30" customHeight="1" x14ac:dyDescent="0.2">
      <c r="A811" s="1173" t="s">
        <v>1783</v>
      </c>
      <c r="B811" s="609" t="s">
        <v>1784</v>
      </c>
      <c r="C811" s="530" t="s">
        <v>1785</v>
      </c>
      <c r="D811" s="1013" t="s">
        <v>1777</v>
      </c>
      <c r="E811" s="528">
        <v>33571.18</v>
      </c>
      <c r="F811" s="1015" t="s">
        <v>1786</v>
      </c>
      <c r="G811" s="469" t="s">
        <v>1661</v>
      </c>
      <c r="H811" s="471">
        <v>43502</v>
      </c>
      <c r="I811" s="471">
        <v>43502</v>
      </c>
      <c r="J811" s="1145" t="s">
        <v>2628</v>
      </c>
    </row>
    <row r="812" spans="1:10" ht="30" customHeight="1" x14ac:dyDescent="0.2">
      <c r="A812" s="1173" t="s">
        <v>1787</v>
      </c>
      <c r="B812" s="609" t="s">
        <v>1784</v>
      </c>
      <c r="C812" s="530" t="s">
        <v>1785</v>
      </c>
      <c r="D812" s="1013" t="s">
        <v>1777</v>
      </c>
      <c r="E812" s="528">
        <v>40897.83</v>
      </c>
      <c r="F812" s="1015" t="s">
        <v>1788</v>
      </c>
      <c r="G812" s="469" t="s">
        <v>1661</v>
      </c>
      <c r="H812" s="471">
        <v>43629</v>
      </c>
      <c r="I812" s="471">
        <v>43629</v>
      </c>
      <c r="J812" s="1145" t="s">
        <v>2628</v>
      </c>
    </row>
    <row r="813" spans="1:10" ht="30" customHeight="1" x14ac:dyDescent="0.2">
      <c r="A813" s="1173" t="s">
        <v>1789</v>
      </c>
      <c r="B813" s="609" t="s">
        <v>1784</v>
      </c>
      <c r="C813" s="530" t="s">
        <v>1785</v>
      </c>
      <c r="D813" s="1013" t="s">
        <v>1777</v>
      </c>
      <c r="E813" s="528">
        <v>20385</v>
      </c>
      <c r="F813" s="1015" t="s">
        <v>1790</v>
      </c>
      <c r="G813" s="469" t="s">
        <v>1661</v>
      </c>
      <c r="H813" s="471">
        <v>43686</v>
      </c>
      <c r="I813" s="471">
        <v>43686</v>
      </c>
      <c r="J813" s="1145" t="s">
        <v>2628</v>
      </c>
    </row>
    <row r="814" spans="1:10" ht="30" customHeight="1" x14ac:dyDescent="0.2">
      <c r="A814" s="1173" t="s">
        <v>1791</v>
      </c>
      <c r="B814" s="609" t="s">
        <v>1775</v>
      </c>
      <c r="C814" s="530" t="s">
        <v>1785</v>
      </c>
      <c r="D814" s="1013" t="s">
        <v>1777</v>
      </c>
      <c r="E814" s="528">
        <v>70021.8</v>
      </c>
      <c r="F814" s="1015" t="s">
        <v>1792</v>
      </c>
      <c r="G814" s="469" t="s">
        <v>1661</v>
      </c>
      <c r="H814" s="471">
        <v>43691</v>
      </c>
      <c r="I814" s="471">
        <v>43691</v>
      </c>
      <c r="J814" s="1145" t="s">
        <v>2628</v>
      </c>
    </row>
    <row r="815" spans="1:10" ht="30" customHeight="1" x14ac:dyDescent="0.2">
      <c r="A815" s="1173" t="s">
        <v>1793</v>
      </c>
      <c r="B815" s="609" t="s">
        <v>1775</v>
      </c>
      <c r="C815" s="530" t="s">
        <v>1785</v>
      </c>
      <c r="D815" s="1013" t="s">
        <v>1777</v>
      </c>
      <c r="E815" s="528">
        <v>20934.150000000001</v>
      </c>
      <c r="F815" s="1015" t="s">
        <v>1794</v>
      </c>
      <c r="G815" s="469" t="s">
        <v>1661</v>
      </c>
      <c r="H815" s="471">
        <v>43691</v>
      </c>
      <c r="I815" s="471">
        <v>43691</v>
      </c>
      <c r="J815" s="1145" t="s">
        <v>2628</v>
      </c>
    </row>
    <row r="816" spans="1:10" ht="30" customHeight="1" x14ac:dyDescent="0.2">
      <c r="A816" s="1173" t="s">
        <v>1795</v>
      </c>
      <c r="B816" s="609" t="s">
        <v>1775</v>
      </c>
      <c r="C816" s="530" t="s">
        <v>1785</v>
      </c>
      <c r="D816" s="1013" t="s">
        <v>1777</v>
      </c>
      <c r="E816" s="528">
        <v>56609.32</v>
      </c>
      <c r="F816" s="1015" t="s">
        <v>1796</v>
      </c>
      <c r="G816" s="469" t="s">
        <v>1661</v>
      </c>
      <c r="H816" s="471">
        <v>43712</v>
      </c>
      <c r="I816" s="471">
        <v>43712</v>
      </c>
      <c r="J816" s="1145" t="s">
        <v>2628</v>
      </c>
    </row>
    <row r="817" spans="1:10" ht="30" customHeight="1" x14ac:dyDescent="0.2">
      <c r="A817" s="1173" t="s">
        <v>1797</v>
      </c>
      <c r="B817" s="609" t="s">
        <v>1096</v>
      </c>
      <c r="C817" s="531" t="s">
        <v>1751</v>
      </c>
      <c r="D817" s="1013" t="s">
        <v>1777</v>
      </c>
      <c r="E817" s="528">
        <v>81760</v>
      </c>
      <c r="F817" s="1015" t="s">
        <v>1798</v>
      </c>
      <c r="G817" s="469" t="s">
        <v>1661</v>
      </c>
      <c r="H817" s="471">
        <v>43732</v>
      </c>
      <c r="I817" s="471">
        <v>43732</v>
      </c>
      <c r="J817" s="1145" t="s">
        <v>2628</v>
      </c>
    </row>
    <row r="818" spans="1:10" ht="30" customHeight="1" x14ac:dyDescent="0.2">
      <c r="A818" s="1173" t="s">
        <v>1799</v>
      </c>
      <c r="B818" s="609" t="s">
        <v>1775</v>
      </c>
      <c r="C818" s="530" t="s">
        <v>1785</v>
      </c>
      <c r="D818" s="1013" t="s">
        <v>1777</v>
      </c>
      <c r="E818" s="528">
        <v>38776.400000000001</v>
      </c>
      <c r="F818" s="1015" t="s">
        <v>1800</v>
      </c>
      <c r="G818" s="469" t="s">
        <v>1661</v>
      </c>
      <c r="H818" s="471">
        <v>43732</v>
      </c>
      <c r="I818" s="471">
        <v>43732</v>
      </c>
      <c r="J818" s="1145" t="s">
        <v>2628</v>
      </c>
    </row>
    <row r="819" spans="1:10" ht="30" customHeight="1" x14ac:dyDescent="0.2">
      <c r="A819" s="1173" t="s">
        <v>1801</v>
      </c>
      <c r="B819" s="609" t="s">
        <v>1775</v>
      </c>
      <c r="C819" s="530" t="s">
        <v>1785</v>
      </c>
      <c r="D819" s="1013" t="s">
        <v>1777</v>
      </c>
      <c r="E819" s="528">
        <v>53115.34</v>
      </c>
      <c r="F819" s="1015" t="s">
        <v>1802</v>
      </c>
      <c r="G819" s="469" t="s">
        <v>1661</v>
      </c>
      <c r="H819" s="471">
        <v>43742</v>
      </c>
      <c r="I819" s="471">
        <v>43742</v>
      </c>
      <c r="J819" s="1145" t="s">
        <v>2628</v>
      </c>
    </row>
    <row r="820" spans="1:10" ht="30" customHeight="1" x14ac:dyDescent="0.2">
      <c r="A820" s="1173" t="s">
        <v>1803</v>
      </c>
      <c r="B820" s="609" t="s">
        <v>1775</v>
      </c>
      <c r="C820" s="530" t="s">
        <v>1785</v>
      </c>
      <c r="D820" s="1013" t="s">
        <v>1777</v>
      </c>
      <c r="E820" s="528">
        <v>43651.74</v>
      </c>
      <c r="F820" s="1015" t="s">
        <v>1800</v>
      </c>
      <c r="G820" s="469" t="s">
        <v>1661</v>
      </c>
      <c r="H820" s="471">
        <v>43740</v>
      </c>
      <c r="I820" s="471">
        <v>43740</v>
      </c>
      <c r="J820" s="1145" t="s">
        <v>2628</v>
      </c>
    </row>
    <row r="821" spans="1:10" ht="30" customHeight="1" x14ac:dyDescent="0.2">
      <c r="A821" s="1173" t="s">
        <v>1804</v>
      </c>
      <c r="B821" s="609" t="s">
        <v>1775</v>
      </c>
      <c r="C821" s="530" t="s">
        <v>1758</v>
      </c>
      <c r="D821" s="1013" t="s">
        <v>1777</v>
      </c>
      <c r="E821" s="528">
        <v>44400</v>
      </c>
      <c r="F821" s="1015" t="s">
        <v>1759</v>
      </c>
      <c r="G821" s="469" t="s">
        <v>1661</v>
      </c>
      <c r="H821" s="471">
        <v>43752</v>
      </c>
      <c r="I821" s="471">
        <v>43752</v>
      </c>
      <c r="J821" s="1145" t="s">
        <v>2628</v>
      </c>
    </row>
    <row r="822" spans="1:10" ht="30" customHeight="1" x14ac:dyDescent="0.2">
      <c r="A822" s="1173" t="s">
        <v>1805</v>
      </c>
      <c r="B822" s="609" t="s">
        <v>1775</v>
      </c>
      <c r="C822" s="530" t="s">
        <v>1758</v>
      </c>
      <c r="D822" s="1013" t="s">
        <v>1777</v>
      </c>
      <c r="E822" s="528">
        <v>52497.4</v>
      </c>
      <c r="F822" s="1015" t="s">
        <v>1794</v>
      </c>
      <c r="G822" s="469" t="s">
        <v>1661</v>
      </c>
      <c r="H822" s="471">
        <v>43752</v>
      </c>
      <c r="I822" s="471">
        <v>43752</v>
      </c>
      <c r="J822" s="1145" t="s">
        <v>2628</v>
      </c>
    </row>
    <row r="823" spans="1:10" ht="30" customHeight="1" x14ac:dyDescent="0.2">
      <c r="A823" s="1173" t="s">
        <v>1806</v>
      </c>
      <c r="B823" s="609" t="s">
        <v>1775</v>
      </c>
      <c r="C823" s="530" t="s">
        <v>1758</v>
      </c>
      <c r="D823" s="1013" t="s">
        <v>1777</v>
      </c>
      <c r="E823" s="528">
        <v>53004.42</v>
      </c>
      <c r="F823" s="1015" t="s">
        <v>1807</v>
      </c>
      <c r="G823" s="469" t="s">
        <v>1661</v>
      </c>
      <c r="H823" s="471">
        <v>43766</v>
      </c>
      <c r="I823" s="471">
        <v>43766</v>
      </c>
      <c r="J823" s="1145" t="s">
        <v>2628</v>
      </c>
    </row>
    <row r="824" spans="1:10" ht="30" customHeight="1" x14ac:dyDescent="0.2">
      <c r="A824" s="1173" t="s">
        <v>1808</v>
      </c>
      <c r="B824" s="609" t="s">
        <v>1775</v>
      </c>
      <c r="C824" s="530" t="s">
        <v>1758</v>
      </c>
      <c r="D824" s="1013" t="s">
        <v>1777</v>
      </c>
      <c r="E824" s="528">
        <v>46678.44</v>
      </c>
      <c r="F824" s="1015" t="s">
        <v>1800</v>
      </c>
      <c r="G824" s="469" t="s">
        <v>1661</v>
      </c>
      <c r="H824" s="471">
        <v>43766</v>
      </c>
      <c r="I824" s="471">
        <v>43766</v>
      </c>
      <c r="J824" s="1145" t="s">
        <v>2628</v>
      </c>
    </row>
    <row r="825" spans="1:10" ht="30" customHeight="1" x14ac:dyDescent="0.2">
      <c r="A825" s="1173" t="s">
        <v>1809</v>
      </c>
      <c r="B825" s="609" t="s">
        <v>1775</v>
      </c>
      <c r="C825" s="530" t="s">
        <v>1785</v>
      </c>
      <c r="D825" s="1013" t="s">
        <v>1777</v>
      </c>
      <c r="E825" s="528">
        <v>95441.06</v>
      </c>
      <c r="F825" s="1015" t="s">
        <v>1810</v>
      </c>
      <c r="G825" s="469" t="s">
        <v>1661</v>
      </c>
      <c r="H825" s="471">
        <v>43790</v>
      </c>
      <c r="I825" s="471">
        <v>43790</v>
      </c>
      <c r="J825" s="1145" t="s">
        <v>2628</v>
      </c>
    </row>
    <row r="826" spans="1:10" ht="30" customHeight="1" x14ac:dyDescent="0.2">
      <c r="A826" s="1173" t="s">
        <v>1811</v>
      </c>
      <c r="B826" s="609" t="s">
        <v>1775</v>
      </c>
      <c r="C826" s="530" t="s">
        <v>1785</v>
      </c>
      <c r="D826" s="1013" t="s">
        <v>1777</v>
      </c>
      <c r="E826" s="528">
        <v>60040.71</v>
      </c>
      <c r="F826" s="1015" t="s">
        <v>1780</v>
      </c>
      <c r="G826" s="469" t="s">
        <v>1661</v>
      </c>
      <c r="H826" s="471">
        <v>43790</v>
      </c>
      <c r="I826" s="471">
        <v>43790</v>
      </c>
      <c r="J826" s="1145" t="s">
        <v>2628</v>
      </c>
    </row>
    <row r="827" spans="1:10" ht="30" customHeight="1" x14ac:dyDescent="0.2">
      <c r="A827" s="1173" t="s">
        <v>1812</v>
      </c>
      <c r="B827" s="609" t="s">
        <v>1775</v>
      </c>
      <c r="C827" s="530" t="s">
        <v>1785</v>
      </c>
      <c r="D827" s="1013" t="s">
        <v>1777</v>
      </c>
      <c r="E827" s="528">
        <v>54691.23</v>
      </c>
      <c r="F827" s="1015" t="s">
        <v>1810</v>
      </c>
      <c r="G827" s="469" t="s">
        <v>1661</v>
      </c>
      <c r="H827" s="471">
        <v>43797</v>
      </c>
      <c r="I827" s="471">
        <v>43797</v>
      </c>
      <c r="J827" s="1145" t="s">
        <v>2628</v>
      </c>
    </row>
    <row r="828" spans="1:10" ht="30" customHeight="1" x14ac:dyDescent="0.2">
      <c r="A828" s="1173" t="s">
        <v>1813</v>
      </c>
      <c r="B828" s="608" t="s">
        <v>1096</v>
      </c>
      <c r="C828" s="472" t="s">
        <v>1751</v>
      </c>
      <c r="D828" s="1015" t="s">
        <v>1768</v>
      </c>
      <c r="E828" s="528">
        <v>65326.96</v>
      </c>
      <c r="F828" s="1015" t="s">
        <v>1769</v>
      </c>
      <c r="G828" s="469" t="s">
        <v>1661</v>
      </c>
      <c r="H828" s="471">
        <v>43803</v>
      </c>
      <c r="I828" s="471">
        <v>43803</v>
      </c>
      <c r="J828" s="1145" t="s">
        <v>2628</v>
      </c>
    </row>
    <row r="829" spans="1:10" ht="30" customHeight="1" x14ac:dyDescent="0.2">
      <c r="A829" s="1173" t="s">
        <v>1814</v>
      </c>
      <c r="B829" s="609" t="s">
        <v>1096</v>
      </c>
      <c r="C829" s="472" t="s">
        <v>1751</v>
      </c>
      <c r="D829" s="1015" t="s">
        <v>1815</v>
      </c>
      <c r="E829" s="528">
        <v>94752</v>
      </c>
      <c r="F829" s="1015" t="s">
        <v>1816</v>
      </c>
      <c r="G829" s="469" t="s">
        <v>1661</v>
      </c>
      <c r="H829" s="471">
        <v>43803</v>
      </c>
      <c r="I829" s="471">
        <v>43803</v>
      </c>
      <c r="J829" s="1145" t="s">
        <v>2628</v>
      </c>
    </row>
    <row r="830" spans="1:10" ht="30" customHeight="1" x14ac:dyDescent="0.2">
      <c r="A830" s="1173" t="s">
        <v>1817</v>
      </c>
      <c r="B830" s="609" t="s">
        <v>1096</v>
      </c>
      <c r="C830" s="472" t="s">
        <v>1751</v>
      </c>
      <c r="D830" s="1015" t="s">
        <v>1815</v>
      </c>
      <c r="E830" s="528">
        <v>142240</v>
      </c>
      <c r="F830" s="1015" t="s">
        <v>1818</v>
      </c>
      <c r="G830" s="469" t="s">
        <v>1661</v>
      </c>
      <c r="H830" s="471">
        <v>43812</v>
      </c>
      <c r="I830" s="471">
        <v>43812</v>
      </c>
      <c r="J830" s="1145" t="s">
        <v>2628</v>
      </c>
    </row>
    <row r="831" spans="1:10" ht="46.5" customHeight="1" x14ac:dyDescent="0.2">
      <c r="A831" s="1173" t="s">
        <v>1750</v>
      </c>
      <c r="B831" s="610" t="s">
        <v>1096</v>
      </c>
      <c r="C831" s="472" t="s">
        <v>1751</v>
      </c>
      <c r="D831" s="472" t="s">
        <v>1819</v>
      </c>
      <c r="E831" s="492">
        <v>124194.97</v>
      </c>
      <c r="F831" s="1015" t="s">
        <v>1753</v>
      </c>
      <c r="G831" s="469" t="s">
        <v>1661</v>
      </c>
      <c r="H831" s="471">
        <v>43879</v>
      </c>
      <c r="I831" s="471">
        <v>43879</v>
      </c>
      <c r="J831" s="1145" t="s">
        <v>2628</v>
      </c>
    </row>
    <row r="832" spans="1:10" ht="43.5" customHeight="1" x14ac:dyDescent="0.2">
      <c r="A832" s="1173" t="s">
        <v>1820</v>
      </c>
      <c r="B832" s="610" t="s">
        <v>1775</v>
      </c>
      <c r="C832" s="472" t="s">
        <v>1785</v>
      </c>
      <c r="D832" s="1013" t="s">
        <v>1821</v>
      </c>
      <c r="E832" s="492">
        <v>63340</v>
      </c>
      <c r="F832" s="1015" t="s">
        <v>1822</v>
      </c>
      <c r="G832" s="469" t="s">
        <v>1661</v>
      </c>
      <c r="H832" s="471">
        <v>43963</v>
      </c>
      <c r="I832" s="471">
        <v>43963</v>
      </c>
      <c r="J832" s="1145" t="s">
        <v>2628</v>
      </c>
    </row>
    <row r="833" spans="1:10" ht="33.75" customHeight="1" x14ac:dyDescent="0.2">
      <c r="A833" s="1173" t="s">
        <v>1823</v>
      </c>
      <c r="B833" s="610" t="s">
        <v>1775</v>
      </c>
      <c r="C833" s="472" t="s">
        <v>1785</v>
      </c>
      <c r="D833" s="1013" t="s">
        <v>1821</v>
      </c>
      <c r="E833" s="492">
        <v>307511.02</v>
      </c>
      <c r="F833" s="1015" t="s">
        <v>1824</v>
      </c>
      <c r="G833" s="469" t="s">
        <v>1760</v>
      </c>
      <c r="H833" s="471">
        <v>44041</v>
      </c>
      <c r="I833" s="471">
        <v>44041</v>
      </c>
      <c r="J833" s="1145" t="s">
        <v>2628</v>
      </c>
    </row>
    <row r="834" spans="1:10" ht="39.75" customHeight="1" x14ac:dyDescent="0.2">
      <c r="A834" s="1173" t="s">
        <v>1823</v>
      </c>
      <c r="B834" s="610" t="s">
        <v>1775</v>
      </c>
      <c r="C834" s="472" t="s">
        <v>1785</v>
      </c>
      <c r="D834" s="1013" t="s">
        <v>1821</v>
      </c>
      <c r="E834" s="492">
        <v>69269.59</v>
      </c>
      <c r="F834" s="1015" t="s">
        <v>1825</v>
      </c>
      <c r="G834" s="469" t="s">
        <v>1760</v>
      </c>
      <c r="H834" s="471">
        <v>44063</v>
      </c>
      <c r="I834" s="471">
        <v>44063</v>
      </c>
      <c r="J834" s="1145" t="s">
        <v>2628</v>
      </c>
    </row>
    <row r="835" spans="1:10" ht="30" customHeight="1" x14ac:dyDescent="0.2">
      <c r="A835" s="1173" t="s">
        <v>1826</v>
      </c>
      <c r="B835" s="610" t="s">
        <v>1827</v>
      </c>
      <c r="C835" s="472" t="s">
        <v>1785</v>
      </c>
      <c r="D835" s="1013" t="s">
        <v>1821</v>
      </c>
      <c r="E835" s="493">
        <v>59937.5</v>
      </c>
      <c r="F835" s="1015" t="s">
        <v>1773</v>
      </c>
      <c r="G835" s="469" t="s">
        <v>1661</v>
      </c>
      <c r="H835" s="471">
        <v>43787</v>
      </c>
      <c r="I835" s="471">
        <v>43787</v>
      </c>
      <c r="J835" s="1145" t="s">
        <v>2628</v>
      </c>
    </row>
    <row r="836" spans="1:10" ht="30" customHeight="1" x14ac:dyDescent="0.2">
      <c r="A836" s="1173" t="s">
        <v>1828</v>
      </c>
      <c r="B836" s="610" t="s">
        <v>1827</v>
      </c>
      <c r="C836" s="472" t="s">
        <v>1785</v>
      </c>
      <c r="D836" s="1013" t="s">
        <v>1821</v>
      </c>
      <c r="E836" s="493">
        <v>38846.6</v>
      </c>
      <c r="F836" s="1015" t="s">
        <v>1829</v>
      </c>
      <c r="G836" s="469" t="s">
        <v>1661</v>
      </c>
      <c r="H836" s="471">
        <v>44109</v>
      </c>
      <c r="I836" s="471">
        <v>44109</v>
      </c>
      <c r="J836" s="1145" t="s">
        <v>2628</v>
      </c>
    </row>
    <row r="837" spans="1:10" ht="30" customHeight="1" x14ac:dyDescent="0.2">
      <c r="A837" s="1173" t="s">
        <v>1830</v>
      </c>
      <c r="B837" s="611" t="s">
        <v>1831</v>
      </c>
      <c r="C837" s="472" t="s">
        <v>1832</v>
      </c>
      <c r="D837" s="1013" t="s">
        <v>1821</v>
      </c>
      <c r="E837" s="492">
        <v>30000</v>
      </c>
      <c r="F837" s="1015" t="s">
        <v>1833</v>
      </c>
      <c r="G837" s="469" t="s">
        <v>1661</v>
      </c>
      <c r="H837" s="471">
        <v>44019</v>
      </c>
      <c r="I837" s="471">
        <v>44019</v>
      </c>
      <c r="J837" s="1145" t="s">
        <v>2628</v>
      </c>
    </row>
    <row r="838" spans="1:10" ht="30" customHeight="1" x14ac:dyDescent="0.2">
      <c r="A838" s="1173"/>
      <c r="B838" s="609"/>
      <c r="C838" s="472"/>
      <c r="D838" s="1015"/>
      <c r="E838" s="528"/>
      <c r="F838" s="1015"/>
      <c r="G838" s="469"/>
      <c r="H838" s="471"/>
      <c r="I838" s="471"/>
      <c r="J838" s="1145" t="s">
        <v>2628</v>
      </c>
    </row>
    <row r="839" spans="1:10" ht="30" customHeight="1" x14ac:dyDescent="0.2">
      <c r="A839" s="1173" t="s">
        <v>1809</v>
      </c>
      <c r="B839" s="609" t="s">
        <v>1775</v>
      </c>
      <c r="C839" s="472" t="s">
        <v>1785</v>
      </c>
      <c r="D839" s="1015" t="s">
        <v>1834</v>
      </c>
      <c r="E839" s="528">
        <v>97441.06</v>
      </c>
      <c r="F839" s="1015"/>
      <c r="G839" s="469" t="s">
        <v>1835</v>
      </c>
      <c r="H839" s="474">
        <v>2021</v>
      </c>
      <c r="I839" s="474">
        <v>2021</v>
      </c>
      <c r="J839" s="1145" t="s">
        <v>2628</v>
      </c>
    </row>
    <row r="840" spans="1:10" ht="30" customHeight="1" x14ac:dyDescent="0.2">
      <c r="A840" s="1173" t="s">
        <v>1781</v>
      </c>
      <c r="B840" s="609" t="s">
        <v>1775</v>
      </c>
      <c r="C840" s="472" t="s">
        <v>1776</v>
      </c>
      <c r="D840" s="1015" t="s">
        <v>1834</v>
      </c>
      <c r="E840" s="528">
        <v>65834.03</v>
      </c>
      <c r="F840" s="1015"/>
      <c r="G840" s="469" t="s">
        <v>1835</v>
      </c>
      <c r="H840" s="474">
        <v>2021</v>
      </c>
      <c r="I840" s="474">
        <v>2021</v>
      </c>
      <c r="J840" s="1145" t="s">
        <v>2628</v>
      </c>
    </row>
    <row r="841" spans="1:10" ht="39.75" customHeight="1" x14ac:dyDescent="0.2">
      <c r="A841" s="1173" t="s">
        <v>1750</v>
      </c>
      <c r="B841" s="609" t="s">
        <v>1096</v>
      </c>
      <c r="C841" s="472" t="s">
        <v>1751</v>
      </c>
      <c r="D841" s="1015" t="s">
        <v>1836</v>
      </c>
      <c r="E841" s="528">
        <v>274127.15999999997</v>
      </c>
      <c r="F841" s="1015"/>
      <c r="G841" s="469" t="s">
        <v>1835</v>
      </c>
      <c r="H841" s="474">
        <v>2021</v>
      </c>
      <c r="I841" s="474">
        <v>2021</v>
      </c>
      <c r="J841" s="1145" t="s">
        <v>2628</v>
      </c>
    </row>
    <row r="842" spans="1:10" ht="30" customHeight="1" thickBot="1" x14ac:dyDescent="0.25">
      <c r="A842" s="1174" t="s">
        <v>1754</v>
      </c>
      <c r="B842" s="612" t="s">
        <v>1096</v>
      </c>
      <c r="C842" s="494" t="s">
        <v>1751</v>
      </c>
      <c r="D842" s="495" t="s">
        <v>1836</v>
      </c>
      <c r="E842" s="572">
        <v>294394</v>
      </c>
      <c r="F842" s="495"/>
      <c r="G842" s="496" t="s">
        <v>1835</v>
      </c>
      <c r="H842" s="573">
        <v>2021</v>
      </c>
      <c r="I842" s="573">
        <v>2021</v>
      </c>
      <c r="J842" s="1145" t="s">
        <v>2628</v>
      </c>
    </row>
    <row r="843" spans="1:10" ht="25.5" customHeight="1" thickBot="1" x14ac:dyDescent="0.25">
      <c r="A843" s="542" t="s">
        <v>1837</v>
      </c>
      <c r="B843" s="543"/>
      <c r="C843" s="543"/>
      <c r="D843" s="543"/>
      <c r="E843" s="543"/>
      <c r="F843" s="543"/>
      <c r="G843" s="543"/>
      <c r="H843" s="543"/>
      <c r="I843" s="543"/>
      <c r="J843" s="544"/>
    </row>
    <row r="844" spans="1:10" ht="36" x14ac:dyDescent="0.2">
      <c r="A844" s="1175" t="s">
        <v>1838</v>
      </c>
      <c r="B844" s="613" t="s">
        <v>1839</v>
      </c>
      <c r="C844" s="613" t="s">
        <v>1840</v>
      </c>
      <c r="D844" s="613">
        <v>118</v>
      </c>
      <c r="E844" s="614">
        <v>44178</v>
      </c>
      <c r="F844" s="603" t="s">
        <v>1841</v>
      </c>
      <c r="G844" s="613" t="s">
        <v>1842</v>
      </c>
      <c r="H844" s="613">
        <v>2019</v>
      </c>
      <c r="I844" s="574">
        <v>43780</v>
      </c>
      <c r="J844" s="1145" t="s">
        <v>2628</v>
      </c>
    </row>
    <row r="845" spans="1:10" ht="36" x14ac:dyDescent="0.2">
      <c r="A845" s="1176" t="s">
        <v>1843</v>
      </c>
      <c r="B845" s="616" t="s">
        <v>1839</v>
      </c>
      <c r="C845" s="616" t="s">
        <v>1840</v>
      </c>
      <c r="D845" s="616">
        <v>119</v>
      </c>
      <c r="E845" s="617">
        <v>48793.7</v>
      </c>
      <c r="F845" s="615" t="s">
        <v>1844</v>
      </c>
      <c r="G845" s="616" t="s">
        <v>1842</v>
      </c>
      <c r="H845" s="616">
        <v>2019</v>
      </c>
      <c r="I845" s="532">
        <v>43790</v>
      </c>
      <c r="J845" s="1145" t="s">
        <v>2628</v>
      </c>
    </row>
    <row r="846" spans="1:10" ht="36" x14ac:dyDescent="0.2">
      <c r="A846" s="1176" t="s">
        <v>1845</v>
      </c>
      <c r="B846" s="616" t="s">
        <v>1846</v>
      </c>
      <c r="C846" s="616" t="s">
        <v>1847</v>
      </c>
      <c r="D846" s="616">
        <v>120</v>
      </c>
      <c r="E846" s="617">
        <v>77418</v>
      </c>
      <c r="F846" s="615" t="s">
        <v>1848</v>
      </c>
      <c r="G846" s="616" t="s">
        <v>1842</v>
      </c>
      <c r="H846" s="616">
        <v>2019</v>
      </c>
      <c r="I846" s="532">
        <v>43798</v>
      </c>
      <c r="J846" s="1145" t="s">
        <v>2628</v>
      </c>
    </row>
    <row r="847" spans="1:10" ht="36" x14ac:dyDescent="0.2">
      <c r="A847" s="1176" t="s">
        <v>1849</v>
      </c>
      <c r="B847" s="616" t="s">
        <v>1839</v>
      </c>
      <c r="C847" s="616" t="s">
        <v>1840</v>
      </c>
      <c r="D847" s="616">
        <v>141</v>
      </c>
      <c r="E847" s="617">
        <v>41800</v>
      </c>
      <c r="F847" s="615" t="s">
        <v>1850</v>
      </c>
      <c r="G847" s="616" t="s">
        <v>1842</v>
      </c>
      <c r="H847" s="616">
        <v>2019</v>
      </c>
      <c r="I847" s="532">
        <v>43798</v>
      </c>
      <c r="J847" s="1145" t="s">
        <v>2628</v>
      </c>
    </row>
    <row r="848" spans="1:10" ht="48" x14ac:dyDescent="0.2">
      <c r="A848" s="1176" t="s">
        <v>1851</v>
      </c>
      <c r="B848" s="616" t="s">
        <v>1846</v>
      </c>
      <c r="C848" s="616" t="s">
        <v>1847</v>
      </c>
      <c r="D848" s="616">
        <v>151</v>
      </c>
      <c r="E848" s="617">
        <v>166339.20000000001</v>
      </c>
      <c r="F848" s="442" t="s">
        <v>1852</v>
      </c>
      <c r="G848" s="616" t="s">
        <v>1842</v>
      </c>
      <c r="H848" s="616">
        <v>2019</v>
      </c>
      <c r="I848" s="532">
        <v>43799</v>
      </c>
      <c r="J848" s="1145" t="s">
        <v>2628</v>
      </c>
    </row>
    <row r="849" spans="1:10" ht="36" x14ac:dyDescent="0.2">
      <c r="A849" s="1151" t="s">
        <v>1853</v>
      </c>
      <c r="B849" s="616" t="s">
        <v>1839</v>
      </c>
      <c r="C849" s="616" t="s">
        <v>1840</v>
      </c>
      <c r="D849" s="616">
        <v>5</v>
      </c>
      <c r="E849" s="617">
        <v>37629</v>
      </c>
      <c r="F849" s="615" t="s">
        <v>1854</v>
      </c>
      <c r="G849" s="616" t="s">
        <v>1842</v>
      </c>
      <c r="H849" s="616">
        <v>2020</v>
      </c>
      <c r="I849" s="532">
        <v>44012</v>
      </c>
      <c r="J849" s="1145" t="s">
        <v>2628</v>
      </c>
    </row>
    <row r="850" spans="1:10" ht="36" x14ac:dyDescent="0.2">
      <c r="A850" s="1151" t="s">
        <v>1855</v>
      </c>
      <c r="B850" s="616" t="s">
        <v>1839</v>
      </c>
      <c r="C850" s="616" t="s">
        <v>1840</v>
      </c>
      <c r="D850" s="616">
        <v>19</v>
      </c>
      <c r="E850" s="617">
        <v>39253</v>
      </c>
      <c r="F850" s="615" t="s">
        <v>1856</v>
      </c>
      <c r="G850" s="616" t="s">
        <v>1842</v>
      </c>
      <c r="H850" s="616">
        <v>2020</v>
      </c>
      <c r="I850" s="532">
        <v>44012</v>
      </c>
      <c r="J850" s="1145" t="s">
        <v>2628</v>
      </c>
    </row>
    <row r="851" spans="1:10" ht="36" x14ac:dyDescent="0.2">
      <c r="A851" s="1151" t="s">
        <v>1857</v>
      </c>
      <c r="B851" s="616" t="s">
        <v>1839</v>
      </c>
      <c r="C851" s="616" t="s">
        <v>1840</v>
      </c>
      <c r="D851" s="616">
        <v>38</v>
      </c>
      <c r="E851" s="617">
        <v>56248.800000000003</v>
      </c>
      <c r="F851" s="615" t="s">
        <v>1858</v>
      </c>
      <c r="G851" s="616" t="s">
        <v>1859</v>
      </c>
      <c r="H851" s="616">
        <v>2020</v>
      </c>
      <c r="I851" s="430"/>
      <c r="J851" s="1145" t="s">
        <v>2628</v>
      </c>
    </row>
    <row r="852" spans="1:10" ht="24" x14ac:dyDescent="0.2">
      <c r="A852" s="1176" t="s">
        <v>1860</v>
      </c>
      <c r="B852" s="616" t="s">
        <v>1846</v>
      </c>
      <c r="C852" s="616" t="s">
        <v>1847</v>
      </c>
      <c r="D852" s="616"/>
      <c r="E852" s="617">
        <v>186339.20000000001</v>
      </c>
      <c r="F852" s="442"/>
      <c r="G852" s="616"/>
      <c r="H852" s="616">
        <v>2021</v>
      </c>
      <c r="I852" s="430">
        <v>2021</v>
      </c>
      <c r="J852" s="1145" t="s">
        <v>2628</v>
      </c>
    </row>
    <row r="853" spans="1:10" ht="36" x14ac:dyDescent="0.2">
      <c r="A853" s="1176" t="s">
        <v>1861</v>
      </c>
      <c r="B853" s="616" t="s">
        <v>1839</v>
      </c>
      <c r="C853" s="616" t="s">
        <v>1862</v>
      </c>
      <c r="D853" s="616"/>
      <c r="E853" s="617">
        <v>61800</v>
      </c>
      <c r="F853" s="615"/>
      <c r="G853" s="616"/>
      <c r="H853" s="616">
        <v>2021</v>
      </c>
      <c r="I853" s="430">
        <v>2021</v>
      </c>
      <c r="J853" s="1145" t="s">
        <v>2628</v>
      </c>
    </row>
    <row r="854" spans="1:10" ht="36.75" thickBot="1" x14ac:dyDescent="0.25">
      <c r="A854" s="1153" t="s">
        <v>1857</v>
      </c>
      <c r="B854" s="618" t="s">
        <v>1839</v>
      </c>
      <c r="C854" s="618" t="s">
        <v>1862</v>
      </c>
      <c r="D854" s="618"/>
      <c r="E854" s="619">
        <v>56248.800000000003</v>
      </c>
      <c r="F854" s="620"/>
      <c r="G854" s="618"/>
      <c r="H854" s="618">
        <v>2021</v>
      </c>
      <c r="I854" s="548">
        <v>2021</v>
      </c>
      <c r="J854" s="1145" t="s">
        <v>2628</v>
      </c>
    </row>
    <row r="855" spans="1:10" ht="23.25" customHeight="1" thickBot="1" x14ac:dyDescent="0.25">
      <c r="A855" s="542" t="s">
        <v>1863</v>
      </c>
      <c r="B855" s="543"/>
      <c r="C855" s="543"/>
      <c r="D855" s="543"/>
      <c r="E855" s="543"/>
      <c r="F855" s="543"/>
      <c r="G855" s="543"/>
      <c r="H855" s="543"/>
      <c r="I855" s="543"/>
      <c r="J855" s="544"/>
    </row>
    <row r="856" spans="1:10" ht="20.100000000000001" customHeight="1" x14ac:dyDescent="0.2">
      <c r="A856" s="1177" t="s">
        <v>1864</v>
      </c>
      <c r="B856" s="521" t="s">
        <v>1785</v>
      </c>
      <c r="C856" s="521" t="s">
        <v>1865</v>
      </c>
      <c r="D856" s="571" t="s">
        <v>1866</v>
      </c>
      <c r="E856" s="540">
        <v>21067.96</v>
      </c>
      <c r="F856" s="521" t="s">
        <v>1867</v>
      </c>
      <c r="G856" s="522" t="s">
        <v>1661</v>
      </c>
      <c r="H856" s="551">
        <v>43651</v>
      </c>
      <c r="I856" s="551">
        <v>43656</v>
      </c>
      <c r="J856" s="1145" t="s">
        <v>2628</v>
      </c>
    </row>
    <row r="857" spans="1:10" ht="20.100000000000001" customHeight="1" x14ac:dyDescent="0.2">
      <c r="A857" s="1156" t="s">
        <v>1864</v>
      </c>
      <c r="B857" s="1015" t="s">
        <v>1785</v>
      </c>
      <c r="C857" s="1015" t="s">
        <v>1865</v>
      </c>
      <c r="D857" s="474" t="s">
        <v>1868</v>
      </c>
      <c r="E857" s="470">
        <v>16917.66</v>
      </c>
      <c r="F857" s="1015" t="s">
        <v>1869</v>
      </c>
      <c r="G857" s="1017" t="s">
        <v>1661</v>
      </c>
      <c r="H857" s="1019">
        <v>43669</v>
      </c>
      <c r="I857" s="1019">
        <v>43672</v>
      </c>
      <c r="J857" s="1145" t="s">
        <v>2628</v>
      </c>
    </row>
    <row r="858" spans="1:10" ht="20.100000000000001" customHeight="1" x14ac:dyDescent="0.2">
      <c r="A858" s="1156" t="s">
        <v>1864</v>
      </c>
      <c r="B858" s="1015" t="s">
        <v>1785</v>
      </c>
      <c r="C858" s="1015" t="s">
        <v>1865</v>
      </c>
      <c r="D858" s="474" t="s">
        <v>1870</v>
      </c>
      <c r="E858" s="470">
        <v>18924.84</v>
      </c>
      <c r="F858" s="1017" t="s">
        <v>1871</v>
      </c>
      <c r="G858" s="1017" t="s">
        <v>1661</v>
      </c>
      <c r="H858" s="1019">
        <v>43675</v>
      </c>
      <c r="I858" s="1019">
        <v>43679</v>
      </c>
      <c r="J858" s="1145" t="s">
        <v>2628</v>
      </c>
    </row>
    <row r="859" spans="1:10" ht="20.100000000000001" customHeight="1" x14ac:dyDescent="0.2">
      <c r="A859" s="1156" t="s">
        <v>1864</v>
      </c>
      <c r="B859" s="1015" t="s">
        <v>1785</v>
      </c>
      <c r="C859" s="1015" t="s">
        <v>1865</v>
      </c>
      <c r="D859" s="474" t="s">
        <v>1872</v>
      </c>
      <c r="E859" s="470">
        <v>18644</v>
      </c>
      <c r="F859" s="498" t="s">
        <v>1873</v>
      </c>
      <c r="G859" s="1017" t="s">
        <v>1661</v>
      </c>
      <c r="H859" s="1019">
        <v>43682</v>
      </c>
      <c r="I859" s="1019">
        <v>43689</v>
      </c>
      <c r="J859" s="1145" t="s">
        <v>2628</v>
      </c>
    </row>
    <row r="860" spans="1:10" ht="20.100000000000001" customHeight="1" x14ac:dyDescent="0.2">
      <c r="A860" s="1156" t="s">
        <v>1864</v>
      </c>
      <c r="B860" s="1015" t="s">
        <v>1785</v>
      </c>
      <c r="C860" s="1015" t="s">
        <v>1865</v>
      </c>
      <c r="D860" s="474" t="s">
        <v>1874</v>
      </c>
      <c r="E860" s="470">
        <v>7563.8</v>
      </c>
      <c r="F860" s="1015" t="s">
        <v>1871</v>
      </c>
      <c r="G860" s="1017" t="s">
        <v>1661</v>
      </c>
      <c r="H860" s="1019">
        <v>43689</v>
      </c>
      <c r="I860" s="1019">
        <v>43696</v>
      </c>
      <c r="J860" s="1145" t="s">
        <v>2628</v>
      </c>
    </row>
    <row r="861" spans="1:10" ht="20.100000000000001" customHeight="1" x14ac:dyDescent="0.2">
      <c r="A861" s="1156" t="s">
        <v>1864</v>
      </c>
      <c r="B861" s="1015" t="s">
        <v>1785</v>
      </c>
      <c r="C861" s="1015" t="s">
        <v>1865</v>
      </c>
      <c r="D861" s="474" t="s">
        <v>1875</v>
      </c>
      <c r="E861" s="470">
        <v>8661.2000000000007</v>
      </c>
      <c r="F861" s="1015" t="s">
        <v>1876</v>
      </c>
      <c r="G861" s="1017" t="s">
        <v>1661</v>
      </c>
      <c r="H861" s="1019">
        <v>43689</v>
      </c>
      <c r="I861" s="1019">
        <v>43696</v>
      </c>
      <c r="J861" s="1145" t="s">
        <v>2628</v>
      </c>
    </row>
    <row r="862" spans="1:10" ht="20.100000000000001" customHeight="1" x14ac:dyDescent="0.2">
      <c r="A862" s="1156" t="s">
        <v>1864</v>
      </c>
      <c r="B862" s="1015" t="s">
        <v>1785</v>
      </c>
      <c r="C862" s="1015" t="s">
        <v>1865</v>
      </c>
      <c r="D862" s="474" t="s">
        <v>1877</v>
      </c>
      <c r="E862" s="470">
        <v>13452</v>
      </c>
      <c r="F862" s="1015" t="s">
        <v>1873</v>
      </c>
      <c r="G862" s="1017" t="s">
        <v>1661</v>
      </c>
      <c r="H862" s="1019">
        <v>43692</v>
      </c>
      <c r="I862" s="1019">
        <v>43698</v>
      </c>
      <c r="J862" s="1145" t="s">
        <v>2628</v>
      </c>
    </row>
    <row r="863" spans="1:10" ht="20.100000000000001" customHeight="1" x14ac:dyDescent="0.2">
      <c r="A863" s="1156" t="s">
        <v>1864</v>
      </c>
      <c r="B863" s="1015" t="s">
        <v>1785</v>
      </c>
      <c r="C863" s="1015" t="s">
        <v>1865</v>
      </c>
      <c r="D863" s="474" t="s">
        <v>1878</v>
      </c>
      <c r="E863" s="470">
        <v>20840.810000000001</v>
      </c>
      <c r="F863" s="1015" t="s">
        <v>1879</v>
      </c>
      <c r="G863" s="1017" t="s">
        <v>1661</v>
      </c>
      <c r="H863" s="1019">
        <v>43696</v>
      </c>
      <c r="I863" s="1019">
        <v>43700</v>
      </c>
      <c r="J863" s="1145" t="s">
        <v>2628</v>
      </c>
    </row>
    <row r="864" spans="1:10" ht="20.100000000000001" customHeight="1" x14ac:dyDescent="0.2">
      <c r="A864" s="1156" t="s">
        <v>1864</v>
      </c>
      <c r="B864" s="1015" t="s">
        <v>1785</v>
      </c>
      <c r="C864" s="1015" t="s">
        <v>1865</v>
      </c>
      <c r="D864" s="474" t="s">
        <v>1880</v>
      </c>
      <c r="E864" s="470">
        <v>14672.71</v>
      </c>
      <c r="F864" s="1015" t="s">
        <v>1881</v>
      </c>
      <c r="G864" s="1017" t="s">
        <v>1661</v>
      </c>
      <c r="H864" s="1019">
        <v>43700</v>
      </c>
      <c r="I864" s="1019">
        <v>43705</v>
      </c>
      <c r="J864" s="1145" t="s">
        <v>2628</v>
      </c>
    </row>
    <row r="865" spans="1:10" ht="20.100000000000001" customHeight="1" x14ac:dyDescent="0.2">
      <c r="A865" s="1156" t="s">
        <v>1864</v>
      </c>
      <c r="B865" s="1015" t="s">
        <v>1785</v>
      </c>
      <c r="C865" s="1015" t="s">
        <v>1865</v>
      </c>
      <c r="D865" s="474" t="s">
        <v>1882</v>
      </c>
      <c r="E865" s="470">
        <v>36355.800000000003</v>
      </c>
      <c r="F865" s="1015" t="s">
        <v>1873</v>
      </c>
      <c r="G865" s="1017" t="s">
        <v>1661</v>
      </c>
      <c r="H865" s="1019">
        <v>43700</v>
      </c>
      <c r="I865" s="1019">
        <v>43705</v>
      </c>
      <c r="J865" s="1145" t="s">
        <v>2628</v>
      </c>
    </row>
    <row r="866" spans="1:10" ht="20.100000000000001" customHeight="1" x14ac:dyDescent="0.2">
      <c r="A866" s="1156" t="s">
        <v>1864</v>
      </c>
      <c r="B866" s="1015" t="s">
        <v>1785</v>
      </c>
      <c r="C866" s="1015" t="s">
        <v>1865</v>
      </c>
      <c r="D866" s="474" t="s">
        <v>1883</v>
      </c>
      <c r="E866" s="470">
        <v>25399.5</v>
      </c>
      <c r="F866" s="1015" t="s">
        <v>1873</v>
      </c>
      <c r="G866" s="1017" t="s">
        <v>1661</v>
      </c>
      <c r="H866" s="1019">
        <v>43704</v>
      </c>
      <c r="I866" s="1019">
        <v>43679</v>
      </c>
      <c r="J866" s="1145" t="s">
        <v>2628</v>
      </c>
    </row>
    <row r="867" spans="1:10" ht="20.100000000000001" customHeight="1" x14ac:dyDescent="0.2">
      <c r="A867" s="1156" t="s">
        <v>1864</v>
      </c>
      <c r="B867" s="1015" t="s">
        <v>1785</v>
      </c>
      <c r="C867" s="1015" t="s">
        <v>1865</v>
      </c>
      <c r="D867" s="474" t="s">
        <v>1884</v>
      </c>
      <c r="E867" s="499">
        <v>28762.5</v>
      </c>
      <c r="F867" s="1112" t="s">
        <v>1885</v>
      </c>
      <c r="G867" s="1017" t="s">
        <v>1661</v>
      </c>
      <c r="H867" s="501">
        <v>43704</v>
      </c>
      <c r="I867" s="501">
        <v>43704</v>
      </c>
      <c r="J867" s="1145" t="s">
        <v>2628</v>
      </c>
    </row>
    <row r="868" spans="1:10" ht="20.100000000000001" customHeight="1" x14ac:dyDescent="0.2">
      <c r="A868" s="1156" t="s">
        <v>1864</v>
      </c>
      <c r="B868" s="1015" t="s">
        <v>1785</v>
      </c>
      <c r="C868" s="1015" t="s">
        <v>1865</v>
      </c>
      <c r="D868" s="474" t="s">
        <v>1886</v>
      </c>
      <c r="E868" s="470">
        <v>9558</v>
      </c>
      <c r="F868" s="1015" t="s">
        <v>1869</v>
      </c>
      <c r="G868" s="1017" t="s">
        <v>1661</v>
      </c>
      <c r="H868" s="485">
        <v>43707</v>
      </c>
      <c r="I868" s="485">
        <v>43707</v>
      </c>
      <c r="J868" s="1145" t="s">
        <v>2628</v>
      </c>
    </row>
    <row r="869" spans="1:10" ht="20.100000000000001" customHeight="1" x14ac:dyDescent="0.2">
      <c r="A869" s="1156" t="s">
        <v>1864</v>
      </c>
      <c r="B869" s="1015" t="s">
        <v>1785</v>
      </c>
      <c r="C869" s="1015" t="s">
        <v>1865</v>
      </c>
      <c r="D869" s="474" t="s">
        <v>1887</v>
      </c>
      <c r="E869" s="502">
        <v>19116</v>
      </c>
      <c r="F869" s="503" t="s">
        <v>1869</v>
      </c>
      <c r="G869" s="1017" t="s">
        <v>1661</v>
      </c>
      <c r="H869" s="504">
        <v>43720</v>
      </c>
      <c r="I869" s="504">
        <v>43720</v>
      </c>
      <c r="J869" s="1145" t="s">
        <v>2628</v>
      </c>
    </row>
    <row r="870" spans="1:10" ht="20.100000000000001" customHeight="1" x14ac:dyDescent="0.2">
      <c r="A870" s="1156" t="s">
        <v>1864</v>
      </c>
      <c r="B870" s="1015" t="s">
        <v>1785</v>
      </c>
      <c r="C870" s="1015" t="s">
        <v>1865</v>
      </c>
      <c r="D870" s="474" t="s">
        <v>1888</v>
      </c>
      <c r="E870" s="502">
        <v>16567.2</v>
      </c>
      <c r="F870" s="503" t="s">
        <v>1889</v>
      </c>
      <c r="G870" s="1017" t="s">
        <v>1661</v>
      </c>
      <c r="H870" s="504">
        <v>43727</v>
      </c>
      <c r="I870" s="504">
        <v>43727</v>
      </c>
      <c r="J870" s="1145" t="s">
        <v>2628</v>
      </c>
    </row>
    <row r="871" spans="1:10" ht="20.100000000000001" customHeight="1" x14ac:dyDescent="0.2">
      <c r="A871" s="1156" t="s">
        <v>1864</v>
      </c>
      <c r="B871" s="1015" t="s">
        <v>1785</v>
      </c>
      <c r="C871" s="1015" t="s">
        <v>1865</v>
      </c>
      <c r="D871" s="474" t="s">
        <v>1890</v>
      </c>
      <c r="E871" s="502">
        <v>14101</v>
      </c>
      <c r="F871" s="503" t="s">
        <v>1873</v>
      </c>
      <c r="G871" s="1017" t="s">
        <v>1661</v>
      </c>
      <c r="H871" s="504">
        <v>43728</v>
      </c>
      <c r="I871" s="504">
        <v>43728</v>
      </c>
      <c r="J871" s="1145" t="s">
        <v>2628</v>
      </c>
    </row>
    <row r="872" spans="1:10" ht="20.100000000000001" customHeight="1" x14ac:dyDescent="0.2">
      <c r="A872" s="1156" t="s">
        <v>1864</v>
      </c>
      <c r="B872" s="1015" t="s">
        <v>1785</v>
      </c>
      <c r="C872" s="1015" t="s">
        <v>1865</v>
      </c>
      <c r="D872" s="474" t="s">
        <v>1891</v>
      </c>
      <c r="E872" s="502">
        <v>32709.599999999999</v>
      </c>
      <c r="F872" s="503" t="s">
        <v>1892</v>
      </c>
      <c r="G872" s="1017" t="s">
        <v>1661</v>
      </c>
      <c r="H872" s="504">
        <v>43731</v>
      </c>
      <c r="I872" s="504">
        <v>43731</v>
      </c>
      <c r="J872" s="1145" t="s">
        <v>2628</v>
      </c>
    </row>
    <row r="873" spans="1:10" ht="20.100000000000001" customHeight="1" x14ac:dyDescent="0.2">
      <c r="A873" s="1156" t="s">
        <v>1864</v>
      </c>
      <c r="B873" s="1015" t="s">
        <v>1785</v>
      </c>
      <c r="C873" s="1015" t="s">
        <v>1865</v>
      </c>
      <c r="D873" s="474" t="s">
        <v>1893</v>
      </c>
      <c r="E873" s="502">
        <v>14037.87</v>
      </c>
      <c r="F873" s="503" t="s">
        <v>1894</v>
      </c>
      <c r="G873" s="1017" t="s">
        <v>1661</v>
      </c>
      <c r="H873" s="504">
        <v>43735</v>
      </c>
      <c r="I873" s="504">
        <v>43738</v>
      </c>
      <c r="J873" s="1145" t="s">
        <v>2628</v>
      </c>
    </row>
    <row r="874" spans="1:10" ht="20.100000000000001" customHeight="1" x14ac:dyDescent="0.2">
      <c r="A874" s="1156" t="s">
        <v>1864</v>
      </c>
      <c r="B874" s="1015" t="s">
        <v>1785</v>
      </c>
      <c r="C874" s="1015" t="s">
        <v>1865</v>
      </c>
      <c r="D874" s="474" t="s">
        <v>1895</v>
      </c>
      <c r="E874" s="502">
        <v>11430.66</v>
      </c>
      <c r="F874" s="503" t="s">
        <v>1896</v>
      </c>
      <c r="G874" s="1017" t="s">
        <v>1661</v>
      </c>
      <c r="H874" s="504">
        <v>43740</v>
      </c>
      <c r="I874" s="504">
        <v>43744</v>
      </c>
      <c r="J874" s="1145" t="s">
        <v>2628</v>
      </c>
    </row>
    <row r="875" spans="1:10" ht="20.100000000000001" customHeight="1" x14ac:dyDescent="0.2">
      <c r="A875" s="1156" t="s">
        <v>1864</v>
      </c>
      <c r="B875" s="1015" t="s">
        <v>1785</v>
      </c>
      <c r="C875" s="1015" t="s">
        <v>1865</v>
      </c>
      <c r="D875" s="474" t="s">
        <v>1897</v>
      </c>
      <c r="E875" s="502">
        <v>11470.07</v>
      </c>
      <c r="F875" s="503" t="s">
        <v>1898</v>
      </c>
      <c r="G875" s="1017" t="s">
        <v>1661</v>
      </c>
      <c r="H875" s="504">
        <v>43747</v>
      </c>
      <c r="I875" s="504">
        <v>43751</v>
      </c>
      <c r="J875" s="1145" t="s">
        <v>2628</v>
      </c>
    </row>
    <row r="876" spans="1:10" ht="20.100000000000001" customHeight="1" x14ac:dyDescent="0.2">
      <c r="A876" s="1156" t="s">
        <v>1864</v>
      </c>
      <c r="B876" s="1015" t="s">
        <v>1785</v>
      </c>
      <c r="C876" s="1015" t="s">
        <v>1865</v>
      </c>
      <c r="D876" s="474" t="s">
        <v>1899</v>
      </c>
      <c r="E876" s="502">
        <v>10668.97</v>
      </c>
      <c r="F876" s="503" t="s">
        <v>1900</v>
      </c>
      <c r="G876" s="1017" t="s">
        <v>1661</v>
      </c>
      <c r="H876" s="504">
        <v>43748</v>
      </c>
      <c r="I876" s="504">
        <v>43754</v>
      </c>
      <c r="J876" s="1145" t="s">
        <v>2628</v>
      </c>
    </row>
    <row r="877" spans="1:10" ht="20.100000000000001" customHeight="1" x14ac:dyDescent="0.2">
      <c r="A877" s="1156" t="s">
        <v>1864</v>
      </c>
      <c r="B877" s="1015" t="s">
        <v>1785</v>
      </c>
      <c r="C877" s="1015" t="s">
        <v>1865</v>
      </c>
      <c r="D877" s="474" t="s">
        <v>1901</v>
      </c>
      <c r="E877" s="502">
        <v>26284.5</v>
      </c>
      <c r="F877" s="503" t="s">
        <v>1902</v>
      </c>
      <c r="G877" s="1017" t="s">
        <v>1661</v>
      </c>
      <c r="H877" s="504">
        <v>43754</v>
      </c>
      <c r="I877" s="504">
        <v>43758</v>
      </c>
      <c r="J877" s="1145" t="s">
        <v>2628</v>
      </c>
    </row>
    <row r="878" spans="1:10" ht="20.100000000000001" customHeight="1" x14ac:dyDescent="0.2">
      <c r="A878" s="1156" t="s">
        <v>1864</v>
      </c>
      <c r="B878" s="1015" t="s">
        <v>1785</v>
      </c>
      <c r="C878" s="1015" t="s">
        <v>1865</v>
      </c>
      <c r="D878" s="474" t="s">
        <v>1903</v>
      </c>
      <c r="E878" s="502">
        <v>19116</v>
      </c>
      <c r="F878" s="503" t="s">
        <v>1902</v>
      </c>
      <c r="G878" s="1017" t="s">
        <v>1661</v>
      </c>
      <c r="H878" s="504">
        <v>43754</v>
      </c>
      <c r="I878" s="504">
        <v>43758</v>
      </c>
      <c r="J878" s="1145" t="s">
        <v>2628</v>
      </c>
    </row>
    <row r="879" spans="1:10" ht="20.100000000000001" customHeight="1" x14ac:dyDescent="0.2">
      <c r="A879" s="1156" t="s">
        <v>1864</v>
      </c>
      <c r="B879" s="1015" t="s">
        <v>1785</v>
      </c>
      <c r="C879" s="1015" t="s">
        <v>1865</v>
      </c>
      <c r="D879" s="474" t="s">
        <v>1904</v>
      </c>
      <c r="E879" s="502">
        <v>84346.4</v>
      </c>
      <c r="F879" s="503" t="s">
        <v>1873</v>
      </c>
      <c r="G879" s="1017" t="s">
        <v>1661</v>
      </c>
      <c r="H879" s="504">
        <v>43754</v>
      </c>
      <c r="I879" s="504">
        <v>43758</v>
      </c>
      <c r="J879" s="1145" t="s">
        <v>2628</v>
      </c>
    </row>
    <row r="880" spans="1:10" ht="20.100000000000001" customHeight="1" x14ac:dyDescent="0.2">
      <c r="A880" s="1156" t="s">
        <v>1864</v>
      </c>
      <c r="B880" s="1015" t="s">
        <v>1785</v>
      </c>
      <c r="C880" s="1015" t="s">
        <v>1865</v>
      </c>
      <c r="D880" s="474" t="s">
        <v>1905</v>
      </c>
      <c r="E880" s="502">
        <v>34456</v>
      </c>
      <c r="F880" s="503" t="s">
        <v>1906</v>
      </c>
      <c r="G880" s="1017" t="s">
        <v>1661</v>
      </c>
      <c r="H880" s="504">
        <v>43761</v>
      </c>
      <c r="I880" s="504">
        <v>43765</v>
      </c>
      <c r="J880" s="1145" t="s">
        <v>2628</v>
      </c>
    </row>
    <row r="881" spans="1:10" ht="20.100000000000001" customHeight="1" x14ac:dyDescent="0.2">
      <c r="A881" s="1156" t="s">
        <v>1864</v>
      </c>
      <c r="B881" s="1015" t="s">
        <v>1785</v>
      </c>
      <c r="C881" s="1015" t="s">
        <v>1865</v>
      </c>
      <c r="D881" s="474" t="s">
        <v>1907</v>
      </c>
      <c r="E881" s="502">
        <v>6331.88</v>
      </c>
      <c r="F881" s="1111" t="s">
        <v>1876</v>
      </c>
      <c r="G881" s="1017" t="s">
        <v>1661</v>
      </c>
      <c r="H881" s="504">
        <v>43763</v>
      </c>
      <c r="I881" s="504">
        <v>43768</v>
      </c>
      <c r="J881" s="1145" t="s">
        <v>2628</v>
      </c>
    </row>
    <row r="882" spans="1:10" ht="20.100000000000001" customHeight="1" x14ac:dyDescent="0.2">
      <c r="A882" s="1156" t="s">
        <v>1864</v>
      </c>
      <c r="B882" s="1015" t="s">
        <v>1785</v>
      </c>
      <c r="C882" s="1015" t="s">
        <v>1865</v>
      </c>
      <c r="D882" s="474" t="s">
        <v>1908</v>
      </c>
      <c r="E882" s="502">
        <v>11858.76</v>
      </c>
      <c r="F882" s="1111" t="s">
        <v>1906</v>
      </c>
      <c r="G882" s="1017" t="s">
        <v>1661</v>
      </c>
      <c r="H882" s="504">
        <v>43781</v>
      </c>
      <c r="I882" s="504">
        <v>43784</v>
      </c>
      <c r="J882" s="1145" t="s">
        <v>2628</v>
      </c>
    </row>
    <row r="883" spans="1:10" ht="20.100000000000001" customHeight="1" x14ac:dyDescent="0.2">
      <c r="A883" s="1156" t="s">
        <v>1864</v>
      </c>
      <c r="B883" s="1015" t="s">
        <v>1785</v>
      </c>
      <c r="C883" s="1015" t="s">
        <v>1865</v>
      </c>
      <c r="D883" s="474" t="s">
        <v>1909</v>
      </c>
      <c r="E883" s="502">
        <v>14669.76</v>
      </c>
      <c r="F883" s="1111" t="s">
        <v>1873</v>
      </c>
      <c r="G883" s="1017" t="s">
        <v>1661</v>
      </c>
      <c r="H883" s="504">
        <v>43781</v>
      </c>
      <c r="I883" s="504">
        <v>43784</v>
      </c>
      <c r="J883" s="1145" t="s">
        <v>2628</v>
      </c>
    </row>
    <row r="884" spans="1:10" ht="20.100000000000001" customHeight="1" x14ac:dyDescent="0.2">
      <c r="A884" s="1156" t="s">
        <v>1864</v>
      </c>
      <c r="B884" s="1015" t="s">
        <v>1785</v>
      </c>
      <c r="C884" s="1015" t="s">
        <v>1865</v>
      </c>
      <c r="D884" s="474" t="s">
        <v>1910</v>
      </c>
      <c r="E884" s="502">
        <v>6542.78</v>
      </c>
      <c r="F884" s="1111" t="s">
        <v>1902</v>
      </c>
      <c r="G884" s="1017" t="s">
        <v>1661</v>
      </c>
      <c r="H884" s="504">
        <v>43788</v>
      </c>
      <c r="I884" s="504">
        <v>43791</v>
      </c>
      <c r="J884" s="1145" t="s">
        <v>2628</v>
      </c>
    </row>
    <row r="885" spans="1:10" ht="20.100000000000001" customHeight="1" x14ac:dyDescent="0.2">
      <c r="A885" s="1156" t="s">
        <v>1864</v>
      </c>
      <c r="B885" s="1015" t="s">
        <v>1785</v>
      </c>
      <c r="C885" s="1015" t="s">
        <v>1865</v>
      </c>
      <c r="D885" s="474" t="s">
        <v>1911</v>
      </c>
      <c r="E885" s="502">
        <v>8028.72</v>
      </c>
      <c r="F885" s="1111" t="s">
        <v>1902</v>
      </c>
      <c r="G885" s="1017" t="s">
        <v>1661</v>
      </c>
      <c r="H885" s="504">
        <v>43791</v>
      </c>
      <c r="I885" s="504">
        <v>43796</v>
      </c>
      <c r="J885" s="1145" t="s">
        <v>2628</v>
      </c>
    </row>
    <row r="886" spans="1:10" ht="20.100000000000001" customHeight="1" x14ac:dyDescent="0.2">
      <c r="A886" s="1156" t="s">
        <v>1864</v>
      </c>
      <c r="B886" s="1015" t="s">
        <v>1785</v>
      </c>
      <c r="C886" s="1015" t="s">
        <v>1865</v>
      </c>
      <c r="D886" s="474" t="s">
        <v>1912</v>
      </c>
      <c r="E886" s="502">
        <v>7229.21</v>
      </c>
      <c r="F886" s="1111" t="s">
        <v>1913</v>
      </c>
      <c r="G886" s="1017" t="s">
        <v>1661</v>
      </c>
      <c r="H886" s="504">
        <v>43798</v>
      </c>
      <c r="I886" s="504">
        <v>43803</v>
      </c>
      <c r="J886" s="1145" t="s">
        <v>2628</v>
      </c>
    </row>
    <row r="887" spans="1:10" ht="20.100000000000001" customHeight="1" x14ac:dyDescent="0.2">
      <c r="A887" s="1156" t="s">
        <v>1864</v>
      </c>
      <c r="B887" s="1015" t="s">
        <v>1785</v>
      </c>
      <c r="C887" s="1015" t="s">
        <v>1865</v>
      </c>
      <c r="D887" s="474" t="s">
        <v>1914</v>
      </c>
      <c r="E887" s="502">
        <v>33075.4</v>
      </c>
      <c r="F887" s="1111" t="s">
        <v>1873</v>
      </c>
      <c r="G887" s="1017" t="s">
        <v>1661</v>
      </c>
      <c r="H887" s="504">
        <v>43801</v>
      </c>
      <c r="I887" s="504">
        <v>43804</v>
      </c>
      <c r="J887" s="1145" t="s">
        <v>2628</v>
      </c>
    </row>
    <row r="888" spans="1:10" ht="20.100000000000001" customHeight="1" x14ac:dyDescent="0.2">
      <c r="A888" s="1156" t="s">
        <v>1864</v>
      </c>
      <c r="B888" s="1015" t="s">
        <v>1785</v>
      </c>
      <c r="C888" s="1015" t="s">
        <v>1865</v>
      </c>
      <c r="D888" s="474" t="s">
        <v>1915</v>
      </c>
      <c r="E888" s="502">
        <v>8968</v>
      </c>
      <c r="F888" s="1111" t="s">
        <v>1876</v>
      </c>
      <c r="G888" s="1017" t="s">
        <v>1661</v>
      </c>
      <c r="H888" s="504">
        <v>43805</v>
      </c>
      <c r="I888" s="504">
        <v>43810</v>
      </c>
      <c r="J888" s="1145" t="s">
        <v>2628</v>
      </c>
    </row>
    <row r="889" spans="1:10" ht="20.100000000000001" customHeight="1" x14ac:dyDescent="0.2">
      <c r="A889" s="1156" t="s">
        <v>1864</v>
      </c>
      <c r="B889" s="1015" t="s">
        <v>1785</v>
      </c>
      <c r="C889" s="1015" t="s">
        <v>1865</v>
      </c>
      <c r="D889" s="474" t="s">
        <v>1916</v>
      </c>
      <c r="E889" s="502">
        <v>5020.8999999999996</v>
      </c>
      <c r="F889" s="1111" t="s">
        <v>1917</v>
      </c>
      <c r="G889" s="1017" t="s">
        <v>1661</v>
      </c>
      <c r="H889" s="504">
        <v>43805</v>
      </c>
      <c r="I889" s="504">
        <v>43810</v>
      </c>
      <c r="J889" s="1145" t="s">
        <v>2628</v>
      </c>
    </row>
    <row r="890" spans="1:10" ht="20.100000000000001" customHeight="1" x14ac:dyDescent="0.2">
      <c r="A890" s="1156" t="s">
        <v>1864</v>
      </c>
      <c r="B890" s="1015" t="s">
        <v>1785</v>
      </c>
      <c r="C890" s="1015" t="s">
        <v>1865</v>
      </c>
      <c r="D890" s="474" t="s">
        <v>1918</v>
      </c>
      <c r="E890" s="502">
        <v>5254.84</v>
      </c>
      <c r="F890" s="1111" t="s">
        <v>1919</v>
      </c>
      <c r="G890" s="1017" t="s">
        <v>1661</v>
      </c>
      <c r="H890" s="504">
        <v>43808</v>
      </c>
      <c r="I890" s="504">
        <v>43812</v>
      </c>
      <c r="J890" s="1145" t="s">
        <v>2628</v>
      </c>
    </row>
    <row r="891" spans="1:10" ht="20.100000000000001" customHeight="1" x14ac:dyDescent="0.2">
      <c r="A891" s="1156" t="s">
        <v>1864</v>
      </c>
      <c r="B891" s="1015" t="s">
        <v>1785</v>
      </c>
      <c r="C891" s="1015" t="s">
        <v>1865</v>
      </c>
      <c r="D891" s="474" t="s">
        <v>1920</v>
      </c>
      <c r="E891" s="502">
        <v>72640.800000000003</v>
      </c>
      <c r="F891" s="1111" t="s">
        <v>1892</v>
      </c>
      <c r="G891" s="1017" t="s">
        <v>1661</v>
      </c>
      <c r="H891" s="504">
        <v>43808</v>
      </c>
      <c r="I891" s="504">
        <v>43812</v>
      </c>
      <c r="J891" s="1145" t="s">
        <v>2628</v>
      </c>
    </row>
    <row r="892" spans="1:10" ht="20.100000000000001" customHeight="1" x14ac:dyDescent="0.2">
      <c r="A892" s="1156" t="s">
        <v>1864</v>
      </c>
      <c r="B892" s="1015" t="s">
        <v>1785</v>
      </c>
      <c r="C892" s="1015" t="s">
        <v>1865</v>
      </c>
      <c r="D892" s="474" t="s">
        <v>1921</v>
      </c>
      <c r="E892" s="502">
        <v>9810</v>
      </c>
      <c r="F892" s="1111" t="s">
        <v>1922</v>
      </c>
      <c r="G892" s="1017" t="s">
        <v>1661</v>
      </c>
      <c r="H892" s="504">
        <v>43808</v>
      </c>
      <c r="I892" s="504">
        <v>43812</v>
      </c>
      <c r="J892" s="1145" t="s">
        <v>2628</v>
      </c>
    </row>
    <row r="893" spans="1:10" ht="20.100000000000001" customHeight="1" x14ac:dyDescent="0.2">
      <c r="A893" s="1156" t="s">
        <v>1864</v>
      </c>
      <c r="B893" s="1015" t="s">
        <v>1785</v>
      </c>
      <c r="C893" s="1015" t="s">
        <v>1865</v>
      </c>
      <c r="D893" s="474" t="s">
        <v>1923</v>
      </c>
      <c r="E893" s="502">
        <v>7760</v>
      </c>
      <c r="F893" s="1111" t="s">
        <v>1924</v>
      </c>
      <c r="G893" s="1017" t="s">
        <v>1661</v>
      </c>
      <c r="H893" s="504">
        <v>43811</v>
      </c>
      <c r="I893" s="504">
        <v>43817</v>
      </c>
      <c r="J893" s="1145" t="s">
        <v>2628</v>
      </c>
    </row>
    <row r="894" spans="1:10" ht="20.100000000000001" customHeight="1" x14ac:dyDescent="0.2">
      <c r="A894" s="1156" t="s">
        <v>1864</v>
      </c>
      <c r="B894" s="1015" t="s">
        <v>1785</v>
      </c>
      <c r="C894" s="1015" t="s">
        <v>1865</v>
      </c>
      <c r="D894" s="474" t="s">
        <v>1925</v>
      </c>
      <c r="E894" s="502">
        <v>21258.74</v>
      </c>
      <c r="F894" s="1111" t="s">
        <v>1906</v>
      </c>
      <c r="G894" s="1017" t="s">
        <v>1661</v>
      </c>
      <c r="H894" s="504">
        <v>43812</v>
      </c>
      <c r="I894" s="504">
        <v>43818</v>
      </c>
      <c r="J894" s="1145" t="s">
        <v>2628</v>
      </c>
    </row>
    <row r="895" spans="1:10" ht="20.100000000000001" customHeight="1" x14ac:dyDescent="0.2">
      <c r="A895" s="1156" t="s">
        <v>1864</v>
      </c>
      <c r="B895" s="1015" t="s">
        <v>1785</v>
      </c>
      <c r="C895" s="1015" t="s">
        <v>1865</v>
      </c>
      <c r="D895" s="474" t="s">
        <v>1926</v>
      </c>
      <c r="E895" s="502">
        <v>32525</v>
      </c>
      <c r="F895" s="1111" t="s">
        <v>1902</v>
      </c>
      <c r="G895" s="1017" t="s">
        <v>1661</v>
      </c>
      <c r="H895" s="504">
        <v>43815</v>
      </c>
      <c r="I895" s="504">
        <v>43819</v>
      </c>
      <c r="J895" s="1145" t="s">
        <v>2628</v>
      </c>
    </row>
    <row r="896" spans="1:10" ht="20.100000000000001" customHeight="1" x14ac:dyDescent="0.2">
      <c r="A896" s="1156" t="s">
        <v>1927</v>
      </c>
      <c r="B896" s="1015" t="s">
        <v>1928</v>
      </c>
      <c r="C896" s="1015" t="s">
        <v>1929</v>
      </c>
      <c r="D896" s="474" t="s">
        <v>1930</v>
      </c>
      <c r="E896" s="470">
        <v>12000</v>
      </c>
      <c r="F896" s="1111" t="s">
        <v>1931</v>
      </c>
      <c r="G896" s="1017" t="s">
        <v>1661</v>
      </c>
      <c r="H896" s="504">
        <v>43815</v>
      </c>
      <c r="I896" s="504">
        <v>43819</v>
      </c>
      <c r="J896" s="1145" t="s">
        <v>2628</v>
      </c>
    </row>
    <row r="897" spans="1:10" ht="20.100000000000001" customHeight="1" x14ac:dyDescent="0.2">
      <c r="A897" s="1156" t="s">
        <v>1932</v>
      </c>
      <c r="B897" s="1015" t="s">
        <v>1928</v>
      </c>
      <c r="C897" s="1015" t="s">
        <v>1929</v>
      </c>
      <c r="D897" s="474" t="s">
        <v>1933</v>
      </c>
      <c r="E897" s="470">
        <v>24000</v>
      </c>
      <c r="F897" s="1111" t="s">
        <v>1934</v>
      </c>
      <c r="G897" s="1017" t="s">
        <v>1661</v>
      </c>
      <c r="H897" s="504">
        <v>43817</v>
      </c>
      <c r="I897" s="504">
        <v>43822</v>
      </c>
      <c r="J897" s="1145" t="s">
        <v>2628</v>
      </c>
    </row>
    <row r="898" spans="1:10" ht="20.100000000000001" customHeight="1" x14ac:dyDescent="0.2">
      <c r="A898" s="1156" t="s">
        <v>1935</v>
      </c>
      <c r="B898" s="1015" t="s">
        <v>1928</v>
      </c>
      <c r="C898" s="1015" t="s">
        <v>1929</v>
      </c>
      <c r="D898" s="474" t="s">
        <v>1936</v>
      </c>
      <c r="E898" s="470">
        <v>60000</v>
      </c>
      <c r="F898" s="1111" t="s">
        <v>1937</v>
      </c>
      <c r="G898" s="1017" t="s">
        <v>1661</v>
      </c>
      <c r="H898" s="504">
        <v>43817</v>
      </c>
      <c r="I898" s="504">
        <v>43822</v>
      </c>
      <c r="J898" s="1145" t="s">
        <v>2628</v>
      </c>
    </row>
    <row r="899" spans="1:10" ht="20.100000000000001" customHeight="1" x14ac:dyDescent="0.2">
      <c r="A899" s="1156" t="s">
        <v>1938</v>
      </c>
      <c r="B899" s="1015" t="s">
        <v>1928</v>
      </c>
      <c r="C899" s="1015" t="s">
        <v>1929</v>
      </c>
      <c r="D899" s="474" t="s">
        <v>1939</v>
      </c>
      <c r="E899" s="470">
        <v>280000</v>
      </c>
      <c r="F899" s="1111" t="s">
        <v>1940</v>
      </c>
      <c r="G899" s="1017" t="s">
        <v>1661</v>
      </c>
      <c r="H899" s="504">
        <v>43817</v>
      </c>
      <c r="I899" s="504">
        <v>43822</v>
      </c>
      <c r="J899" s="1145" t="s">
        <v>2628</v>
      </c>
    </row>
    <row r="900" spans="1:10" ht="20.100000000000001" customHeight="1" x14ac:dyDescent="0.2">
      <c r="A900" s="1156" t="s">
        <v>1941</v>
      </c>
      <c r="B900" s="1015" t="s">
        <v>1928</v>
      </c>
      <c r="C900" s="1015" t="s">
        <v>1929</v>
      </c>
      <c r="D900" s="474" t="s">
        <v>1942</v>
      </c>
      <c r="E900" s="470">
        <v>5600</v>
      </c>
      <c r="F900" s="1111" t="s">
        <v>1943</v>
      </c>
      <c r="G900" s="1017" t="s">
        <v>1661</v>
      </c>
      <c r="H900" s="504">
        <v>43819</v>
      </c>
      <c r="I900" s="504">
        <v>43822</v>
      </c>
      <c r="J900" s="1145" t="s">
        <v>2628</v>
      </c>
    </row>
    <row r="901" spans="1:10" ht="20.100000000000001" customHeight="1" x14ac:dyDescent="0.2">
      <c r="A901" s="1156" t="s">
        <v>1944</v>
      </c>
      <c r="B901" s="1015" t="s">
        <v>1928</v>
      </c>
      <c r="C901" s="1015" t="s">
        <v>1929</v>
      </c>
      <c r="D901" s="474" t="s">
        <v>1945</v>
      </c>
      <c r="E901" s="470">
        <v>33000</v>
      </c>
      <c r="F901" s="1111" t="s">
        <v>1946</v>
      </c>
      <c r="G901" s="1017" t="s">
        <v>1661</v>
      </c>
      <c r="H901" s="504">
        <v>43819</v>
      </c>
      <c r="I901" s="504">
        <v>43822</v>
      </c>
      <c r="J901" s="1145" t="s">
        <v>2628</v>
      </c>
    </row>
    <row r="902" spans="1:10" ht="20.100000000000001" customHeight="1" x14ac:dyDescent="0.2">
      <c r="A902" s="1156" t="s">
        <v>1864</v>
      </c>
      <c r="B902" s="1015" t="s">
        <v>1785</v>
      </c>
      <c r="C902" s="1015" t="s">
        <v>1865</v>
      </c>
      <c r="D902" s="469">
        <v>132</v>
      </c>
      <c r="E902" s="470">
        <v>14037.87</v>
      </c>
      <c r="F902" s="1111" t="s">
        <v>1894</v>
      </c>
      <c r="G902" s="1111" t="s">
        <v>1680</v>
      </c>
      <c r="H902" s="504">
        <v>44012</v>
      </c>
      <c r="I902" s="1111"/>
      <c r="J902" s="1145" t="s">
        <v>2628</v>
      </c>
    </row>
    <row r="903" spans="1:10" ht="20.100000000000001" customHeight="1" x14ac:dyDescent="0.2">
      <c r="A903" s="1156" t="s">
        <v>1864</v>
      </c>
      <c r="B903" s="1015" t="s">
        <v>1785</v>
      </c>
      <c r="C903" s="1015" t="s">
        <v>1865</v>
      </c>
      <c r="D903" s="469" t="s">
        <v>1895</v>
      </c>
      <c r="E903" s="470">
        <v>11430.66</v>
      </c>
      <c r="F903" s="1111" t="s">
        <v>1896</v>
      </c>
      <c r="G903" s="1111" t="s">
        <v>1680</v>
      </c>
      <c r="H903" s="504">
        <v>43980</v>
      </c>
      <c r="I903" s="1111"/>
      <c r="J903" s="1145" t="s">
        <v>2628</v>
      </c>
    </row>
    <row r="904" spans="1:10" ht="20.100000000000001" customHeight="1" x14ac:dyDescent="0.2">
      <c r="A904" s="1156" t="s">
        <v>1864</v>
      </c>
      <c r="B904" s="1015" t="s">
        <v>1785</v>
      </c>
      <c r="C904" s="1015" t="s">
        <v>1865</v>
      </c>
      <c r="D904" s="469">
        <v>135</v>
      </c>
      <c r="E904" s="470">
        <v>11470.07</v>
      </c>
      <c r="F904" s="1111" t="s">
        <v>1898</v>
      </c>
      <c r="G904" s="1111" t="s">
        <v>1680</v>
      </c>
      <c r="H904" s="504">
        <v>44012</v>
      </c>
      <c r="I904" s="1111"/>
      <c r="J904" s="1145" t="s">
        <v>2628</v>
      </c>
    </row>
    <row r="905" spans="1:10" ht="20.100000000000001" customHeight="1" x14ac:dyDescent="0.2">
      <c r="A905" s="1156" t="s">
        <v>1864</v>
      </c>
      <c r="B905" s="1015" t="s">
        <v>1785</v>
      </c>
      <c r="C905" s="1015" t="s">
        <v>1865</v>
      </c>
      <c r="D905" s="469" t="s">
        <v>1899</v>
      </c>
      <c r="E905" s="470">
        <v>10668.97</v>
      </c>
      <c r="F905" s="1111" t="s">
        <v>1900</v>
      </c>
      <c r="G905" s="1111" t="s">
        <v>1680</v>
      </c>
      <c r="H905" s="504">
        <v>43980</v>
      </c>
      <c r="I905" s="1111"/>
      <c r="J905" s="1145" t="s">
        <v>2628</v>
      </c>
    </row>
    <row r="906" spans="1:10" ht="20.100000000000001" customHeight="1" x14ac:dyDescent="0.2">
      <c r="A906" s="1156" t="s">
        <v>1864</v>
      </c>
      <c r="B906" s="1015" t="s">
        <v>1785</v>
      </c>
      <c r="C906" s="1015" t="s">
        <v>1865</v>
      </c>
      <c r="D906" s="469">
        <v>140</v>
      </c>
      <c r="E906" s="470">
        <v>46284.87</v>
      </c>
      <c r="F906" s="1111" t="s">
        <v>1902</v>
      </c>
      <c r="G906" s="1111" t="s">
        <v>1680</v>
      </c>
      <c r="H906" s="504">
        <v>44012</v>
      </c>
      <c r="I906" s="1111"/>
      <c r="J906" s="1145" t="s">
        <v>2628</v>
      </c>
    </row>
    <row r="907" spans="1:10" ht="20.100000000000001" customHeight="1" x14ac:dyDescent="0.2">
      <c r="A907" s="1156" t="s">
        <v>1864</v>
      </c>
      <c r="B907" s="1015" t="s">
        <v>1785</v>
      </c>
      <c r="C907" s="1015" t="s">
        <v>1865</v>
      </c>
      <c r="D907" s="469" t="s">
        <v>1903</v>
      </c>
      <c r="E907" s="470">
        <v>19116</v>
      </c>
      <c r="F907" s="1111" t="s">
        <v>1902</v>
      </c>
      <c r="G907" s="1111" t="s">
        <v>1680</v>
      </c>
      <c r="H907" s="504">
        <v>43980</v>
      </c>
      <c r="I907" s="1111"/>
      <c r="J907" s="1145" t="s">
        <v>2628</v>
      </c>
    </row>
    <row r="908" spans="1:10" ht="20.100000000000001" customHeight="1" x14ac:dyDescent="0.2">
      <c r="A908" s="1156" t="s">
        <v>1864</v>
      </c>
      <c r="B908" s="1015" t="s">
        <v>1785</v>
      </c>
      <c r="C908" s="1015" t="s">
        <v>1865</v>
      </c>
      <c r="D908" s="469">
        <v>142</v>
      </c>
      <c r="E908" s="470">
        <v>99346.4</v>
      </c>
      <c r="F908" s="1111" t="s">
        <v>1873</v>
      </c>
      <c r="G908" s="1111" t="s">
        <v>1680</v>
      </c>
      <c r="H908" s="504">
        <v>44012</v>
      </c>
      <c r="I908" s="1111"/>
      <c r="J908" s="1145" t="s">
        <v>2628</v>
      </c>
    </row>
    <row r="909" spans="1:10" ht="20.100000000000001" customHeight="1" x14ac:dyDescent="0.2">
      <c r="A909" s="1156" t="s">
        <v>1932</v>
      </c>
      <c r="B909" s="1015" t="s">
        <v>1928</v>
      </c>
      <c r="C909" s="1015" t="s">
        <v>1929</v>
      </c>
      <c r="D909" s="469" t="s">
        <v>1933</v>
      </c>
      <c r="E909" s="470">
        <v>24000</v>
      </c>
      <c r="F909" s="1111" t="s">
        <v>1934</v>
      </c>
      <c r="G909" s="1111" t="s">
        <v>1835</v>
      </c>
      <c r="H909" s="505" t="s">
        <v>1947</v>
      </c>
      <c r="I909" s="505" t="s">
        <v>1947</v>
      </c>
      <c r="J909" s="1145" t="s">
        <v>2628</v>
      </c>
    </row>
    <row r="910" spans="1:10" ht="20.100000000000001" customHeight="1" x14ac:dyDescent="0.2">
      <c r="A910" s="1156" t="s">
        <v>1935</v>
      </c>
      <c r="B910" s="1015" t="s">
        <v>1928</v>
      </c>
      <c r="C910" s="1015" t="s">
        <v>1929</v>
      </c>
      <c r="D910" s="469" t="s">
        <v>1936</v>
      </c>
      <c r="E910" s="470">
        <v>60000</v>
      </c>
      <c r="F910" s="1111" t="s">
        <v>1937</v>
      </c>
      <c r="G910" s="1111" t="s">
        <v>1835</v>
      </c>
      <c r="H910" s="505" t="s">
        <v>1947</v>
      </c>
      <c r="I910" s="505" t="s">
        <v>1947</v>
      </c>
      <c r="J910" s="1145" t="s">
        <v>2628</v>
      </c>
    </row>
    <row r="911" spans="1:10" ht="20.100000000000001" customHeight="1" x14ac:dyDescent="0.2">
      <c r="A911" s="1156" t="s">
        <v>1938</v>
      </c>
      <c r="B911" s="1015" t="s">
        <v>1928</v>
      </c>
      <c r="C911" s="1015" t="s">
        <v>1929</v>
      </c>
      <c r="D911" s="469" t="s">
        <v>1939</v>
      </c>
      <c r="E911" s="470">
        <v>295000</v>
      </c>
      <c r="F911" s="1111" t="s">
        <v>1940</v>
      </c>
      <c r="G911" s="1111" t="s">
        <v>1835</v>
      </c>
      <c r="H911" s="505" t="s">
        <v>1947</v>
      </c>
      <c r="I911" s="505" t="s">
        <v>1947</v>
      </c>
      <c r="J911" s="1145" t="s">
        <v>2628</v>
      </c>
    </row>
    <row r="912" spans="1:10" ht="20.100000000000001" customHeight="1" x14ac:dyDescent="0.2">
      <c r="A912" s="1156" t="s">
        <v>1864</v>
      </c>
      <c r="B912" s="1015" t="s">
        <v>1785</v>
      </c>
      <c r="C912" s="1015" t="s">
        <v>1865</v>
      </c>
      <c r="D912" s="469">
        <v>132</v>
      </c>
      <c r="E912" s="470">
        <v>14037.87</v>
      </c>
      <c r="F912" s="1111"/>
      <c r="G912" s="1111" t="s">
        <v>1835</v>
      </c>
      <c r="H912" s="505" t="s">
        <v>1947</v>
      </c>
      <c r="I912" s="505" t="s">
        <v>1947</v>
      </c>
      <c r="J912" s="1145" t="s">
        <v>2628</v>
      </c>
    </row>
    <row r="913" spans="1:10" ht="20.100000000000001" customHeight="1" x14ac:dyDescent="0.2">
      <c r="A913" s="1156" t="s">
        <v>1948</v>
      </c>
      <c r="B913" s="1015" t="s">
        <v>1785</v>
      </c>
      <c r="C913" s="1015" t="s">
        <v>1865</v>
      </c>
      <c r="D913" s="469" t="s">
        <v>1895</v>
      </c>
      <c r="E913" s="470">
        <v>120430.66</v>
      </c>
      <c r="F913" s="1111"/>
      <c r="G913" s="1111" t="s">
        <v>1835</v>
      </c>
      <c r="H913" s="505" t="s">
        <v>1947</v>
      </c>
      <c r="I913" s="505" t="s">
        <v>1947</v>
      </c>
      <c r="J913" s="1145" t="s">
        <v>2628</v>
      </c>
    </row>
    <row r="914" spans="1:10" ht="20.100000000000001" customHeight="1" x14ac:dyDescent="0.2">
      <c r="A914" s="1156" t="s">
        <v>1949</v>
      </c>
      <c r="B914" s="1015" t="s">
        <v>1785</v>
      </c>
      <c r="C914" s="1015" t="s">
        <v>1865</v>
      </c>
      <c r="D914" s="469">
        <v>135</v>
      </c>
      <c r="E914" s="470">
        <v>71470.070000000007</v>
      </c>
      <c r="F914" s="1111"/>
      <c r="G914" s="1111" t="s">
        <v>1835</v>
      </c>
      <c r="H914" s="505" t="s">
        <v>1947</v>
      </c>
      <c r="I914" s="505" t="s">
        <v>1947</v>
      </c>
      <c r="J914" s="1145" t="s">
        <v>2628</v>
      </c>
    </row>
    <row r="915" spans="1:10" ht="20.100000000000001" customHeight="1" thickBot="1" x14ac:dyDescent="0.25">
      <c r="A915" s="1157" t="s">
        <v>1949</v>
      </c>
      <c r="B915" s="495" t="s">
        <v>1785</v>
      </c>
      <c r="C915" s="495" t="s">
        <v>1865</v>
      </c>
      <c r="D915" s="496" t="s">
        <v>1899</v>
      </c>
      <c r="E915" s="567">
        <v>110668.97</v>
      </c>
      <c r="F915" s="556"/>
      <c r="G915" s="556" t="s">
        <v>1835</v>
      </c>
      <c r="H915" s="568" t="s">
        <v>1947</v>
      </c>
      <c r="I915" s="568" t="s">
        <v>1947</v>
      </c>
      <c r="J915" s="1145" t="s">
        <v>2628</v>
      </c>
    </row>
    <row r="916" spans="1:10" ht="30.75" customHeight="1" thickBot="1" x14ac:dyDescent="0.25">
      <c r="A916" s="542" t="s">
        <v>1950</v>
      </c>
      <c r="B916" s="543"/>
      <c r="C916" s="543"/>
      <c r="D916" s="543"/>
      <c r="E916" s="543"/>
      <c r="F916" s="543"/>
      <c r="G916" s="543"/>
      <c r="H916" s="543"/>
      <c r="I916" s="543"/>
      <c r="J916" s="544"/>
    </row>
    <row r="917" spans="1:10" ht="20.100000000000001" customHeight="1" x14ac:dyDescent="0.2">
      <c r="A917" s="1178" t="s">
        <v>1951</v>
      </c>
      <c r="B917" s="521" t="s">
        <v>1952</v>
      </c>
      <c r="C917" s="521" t="s">
        <v>1953</v>
      </c>
      <c r="D917" s="570">
        <v>7</v>
      </c>
      <c r="E917" s="651">
        <v>10000</v>
      </c>
      <c r="F917" s="652" t="s">
        <v>1954</v>
      </c>
      <c r="G917" s="522" t="s">
        <v>1661</v>
      </c>
      <c r="H917" s="652" t="s">
        <v>1955</v>
      </c>
      <c r="I917" s="653">
        <v>43554.000011574077</v>
      </c>
      <c r="J917" s="1145" t="s">
        <v>2628</v>
      </c>
    </row>
    <row r="918" spans="1:10" ht="20.100000000000001" customHeight="1" x14ac:dyDescent="0.2">
      <c r="A918" s="1179" t="s">
        <v>1951</v>
      </c>
      <c r="B918" s="1015" t="s">
        <v>1952</v>
      </c>
      <c r="C918" s="1015" t="s">
        <v>1953</v>
      </c>
      <c r="D918" s="534">
        <v>8</v>
      </c>
      <c r="E918" s="654">
        <v>7000</v>
      </c>
      <c r="F918" s="655" t="s">
        <v>1954</v>
      </c>
      <c r="G918" s="1017" t="s">
        <v>1661</v>
      </c>
      <c r="H918" s="655" t="s">
        <v>1955</v>
      </c>
      <c r="I918" s="656">
        <v>43554.000011574077</v>
      </c>
      <c r="J918" s="1145" t="s">
        <v>2628</v>
      </c>
    </row>
    <row r="919" spans="1:10" ht="20.100000000000001" customHeight="1" x14ac:dyDescent="0.2">
      <c r="A919" s="1179" t="s">
        <v>1951</v>
      </c>
      <c r="B919" s="1015" t="s">
        <v>1952</v>
      </c>
      <c r="C919" s="1015" t="s">
        <v>1953</v>
      </c>
      <c r="D919" s="534">
        <v>9</v>
      </c>
      <c r="E919" s="654">
        <v>5800</v>
      </c>
      <c r="F919" s="655" t="s">
        <v>1956</v>
      </c>
      <c r="G919" s="1017" t="s">
        <v>1661</v>
      </c>
      <c r="H919" s="655" t="s">
        <v>1955</v>
      </c>
      <c r="I919" s="656">
        <v>43554.000011574077</v>
      </c>
      <c r="J919" s="1145" t="s">
        <v>2628</v>
      </c>
    </row>
    <row r="920" spans="1:10" ht="20.100000000000001" customHeight="1" x14ac:dyDescent="0.2">
      <c r="A920" s="1179" t="s">
        <v>1951</v>
      </c>
      <c r="B920" s="1015" t="s">
        <v>1952</v>
      </c>
      <c r="C920" s="1015" t="s">
        <v>1953</v>
      </c>
      <c r="D920" s="534">
        <v>28</v>
      </c>
      <c r="E920" s="654">
        <v>10000</v>
      </c>
      <c r="F920" s="655" t="s">
        <v>1954</v>
      </c>
      <c r="G920" s="1017" t="s">
        <v>1661</v>
      </c>
      <c r="H920" s="655" t="s">
        <v>1957</v>
      </c>
      <c r="I920" s="656">
        <v>43585</v>
      </c>
      <c r="J920" s="1145" t="s">
        <v>2628</v>
      </c>
    </row>
    <row r="921" spans="1:10" ht="20.100000000000001" customHeight="1" x14ac:dyDescent="0.2">
      <c r="A921" s="1179" t="s">
        <v>1951</v>
      </c>
      <c r="B921" s="1015" t="s">
        <v>1952</v>
      </c>
      <c r="C921" s="1015" t="s">
        <v>1953</v>
      </c>
      <c r="D921" s="534">
        <v>29</v>
      </c>
      <c r="E921" s="654">
        <v>7000</v>
      </c>
      <c r="F921" s="655" t="s">
        <v>1954</v>
      </c>
      <c r="G921" s="1017" t="s">
        <v>1661</v>
      </c>
      <c r="H921" s="655" t="s">
        <v>1957</v>
      </c>
      <c r="I921" s="656">
        <v>43585</v>
      </c>
      <c r="J921" s="1145" t="s">
        <v>2628</v>
      </c>
    </row>
    <row r="922" spans="1:10" ht="20.100000000000001" customHeight="1" x14ac:dyDescent="0.2">
      <c r="A922" s="1179" t="s">
        <v>1951</v>
      </c>
      <c r="B922" s="1015" t="s">
        <v>1952</v>
      </c>
      <c r="C922" s="1015" t="s">
        <v>1953</v>
      </c>
      <c r="D922" s="534">
        <v>30</v>
      </c>
      <c r="E922" s="654">
        <v>5800</v>
      </c>
      <c r="F922" s="655" t="s">
        <v>1956</v>
      </c>
      <c r="G922" s="1017" t="s">
        <v>1661</v>
      </c>
      <c r="H922" s="655" t="s">
        <v>1957</v>
      </c>
      <c r="I922" s="656">
        <v>43585</v>
      </c>
      <c r="J922" s="1145" t="s">
        <v>2628</v>
      </c>
    </row>
    <row r="923" spans="1:10" ht="20.100000000000001" customHeight="1" x14ac:dyDescent="0.2">
      <c r="A923" s="1179" t="s">
        <v>1951</v>
      </c>
      <c r="B923" s="1015" t="s">
        <v>1952</v>
      </c>
      <c r="C923" s="1015" t="s">
        <v>1953</v>
      </c>
      <c r="D923" s="534">
        <v>31</v>
      </c>
      <c r="E923" s="654">
        <v>2900</v>
      </c>
      <c r="F923" s="655" t="s">
        <v>1958</v>
      </c>
      <c r="G923" s="1017" t="s">
        <v>1661</v>
      </c>
      <c r="H923" s="655" t="s">
        <v>1957</v>
      </c>
      <c r="I923" s="656">
        <v>43585</v>
      </c>
      <c r="J923" s="1145" t="s">
        <v>2628</v>
      </c>
    </row>
    <row r="924" spans="1:10" ht="20.100000000000001" customHeight="1" x14ac:dyDescent="0.2">
      <c r="A924" s="1179" t="s">
        <v>1951</v>
      </c>
      <c r="B924" s="1015" t="s">
        <v>1952</v>
      </c>
      <c r="C924" s="1015" t="s">
        <v>1953</v>
      </c>
      <c r="D924" s="534">
        <v>204</v>
      </c>
      <c r="E924" s="654">
        <v>14000</v>
      </c>
      <c r="F924" s="655" t="s">
        <v>1954</v>
      </c>
      <c r="G924" s="1017" t="s">
        <v>1661</v>
      </c>
      <c r="H924" s="655" t="s">
        <v>1959</v>
      </c>
      <c r="I924" s="656">
        <v>43829</v>
      </c>
      <c r="J924" s="1145" t="s">
        <v>2628</v>
      </c>
    </row>
    <row r="925" spans="1:10" ht="20.100000000000001" customHeight="1" x14ac:dyDescent="0.2">
      <c r="A925" s="1180" t="s">
        <v>1960</v>
      </c>
      <c r="B925" s="1015" t="s">
        <v>1952</v>
      </c>
      <c r="C925" s="1015" t="s">
        <v>1953</v>
      </c>
      <c r="D925" s="534">
        <v>121</v>
      </c>
      <c r="E925" s="654">
        <v>3549</v>
      </c>
      <c r="F925" s="655" t="s">
        <v>1961</v>
      </c>
      <c r="G925" s="1017" t="s">
        <v>1661</v>
      </c>
      <c r="H925" s="655" t="s">
        <v>1962</v>
      </c>
      <c r="I925" s="656">
        <v>43707</v>
      </c>
      <c r="J925" s="1145" t="s">
        <v>2628</v>
      </c>
    </row>
    <row r="926" spans="1:10" ht="20.100000000000001" customHeight="1" x14ac:dyDescent="0.2">
      <c r="A926" s="1180" t="s">
        <v>1960</v>
      </c>
      <c r="B926" s="1015" t="s">
        <v>1952</v>
      </c>
      <c r="C926" s="1015" t="s">
        <v>1953</v>
      </c>
      <c r="D926" s="534">
        <v>193</v>
      </c>
      <c r="E926" s="654">
        <v>3825</v>
      </c>
      <c r="F926" s="655" t="s">
        <v>1963</v>
      </c>
      <c r="G926" s="1017" t="s">
        <v>1661</v>
      </c>
      <c r="H926" s="655" t="s">
        <v>1964</v>
      </c>
      <c r="I926" s="656">
        <v>43805</v>
      </c>
      <c r="J926" s="1145" t="s">
        <v>2628</v>
      </c>
    </row>
    <row r="927" spans="1:10" ht="20.100000000000001" customHeight="1" x14ac:dyDescent="0.2">
      <c r="A927" s="1180" t="s">
        <v>1960</v>
      </c>
      <c r="B927" s="1015" t="s">
        <v>1952</v>
      </c>
      <c r="C927" s="1015" t="s">
        <v>1953</v>
      </c>
      <c r="D927" s="534">
        <v>193</v>
      </c>
      <c r="E927" s="654">
        <v>7992</v>
      </c>
      <c r="F927" s="655" t="s">
        <v>1963</v>
      </c>
      <c r="G927" s="1017" t="s">
        <v>1661</v>
      </c>
      <c r="H927" s="655" t="s">
        <v>1964</v>
      </c>
      <c r="I927" s="656">
        <v>43805</v>
      </c>
      <c r="J927" s="1145" t="s">
        <v>2628</v>
      </c>
    </row>
    <row r="928" spans="1:10" ht="20.100000000000001" customHeight="1" x14ac:dyDescent="0.2">
      <c r="A928" s="1180" t="s">
        <v>1960</v>
      </c>
      <c r="B928" s="1015" t="s">
        <v>1952</v>
      </c>
      <c r="C928" s="1015" t="s">
        <v>1953</v>
      </c>
      <c r="D928" s="534">
        <v>197</v>
      </c>
      <c r="E928" s="654">
        <v>5801</v>
      </c>
      <c r="F928" s="655" t="s">
        <v>1963</v>
      </c>
      <c r="G928" s="1017" t="s">
        <v>1661</v>
      </c>
      <c r="H928" s="655" t="s">
        <v>1965</v>
      </c>
      <c r="I928" s="656">
        <v>43814</v>
      </c>
      <c r="J928" s="1145" t="s">
        <v>2628</v>
      </c>
    </row>
    <row r="929" spans="1:10" ht="20.100000000000001" customHeight="1" x14ac:dyDescent="0.2">
      <c r="A929" s="1180" t="s">
        <v>1960</v>
      </c>
      <c r="B929" s="1015" t="s">
        <v>1952</v>
      </c>
      <c r="C929" s="1015" t="s">
        <v>1953</v>
      </c>
      <c r="D929" s="534">
        <v>197</v>
      </c>
      <c r="E929" s="654">
        <v>4263</v>
      </c>
      <c r="F929" s="655" t="s">
        <v>1963</v>
      </c>
      <c r="G929" s="1017" t="s">
        <v>1661</v>
      </c>
      <c r="H929" s="655" t="s">
        <v>1965</v>
      </c>
      <c r="I929" s="656">
        <v>43814</v>
      </c>
      <c r="J929" s="1145" t="s">
        <v>2628</v>
      </c>
    </row>
    <row r="930" spans="1:10" ht="20.100000000000001" customHeight="1" x14ac:dyDescent="0.2">
      <c r="A930" s="1180" t="s">
        <v>1960</v>
      </c>
      <c r="B930" s="1015" t="s">
        <v>1952</v>
      </c>
      <c r="C930" s="1015" t="s">
        <v>1953</v>
      </c>
      <c r="D930" s="534">
        <v>193</v>
      </c>
      <c r="E930" s="654">
        <v>4815</v>
      </c>
      <c r="F930" s="655" t="s">
        <v>1963</v>
      </c>
      <c r="G930" s="1017" t="s">
        <v>1661</v>
      </c>
      <c r="H930" s="655" t="s">
        <v>1964</v>
      </c>
      <c r="I930" s="656">
        <v>43814</v>
      </c>
      <c r="J930" s="1145" t="s">
        <v>2628</v>
      </c>
    </row>
    <row r="931" spans="1:10" ht="20.100000000000001" customHeight="1" x14ac:dyDescent="0.2">
      <c r="A931" s="1180" t="s">
        <v>1966</v>
      </c>
      <c r="B931" s="1015" t="s">
        <v>1952</v>
      </c>
      <c r="C931" s="1015" t="s">
        <v>1953</v>
      </c>
      <c r="D931" s="534">
        <v>100</v>
      </c>
      <c r="E931" s="654">
        <v>20400</v>
      </c>
      <c r="F931" s="655" t="s">
        <v>1967</v>
      </c>
      <c r="G931" s="1017" t="s">
        <v>1661</v>
      </c>
      <c r="H931" s="655" t="s">
        <v>1968</v>
      </c>
      <c r="I931" s="656">
        <v>43648</v>
      </c>
      <c r="J931" s="1145" t="s">
        <v>2628</v>
      </c>
    </row>
    <row r="932" spans="1:10" ht="20.100000000000001" customHeight="1" x14ac:dyDescent="0.2">
      <c r="A932" s="1180" t="s">
        <v>1966</v>
      </c>
      <c r="B932" s="1015" t="s">
        <v>1952</v>
      </c>
      <c r="C932" s="1015" t="s">
        <v>1953</v>
      </c>
      <c r="D932" s="534">
        <v>147</v>
      </c>
      <c r="E932" s="654">
        <v>2960</v>
      </c>
      <c r="F932" s="655" t="s">
        <v>1969</v>
      </c>
      <c r="G932" s="1017" t="s">
        <v>1661</v>
      </c>
      <c r="H932" s="655" t="s">
        <v>1970</v>
      </c>
      <c r="I932" s="656">
        <v>43738</v>
      </c>
      <c r="J932" s="1145" t="s">
        <v>2628</v>
      </c>
    </row>
    <row r="933" spans="1:10" ht="20.100000000000001" customHeight="1" x14ac:dyDescent="0.2">
      <c r="A933" s="1180" t="s">
        <v>1966</v>
      </c>
      <c r="B933" s="1015" t="s">
        <v>1952</v>
      </c>
      <c r="C933" s="1015" t="s">
        <v>1953</v>
      </c>
      <c r="D933" s="534">
        <v>199</v>
      </c>
      <c r="E933" s="654">
        <v>14280</v>
      </c>
      <c r="F933" s="655" t="s">
        <v>1969</v>
      </c>
      <c r="G933" s="1017" t="s">
        <v>1661</v>
      </c>
      <c r="H933" s="655" t="s">
        <v>1971</v>
      </c>
      <c r="I933" s="656">
        <v>43809</v>
      </c>
      <c r="J933" s="1145" t="s">
        <v>2628</v>
      </c>
    </row>
    <row r="934" spans="1:10" ht="20.100000000000001" customHeight="1" x14ac:dyDescent="0.2">
      <c r="A934" s="1180" t="s">
        <v>1927</v>
      </c>
      <c r="B934" s="1015" t="s">
        <v>1952</v>
      </c>
      <c r="C934" s="1015" t="s">
        <v>1953</v>
      </c>
      <c r="D934" s="534">
        <v>6</v>
      </c>
      <c r="E934" s="654">
        <v>4735</v>
      </c>
      <c r="F934" s="655" t="s">
        <v>1972</v>
      </c>
      <c r="G934" s="1017" t="s">
        <v>1661</v>
      </c>
      <c r="H934" s="655" t="s">
        <v>1973</v>
      </c>
      <c r="I934" s="656">
        <v>43646</v>
      </c>
      <c r="J934" s="1145" t="s">
        <v>2628</v>
      </c>
    </row>
    <row r="935" spans="1:10" ht="20.100000000000001" customHeight="1" x14ac:dyDescent="0.2">
      <c r="A935" s="1180" t="s">
        <v>1927</v>
      </c>
      <c r="B935" s="1015" t="s">
        <v>1952</v>
      </c>
      <c r="C935" s="1015" t="s">
        <v>1953</v>
      </c>
      <c r="D935" s="534">
        <v>45</v>
      </c>
      <c r="E935" s="654">
        <v>4050</v>
      </c>
      <c r="F935" s="655" t="s">
        <v>1972</v>
      </c>
      <c r="G935" s="1017" t="s">
        <v>1661</v>
      </c>
      <c r="H935" s="655" t="s">
        <v>1974</v>
      </c>
      <c r="I935" s="656">
        <v>43738</v>
      </c>
      <c r="J935" s="1145" t="s">
        <v>2628</v>
      </c>
    </row>
    <row r="936" spans="1:10" ht="20.100000000000001" customHeight="1" x14ac:dyDescent="0.2">
      <c r="A936" s="1180" t="s">
        <v>1927</v>
      </c>
      <c r="B936" s="1015" t="s">
        <v>1952</v>
      </c>
      <c r="C936" s="1015" t="s">
        <v>1953</v>
      </c>
      <c r="D936" s="534">
        <v>87</v>
      </c>
      <c r="E936" s="654">
        <v>4060</v>
      </c>
      <c r="F936" s="655" t="s">
        <v>1972</v>
      </c>
      <c r="G936" s="1017" t="s">
        <v>1661</v>
      </c>
      <c r="H936" s="655" t="s">
        <v>1975</v>
      </c>
      <c r="I936" s="656">
        <v>43799</v>
      </c>
      <c r="J936" s="1145" t="s">
        <v>2628</v>
      </c>
    </row>
    <row r="937" spans="1:10" ht="20.100000000000001" customHeight="1" x14ac:dyDescent="0.2">
      <c r="A937" s="1180" t="s">
        <v>1927</v>
      </c>
      <c r="B937" s="1015" t="s">
        <v>1952</v>
      </c>
      <c r="C937" s="1015" t="s">
        <v>1953</v>
      </c>
      <c r="D937" s="534">
        <v>131</v>
      </c>
      <c r="E937" s="654">
        <v>3654.78</v>
      </c>
      <c r="F937" s="655" t="s">
        <v>1972</v>
      </c>
      <c r="G937" s="1017" t="s">
        <v>1661</v>
      </c>
      <c r="H937" s="655" t="s">
        <v>1976</v>
      </c>
      <c r="I937" s="656">
        <v>43829</v>
      </c>
      <c r="J937" s="1145" t="s">
        <v>2628</v>
      </c>
    </row>
    <row r="938" spans="1:10" ht="20.100000000000001" customHeight="1" x14ac:dyDescent="0.2">
      <c r="A938" s="1180" t="s">
        <v>1977</v>
      </c>
      <c r="B938" s="1015" t="s">
        <v>1952</v>
      </c>
      <c r="C938" s="1015" t="s">
        <v>1978</v>
      </c>
      <c r="D938" s="534">
        <v>5</v>
      </c>
      <c r="E938" s="654">
        <v>14401.98</v>
      </c>
      <c r="F938" s="655" t="s">
        <v>1979</v>
      </c>
      <c r="G938" s="1017" t="s">
        <v>1661</v>
      </c>
      <c r="H938" s="655" t="s">
        <v>1980</v>
      </c>
      <c r="I938" s="656">
        <v>43541</v>
      </c>
      <c r="J938" s="1145" t="s">
        <v>2628</v>
      </c>
    </row>
    <row r="939" spans="1:10" ht="20.100000000000001" customHeight="1" x14ac:dyDescent="0.2">
      <c r="A939" s="1180" t="s">
        <v>1977</v>
      </c>
      <c r="B939" s="1015" t="s">
        <v>1952</v>
      </c>
      <c r="C939" s="1015" t="s">
        <v>1978</v>
      </c>
      <c r="D939" s="534">
        <v>7</v>
      </c>
      <c r="E939" s="654">
        <v>11046.69</v>
      </c>
      <c r="F939" s="655" t="s">
        <v>1981</v>
      </c>
      <c r="G939" s="1017" t="s">
        <v>1661</v>
      </c>
      <c r="H939" s="655" t="s">
        <v>1982</v>
      </c>
      <c r="I939" s="656">
        <v>43552</v>
      </c>
      <c r="J939" s="1145" t="s">
        <v>2628</v>
      </c>
    </row>
    <row r="940" spans="1:10" ht="20.100000000000001" customHeight="1" x14ac:dyDescent="0.2">
      <c r="A940" s="1180" t="s">
        <v>1977</v>
      </c>
      <c r="B940" s="1015" t="s">
        <v>1952</v>
      </c>
      <c r="C940" s="1015" t="s">
        <v>1978</v>
      </c>
      <c r="D940" s="534">
        <v>25</v>
      </c>
      <c r="E940" s="654">
        <v>14806.17</v>
      </c>
      <c r="F940" s="655" t="s">
        <v>1983</v>
      </c>
      <c r="G940" s="1017" t="s">
        <v>1661</v>
      </c>
      <c r="H940" s="655" t="s">
        <v>1984</v>
      </c>
      <c r="I940" s="656">
        <v>43637</v>
      </c>
      <c r="J940" s="1145" t="s">
        <v>2628</v>
      </c>
    </row>
    <row r="941" spans="1:10" ht="20.100000000000001" customHeight="1" x14ac:dyDescent="0.2">
      <c r="A941" s="1180" t="s">
        <v>1977</v>
      </c>
      <c r="B941" s="1015" t="s">
        <v>1952</v>
      </c>
      <c r="C941" s="1015" t="s">
        <v>1978</v>
      </c>
      <c r="D941" s="534">
        <v>92</v>
      </c>
      <c r="E941" s="654">
        <v>32524.95</v>
      </c>
      <c r="F941" s="655" t="s">
        <v>1985</v>
      </c>
      <c r="G941" s="1017" t="s">
        <v>1661</v>
      </c>
      <c r="H941" s="655" t="s">
        <v>1986</v>
      </c>
      <c r="I941" s="656">
        <v>43768</v>
      </c>
      <c r="J941" s="1145" t="s">
        <v>2628</v>
      </c>
    </row>
    <row r="942" spans="1:10" ht="20.100000000000001" customHeight="1" x14ac:dyDescent="0.2">
      <c r="A942" s="1180" t="s">
        <v>1977</v>
      </c>
      <c r="B942" s="1015" t="s">
        <v>1952</v>
      </c>
      <c r="C942" s="1015" t="s">
        <v>1978</v>
      </c>
      <c r="D942" s="534">
        <v>107</v>
      </c>
      <c r="E942" s="654">
        <v>12084</v>
      </c>
      <c r="F942" s="655" t="s">
        <v>1987</v>
      </c>
      <c r="G942" s="1017" t="s">
        <v>1661</v>
      </c>
      <c r="H942" s="655" t="s">
        <v>1988</v>
      </c>
      <c r="I942" s="656">
        <v>43790</v>
      </c>
      <c r="J942" s="1145" t="s">
        <v>2628</v>
      </c>
    </row>
    <row r="943" spans="1:10" ht="20.100000000000001" customHeight="1" x14ac:dyDescent="0.2">
      <c r="A943" s="1180" t="s">
        <v>1977</v>
      </c>
      <c r="B943" s="1015" t="s">
        <v>1952</v>
      </c>
      <c r="C943" s="1015" t="s">
        <v>1978</v>
      </c>
      <c r="D943" s="534">
        <v>111</v>
      </c>
      <c r="E943" s="654">
        <v>57169.96</v>
      </c>
      <c r="F943" s="655" t="s">
        <v>1802</v>
      </c>
      <c r="G943" s="1017" t="s">
        <v>1661</v>
      </c>
      <c r="H943" s="655" t="s">
        <v>1989</v>
      </c>
      <c r="I943" s="656">
        <v>43794</v>
      </c>
      <c r="J943" s="1145" t="s">
        <v>2628</v>
      </c>
    </row>
    <row r="944" spans="1:10" ht="20.100000000000001" customHeight="1" x14ac:dyDescent="0.2">
      <c r="A944" s="1180" t="s">
        <v>1977</v>
      </c>
      <c r="B944" s="1015" t="s">
        <v>1952</v>
      </c>
      <c r="C944" s="1015" t="s">
        <v>1978</v>
      </c>
      <c r="D944" s="534">
        <v>112</v>
      </c>
      <c r="E944" s="654">
        <v>67731.899999999994</v>
      </c>
      <c r="F944" s="655" t="s">
        <v>1873</v>
      </c>
      <c r="G944" s="1017" t="s">
        <v>1661</v>
      </c>
      <c r="H944" s="655" t="s">
        <v>1989</v>
      </c>
      <c r="I944" s="656">
        <v>43794</v>
      </c>
      <c r="J944" s="1145" t="s">
        <v>2628</v>
      </c>
    </row>
    <row r="945" spans="1:10" ht="20.100000000000001" customHeight="1" x14ac:dyDescent="0.2">
      <c r="A945" s="1180" t="s">
        <v>1977</v>
      </c>
      <c r="B945" s="1015" t="s">
        <v>1952</v>
      </c>
      <c r="C945" s="1015" t="s">
        <v>1978</v>
      </c>
      <c r="D945" s="534">
        <v>116</v>
      </c>
      <c r="E945" s="654">
        <v>52877.43</v>
      </c>
      <c r="F945" s="655" t="s">
        <v>1873</v>
      </c>
      <c r="G945" s="1017" t="s">
        <v>1661</v>
      </c>
      <c r="H945" s="655" t="s">
        <v>1989</v>
      </c>
      <c r="I945" s="656">
        <v>43794</v>
      </c>
      <c r="J945" s="1145" t="s">
        <v>2628</v>
      </c>
    </row>
    <row r="946" spans="1:10" ht="20.100000000000001" customHeight="1" x14ac:dyDescent="0.2">
      <c r="A946" s="1180" t="s">
        <v>1977</v>
      </c>
      <c r="B946" s="1015" t="s">
        <v>1952</v>
      </c>
      <c r="C946" s="1015" t="s">
        <v>1978</v>
      </c>
      <c r="D946" s="534">
        <v>107</v>
      </c>
      <c r="E946" s="654">
        <v>17613</v>
      </c>
      <c r="F946" s="655" t="s">
        <v>1987</v>
      </c>
      <c r="G946" s="1017" t="s">
        <v>1661</v>
      </c>
      <c r="H946" s="655" t="s">
        <v>1988</v>
      </c>
      <c r="I946" s="656">
        <v>43790</v>
      </c>
      <c r="J946" s="1145" t="s">
        <v>2628</v>
      </c>
    </row>
    <row r="947" spans="1:10" ht="20.100000000000001" customHeight="1" x14ac:dyDescent="0.2">
      <c r="A947" s="1180" t="s">
        <v>1977</v>
      </c>
      <c r="B947" s="1015" t="s">
        <v>1952</v>
      </c>
      <c r="C947" s="1015" t="s">
        <v>1978</v>
      </c>
      <c r="D947" s="534">
        <v>112</v>
      </c>
      <c r="E947" s="654">
        <v>44125.4</v>
      </c>
      <c r="F947" s="655" t="s">
        <v>1873</v>
      </c>
      <c r="G947" s="1017" t="s">
        <v>1661</v>
      </c>
      <c r="H947" s="655" t="s">
        <v>1989</v>
      </c>
      <c r="I947" s="656">
        <v>43794</v>
      </c>
      <c r="J947" s="1145" t="s">
        <v>2628</v>
      </c>
    </row>
    <row r="948" spans="1:10" ht="20.100000000000001" customHeight="1" x14ac:dyDescent="0.2">
      <c r="A948" s="1180" t="s">
        <v>1977</v>
      </c>
      <c r="B948" s="1015" t="s">
        <v>1952</v>
      </c>
      <c r="C948" s="1015" t="s">
        <v>1978</v>
      </c>
      <c r="D948" s="534">
        <v>115</v>
      </c>
      <c r="E948" s="654">
        <v>16298.51</v>
      </c>
      <c r="F948" s="655" t="s">
        <v>1873</v>
      </c>
      <c r="G948" s="1017" t="s">
        <v>1661</v>
      </c>
      <c r="H948" s="655" t="s">
        <v>1989</v>
      </c>
      <c r="I948" s="656">
        <v>43794</v>
      </c>
      <c r="J948" s="1145" t="s">
        <v>2628</v>
      </c>
    </row>
    <row r="949" spans="1:10" ht="20.100000000000001" customHeight="1" x14ac:dyDescent="0.2">
      <c r="A949" s="1180" t="s">
        <v>1977</v>
      </c>
      <c r="B949" s="1015" t="s">
        <v>1952</v>
      </c>
      <c r="C949" s="1015" t="s">
        <v>1978</v>
      </c>
      <c r="D949" s="534">
        <v>116</v>
      </c>
      <c r="E949" s="654">
        <v>20046.810000000001</v>
      </c>
      <c r="F949" s="655" t="s">
        <v>1873</v>
      </c>
      <c r="G949" s="1017" t="s">
        <v>1661</v>
      </c>
      <c r="H949" s="655" t="s">
        <v>1989</v>
      </c>
      <c r="I949" s="656">
        <v>43794</v>
      </c>
      <c r="J949" s="1145" t="s">
        <v>2628</v>
      </c>
    </row>
    <row r="950" spans="1:10" ht="20.100000000000001" customHeight="1" x14ac:dyDescent="0.2">
      <c r="A950" s="1180" t="s">
        <v>1977</v>
      </c>
      <c r="B950" s="1015" t="s">
        <v>1952</v>
      </c>
      <c r="C950" s="1015" t="s">
        <v>1978</v>
      </c>
      <c r="D950" s="534">
        <v>134</v>
      </c>
      <c r="E950" s="654">
        <v>22127</v>
      </c>
      <c r="F950" s="655" t="s">
        <v>1990</v>
      </c>
      <c r="G950" s="1017" t="s">
        <v>1661</v>
      </c>
      <c r="H950" s="655" t="s">
        <v>1991</v>
      </c>
      <c r="I950" s="656">
        <v>43827</v>
      </c>
      <c r="J950" s="1145" t="s">
        <v>2628</v>
      </c>
    </row>
    <row r="951" spans="1:10" ht="20.100000000000001" customHeight="1" x14ac:dyDescent="0.2">
      <c r="A951" s="1180" t="s">
        <v>1977</v>
      </c>
      <c r="B951" s="1015" t="s">
        <v>1952</v>
      </c>
      <c r="C951" s="1015" t="s">
        <v>1978</v>
      </c>
      <c r="D951" s="534">
        <v>124</v>
      </c>
      <c r="E951" s="654">
        <v>33000</v>
      </c>
      <c r="F951" s="655" t="s">
        <v>1992</v>
      </c>
      <c r="G951" s="1017" t="s">
        <v>1661</v>
      </c>
      <c r="H951" s="655" t="s">
        <v>1993</v>
      </c>
      <c r="I951" s="656">
        <v>43813</v>
      </c>
      <c r="J951" s="1145" t="s">
        <v>2628</v>
      </c>
    </row>
    <row r="952" spans="1:10" ht="20.100000000000001" customHeight="1" x14ac:dyDescent="0.2">
      <c r="A952" s="1180" t="s">
        <v>1977</v>
      </c>
      <c r="B952" s="1015" t="s">
        <v>1952</v>
      </c>
      <c r="C952" s="1015" t="s">
        <v>1978</v>
      </c>
      <c r="D952" s="534">
        <v>135</v>
      </c>
      <c r="E952" s="654">
        <v>12109.28</v>
      </c>
      <c r="F952" s="655" t="s">
        <v>1873</v>
      </c>
      <c r="G952" s="1017" t="s">
        <v>1661</v>
      </c>
      <c r="H952" s="655" t="s">
        <v>1991</v>
      </c>
      <c r="I952" s="656">
        <v>43827</v>
      </c>
      <c r="J952" s="1145" t="s">
        <v>2628</v>
      </c>
    </row>
    <row r="953" spans="1:10" ht="20.100000000000001" customHeight="1" x14ac:dyDescent="0.2">
      <c r="A953" s="1180" t="s">
        <v>1994</v>
      </c>
      <c r="B953" s="1015" t="s">
        <v>1952</v>
      </c>
      <c r="C953" s="1015" t="s">
        <v>1995</v>
      </c>
      <c r="D953" s="428" t="s">
        <v>1996</v>
      </c>
      <c r="E953" s="657">
        <v>216584.67999999996</v>
      </c>
      <c r="F953" s="658" t="s">
        <v>1997</v>
      </c>
      <c r="G953" s="1017" t="s">
        <v>1661</v>
      </c>
      <c r="H953" s="655" t="s">
        <v>1998</v>
      </c>
      <c r="I953" s="656">
        <v>43804</v>
      </c>
      <c r="J953" s="1145" t="s">
        <v>2628</v>
      </c>
    </row>
    <row r="954" spans="1:10" ht="20.100000000000001" customHeight="1" x14ac:dyDescent="0.2">
      <c r="A954" s="1180" t="s">
        <v>1999</v>
      </c>
      <c r="B954" s="1015" t="s">
        <v>1952</v>
      </c>
      <c r="C954" s="1015" t="s">
        <v>1978</v>
      </c>
      <c r="D954" s="534">
        <v>40</v>
      </c>
      <c r="E954" s="654">
        <v>8327.89</v>
      </c>
      <c r="F954" s="655" t="s">
        <v>2000</v>
      </c>
      <c r="G954" s="1017" t="s">
        <v>1661</v>
      </c>
      <c r="H954" s="655" t="s">
        <v>2001</v>
      </c>
      <c r="I954" s="656">
        <v>43656</v>
      </c>
      <c r="J954" s="1145" t="s">
        <v>2628</v>
      </c>
    </row>
    <row r="955" spans="1:10" ht="20.100000000000001" customHeight="1" x14ac:dyDescent="0.2">
      <c r="A955" s="1180" t="s">
        <v>1999</v>
      </c>
      <c r="B955" s="1015" t="s">
        <v>1952</v>
      </c>
      <c r="C955" s="1015" t="s">
        <v>1978</v>
      </c>
      <c r="D955" s="534">
        <v>49</v>
      </c>
      <c r="E955" s="654">
        <v>4130</v>
      </c>
      <c r="F955" s="655" t="s">
        <v>2002</v>
      </c>
      <c r="G955" s="1017" t="s">
        <v>1661</v>
      </c>
      <c r="H955" s="655" t="s">
        <v>2003</v>
      </c>
      <c r="I955" s="656">
        <v>43672</v>
      </c>
      <c r="J955" s="1145" t="s">
        <v>2628</v>
      </c>
    </row>
    <row r="956" spans="1:10" ht="20.100000000000001" customHeight="1" x14ac:dyDescent="0.2">
      <c r="A956" s="1180" t="s">
        <v>1999</v>
      </c>
      <c r="B956" s="1015" t="s">
        <v>1952</v>
      </c>
      <c r="C956" s="1015" t="s">
        <v>1978</v>
      </c>
      <c r="D956" s="534">
        <v>70</v>
      </c>
      <c r="E956" s="654">
        <v>14848.32</v>
      </c>
      <c r="F956" s="655" t="s">
        <v>2004</v>
      </c>
      <c r="G956" s="1017" t="s">
        <v>1661</v>
      </c>
      <c r="H956" s="655" t="s">
        <v>2005</v>
      </c>
      <c r="I956" s="656">
        <v>43728</v>
      </c>
      <c r="J956" s="1145" t="s">
        <v>2628</v>
      </c>
    </row>
    <row r="957" spans="1:10" ht="20.100000000000001" customHeight="1" x14ac:dyDescent="0.2">
      <c r="A957" s="1180" t="s">
        <v>1999</v>
      </c>
      <c r="B957" s="1015" t="s">
        <v>1952</v>
      </c>
      <c r="C957" s="1015" t="s">
        <v>1978</v>
      </c>
      <c r="D957" s="534">
        <v>71</v>
      </c>
      <c r="E957" s="654">
        <v>12366.64</v>
      </c>
      <c r="F957" s="655" t="s">
        <v>2004</v>
      </c>
      <c r="G957" s="1017" t="s">
        <v>1661</v>
      </c>
      <c r="H957" s="655" t="s">
        <v>2006</v>
      </c>
      <c r="I957" s="656">
        <v>43735</v>
      </c>
      <c r="J957" s="1145" t="s">
        <v>2628</v>
      </c>
    </row>
    <row r="958" spans="1:10" ht="20.100000000000001" customHeight="1" x14ac:dyDescent="0.2">
      <c r="A958" s="1180" t="s">
        <v>1999</v>
      </c>
      <c r="B958" s="1015" t="s">
        <v>1952</v>
      </c>
      <c r="C958" s="1015" t="s">
        <v>1978</v>
      </c>
      <c r="D958" s="534">
        <v>72</v>
      </c>
      <c r="E958" s="654">
        <v>4743.5</v>
      </c>
      <c r="F958" s="655" t="s">
        <v>2007</v>
      </c>
      <c r="G958" s="1017" t="s">
        <v>1661</v>
      </c>
      <c r="H958" s="655" t="s">
        <v>2008</v>
      </c>
      <c r="I958" s="656">
        <v>43736</v>
      </c>
      <c r="J958" s="1145" t="s">
        <v>2628</v>
      </c>
    </row>
    <row r="959" spans="1:10" ht="20.100000000000001" customHeight="1" x14ac:dyDescent="0.2">
      <c r="A959" s="1180" t="s">
        <v>1999</v>
      </c>
      <c r="B959" s="1015" t="s">
        <v>1952</v>
      </c>
      <c r="C959" s="1015" t="s">
        <v>1978</v>
      </c>
      <c r="D959" s="534">
        <v>74</v>
      </c>
      <c r="E959" s="654">
        <v>31502.46</v>
      </c>
      <c r="F959" s="655" t="s">
        <v>2004</v>
      </c>
      <c r="G959" s="1017" t="s">
        <v>1661</v>
      </c>
      <c r="H959" s="655" t="s">
        <v>2009</v>
      </c>
      <c r="I959" s="656">
        <v>43740</v>
      </c>
      <c r="J959" s="1145" t="s">
        <v>2628</v>
      </c>
    </row>
    <row r="960" spans="1:10" ht="20.100000000000001" customHeight="1" x14ac:dyDescent="0.2">
      <c r="A960" s="1180" t="s">
        <v>1999</v>
      </c>
      <c r="B960" s="1015" t="s">
        <v>1952</v>
      </c>
      <c r="C960" s="1015" t="s">
        <v>1978</v>
      </c>
      <c r="D960" s="534">
        <v>75</v>
      </c>
      <c r="E960" s="654">
        <v>6368.32</v>
      </c>
      <c r="F960" s="655" t="s">
        <v>2004</v>
      </c>
      <c r="G960" s="1017" t="s">
        <v>1661</v>
      </c>
      <c r="H960" s="655" t="s">
        <v>2009</v>
      </c>
      <c r="I960" s="656">
        <v>43740</v>
      </c>
      <c r="J960" s="1145" t="s">
        <v>2628</v>
      </c>
    </row>
    <row r="961" spans="1:10" ht="20.100000000000001" customHeight="1" x14ac:dyDescent="0.2">
      <c r="A961" s="1180" t="s">
        <v>1999</v>
      </c>
      <c r="B961" s="1015" t="s">
        <v>1952</v>
      </c>
      <c r="C961" s="1015" t="s">
        <v>1978</v>
      </c>
      <c r="D961" s="534">
        <v>76</v>
      </c>
      <c r="E961" s="654">
        <v>7420.55</v>
      </c>
      <c r="F961" s="655" t="s">
        <v>2010</v>
      </c>
      <c r="G961" s="1017" t="s">
        <v>1661</v>
      </c>
      <c r="H961" s="655" t="s">
        <v>2009</v>
      </c>
      <c r="I961" s="656">
        <v>43740</v>
      </c>
      <c r="J961" s="1145" t="s">
        <v>2628</v>
      </c>
    </row>
    <row r="962" spans="1:10" ht="20.100000000000001" customHeight="1" x14ac:dyDescent="0.2">
      <c r="A962" s="1180" t="s">
        <v>1999</v>
      </c>
      <c r="B962" s="1015" t="s">
        <v>1952</v>
      </c>
      <c r="C962" s="1015" t="s">
        <v>1978</v>
      </c>
      <c r="D962" s="534">
        <v>82</v>
      </c>
      <c r="E962" s="654">
        <v>12881.62</v>
      </c>
      <c r="F962" s="655" t="s">
        <v>2011</v>
      </c>
      <c r="G962" s="1017" t="s">
        <v>1661</v>
      </c>
      <c r="H962" s="655" t="s">
        <v>2012</v>
      </c>
      <c r="I962" s="656">
        <v>43757</v>
      </c>
      <c r="J962" s="1145" t="s">
        <v>2628</v>
      </c>
    </row>
    <row r="963" spans="1:10" ht="20.100000000000001" customHeight="1" x14ac:dyDescent="0.2">
      <c r="A963" s="1180" t="s">
        <v>1999</v>
      </c>
      <c r="B963" s="1015" t="s">
        <v>1952</v>
      </c>
      <c r="C963" s="1015" t="s">
        <v>1978</v>
      </c>
      <c r="D963" s="534">
        <v>118</v>
      </c>
      <c r="E963" s="654">
        <v>1000</v>
      </c>
      <c r="F963" s="655" t="s">
        <v>2013</v>
      </c>
      <c r="G963" s="1017" t="s">
        <v>1661</v>
      </c>
      <c r="H963" s="655" t="s">
        <v>2014</v>
      </c>
      <c r="I963" s="656">
        <v>43799</v>
      </c>
      <c r="J963" s="1145" t="s">
        <v>2628</v>
      </c>
    </row>
    <row r="964" spans="1:10" ht="20.100000000000001" customHeight="1" x14ac:dyDescent="0.2">
      <c r="A964" s="1180" t="s">
        <v>1999</v>
      </c>
      <c r="B964" s="1015" t="s">
        <v>1952</v>
      </c>
      <c r="C964" s="1015" t="s">
        <v>1978</v>
      </c>
      <c r="D964" s="534">
        <v>118</v>
      </c>
      <c r="E964" s="654">
        <v>5780</v>
      </c>
      <c r="F964" s="655" t="s">
        <v>2013</v>
      </c>
      <c r="G964" s="1017" t="s">
        <v>1661</v>
      </c>
      <c r="H964" s="655" t="s">
        <v>2014</v>
      </c>
      <c r="I964" s="656">
        <v>43799</v>
      </c>
      <c r="J964" s="1145" t="s">
        <v>2628</v>
      </c>
    </row>
    <row r="965" spans="1:10" ht="20.100000000000001" customHeight="1" x14ac:dyDescent="0.2">
      <c r="A965" s="1180" t="s">
        <v>1999</v>
      </c>
      <c r="B965" s="1015" t="s">
        <v>1952</v>
      </c>
      <c r="C965" s="1015" t="s">
        <v>1978</v>
      </c>
      <c r="D965" s="534">
        <v>127</v>
      </c>
      <c r="E965" s="654">
        <v>18500</v>
      </c>
      <c r="F965" s="655" t="s">
        <v>2015</v>
      </c>
      <c r="G965" s="1017" t="s">
        <v>1661</v>
      </c>
      <c r="H965" s="655" t="s">
        <v>2016</v>
      </c>
      <c r="I965" s="656">
        <v>43818</v>
      </c>
      <c r="J965" s="1145" t="s">
        <v>2628</v>
      </c>
    </row>
    <row r="966" spans="1:10" ht="20.100000000000001" customHeight="1" x14ac:dyDescent="0.2">
      <c r="A966" s="1180" t="s">
        <v>2017</v>
      </c>
      <c r="B966" s="1015" t="s">
        <v>1952</v>
      </c>
      <c r="C966" s="1015" t="s">
        <v>1953</v>
      </c>
      <c r="D966" s="534">
        <v>156</v>
      </c>
      <c r="E966" s="654">
        <v>25973.34</v>
      </c>
      <c r="F966" s="655" t="s">
        <v>2018</v>
      </c>
      <c r="G966" s="1017" t="s">
        <v>1661</v>
      </c>
      <c r="H966" s="655" t="s">
        <v>2019</v>
      </c>
      <c r="I966" s="656">
        <v>43763</v>
      </c>
      <c r="J966" s="1145" t="s">
        <v>2628</v>
      </c>
    </row>
    <row r="967" spans="1:10" ht="20.100000000000001" customHeight="1" x14ac:dyDescent="0.2">
      <c r="A967" s="1180" t="s">
        <v>2017</v>
      </c>
      <c r="B967" s="1015" t="s">
        <v>1952</v>
      </c>
      <c r="C967" s="1015" t="s">
        <v>1953</v>
      </c>
      <c r="D967" s="534">
        <v>195</v>
      </c>
      <c r="E967" s="654">
        <v>18561.400000000001</v>
      </c>
      <c r="F967" s="655" t="s">
        <v>2018</v>
      </c>
      <c r="G967" s="1017" t="s">
        <v>1661</v>
      </c>
      <c r="H967" s="655" t="s">
        <v>1964</v>
      </c>
      <c r="I967" s="656">
        <v>43819</v>
      </c>
      <c r="J967" s="1145" t="s">
        <v>2628</v>
      </c>
    </row>
    <row r="968" spans="1:10" ht="30" customHeight="1" x14ac:dyDescent="0.2">
      <c r="A968" s="1181" t="s">
        <v>1951</v>
      </c>
      <c r="B968" s="1015" t="s">
        <v>1218</v>
      </c>
      <c r="C968" s="1015" t="s">
        <v>2020</v>
      </c>
      <c r="D968" s="428" t="s">
        <v>2021</v>
      </c>
      <c r="E968" s="657">
        <v>35499.600000000006</v>
      </c>
      <c r="F968" s="658" t="s">
        <v>2022</v>
      </c>
      <c r="G968" s="1017" t="s">
        <v>1661</v>
      </c>
      <c r="H968" s="476">
        <v>43875</v>
      </c>
      <c r="I968" s="659">
        <v>43903</v>
      </c>
      <c r="J968" s="1145" t="s">
        <v>2628</v>
      </c>
    </row>
    <row r="969" spans="1:10" ht="20.100000000000001" customHeight="1" x14ac:dyDescent="0.2">
      <c r="A969" s="1182" t="s">
        <v>2023</v>
      </c>
      <c r="B969" s="1015" t="s">
        <v>1952</v>
      </c>
      <c r="C969" s="1015" t="s">
        <v>1953</v>
      </c>
      <c r="D969" s="534">
        <v>39</v>
      </c>
      <c r="E969" s="660">
        <v>5120</v>
      </c>
      <c r="F969" s="655" t="s">
        <v>1963</v>
      </c>
      <c r="G969" s="1017" t="s">
        <v>1661</v>
      </c>
      <c r="H969" s="476">
        <v>43882</v>
      </c>
      <c r="I969" s="661" t="s">
        <v>2024</v>
      </c>
      <c r="J969" s="1145" t="s">
        <v>2628</v>
      </c>
    </row>
    <row r="970" spans="1:10" ht="20.100000000000001" customHeight="1" x14ac:dyDescent="0.2">
      <c r="A970" s="1182" t="s">
        <v>2025</v>
      </c>
      <c r="B970" s="1015" t="s">
        <v>1952</v>
      </c>
      <c r="C970" s="1015" t="s">
        <v>1995</v>
      </c>
      <c r="D970" s="536" t="s">
        <v>1996</v>
      </c>
      <c r="E970" s="660">
        <v>79341.400000000009</v>
      </c>
      <c r="F970" s="658" t="s">
        <v>1997</v>
      </c>
      <c r="G970" s="1017" t="s">
        <v>1661</v>
      </c>
      <c r="H970" s="476">
        <v>43845</v>
      </c>
      <c r="I970" s="486">
        <v>44004</v>
      </c>
      <c r="J970" s="1145" t="s">
        <v>2628</v>
      </c>
    </row>
    <row r="971" spans="1:10" ht="20.100000000000001" customHeight="1" x14ac:dyDescent="0.2">
      <c r="A971" s="1183" t="s">
        <v>1966</v>
      </c>
      <c r="B971" s="1015" t="s">
        <v>1952</v>
      </c>
      <c r="C971" s="1015" t="s">
        <v>1953</v>
      </c>
      <c r="D971" s="534">
        <v>41</v>
      </c>
      <c r="E971" s="654">
        <v>16729.400000000001</v>
      </c>
      <c r="F971" s="655" t="s">
        <v>2026</v>
      </c>
      <c r="G971" s="1017" t="s">
        <v>1661</v>
      </c>
      <c r="H971" s="476">
        <v>43889</v>
      </c>
      <c r="I971" s="659">
        <v>43900</v>
      </c>
      <c r="J971" s="1145" t="s">
        <v>2628</v>
      </c>
    </row>
    <row r="972" spans="1:10" ht="32.25" customHeight="1" x14ac:dyDescent="0.2">
      <c r="A972" s="1151" t="s">
        <v>2629</v>
      </c>
      <c r="B972" s="649" t="s">
        <v>1218</v>
      </c>
      <c r="C972" s="1015" t="s">
        <v>2020</v>
      </c>
      <c r="D972" s="536"/>
      <c r="E972" s="662">
        <v>90000</v>
      </c>
      <c r="F972" s="658"/>
      <c r="G972" s="1017" t="s">
        <v>2027</v>
      </c>
      <c r="H972" s="658">
        <v>2021</v>
      </c>
      <c r="I972" s="658"/>
      <c r="J972" s="1145" t="s">
        <v>2628</v>
      </c>
    </row>
    <row r="973" spans="1:10" ht="33.75" customHeight="1" x14ac:dyDescent="0.2">
      <c r="A973" s="1151" t="s">
        <v>2630</v>
      </c>
      <c r="B973" s="649" t="s">
        <v>1952</v>
      </c>
      <c r="C973" s="1015" t="s">
        <v>1953</v>
      </c>
      <c r="D973" s="536"/>
      <c r="E973" s="663">
        <v>20000</v>
      </c>
      <c r="F973" s="658"/>
      <c r="G973" s="1017" t="s">
        <v>2027</v>
      </c>
      <c r="H973" s="658">
        <v>2021</v>
      </c>
      <c r="I973" s="658"/>
      <c r="J973" s="1145" t="s">
        <v>2628</v>
      </c>
    </row>
    <row r="974" spans="1:10" ht="36" customHeight="1" x14ac:dyDescent="0.2">
      <c r="A974" s="1151" t="s">
        <v>2631</v>
      </c>
      <c r="B974" s="649" t="s">
        <v>1785</v>
      </c>
      <c r="C974" s="1015" t="s">
        <v>2020</v>
      </c>
      <c r="D974" s="536"/>
      <c r="E974" s="663">
        <v>400000</v>
      </c>
      <c r="F974" s="658"/>
      <c r="G974" s="1017" t="s">
        <v>2027</v>
      </c>
      <c r="H974" s="658">
        <v>2021</v>
      </c>
      <c r="I974" s="658"/>
      <c r="J974" s="1145" t="s">
        <v>2628</v>
      </c>
    </row>
    <row r="975" spans="1:10" ht="29.25" customHeight="1" x14ac:dyDescent="0.2">
      <c r="A975" s="1151" t="s">
        <v>2632</v>
      </c>
      <c r="B975" s="649" t="s">
        <v>1952</v>
      </c>
      <c r="C975" s="1015" t="s">
        <v>1953</v>
      </c>
      <c r="D975" s="536"/>
      <c r="E975" s="663">
        <v>70000</v>
      </c>
      <c r="F975" s="658"/>
      <c r="G975" s="1017" t="s">
        <v>2027</v>
      </c>
      <c r="H975" s="658">
        <v>2021</v>
      </c>
      <c r="I975" s="658"/>
      <c r="J975" s="1145" t="s">
        <v>2628</v>
      </c>
    </row>
    <row r="976" spans="1:10" ht="51" customHeight="1" x14ac:dyDescent="0.2">
      <c r="A976" s="1151" t="s">
        <v>2633</v>
      </c>
      <c r="B976" s="649" t="s">
        <v>1952</v>
      </c>
      <c r="C976" s="1015" t="s">
        <v>1953</v>
      </c>
      <c r="D976" s="536"/>
      <c r="E976" s="663">
        <v>80000</v>
      </c>
      <c r="F976" s="658"/>
      <c r="G976" s="1017" t="s">
        <v>2027</v>
      </c>
      <c r="H976" s="658">
        <v>2021</v>
      </c>
      <c r="I976" s="658"/>
      <c r="J976" s="1145" t="s">
        <v>2628</v>
      </c>
    </row>
    <row r="977" spans="1:10" ht="48.75" customHeight="1" x14ac:dyDescent="0.2">
      <c r="A977" s="1151" t="s">
        <v>2634</v>
      </c>
      <c r="B977" s="649" t="s">
        <v>1218</v>
      </c>
      <c r="C977" s="1015" t="s">
        <v>2020</v>
      </c>
      <c r="D977" s="536"/>
      <c r="E977" s="663">
        <v>50000</v>
      </c>
      <c r="F977" s="664" t="s">
        <v>621</v>
      </c>
      <c r="G977" s="1017" t="s">
        <v>2027</v>
      </c>
      <c r="H977" s="665">
        <v>2021</v>
      </c>
      <c r="I977" s="664"/>
      <c r="J977" s="1145" t="s">
        <v>2628</v>
      </c>
    </row>
    <row r="978" spans="1:10" ht="20.100000000000001" customHeight="1" x14ac:dyDescent="0.2">
      <c r="A978" s="1151" t="s">
        <v>2025</v>
      </c>
      <c r="B978" s="649" t="s">
        <v>1952</v>
      </c>
      <c r="C978" s="1015" t="s">
        <v>1953</v>
      </c>
      <c r="D978" s="536"/>
      <c r="E978" s="663">
        <v>1550000</v>
      </c>
      <c r="F978" s="658"/>
      <c r="G978" s="1017" t="s">
        <v>2027</v>
      </c>
      <c r="H978" s="658">
        <v>2021</v>
      </c>
      <c r="I978" s="658"/>
      <c r="J978" s="1145" t="s">
        <v>2628</v>
      </c>
    </row>
    <row r="979" spans="1:10" ht="20.100000000000001" customHeight="1" x14ac:dyDescent="0.2">
      <c r="A979" s="1151" t="s">
        <v>2635</v>
      </c>
      <c r="B979" s="649" t="s">
        <v>1785</v>
      </c>
      <c r="C979" s="1015" t="s">
        <v>2020</v>
      </c>
      <c r="D979" s="536"/>
      <c r="E979" s="663">
        <v>300000</v>
      </c>
      <c r="F979" s="658"/>
      <c r="G979" s="1017" t="s">
        <v>2027</v>
      </c>
      <c r="H979" s="658">
        <v>2021</v>
      </c>
      <c r="I979" s="658"/>
      <c r="J979" s="1145" t="s">
        <v>2628</v>
      </c>
    </row>
    <row r="980" spans="1:10" ht="20.100000000000001" customHeight="1" x14ac:dyDescent="0.2">
      <c r="A980" s="1184" t="s">
        <v>2028</v>
      </c>
      <c r="B980" s="1015" t="s">
        <v>1218</v>
      </c>
      <c r="C980" s="1015" t="s">
        <v>2020</v>
      </c>
      <c r="D980" s="536"/>
      <c r="E980" s="663">
        <v>110000</v>
      </c>
      <c r="F980" s="664" t="s">
        <v>621</v>
      </c>
      <c r="G980" s="1017" t="s">
        <v>2027</v>
      </c>
      <c r="H980" s="665">
        <v>2021</v>
      </c>
      <c r="I980" s="664"/>
      <c r="J980" s="1145" t="s">
        <v>2628</v>
      </c>
    </row>
    <row r="981" spans="1:10" ht="28.5" customHeight="1" thickBot="1" x14ac:dyDescent="0.25">
      <c r="A981" s="1185" t="s">
        <v>2029</v>
      </c>
      <c r="B981" s="495" t="s">
        <v>1758</v>
      </c>
      <c r="C981" s="495" t="s">
        <v>2020</v>
      </c>
      <c r="D981" s="565"/>
      <c r="E981" s="666">
        <v>40000</v>
      </c>
      <c r="F981" s="667" t="s">
        <v>621</v>
      </c>
      <c r="G981" s="538" t="s">
        <v>2027</v>
      </c>
      <c r="H981" s="668">
        <v>2021</v>
      </c>
      <c r="I981" s="667"/>
      <c r="J981" s="1145" t="s">
        <v>2628</v>
      </c>
    </row>
    <row r="982" spans="1:10" ht="30" customHeight="1" thickBot="1" x14ac:dyDescent="0.25">
      <c r="A982" s="542" t="s">
        <v>2030</v>
      </c>
      <c r="B982" s="543"/>
      <c r="C982" s="543"/>
      <c r="D982" s="543"/>
      <c r="E982" s="543"/>
      <c r="F982" s="543"/>
      <c r="G982" s="543"/>
      <c r="H982" s="543"/>
      <c r="I982" s="543"/>
      <c r="J982" s="544"/>
    </row>
    <row r="983" spans="1:10" ht="20.100000000000001" customHeight="1" x14ac:dyDescent="0.2">
      <c r="A983" s="1177" t="s">
        <v>2031</v>
      </c>
      <c r="B983" s="521" t="s">
        <v>2032</v>
      </c>
      <c r="C983" s="521" t="s">
        <v>2033</v>
      </c>
      <c r="D983" s="521" t="s">
        <v>2034</v>
      </c>
      <c r="E983" s="566">
        <v>25684.27</v>
      </c>
      <c r="F983" s="521" t="s">
        <v>2035</v>
      </c>
      <c r="G983" s="522" t="s">
        <v>2036</v>
      </c>
      <c r="H983" s="551">
        <v>43494</v>
      </c>
      <c r="I983" s="551">
        <v>43494</v>
      </c>
      <c r="J983" s="1145" t="s">
        <v>2628</v>
      </c>
    </row>
    <row r="984" spans="1:10" ht="20.100000000000001" customHeight="1" x14ac:dyDescent="0.2">
      <c r="A984" s="1156" t="s">
        <v>2037</v>
      </c>
      <c r="B984" s="1015" t="s">
        <v>2032</v>
      </c>
      <c r="C984" s="1015" t="s">
        <v>2033</v>
      </c>
      <c r="D984" s="1015" t="s">
        <v>2034</v>
      </c>
      <c r="E984" s="537">
        <v>27000</v>
      </c>
      <c r="F984" s="1015" t="s">
        <v>2038</v>
      </c>
      <c r="G984" s="1017" t="s">
        <v>2036</v>
      </c>
      <c r="H984" s="1019">
        <v>43489</v>
      </c>
      <c r="I984" s="1017">
        <v>43489</v>
      </c>
      <c r="J984" s="1145" t="s">
        <v>2628</v>
      </c>
    </row>
    <row r="985" spans="1:10" ht="20.100000000000001" customHeight="1" x14ac:dyDescent="0.2">
      <c r="A985" s="1156" t="s">
        <v>2031</v>
      </c>
      <c r="B985" s="1015" t="s">
        <v>2032</v>
      </c>
      <c r="C985" s="1015" t="s">
        <v>2033</v>
      </c>
      <c r="D985" s="1015" t="s">
        <v>2034</v>
      </c>
      <c r="E985" s="537">
        <v>17111.32</v>
      </c>
      <c r="F985" s="1015" t="s">
        <v>2035</v>
      </c>
      <c r="G985" s="1017" t="s">
        <v>2036</v>
      </c>
      <c r="H985" s="1019">
        <v>43516</v>
      </c>
      <c r="I985" s="1019">
        <v>43516</v>
      </c>
      <c r="J985" s="1145" t="s">
        <v>2628</v>
      </c>
    </row>
    <row r="986" spans="1:10" ht="20.100000000000001" customHeight="1" x14ac:dyDescent="0.2">
      <c r="A986" s="1156" t="s">
        <v>2031</v>
      </c>
      <c r="B986" s="1015" t="s">
        <v>2032</v>
      </c>
      <c r="C986" s="1015" t="s">
        <v>2033</v>
      </c>
      <c r="D986" s="1015" t="s">
        <v>2034</v>
      </c>
      <c r="E986" s="537">
        <v>20270.84</v>
      </c>
      <c r="F986" s="1015" t="s">
        <v>2035</v>
      </c>
      <c r="G986" s="1017" t="s">
        <v>2036</v>
      </c>
      <c r="H986" s="1019">
        <v>43544</v>
      </c>
      <c r="I986" s="1019">
        <v>43544</v>
      </c>
      <c r="J986" s="1145" t="s">
        <v>2628</v>
      </c>
    </row>
    <row r="987" spans="1:10" ht="20.100000000000001" customHeight="1" x14ac:dyDescent="0.2">
      <c r="A987" s="1156" t="s">
        <v>2031</v>
      </c>
      <c r="B987" s="1015" t="s">
        <v>2032</v>
      </c>
      <c r="C987" s="1015" t="s">
        <v>2033</v>
      </c>
      <c r="D987" s="1015" t="s">
        <v>2034</v>
      </c>
      <c r="E987" s="537">
        <v>21917.61</v>
      </c>
      <c r="F987" s="1015" t="s">
        <v>2035</v>
      </c>
      <c r="G987" s="1017" t="s">
        <v>2036</v>
      </c>
      <c r="H987" s="1019">
        <v>43577</v>
      </c>
      <c r="I987" s="1019">
        <v>43577</v>
      </c>
      <c r="J987" s="1145" t="s">
        <v>2628</v>
      </c>
    </row>
    <row r="988" spans="1:10" ht="20.100000000000001" customHeight="1" x14ac:dyDescent="0.2">
      <c r="A988" s="1156" t="s">
        <v>2031</v>
      </c>
      <c r="B988" s="1015" t="s">
        <v>2032</v>
      </c>
      <c r="C988" s="1015" t="s">
        <v>2033</v>
      </c>
      <c r="D988" s="1015" t="s">
        <v>2034</v>
      </c>
      <c r="E988" s="537">
        <v>29828.1</v>
      </c>
      <c r="F988" s="1015" t="s">
        <v>2035</v>
      </c>
      <c r="G988" s="1017" t="s">
        <v>2036</v>
      </c>
      <c r="H988" s="1019">
        <v>43605</v>
      </c>
      <c r="I988" s="1019">
        <v>43605</v>
      </c>
      <c r="J988" s="1145" t="s">
        <v>2628</v>
      </c>
    </row>
    <row r="989" spans="1:10" ht="20.100000000000001" customHeight="1" x14ac:dyDescent="0.2">
      <c r="A989" s="1156" t="s">
        <v>2031</v>
      </c>
      <c r="B989" s="1015" t="s">
        <v>2032</v>
      </c>
      <c r="C989" s="1015" t="s">
        <v>2033</v>
      </c>
      <c r="D989" s="1015" t="s">
        <v>2034</v>
      </c>
      <c r="E989" s="537">
        <v>31772.93</v>
      </c>
      <c r="F989" s="1015" t="s">
        <v>2035</v>
      </c>
      <c r="G989" s="1017" t="s">
        <v>2036</v>
      </c>
      <c r="H989" s="1019">
        <v>43643</v>
      </c>
      <c r="I989" s="1019">
        <v>43643</v>
      </c>
      <c r="J989" s="1145" t="s">
        <v>2628</v>
      </c>
    </row>
    <row r="990" spans="1:10" ht="20.100000000000001" customHeight="1" x14ac:dyDescent="0.2">
      <c r="A990" s="1156" t="s">
        <v>2031</v>
      </c>
      <c r="B990" s="1015" t="s">
        <v>2032</v>
      </c>
      <c r="C990" s="1015" t="s">
        <v>2033</v>
      </c>
      <c r="D990" s="1015" t="s">
        <v>2034</v>
      </c>
      <c r="E990" s="537">
        <v>24723.55</v>
      </c>
      <c r="F990" s="1015" t="s">
        <v>2035</v>
      </c>
      <c r="G990" s="1017" t="s">
        <v>2036</v>
      </c>
      <c r="H990" s="1019">
        <v>43671</v>
      </c>
      <c r="I990" s="1019">
        <v>43671</v>
      </c>
      <c r="J990" s="1145" t="s">
        <v>2628</v>
      </c>
    </row>
    <row r="991" spans="1:10" ht="20.100000000000001" customHeight="1" x14ac:dyDescent="0.2">
      <c r="A991" s="1156" t="s">
        <v>2031</v>
      </c>
      <c r="B991" s="1015" t="s">
        <v>2032</v>
      </c>
      <c r="C991" s="1015" t="s">
        <v>2033</v>
      </c>
      <c r="D991" s="1015" t="s">
        <v>2034</v>
      </c>
      <c r="E991" s="537">
        <v>41864.89</v>
      </c>
      <c r="F991" s="1015" t="s">
        <v>2035</v>
      </c>
      <c r="G991" s="1017" t="s">
        <v>2036</v>
      </c>
      <c r="H991" s="1019">
        <v>43698</v>
      </c>
      <c r="I991" s="1019">
        <v>43698</v>
      </c>
      <c r="J991" s="1145" t="s">
        <v>2628</v>
      </c>
    </row>
    <row r="992" spans="1:10" ht="20.100000000000001" customHeight="1" x14ac:dyDescent="0.2">
      <c r="A992" s="1156" t="s">
        <v>2031</v>
      </c>
      <c r="B992" s="1015" t="s">
        <v>2032</v>
      </c>
      <c r="C992" s="1015" t="s">
        <v>2033</v>
      </c>
      <c r="D992" s="1015" t="s">
        <v>2034</v>
      </c>
      <c r="E992" s="537">
        <v>26572.26</v>
      </c>
      <c r="F992" s="1015" t="s">
        <v>2035</v>
      </c>
      <c r="G992" s="1017" t="s">
        <v>2036</v>
      </c>
      <c r="H992" s="1019">
        <v>43725</v>
      </c>
      <c r="I992" s="1019">
        <v>43725</v>
      </c>
      <c r="J992" s="1145" t="s">
        <v>2628</v>
      </c>
    </row>
    <row r="993" spans="1:10" ht="20.100000000000001" customHeight="1" x14ac:dyDescent="0.2">
      <c r="A993" s="1156" t="s">
        <v>2031</v>
      </c>
      <c r="B993" s="1015" t="s">
        <v>2032</v>
      </c>
      <c r="C993" s="1015" t="s">
        <v>2033</v>
      </c>
      <c r="D993" s="1015" t="s">
        <v>2034</v>
      </c>
      <c r="E993" s="537">
        <v>32158.09</v>
      </c>
      <c r="F993" s="1015" t="s">
        <v>2035</v>
      </c>
      <c r="G993" s="1017" t="s">
        <v>2036</v>
      </c>
      <c r="H993" s="1019">
        <v>43756</v>
      </c>
      <c r="I993" s="1019">
        <v>43756</v>
      </c>
      <c r="J993" s="1145" t="s">
        <v>2628</v>
      </c>
    </row>
    <row r="994" spans="1:10" ht="20.100000000000001" customHeight="1" x14ac:dyDescent="0.2">
      <c r="A994" s="1156" t="s">
        <v>2031</v>
      </c>
      <c r="B994" s="1015" t="s">
        <v>2032</v>
      </c>
      <c r="C994" s="1015" t="s">
        <v>2033</v>
      </c>
      <c r="D994" s="1015" t="s">
        <v>2034</v>
      </c>
      <c r="E994" s="537">
        <v>28656.7</v>
      </c>
      <c r="F994" s="1015" t="s">
        <v>2035</v>
      </c>
      <c r="G994" s="1017" t="s">
        <v>2036</v>
      </c>
      <c r="H994" s="1019">
        <v>43795</v>
      </c>
      <c r="I994" s="1019">
        <v>43795</v>
      </c>
      <c r="J994" s="1145" t="s">
        <v>2628</v>
      </c>
    </row>
    <row r="995" spans="1:10" ht="20.100000000000001" customHeight="1" x14ac:dyDescent="0.2">
      <c r="A995" s="1156" t="s">
        <v>2039</v>
      </c>
      <c r="B995" s="1015" t="s">
        <v>2032</v>
      </c>
      <c r="C995" s="1015" t="s">
        <v>2033</v>
      </c>
      <c r="D995" s="1015" t="s">
        <v>2040</v>
      </c>
      <c r="E995" s="537">
        <v>33250</v>
      </c>
      <c r="F995" s="1015" t="s">
        <v>2041</v>
      </c>
      <c r="G995" s="1017" t="s">
        <v>2036</v>
      </c>
      <c r="H995" s="1019">
        <v>43791</v>
      </c>
      <c r="I995" s="1019">
        <v>43791</v>
      </c>
      <c r="J995" s="1145" t="s">
        <v>2628</v>
      </c>
    </row>
    <row r="996" spans="1:10" ht="20.100000000000001" customHeight="1" x14ac:dyDescent="0.2">
      <c r="A996" s="1156" t="s">
        <v>2042</v>
      </c>
      <c r="B996" s="1015" t="s">
        <v>2032</v>
      </c>
      <c r="C996" s="1015" t="s">
        <v>2033</v>
      </c>
      <c r="D996" s="1015" t="s">
        <v>2043</v>
      </c>
      <c r="E996" s="537">
        <v>33000</v>
      </c>
      <c r="F996" s="1015" t="s">
        <v>2044</v>
      </c>
      <c r="G996" s="1017" t="s">
        <v>2036</v>
      </c>
      <c r="H996" s="1019">
        <v>43798</v>
      </c>
      <c r="I996" s="1019">
        <v>43798</v>
      </c>
      <c r="J996" s="1145" t="s">
        <v>2628</v>
      </c>
    </row>
    <row r="997" spans="1:10" ht="20.100000000000001" customHeight="1" x14ac:dyDescent="0.2">
      <c r="A997" s="1156" t="s">
        <v>2045</v>
      </c>
      <c r="B997" s="1015" t="s">
        <v>2032</v>
      </c>
      <c r="C997" s="1015" t="s">
        <v>2033</v>
      </c>
      <c r="D997" s="1015" t="s">
        <v>2046</v>
      </c>
      <c r="E997" s="537">
        <v>29760</v>
      </c>
      <c r="F997" s="1015" t="s">
        <v>2047</v>
      </c>
      <c r="G997" s="1017" t="s">
        <v>2036</v>
      </c>
      <c r="H997" s="1019">
        <v>43798</v>
      </c>
      <c r="I997" s="1019">
        <v>43803</v>
      </c>
      <c r="J997" s="1145" t="s">
        <v>2628</v>
      </c>
    </row>
    <row r="998" spans="1:10" ht="20.100000000000001" customHeight="1" x14ac:dyDescent="0.2">
      <c r="A998" s="1156" t="s">
        <v>2048</v>
      </c>
      <c r="B998" s="1015" t="s">
        <v>2049</v>
      </c>
      <c r="C998" s="1015"/>
      <c r="D998" s="1015" t="s">
        <v>2034</v>
      </c>
      <c r="E998" s="537">
        <v>49154.5</v>
      </c>
      <c r="F998" s="1015" t="s">
        <v>2050</v>
      </c>
      <c r="G998" s="1017" t="s">
        <v>2036</v>
      </c>
      <c r="H998" s="1019">
        <v>43777</v>
      </c>
      <c r="I998" s="1019">
        <v>43782</v>
      </c>
      <c r="J998" s="1145" t="s">
        <v>2628</v>
      </c>
    </row>
    <row r="999" spans="1:10" ht="20.100000000000001" customHeight="1" x14ac:dyDescent="0.2">
      <c r="A999" s="1156" t="s">
        <v>2048</v>
      </c>
      <c r="B999" s="1015" t="s">
        <v>2049</v>
      </c>
      <c r="C999" s="1015"/>
      <c r="D999" s="1015" t="s">
        <v>2034</v>
      </c>
      <c r="E999" s="537">
        <v>58881.53</v>
      </c>
      <c r="F999" s="1015" t="s">
        <v>2050</v>
      </c>
      <c r="G999" s="1017" t="s">
        <v>2036</v>
      </c>
      <c r="H999" s="1019">
        <v>43780</v>
      </c>
      <c r="I999" s="1019">
        <v>43784</v>
      </c>
      <c r="J999" s="1145" t="s">
        <v>2628</v>
      </c>
    </row>
    <row r="1000" spans="1:10" ht="20.100000000000001" customHeight="1" x14ac:dyDescent="0.2">
      <c r="A1000" s="1156" t="s">
        <v>2031</v>
      </c>
      <c r="B1000" s="1015" t="s">
        <v>2032</v>
      </c>
      <c r="C1000" s="1015" t="s">
        <v>2033</v>
      </c>
      <c r="D1000" s="1015" t="s">
        <v>2034</v>
      </c>
      <c r="E1000" s="537">
        <v>27695.8</v>
      </c>
      <c r="F1000" s="1015" t="s">
        <v>2035</v>
      </c>
      <c r="G1000" s="1017" t="s">
        <v>2036</v>
      </c>
      <c r="H1000" s="1019">
        <v>43816</v>
      </c>
      <c r="I1000" s="1019">
        <v>43818</v>
      </c>
      <c r="J1000" s="1145" t="s">
        <v>2628</v>
      </c>
    </row>
    <row r="1001" spans="1:10" ht="20.100000000000001" customHeight="1" x14ac:dyDescent="0.2">
      <c r="A1001" s="1156" t="s">
        <v>2051</v>
      </c>
      <c r="B1001" s="1015" t="s">
        <v>2032</v>
      </c>
      <c r="C1001" s="1015" t="s">
        <v>2033</v>
      </c>
      <c r="D1001" s="1015" t="s">
        <v>2052</v>
      </c>
      <c r="E1001" s="537">
        <v>31639.5</v>
      </c>
      <c r="F1001" s="1015" t="s">
        <v>2053</v>
      </c>
      <c r="G1001" s="1017" t="s">
        <v>2036</v>
      </c>
      <c r="H1001" s="1019">
        <v>43827</v>
      </c>
      <c r="I1001" s="1019">
        <v>43827</v>
      </c>
      <c r="J1001" s="1145" t="s">
        <v>2628</v>
      </c>
    </row>
    <row r="1002" spans="1:10" ht="20.100000000000001" customHeight="1" x14ac:dyDescent="0.2">
      <c r="A1002" s="1156" t="s">
        <v>2031</v>
      </c>
      <c r="B1002" s="1015" t="s">
        <v>2032</v>
      </c>
      <c r="C1002" s="1015" t="s">
        <v>2033</v>
      </c>
      <c r="D1002" s="1015" t="s">
        <v>2034</v>
      </c>
      <c r="E1002" s="537">
        <v>24274.2</v>
      </c>
      <c r="F1002" s="1015" t="s">
        <v>2035</v>
      </c>
      <c r="G1002" s="1017" t="s">
        <v>2036</v>
      </c>
      <c r="H1002" s="1019">
        <v>43857</v>
      </c>
      <c r="I1002" s="520"/>
      <c r="J1002" s="1145" t="s">
        <v>2628</v>
      </c>
    </row>
    <row r="1003" spans="1:10" ht="20.100000000000001" customHeight="1" x14ac:dyDescent="0.2">
      <c r="A1003" s="1156" t="s">
        <v>2031</v>
      </c>
      <c r="B1003" s="1015" t="s">
        <v>2032</v>
      </c>
      <c r="C1003" s="1015" t="s">
        <v>2033</v>
      </c>
      <c r="D1003" s="1015" t="s">
        <v>2034</v>
      </c>
      <c r="E1003" s="537">
        <v>21004.400000000001</v>
      </c>
      <c r="F1003" s="1015" t="s">
        <v>2035</v>
      </c>
      <c r="G1003" s="1017" t="s">
        <v>2036</v>
      </c>
      <c r="H1003" s="1019">
        <v>43874</v>
      </c>
      <c r="I1003" s="520"/>
      <c r="J1003" s="1145" t="s">
        <v>2628</v>
      </c>
    </row>
    <row r="1004" spans="1:10" ht="20.100000000000001" customHeight="1" x14ac:dyDescent="0.2">
      <c r="A1004" s="1156" t="s">
        <v>2037</v>
      </c>
      <c r="B1004" s="1015" t="s">
        <v>2032</v>
      </c>
      <c r="C1004" s="1015" t="s">
        <v>2033</v>
      </c>
      <c r="D1004" s="1015" t="s">
        <v>2054</v>
      </c>
      <c r="E1004" s="537">
        <v>30670.5</v>
      </c>
      <c r="F1004" s="1015" t="s">
        <v>2055</v>
      </c>
      <c r="G1004" s="1017" t="s">
        <v>2036</v>
      </c>
      <c r="H1004" s="1019">
        <v>43881</v>
      </c>
      <c r="I1004" s="1017"/>
      <c r="J1004" s="1145" t="s">
        <v>2628</v>
      </c>
    </row>
    <row r="1005" spans="1:10" ht="20.100000000000001" customHeight="1" x14ac:dyDescent="0.2">
      <c r="A1005" s="1156" t="s">
        <v>2031</v>
      </c>
      <c r="B1005" s="1015" t="s">
        <v>2032</v>
      </c>
      <c r="C1005" s="1015" t="s">
        <v>2033</v>
      </c>
      <c r="D1005" s="1015" t="s">
        <v>2034</v>
      </c>
      <c r="E1005" s="537">
        <v>19913.66</v>
      </c>
      <c r="F1005" s="1015" t="s">
        <v>2035</v>
      </c>
      <c r="G1005" s="1017" t="s">
        <v>2036</v>
      </c>
      <c r="H1005" s="1019">
        <v>43911</v>
      </c>
      <c r="I1005" s="520"/>
      <c r="J1005" s="1145" t="s">
        <v>2628</v>
      </c>
    </row>
    <row r="1006" spans="1:10" ht="20.100000000000001" customHeight="1" x14ac:dyDescent="0.2">
      <c r="A1006" s="1156" t="s">
        <v>2031</v>
      </c>
      <c r="B1006" s="1015" t="s">
        <v>2032</v>
      </c>
      <c r="C1006" s="1015" t="s">
        <v>2033</v>
      </c>
      <c r="D1006" s="1015" t="s">
        <v>2034</v>
      </c>
      <c r="E1006" s="537">
        <v>21917.07</v>
      </c>
      <c r="F1006" s="1015" t="s">
        <v>2035</v>
      </c>
      <c r="G1006" s="1017" t="s">
        <v>2036</v>
      </c>
      <c r="H1006" s="1019">
        <v>43949</v>
      </c>
      <c r="I1006" s="520"/>
      <c r="J1006" s="1145" t="s">
        <v>2628</v>
      </c>
    </row>
    <row r="1007" spans="1:10" ht="20.100000000000001" customHeight="1" x14ac:dyDescent="0.2">
      <c r="A1007" s="1156" t="s">
        <v>2031</v>
      </c>
      <c r="B1007" s="1015" t="s">
        <v>2032</v>
      </c>
      <c r="C1007" s="1015" t="s">
        <v>2033</v>
      </c>
      <c r="D1007" s="1015" t="s">
        <v>2034</v>
      </c>
      <c r="E1007" s="537">
        <v>16025.4</v>
      </c>
      <c r="F1007" s="1015" t="s">
        <v>2035</v>
      </c>
      <c r="G1007" s="1017" t="s">
        <v>2036</v>
      </c>
      <c r="H1007" s="1019">
        <v>43980</v>
      </c>
      <c r="I1007" s="520"/>
      <c r="J1007" s="1145" t="s">
        <v>2628</v>
      </c>
    </row>
    <row r="1008" spans="1:10" ht="20.100000000000001" customHeight="1" x14ac:dyDescent="0.2">
      <c r="A1008" s="1156" t="s">
        <v>2031</v>
      </c>
      <c r="B1008" s="1015" t="s">
        <v>2032</v>
      </c>
      <c r="C1008" s="1015" t="s">
        <v>2033</v>
      </c>
      <c r="D1008" s="1015" t="s">
        <v>2034</v>
      </c>
      <c r="E1008" s="537">
        <v>16826.53</v>
      </c>
      <c r="F1008" s="1015" t="s">
        <v>2035</v>
      </c>
      <c r="G1008" s="1017" t="s">
        <v>2036</v>
      </c>
      <c r="H1008" s="1019">
        <v>44005</v>
      </c>
      <c r="I1008" s="520"/>
      <c r="J1008" s="1145" t="s">
        <v>2628</v>
      </c>
    </row>
    <row r="1009" spans="1:10" ht="20.100000000000001" customHeight="1" x14ac:dyDescent="0.2">
      <c r="A1009" s="1156" t="s">
        <v>2031</v>
      </c>
      <c r="B1009" s="1015" t="s">
        <v>2032</v>
      </c>
      <c r="C1009" s="1015" t="s">
        <v>2033</v>
      </c>
      <c r="D1009" s="1015" t="s">
        <v>2034</v>
      </c>
      <c r="E1009" s="537">
        <v>15207.46</v>
      </c>
      <c r="F1009" s="1015" t="s">
        <v>2035</v>
      </c>
      <c r="G1009" s="1017" t="s">
        <v>2036</v>
      </c>
      <c r="H1009" s="1019">
        <v>44025</v>
      </c>
      <c r="I1009" s="520"/>
      <c r="J1009" s="1145" t="s">
        <v>2628</v>
      </c>
    </row>
    <row r="1010" spans="1:10" ht="20.100000000000001" customHeight="1" x14ac:dyDescent="0.2">
      <c r="A1010" s="1156" t="s">
        <v>2031</v>
      </c>
      <c r="B1010" s="1015" t="s">
        <v>2032</v>
      </c>
      <c r="C1010" s="1015" t="s">
        <v>2033</v>
      </c>
      <c r="D1010" s="1015" t="s">
        <v>2034</v>
      </c>
      <c r="E1010" s="537">
        <v>17154.939999999999</v>
      </c>
      <c r="F1010" s="1015" t="s">
        <v>2035</v>
      </c>
      <c r="G1010" s="1017" t="s">
        <v>2036</v>
      </c>
      <c r="H1010" s="1019">
        <v>44064</v>
      </c>
      <c r="I1010" s="520"/>
      <c r="J1010" s="1145" t="s">
        <v>2628</v>
      </c>
    </row>
    <row r="1011" spans="1:10" ht="20.100000000000001" customHeight="1" x14ac:dyDescent="0.2">
      <c r="A1011" s="1156" t="s">
        <v>2031</v>
      </c>
      <c r="B1011" s="1015" t="s">
        <v>2032</v>
      </c>
      <c r="C1011" s="1015" t="s">
        <v>2033</v>
      </c>
      <c r="D1011" s="1015" t="s">
        <v>2034</v>
      </c>
      <c r="E1011" s="537">
        <v>16158.51</v>
      </c>
      <c r="F1011" s="1015" t="s">
        <v>2035</v>
      </c>
      <c r="G1011" s="1017" t="s">
        <v>2036</v>
      </c>
      <c r="H1011" s="1019">
        <v>44085</v>
      </c>
      <c r="I1011" s="520"/>
      <c r="J1011" s="1145" t="s">
        <v>2628</v>
      </c>
    </row>
    <row r="1012" spans="1:10" ht="20.100000000000001" customHeight="1" x14ac:dyDescent="0.2">
      <c r="A1012" s="1156" t="s">
        <v>2031</v>
      </c>
      <c r="B1012" s="1015" t="s">
        <v>2032</v>
      </c>
      <c r="C1012" s="1015" t="s">
        <v>2033</v>
      </c>
      <c r="D1012" s="1015" t="s">
        <v>2034</v>
      </c>
      <c r="E1012" s="537">
        <v>20000</v>
      </c>
      <c r="F1012" s="1015" t="s">
        <v>2035</v>
      </c>
      <c r="G1012" s="1017">
        <v>2021</v>
      </c>
      <c r="H1012" s="1019">
        <v>44105</v>
      </c>
      <c r="I1012" s="520"/>
      <c r="J1012" s="1145" t="s">
        <v>2628</v>
      </c>
    </row>
    <row r="1013" spans="1:10" ht="20.100000000000001" customHeight="1" x14ac:dyDescent="0.2">
      <c r="A1013" s="1156" t="s">
        <v>2031</v>
      </c>
      <c r="B1013" s="1015" t="s">
        <v>2032</v>
      </c>
      <c r="C1013" s="1015" t="s">
        <v>2033</v>
      </c>
      <c r="D1013" s="1015" t="s">
        <v>2034</v>
      </c>
      <c r="E1013" s="537">
        <v>20000</v>
      </c>
      <c r="F1013" s="1015" t="s">
        <v>2035</v>
      </c>
      <c r="G1013" s="1017">
        <v>2021</v>
      </c>
      <c r="H1013" s="1019">
        <v>44146</v>
      </c>
      <c r="I1013" s="520"/>
      <c r="J1013" s="1145" t="s">
        <v>2628</v>
      </c>
    </row>
    <row r="1014" spans="1:10" ht="20.100000000000001" customHeight="1" x14ac:dyDescent="0.2">
      <c r="A1014" s="1156" t="s">
        <v>2031</v>
      </c>
      <c r="B1014" s="1015" t="s">
        <v>2032</v>
      </c>
      <c r="C1014" s="1015" t="s">
        <v>2033</v>
      </c>
      <c r="D1014" s="1015" t="s">
        <v>2034</v>
      </c>
      <c r="E1014" s="537">
        <v>20000</v>
      </c>
      <c r="F1014" s="1015" t="s">
        <v>2035</v>
      </c>
      <c r="G1014" s="1017">
        <v>2021</v>
      </c>
      <c r="H1014" s="1019">
        <v>44175</v>
      </c>
      <c r="I1014" s="520"/>
      <c r="J1014" s="1145" t="s">
        <v>2628</v>
      </c>
    </row>
    <row r="1015" spans="1:10" ht="20.100000000000001" customHeight="1" x14ac:dyDescent="0.2">
      <c r="A1015" s="1156" t="s">
        <v>2031</v>
      </c>
      <c r="B1015" s="1015" t="s">
        <v>2032</v>
      </c>
      <c r="C1015" s="1015" t="s">
        <v>2033</v>
      </c>
      <c r="D1015" s="1015" t="s">
        <v>2034</v>
      </c>
      <c r="E1015" s="537">
        <v>20000</v>
      </c>
      <c r="F1015" s="1015" t="s">
        <v>2035</v>
      </c>
      <c r="G1015" s="1017">
        <v>2021</v>
      </c>
      <c r="H1015" s="1019">
        <v>2021</v>
      </c>
      <c r="I1015" s="520"/>
      <c r="J1015" s="1145" t="s">
        <v>2628</v>
      </c>
    </row>
    <row r="1016" spans="1:10" ht="20.100000000000001" customHeight="1" x14ac:dyDescent="0.2">
      <c r="A1016" s="1156" t="s">
        <v>2056</v>
      </c>
      <c r="B1016" s="1015" t="s">
        <v>2057</v>
      </c>
      <c r="C1016" s="1015"/>
      <c r="D1016" s="1015" t="s">
        <v>2034</v>
      </c>
      <c r="E1016" s="537">
        <v>30000</v>
      </c>
      <c r="F1016" s="1015"/>
      <c r="G1016" s="1017">
        <v>2021</v>
      </c>
      <c r="H1016" s="1019">
        <v>44208</v>
      </c>
      <c r="I1016" s="520"/>
      <c r="J1016" s="1145" t="s">
        <v>2628</v>
      </c>
    </row>
    <row r="1017" spans="1:10" ht="20.100000000000001" customHeight="1" x14ac:dyDescent="0.2">
      <c r="A1017" s="1156" t="s">
        <v>2031</v>
      </c>
      <c r="B1017" s="1015" t="s">
        <v>2032</v>
      </c>
      <c r="C1017" s="1015" t="s">
        <v>2033</v>
      </c>
      <c r="D1017" s="1015" t="s">
        <v>2034</v>
      </c>
      <c r="E1017" s="537">
        <v>20000</v>
      </c>
      <c r="F1017" s="1015" t="s">
        <v>2035</v>
      </c>
      <c r="G1017" s="1017">
        <v>2021</v>
      </c>
      <c r="H1017" s="1019">
        <v>44239</v>
      </c>
      <c r="I1017" s="520"/>
      <c r="J1017" s="1145" t="s">
        <v>2628</v>
      </c>
    </row>
    <row r="1018" spans="1:10" ht="20.100000000000001" customHeight="1" x14ac:dyDescent="0.2">
      <c r="A1018" s="1156" t="s">
        <v>2031</v>
      </c>
      <c r="B1018" s="1015" t="s">
        <v>2032</v>
      </c>
      <c r="C1018" s="1015" t="s">
        <v>2033</v>
      </c>
      <c r="D1018" s="1015" t="s">
        <v>2034</v>
      </c>
      <c r="E1018" s="537">
        <v>20000</v>
      </c>
      <c r="F1018" s="1015" t="s">
        <v>2035</v>
      </c>
      <c r="G1018" s="1017">
        <v>2021</v>
      </c>
      <c r="H1018" s="1019">
        <v>44268</v>
      </c>
      <c r="I1018" s="520"/>
      <c r="J1018" s="1145" t="s">
        <v>2628</v>
      </c>
    </row>
    <row r="1019" spans="1:10" ht="20.100000000000001" customHeight="1" x14ac:dyDescent="0.2">
      <c r="A1019" s="1156" t="s">
        <v>2058</v>
      </c>
      <c r="B1019" s="1015" t="s">
        <v>2057</v>
      </c>
      <c r="C1019" s="1015" t="s">
        <v>1785</v>
      </c>
      <c r="D1019" s="1015" t="s">
        <v>2034</v>
      </c>
      <c r="E1019" s="537">
        <v>40000</v>
      </c>
      <c r="F1019" s="1015"/>
      <c r="G1019" s="1017">
        <v>2021</v>
      </c>
      <c r="H1019" s="1019">
        <v>44269</v>
      </c>
      <c r="I1019" s="520"/>
      <c r="J1019" s="1145" t="s">
        <v>2628</v>
      </c>
    </row>
    <row r="1020" spans="1:10" ht="20.100000000000001" customHeight="1" x14ac:dyDescent="0.2">
      <c r="A1020" s="1156" t="s">
        <v>2059</v>
      </c>
      <c r="B1020" s="1015" t="s">
        <v>2057</v>
      </c>
      <c r="C1020" s="1015" t="s">
        <v>1785</v>
      </c>
      <c r="D1020" s="1015" t="s">
        <v>2034</v>
      </c>
      <c r="E1020" s="537">
        <v>25000</v>
      </c>
      <c r="F1020" s="1015"/>
      <c r="G1020" s="1017">
        <v>2021</v>
      </c>
      <c r="H1020" s="1019">
        <v>44270</v>
      </c>
      <c r="I1020" s="520"/>
      <c r="J1020" s="1145" t="s">
        <v>2628</v>
      </c>
    </row>
    <row r="1021" spans="1:10" ht="20.100000000000001" customHeight="1" x14ac:dyDescent="0.2">
      <c r="A1021" s="1156" t="s">
        <v>2060</v>
      </c>
      <c r="B1021" s="1015" t="s">
        <v>2057</v>
      </c>
      <c r="C1021" s="1015" t="s">
        <v>1785</v>
      </c>
      <c r="D1021" s="1015" t="s">
        <v>2034</v>
      </c>
      <c r="E1021" s="537">
        <v>30000</v>
      </c>
      <c r="F1021" s="1015"/>
      <c r="G1021" s="1017">
        <v>2021</v>
      </c>
      <c r="H1021" s="1019">
        <v>44270</v>
      </c>
      <c r="I1021" s="520"/>
      <c r="J1021" s="1145" t="s">
        <v>2628</v>
      </c>
    </row>
    <row r="1022" spans="1:10" ht="20.100000000000001" customHeight="1" thickBot="1" x14ac:dyDescent="0.25">
      <c r="A1022" s="1157" t="s">
        <v>2061</v>
      </c>
      <c r="B1022" s="495" t="s">
        <v>2057</v>
      </c>
      <c r="C1022" s="495" t="s">
        <v>1785</v>
      </c>
      <c r="D1022" s="495" t="s">
        <v>2034</v>
      </c>
      <c r="E1022" s="562">
        <v>10000</v>
      </c>
      <c r="F1022" s="495"/>
      <c r="G1022" s="538">
        <v>2021</v>
      </c>
      <c r="H1022" s="563">
        <v>44271</v>
      </c>
      <c r="I1022" s="621"/>
      <c r="J1022" s="1145" t="s">
        <v>2628</v>
      </c>
    </row>
    <row r="1023" spans="1:10" ht="29.25" customHeight="1" thickBot="1" x14ac:dyDescent="0.25">
      <c r="A1023" s="542" t="s">
        <v>2062</v>
      </c>
      <c r="B1023" s="543"/>
      <c r="C1023" s="543"/>
      <c r="D1023" s="543"/>
      <c r="E1023" s="543"/>
      <c r="F1023" s="543"/>
      <c r="G1023" s="543"/>
      <c r="H1023" s="543"/>
      <c r="I1023" s="543"/>
      <c r="J1023" s="544"/>
    </row>
    <row r="1024" spans="1:10" ht="36" x14ac:dyDescent="0.2">
      <c r="A1024" s="1177" t="s">
        <v>2369</v>
      </c>
      <c r="B1024" s="539" t="s">
        <v>2063</v>
      </c>
      <c r="C1024" s="539" t="s">
        <v>1776</v>
      </c>
      <c r="D1024" s="539">
        <v>72</v>
      </c>
      <c r="E1024" s="540">
        <v>15219.1</v>
      </c>
      <c r="F1024" s="582" t="s">
        <v>2064</v>
      </c>
      <c r="G1024" s="539" t="s">
        <v>1691</v>
      </c>
      <c r="H1024" s="564">
        <v>43766</v>
      </c>
      <c r="I1024" s="541">
        <v>43828</v>
      </c>
      <c r="J1024" s="1145" t="s">
        <v>2628</v>
      </c>
    </row>
    <row r="1025" spans="1:10" ht="24" x14ac:dyDescent="0.2">
      <c r="A1025" s="1156" t="s">
        <v>2636</v>
      </c>
      <c r="B1025" s="469" t="s">
        <v>2063</v>
      </c>
      <c r="C1025" s="469" t="s">
        <v>1776</v>
      </c>
      <c r="D1025" s="469">
        <v>83</v>
      </c>
      <c r="E1025" s="470">
        <v>12618.51</v>
      </c>
      <c r="F1025" s="472" t="s">
        <v>2065</v>
      </c>
      <c r="G1025" s="469" t="s">
        <v>1691</v>
      </c>
      <c r="H1025" s="507">
        <v>43767</v>
      </c>
      <c r="I1025" s="471">
        <v>43774</v>
      </c>
      <c r="J1025" s="1145" t="s">
        <v>2628</v>
      </c>
    </row>
    <row r="1026" spans="1:10" ht="48" x14ac:dyDescent="0.2">
      <c r="A1026" s="1156" t="s">
        <v>2637</v>
      </c>
      <c r="B1026" s="469" t="s">
        <v>2063</v>
      </c>
      <c r="C1026" s="469" t="s">
        <v>1776</v>
      </c>
      <c r="D1026" s="469">
        <v>111</v>
      </c>
      <c r="E1026" s="470">
        <v>21552.7</v>
      </c>
      <c r="F1026" s="472" t="s">
        <v>2066</v>
      </c>
      <c r="G1026" s="469" t="s">
        <v>1691</v>
      </c>
      <c r="H1026" s="507">
        <v>43791</v>
      </c>
      <c r="I1026" s="471">
        <v>43801</v>
      </c>
      <c r="J1026" s="1145" t="s">
        <v>2628</v>
      </c>
    </row>
    <row r="1027" spans="1:10" ht="24" x14ac:dyDescent="0.2">
      <c r="A1027" s="1156" t="s">
        <v>2637</v>
      </c>
      <c r="B1027" s="469" t="s">
        <v>2063</v>
      </c>
      <c r="C1027" s="469" t="s">
        <v>1776</v>
      </c>
      <c r="D1027" s="469">
        <v>136</v>
      </c>
      <c r="E1027" s="470">
        <v>13400.08</v>
      </c>
      <c r="F1027" s="472" t="s">
        <v>2067</v>
      </c>
      <c r="G1027" s="469" t="s">
        <v>1691</v>
      </c>
      <c r="H1027" s="507">
        <v>43797</v>
      </c>
      <c r="I1027" s="471">
        <v>43828</v>
      </c>
      <c r="J1027" s="1145" t="s">
        <v>2628</v>
      </c>
    </row>
    <row r="1028" spans="1:10" ht="36" x14ac:dyDescent="0.2">
      <c r="A1028" s="1156" t="s">
        <v>2637</v>
      </c>
      <c r="B1028" s="469" t="s">
        <v>2063</v>
      </c>
      <c r="C1028" s="469" t="s">
        <v>1776</v>
      </c>
      <c r="D1028" s="469">
        <v>138</v>
      </c>
      <c r="E1028" s="470">
        <v>33040</v>
      </c>
      <c r="F1028" s="472" t="s">
        <v>2068</v>
      </c>
      <c r="G1028" s="469" t="s">
        <v>1691</v>
      </c>
      <c r="H1028" s="507">
        <v>43797</v>
      </c>
      <c r="I1028" s="471">
        <v>43803</v>
      </c>
      <c r="J1028" s="1145" t="s">
        <v>2628</v>
      </c>
    </row>
    <row r="1029" spans="1:10" ht="48" x14ac:dyDescent="0.2">
      <c r="A1029" s="1156" t="s">
        <v>2637</v>
      </c>
      <c r="B1029" s="469" t="s">
        <v>2063</v>
      </c>
      <c r="C1029" s="469" t="s">
        <v>1776</v>
      </c>
      <c r="D1029" s="469">
        <v>145</v>
      </c>
      <c r="E1029" s="470">
        <v>44224.04</v>
      </c>
      <c r="F1029" s="472" t="s">
        <v>2069</v>
      </c>
      <c r="G1029" s="469" t="s">
        <v>1691</v>
      </c>
      <c r="H1029" s="507">
        <v>43798</v>
      </c>
      <c r="I1029" s="471">
        <v>43829</v>
      </c>
      <c r="J1029" s="1145" t="s">
        <v>2628</v>
      </c>
    </row>
    <row r="1030" spans="1:10" ht="36" x14ac:dyDescent="0.2">
      <c r="A1030" s="1156" t="s">
        <v>2637</v>
      </c>
      <c r="B1030" s="469" t="s">
        <v>2063</v>
      </c>
      <c r="C1030" s="469" t="s">
        <v>1776</v>
      </c>
      <c r="D1030" s="469">
        <v>168</v>
      </c>
      <c r="E1030" s="470">
        <v>13182.96</v>
      </c>
      <c r="F1030" s="472" t="s">
        <v>2070</v>
      </c>
      <c r="G1030" s="469" t="s">
        <v>1691</v>
      </c>
      <c r="H1030" s="507">
        <v>43802</v>
      </c>
      <c r="I1030" s="471">
        <v>43828</v>
      </c>
      <c r="J1030" s="1145" t="s">
        <v>2628</v>
      </c>
    </row>
    <row r="1031" spans="1:10" ht="36" x14ac:dyDescent="0.2">
      <c r="A1031" s="1156" t="s">
        <v>2637</v>
      </c>
      <c r="B1031" s="469" t="s">
        <v>2063</v>
      </c>
      <c r="C1031" s="469" t="s">
        <v>1776</v>
      </c>
      <c r="D1031" s="469">
        <v>170</v>
      </c>
      <c r="E1031" s="470">
        <v>27142.95</v>
      </c>
      <c r="F1031" s="472" t="s">
        <v>2071</v>
      </c>
      <c r="G1031" s="469" t="s">
        <v>1691</v>
      </c>
      <c r="H1031" s="507">
        <v>43802</v>
      </c>
      <c r="I1031" s="471">
        <v>43812</v>
      </c>
      <c r="J1031" s="1145" t="s">
        <v>2628</v>
      </c>
    </row>
    <row r="1032" spans="1:10" ht="48" x14ac:dyDescent="0.2">
      <c r="A1032" s="1156" t="s">
        <v>2637</v>
      </c>
      <c r="B1032" s="469" t="s">
        <v>2063</v>
      </c>
      <c r="C1032" s="469" t="s">
        <v>1776</v>
      </c>
      <c r="D1032" s="469">
        <v>171</v>
      </c>
      <c r="E1032" s="470">
        <v>19311.88</v>
      </c>
      <c r="F1032" s="472" t="s">
        <v>2072</v>
      </c>
      <c r="G1032" s="469" t="s">
        <v>1691</v>
      </c>
      <c r="H1032" s="507">
        <v>43802</v>
      </c>
      <c r="I1032" s="471">
        <v>43828</v>
      </c>
      <c r="J1032" s="1145" t="s">
        <v>2628</v>
      </c>
    </row>
    <row r="1033" spans="1:10" ht="24" x14ac:dyDescent="0.2">
      <c r="A1033" s="1156" t="s">
        <v>1977</v>
      </c>
      <c r="B1033" s="469" t="s">
        <v>2063</v>
      </c>
      <c r="C1033" s="469" t="s">
        <v>1776</v>
      </c>
      <c r="D1033" s="469">
        <v>229</v>
      </c>
      <c r="E1033" s="622">
        <v>133812</v>
      </c>
      <c r="F1033" s="472" t="s">
        <v>2073</v>
      </c>
      <c r="G1033" s="469" t="s">
        <v>1691</v>
      </c>
      <c r="H1033" s="507">
        <v>43817</v>
      </c>
      <c r="I1033" s="471">
        <v>43828</v>
      </c>
      <c r="J1033" s="1145" t="s">
        <v>2628</v>
      </c>
    </row>
    <row r="1034" spans="1:10" ht="24" x14ac:dyDescent="0.2">
      <c r="A1034" s="1156" t="s">
        <v>1977</v>
      </c>
      <c r="B1034" s="469" t="s">
        <v>2063</v>
      </c>
      <c r="C1034" s="469" t="s">
        <v>1776</v>
      </c>
      <c r="D1034" s="469">
        <v>191</v>
      </c>
      <c r="E1034" s="622">
        <v>56269.48</v>
      </c>
      <c r="F1034" s="472" t="s">
        <v>2073</v>
      </c>
      <c r="G1034" s="469" t="s">
        <v>1691</v>
      </c>
      <c r="H1034" s="507">
        <v>43808</v>
      </c>
      <c r="I1034" s="471">
        <v>43828</v>
      </c>
      <c r="J1034" s="1145" t="s">
        <v>2628</v>
      </c>
    </row>
    <row r="1035" spans="1:10" ht="48" x14ac:dyDescent="0.2">
      <c r="A1035" s="1156" t="s">
        <v>2637</v>
      </c>
      <c r="B1035" s="469" t="s">
        <v>2063</v>
      </c>
      <c r="C1035" s="469" t="s">
        <v>1776</v>
      </c>
      <c r="D1035" s="469">
        <v>184</v>
      </c>
      <c r="E1035" s="622">
        <v>81295.240000000005</v>
      </c>
      <c r="F1035" s="472" t="s">
        <v>2069</v>
      </c>
      <c r="G1035" s="469" t="s">
        <v>1691</v>
      </c>
      <c r="H1035" s="507">
        <v>43802</v>
      </c>
      <c r="I1035" s="471">
        <v>43828</v>
      </c>
      <c r="J1035" s="1145" t="s">
        <v>2628</v>
      </c>
    </row>
    <row r="1036" spans="1:10" ht="48" x14ac:dyDescent="0.2">
      <c r="A1036" s="1156" t="s">
        <v>1977</v>
      </c>
      <c r="B1036" s="469" t="s">
        <v>2063</v>
      </c>
      <c r="C1036" s="469" t="s">
        <v>1776</v>
      </c>
      <c r="D1036" s="469">
        <v>115</v>
      </c>
      <c r="E1036" s="622">
        <v>18614.5</v>
      </c>
      <c r="F1036" s="472" t="s">
        <v>2066</v>
      </c>
      <c r="G1036" s="469" t="s">
        <v>1691</v>
      </c>
      <c r="H1036" s="507">
        <v>43791</v>
      </c>
      <c r="I1036" s="471">
        <v>43828</v>
      </c>
      <c r="J1036" s="1145" t="s">
        <v>2628</v>
      </c>
    </row>
    <row r="1037" spans="1:10" ht="48" x14ac:dyDescent="0.2">
      <c r="A1037" s="1156" t="s">
        <v>2637</v>
      </c>
      <c r="B1037" s="469" t="s">
        <v>2063</v>
      </c>
      <c r="C1037" s="469" t="s">
        <v>1776</v>
      </c>
      <c r="D1037" s="469">
        <v>180</v>
      </c>
      <c r="E1037" s="622">
        <v>48841.38</v>
      </c>
      <c r="F1037" s="472" t="s">
        <v>2069</v>
      </c>
      <c r="G1037" s="469" t="s">
        <v>1691</v>
      </c>
      <c r="H1037" s="507">
        <v>43802</v>
      </c>
      <c r="I1037" s="471">
        <v>43828</v>
      </c>
      <c r="J1037" s="1145" t="s">
        <v>2628</v>
      </c>
    </row>
    <row r="1038" spans="1:10" ht="48" x14ac:dyDescent="0.2">
      <c r="A1038" s="1156" t="s">
        <v>1977</v>
      </c>
      <c r="B1038" s="469" t="s">
        <v>2063</v>
      </c>
      <c r="C1038" s="469" t="s">
        <v>1776</v>
      </c>
      <c r="D1038" s="469">
        <v>139</v>
      </c>
      <c r="E1038" s="622">
        <v>26980.7</v>
      </c>
      <c r="F1038" s="472" t="s">
        <v>2066</v>
      </c>
      <c r="G1038" s="469" t="s">
        <v>1691</v>
      </c>
      <c r="H1038" s="507">
        <v>43797</v>
      </c>
      <c r="I1038" s="471">
        <v>43828</v>
      </c>
      <c r="J1038" s="1145" t="s">
        <v>2628</v>
      </c>
    </row>
    <row r="1039" spans="1:10" ht="48" x14ac:dyDescent="0.2">
      <c r="A1039" s="1156" t="s">
        <v>1977</v>
      </c>
      <c r="B1039" s="469" t="s">
        <v>2063</v>
      </c>
      <c r="C1039" s="469" t="s">
        <v>1776</v>
      </c>
      <c r="D1039" s="469">
        <v>119</v>
      </c>
      <c r="E1039" s="622">
        <v>24337.5</v>
      </c>
      <c r="F1039" s="472" t="s">
        <v>2066</v>
      </c>
      <c r="G1039" s="469" t="s">
        <v>1691</v>
      </c>
      <c r="H1039" s="507">
        <v>43791</v>
      </c>
      <c r="I1039" s="471">
        <v>43828</v>
      </c>
      <c r="J1039" s="1145" t="s">
        <v>2628</v>
      </c>
    </row>
    <row r="1040" spans="1:10" ht="48" x14ac:dyDescent="0.2">
      <c r="A1040" s="1156" t="s">
        <v>1977</v>
      </c>
      <c r="B1040" s="469" t="s">
        <v>2063</v>
      </c>
      <c r="C1040" s="469" t="s">
        <v>1776</v>
      </c>
      <c r="D1040" s="469">
        <v>131</v>
      </c>
      <c r="E1040" s="622">
        <v>13839.98</v>
      </c>
      <c r="F1040" s="472" t="s">
        <v>2066</v>
      </c>
      <c r="G1040" s="469" t="s">
        <v>1691</v>
      </c>
      <c r="H1040" s="507">
        <v>43796</v>
      </c>
      <c r="I1040" s="471">
        <v>43828</v>
      </c>
      <c r="J1040" s="1145" t="s">
        <v>2628</v>
      </c>
    </row>
    <row r="1041" spans="1:10" ht="24" x14ac:dyDescent="0.2">
      <c r="A1041" s="1156" t="s">
        <v>1977</v>
      </c>
      <c r="B1041" s="469" t="s">
        <v>2063</v>
      </c>
      <c r="C1041" s="469" t="s">
        <v>1776</v>
      </c>
      <c r="D1041" s="469">
        <v>142</v>
      </c>
      <c r="E1041" s="622">
        <v>14562.16</v>
      </c>
      <c r="F1041" s="472" t="s">
        <v>2067</v>
      </c>
      <c r="G1041" s="469" t="s">
        <v>1691</v>
      </c>
      <c r="H1041" s="507">
        <v>43797</v>
      </c>
      <c r="I1041" s="471">
        <v>43828</v>
      </c>
      <c r="J1041" s="1145" t="s">
        <v>2628</v>
      </c>
    </row>
    <row r="1042" spans="1:10" ht="48" x14ac:dyDescent="0.2">
      <c r="A1042" s="1156" t="s">
        <v>2638</v>
      </c>
      <c r="B1042" s="469" t="s">
        <v>2063</v>
      </c>
      <c r="C1042" s="469" t="s">
        <v>1776</v>
      </c>
      <c r="D1042" s="469">
        <v>2</v>
      </c>
      <c r="E1042" s="470">
        <v>23570.5</v>
      </c>
      <c r="F1042" s="472" t="s">
        <v>2066</v>
      </c>
      <c r="G1042" s="469" t="s">
        <v>1691</v>
      </c>
      <c r="H1042" s="507">
        <v>43867</v>
      </c>
      <c r="I1042" s="471">
        <v>43872</v>
      </c>
      <c r="J1042" s="1145" t="s">
        <v>2628</v>
      </c>
    </row>
    <row r="1043" spans="1:10" ht="36" x14ac:dyDescent="0.2">
      <c r="A1043" s="1156" t="s">
        <v>2639</v>
      </c>
      <c r="B1043" s="469" t="s">
        <v>2063</v>
      </c>
      <c r="C1043" s="1015" t="s">
        <v>2074</v>
      </c>
      <c r="D1043" s="469">
        <v>3</v>
      </c>
      <c r="E1043" s="470">
        <v>29250</v>
      </c>
      <c r="F1043" s="472" t="s">
        <v>2075</v>
      </c>
      <c r="G1043" s="469" t="s">
        <v>1691</v>
      </c>
      <c r="H1043" s="472" t="s">
        <v>2076</v>
      </c>
      <c r="I1043" s="471">
        <v>43885</v>
      </c>
      <c r="J1043" s="1145" t="s">
        <v>2628</v>
      </c>
    </row>
    <row r="1044" spans="1:10" ht="48" x14ac:dyDescent="0.2">
      <c r="A1044" s="1156" t="s">
        <v>2640</v>
      </c>
      <c r="B1044" s="469" t="s">
        <v>2063</v>
      </c>
      <c r="C1044" s="1015" t="s">
        <v>2074</v>
      </c>
      <c r="D1044" s="469">
        <v>16</v>
      </c>
      <c r="E1044" s="470">
        <v>25741.599999999999</v>
      </c>
      <c r="F1044" s="472" t="s">
        <v>2077</v>
      </c>
      <c r="G1044" s="469" t="s">
        <v>1691</v>
      </c>
      <c r="H1044" s="507">
        <v>43998</v>
      </c>
      <c r="I1044" s="471">
        <v>44019</v>
      </c>
      <c r="J1044" s="1145" t="s">
        <v>2628</v>
      </c>
    </row>
    <row r="1045" spans="1:10" ht="27.75" customHeight="1" thickBot="1" x14ac:dyDescent="0.25">
      <c r="A1045" s="1157" t="s">
        <v>1977</v>
      </c>
      <c r="B1045" s="496" t="s">
        <v>2063</v>
      </c>
      <c r="C1045" s="496" t="s">
        <v>1776</v>
      </c>
      <c r="D1045" s="496"/>
      <c r="E1045" s="623">
        <v>183812</v>
      </c>
      <c r="F1045" s="494"/>
      <c r="G1045" s="496" t="s">
        <v>434</v>
      </c>
      <c r="H1045" s="559">
        <v>44446</v>
      </c>
      <c r="I1045" s="497"/>
      <c r="J1045" s="1145" t="s">
        <v>2628</v>
      </c>
    </row>
    <row r="1046" spans="1:10" ht="26.25" customHeight="1" thickBot="1" x14ac:dyDescent="0.25">
      <c r="A1046" s="542" t="s">
        <v>2078</v>
      </c>
      <c r="B1046" s="543"/>
      <c r="C1046" s="543"/>
      <c r="D1046" s="543"/>
      <c r="E1046" s="543"/>
      <c r="F1046" s="543"/>
      <c r="G1046" s="543"/>
      <c r="H1046" s="543"/>
      <c r="I1046" s="543"/>
      <c r="J1046" s="544"/>
    </row>
    <row r="1047" spans="1:10" ht="55.5" customHeight="1" x14ac:dyDescent="0.2">
      <c r="A1047" s="1186" t="s">
        <v>2079</v>
      </c>
      <c r="B1047" s="569" t="s">
        <v>1776</v>
      </c>
      <c r="C1047" s="560" t="s">
        <v>2049</v>
      </c>
      <c r="D1047" s="539" t="s">
        <v>2080</v>
      </c>
      <c r="E1047" s="651">
        <v>37552.910000000003</v>
      </c>
      <c r="F1047" s="652" t="s">
        <v>2081</v>
      </c>
      <c r="G1047" s="539" t="s">
        <v>1661</v>
      </c>
      <c r="H1047" s="669">
        <v>43504</v>
      </c>
      <c r="I1047" s="669">
        <v>43504</v>
      </c>
      <c r="J1047" s="1145" t="s">
        <v>2628</v>
      </c>
    </row>
    <row r="1048" spans="1:10" ht="30" customHeight="1" x14ac:dyDescent="0.2">
      <c r="A1048" s="1187" t="s">
        <v>2082</v>
      </c>
      <c r="B1048" s="533" t="s">
        <v>2083</v>
      </c>
      <c r="C1048" s="1111" t="s">
        <v>2084</v>
      </c>
      <c r="D1048" s="624" t="s">
        <v>2085</v>
      </c>
      <c r="E1048" s="654">
        <v>44370</v>
      </c>
      <c r="F1048" s="655" t="s">
        <v>2086</v>
      </c>
      <c r="G1048" s="469" t="s">
        <v>1661</v>
      </c>
      <c r="H1048" s="487">
        <v>43804</v>
      </c>
      <c r="I1048" s="487">
        <v>43804</v>
      </c>
      <c r="J1048" s="1145" t="s">
        <v>2628</v>
      </c>
    </row>
    <row r="1049" spans="1:10" ht="30" customHeight="1" x14ac:dyDescent="0.2">
      <c r="A1049" s="1187" t="s">
        <v>2087</v>
      </c>
      <c r="B1049" s="533" t="s">
        <v>1776</v>
      </c>
      <c r="C1049" s="1111" t="s">
        <v>2049</v>
      </c>
      <c r="D1049" s="469" t="s">
        <v>2088</v>
      </c>
      <c r="E1049" s="654">
        <v>44983.39</v>
      </c>
      <c r="F1049" s="655" t="s">
        <v>1873</v>
      </c>
      <c r="G1049" s="469" t="s">
        <v>1661</v>
      </c>
      <c r="H1049" s="487">
        <v>43810</v>
      </c>
      <c r="I1049" s="487">
        <v>43810</v>
      </c>
      <c r="J1049" s="1145" t="s">
        <v>2628</v>
      </c>
    </row>
    <row r="1050" spans="1:10" ht="30" customHeight="1" x14ac:dyDescent="0.2">
      <c r="A1050" s="1187" t="s">
        <v>2087</v>
      </c>
      <c r="B1050" s="533" t="s">
        <v>1776</v>
      </c>
      <c r="C1050" s="1111" t="s">
        <v>2049</v>
      </c>
      <c r="D1050" s="469" t="s">
        <v>2089</v>
      </c>
      <c r="E1050" s="654">
        <v>45542.400000000001</v>
      </c>
      <c r="F1050" s="655" t="s">
        <v>2090</v>
      </c>
      <c r="G1050" s="469" t="s">
        <v>1661</v>
      </c>
      <c r="H1050" s="487">
        <v>43810</v>
      </c>
      <c r="I1050" s="487">
        <v>43810</v>
      </c>
      <c r="J1050" s="1145" t="s">
        <v>2628</v>
      </c>
    </row>
    <row r="1051" spans="1:10" ht="30" customHeight="1" x14ac:dyDescent="0.2">
      <c r="A1051" s="1187" t="s">
        <v>2091</v>
      </c>
      <c r="B1051" s="533" t="s">
        <v>2083</v>
      </c>
      <c r="C1051" s="1111" t="s">
        <v>2084</v>
      </c>
      <c r="D1051" s="624" t="s">
        <v>2092</v>
      </c>
      <c r="E1051" s="654">
        <v>47653.4</v>
      </c>
      <c r="F1051" s="655" t="s">
        <v>2093</v>
      </c>
      <c r="G1051" s="469" t="s">
        <v>1661</v>
      </c>
      <c r="H1051" s="487">
        <v>43825</v>
      </c>
      <c r="I1051" s="487">
        <v>43825</v>
      </c>
      <c r="J1051" s="1145" t="s">
        <v>2628</v>
      </c>
    </row>
    <row r="1052" spans="1:10" ht="30" customHeight="1" x14ac:dyDescent="0.2">
      <c r="A1052" s="1187" t="s">
        <v>2094</v>
      </c>
      <c r="B1052" s="533" t="s">
        <v>1776</v>
      </c>
      <c r="C1052" s="1111" t="s">
        <v>2049</v>
      </c>
      <c r="D1052" s="469" t="s">
        <v>2095</v>
      </c>
      <c r="E1052" s="654">
        <v>49876.5</v>
      </c>
      <c r="F1052" s="655" t="s">
        <v>2096</v>
      </c>
      <c r="G1052" s="469" t="s">
        <v>1661</v>
      </c>
      <c r="H1052" s="487">
        <v>43815</v>
      </c>
      <c r="I1052" s="487">
        <v>43815</v>
      </c>
      <c r="J1052" s="1145" t="s">
        <v>2628</v>
      </c>
    </row>
    <row r="1053" spans="1:10" ht="30" customHeight="1" x14ac:dyDescent="0.2">
      <c r="A1053" s="1187" t="s">
        <v>2091</v>
      </c>
      <c r="B1053" s="533" t="s">
        <v>2083</v>
      </c>
      <c r="C1053" s="1111" t="s">
        <v>2084</v>
      </c>
      <c r="D1053" s="624" t="s">
        <v>2097</v>
      </c>
      <c r="E1053" s="654">
        <v>58782.5</v>
      </c>
      <c r="F1053" s="655" t="s">
        <v>2098</v>
      </c>
      <c r="G1053" s="469" t="s">
        <v>1661</v>
      </c>
      <c r="H1053" s="487">
        <v>43805</v>
      </c>
      <c r="I1053" s="487">
        <v>43805</v>
      </c>
      <c r="J1053" s="1145" t="s">
        <v>2628</v>
      </c>
    </row>
    <row r="1054" spans="1:10" ht="45.75" customHeight="1" x14ac:dyDescent="0.2">
      <c r="A1054" s="1187" t="s">
        <v>2099</v>
      </c>
      <c r="B1054" s="533" t="s">
        <v>1776</v>
      </c>
      <c r="C1054" s="1111" t="s">
        <v>2049</v>
      </c>
      <c r="D1054" s="469">
        <v>456728.20189999999</v>
      </c>
      <c r="E1054" s="654">
        <v>58905.599999999999</v>
      </c>
      <c r="F1054" s="655" t="s">
        <v>2093</v>
      </c>
      <c r="G1054" s="469" t="s">
        <v>1661</v>
      </c>
      <c r="H1054" s="487">
        <v>43787</v>
      </c>
      <c r="I1054" s="487">
        <v>43787</v>
      </c>
      <c r="J1054" s="1145" t="s">
        <v>2628</v>
      </c>
    </row>
    <row r="1055" spans="1:10" ht="30" customHeight="1" x14ac:dyDescent="0.2">
      <c r="A1055" s="1187" t="s">
        <v>2100</v>
      </c>
      <c r="B1055" s="533" t="s">
        <v>2083</v>
      </c>
      <c r="C1055" s="1111" t="s">
        <v>2084</v>
      </c>
      <c r="D1055" s="624" t="s">
        <v>2101</v>
      </c>
      <c r="E1055" s="654">
        <v>60957.4</v>
      </c>
      <c r="F1055" s="655" t="s">
        <v>2102</v>
      </c>
      <c r="G1055" s="469" t="s">
        <v>1661</v>
      </c>
      <c r="H1055" s="487">
        <v>43825</v>
      </c>
      <c r="I1055" s="487">
        <v>43825</v>
      </c>
      <c r="J1055" s="1145" t="s">
        <v>2628</v>
      </c>
    </row>
    <row r="1056" spans="1:10" ht="30" customHeight="1" x14ac:dyDescent="0.2">
      <c r="A1056" s="1187" t="s">
        <v>2103</v>
      </c>
      <c r="B1056" s="533" t="s">
        <v>2083</v>
      </c>
      <c r="C1056" s="1111" t="s">
        <v>2084</v>
      </c>
      <c r="D1056" s="624" t="s">
        <v>2104</v>
      </c>
      <c r="E1056" s="654">
        <v>62930.07</v>
      </c>
      <c r="F1056" s="655" t="s">
        <v>2093</v>
      </c>
      <c r="G1056" s="469" t="s">
        <v>1661</v>
      </c>
      <c r="H1056" s="487">
        <v>43804</v>
      </c>
      <c r="I1056" s="487">
        <v>43804</v>
      </c>
      <c r="J1056" s="1145" t="s">
        <v>2628</v>
      </c>
    </row>
    <row r="1057" spans="1:10" ht="30" customHeight="1" x14ac:dyDescent="0.2">
      <c r="A1057" s="1187" t="s">
        <v>2105</v>
      </c>
      <c r="B1057" s="1111" t="s">
        <v>2084</v>
      </c>
      <c r="C1057" s="1111" t="s">
        <v>2084</v>
      </c>
      <c r="D1057" s="624" t="s">
        <v>2106</v>
      </c>
      <c r="E1057" s="654">
        <v>63000</v>
      </c>
      <c r="F1057" s="655" t="s">
        <v>2107</v>
      </c>
      <c r="G1057" s="469" t="s">
        <v>1661</v>
      </c>
      <c r="H1057" s="487">
        <v>43825</v>
      </c>
      <c r="I1057" s="487">
        <v>43825</v>
      </c>
      <c r="J1057" s="1145" t="s">
        <v>2628</v>
      </c>
    </row>
    <row r="1058" spans="1:10" ht="30" customHeight="1" x14ac:dyDescent="0.2">
      <c r="A1058" s="1187" t="s">
        <v>2108</v>
      </c>
      <c r="B1058" s="533" t="s">
        <v>2083</v>
      </c>
      <c r="C1058" s="1111" t="s">
        <v>2084</v>
      </c>
      <c r="D1058" s="624" t="s">
        <v>2109</v>
      </c>
      <c r="E1058" s="654">
        <v>63000</v>
      </c>
      <c r="F1058" s="655" t="s">
        <v>2086</v>
      </c>
      <c r="G1058" s="469" t="s">
        <v>1661</v>
      </c>
      <c r="H1058" s="487">
        <v>43825</v>
      </c>
      <c r="I1058" s="487">
        <v>43825</v>
      </c>
      <c r="J1058" s="1145" t="s">
        <v>2628</v>
      </c>
    </row>
    <row r="1059" spans="1:10" ht="30" customHeight="1" x14ac:dyDescent="0.2">
      <c r="A1059" s="1187" t="s">
        <v>2091</v>
      </c>
      <c r="B1059" s="533" t="s">
        <v>1776</v>
      </c>
      <c r="C1059" s="1111">
        <v>20</v>
      </c>
      <c r="D1059" s="469" t="s">
        <v>2110</v>
      </c>
      <c r="E1059" s="654">
        <v>84280.13</v>
      </c>
      <c r="F1059" s="655" t="s">
        <v>1981</v>
      </c>
      <c r="G1059" s="469" t="s">
        <v>1661</v>
      </c>
      <c r="H1059" s="487">
        <v>43780</v>
      </c>
      <c r="I1059" s="487">
        <v>43780</v>
      </c>
      <c r="J1059" s="1145" t="s">
        <v>2628</v>
      </c>
    </row>
    <row r="1060" spans="1:10" ht="30" customHeight="1" x14ac:dyDescent="0.2">
      <c r="A1060" s="1187" t="s">
        <v>2087</v>
      </c>
      <c r="B1060" s="533" t="s">
        <v>1776</v>
      </c>
      <c r="C1060" s="1111" t="s">
        <v>2049</v>
      </c>
      <c r="D1060" s="469" t="s">
        <v>2111</v>
      </c>
      <c r="E1060" s="654">
        <v>90888.320000000007</v>
      </c>
      <c r="F1060" s="655" t="s">
        <v>2112</v>
      </c>
      <c r="G1060" s="469" t="s">
        <v>1661</v>
      </c>
      <c r="H1060" s="487">
        <v>43787</v>
      </c>
      <c r="I1060" s="487">
        <v>43787</v>
      </c>
      <c r="J1060" s="1145" t="s">
        <v>2628</v>
      </c>
    </row>
    <row r="1061" spans="1:10" ht="30" customHeight="1" x14ac:dyDescent="0.2">
      <c r="A1061" s="1187" t="s">
        <v>2113</v>
      </c>
      <c r="B1061" s="533" t="s">
        <v>1776</v>
      </c>
      <c r="C1061" s="1111" t="s">
        <v>2049</v>
      </c>
      <c r="D1061" s="469" t="s">
        <v>2114</v>
      </c>
      <c r="E1061" s="654">
        <v>123651.48</v>
      </c>
      <c r="F1061" s="655" t="s">
        <v>2115</v>
      </c>
      <c r="G1061" s="469" t="s">
        <v>1661</v>
      </c>
      <c r="H1061" s="487">
        <v>43763</v>
      </c>
      <c r="I1061" s="487">
        <v>43763</v>
      </c>
      <c r="J1061" s="1145" t="s">
        <v>2628</v>
      </c>
    </row>
    <row r="1062" spans="1:10" ht="30" customHeight="1" x14ac:dyDescent="0.2">
      <c r="A1062" s="1187" t="s">
        <v>2116</v>
      </c>
      <c r="B1062" s="533" t="s">
        <v>1776</v>
      </c>
      <c r="C1062" s="1111" t="s">
        <v>2049</v>
      </c>
      <c r="D1062" s="469" t="s">
        <v>2117</v>
      </c>
      <c r="E1062" s="654">
        <v>183717.31</v>
      </c>
      <c r="F1062" s="655" t="s">
        <v>2118</v>
      </c>
      <c r="G1062" s="469" t="s">
        <v>1661</v>
      </c>
      <c r="H1062" s="487">
        <v>43763</v>
      </c>
      <c r="I1062" s="487">
        <v>43763</v>
      </c>
      <c r="J1062" s="1145" t="s">
        <v>2628</v>
      </c>
    </row>
    <row r="1063" spans="1:10" ht="30" customHeight="1" x14ac:dyDescent="0.2">
      <c r="A1063" s="1187" t="s">
        <v>2116</v>
      </c>
      <c r="B1063" s="533" t="s">
        <v>1776</v>
      </c>
      <c r="C1063" s="1111" t="s">
        <v>2049</v>
      </c>
      <c r="D1063" s="469" t="s">
        <v>2117</v>
      </c>
      <c r="E1063" s="654">
        <v>191827.04</v>
      </c>
      <c r="F1063" s="655" t="s">
        <v>2119</v>
      </c>
      <c r="G1063" s="469" t="s">
        <v>1661</v>
      </c>
      <c r="H1063" s="487">
        <v>43763</v>
      </c>
      <c r="I1063" s="487">
        <v>43763</v>
      </c>
      <c r="J1063" s="1145" t="s">
        <v>2628</v>
      </c>
    </row>
    <row r="1064" spans="1:10" ht="30" customHeight="1" x14ac:dyDescent="0.2">
      <c r="A1064" s="1188" t="s">
        <v>2120</v>
      </c>
      <c r="B1064" s="533" t="s">
        <v>1776</v>
      </c>
      <c r="C1064" s="1111" t="s">
        <v>2049</v>
      </c>
      <c r="D1064" s="469" t="s">
        <v>2121</v>
      </c>
      <c r="E1064" s="670">
        <v>36038.26</v>
      </c>
      <c r="F1064" s="671" t="s">
        <v>1854</v>
      </c>
      <c r="G1064" s="469" t="s">
        <v>1661</v>
      </c>
      <c r="H1064" s="672">
        <v>43922</v>
      </c>
      <c r="I1064" s="672">
        <v>43922</v>
      </c>
      <c r="J1064" s="1145" t="s">
        <v>2628</v>
      </c>
    </row>
    <row r="1065" spans="1:10" ht="30" customHeight="1" x14ac:dyDescent="0.2">
      <c r="A1065" s="1188" t="s">
        <v>2120</v>
      </c>
      <c r="B1065" s="533" t="s">
        <v>1776</v>
      </c>
      <c r="C1065" s="1111" t="s">
        <v>2049</v>
      </c>
      <c r="D1065" s="469" t="s">
        <v>2122</v>
      </c>
      <c r="E1065" s="670">
        <v>90690.73</v>
      </c>
      <c r="F1065" s="671" t="s">
        <v>2096</v>
      </c>
      <c r="G1065" s="469" t="s">
        <v>1661</v>
      </c>
      <c r="H1065" s="672">
        <v>43922</v>
      </c>
      <c r="I1065" s="672">
        <v>43922</v>
      </c>
      <c r="J1065" s="1145" t="s">
        <v>2628</v>
      </c>
    </row>
    <row r="1066" spans="1:10" ht="30" customHeight="1" x14ac:dyDescent="0.2">
      <c r="A1066" s="1188" t="s">
        <v>2120</v>
      </c>
      <c r="B1066" s="533" t="s">
        <v>1776</v>
      </c>
      <c r="C1066" s="1111" t="s">
        <v>2049</v>
      </c>
      <c r="D1066" s="469" t="s">
        <v>2123</v>
      </c>
      <c r="E1066" s="670">
        <v>66150.5</v>
      </c>
      <c r="F1066" s="671" t="s">
        <v>2096</v>
      </c>
      <c r="G1066" s="469" t="s">
        <v>1661</v>
      </c>
      <c r="H1066" s="672">
        <v>43922</v>
      </c>
      <c r="I1066" s="672">
        <v>43922</v>
      </c>
      <c r="J1066" s="1145" t="s">
        <v>2628</v>
      </c>
    </row>
    <row r="1067" spans="1:10" ht="33.75" customHeight="1" x14ac:dyDescent="0.2">
      <c r="A1067" s="1188" t="s">
        <v>2120</v>
      </c>
      <c r="B1067" s="533" t="s">
        <v>1776</v>
      </c>
      <c r="C1067" s="1111" t="s">
        <v>2049</v>
      </c>
      <c r="D1067" s="469" t="s">
        <v>2124</v>
      </c>
      <c r="E1067" s="670">
        <v>78607.12</v>
      </c>
      <c r="F1067" s="671" t="s">
        <v>2096</v>
      </c>
      <c r="G1067" s="469" t="s">
        <v>1661</v>
      </c>
      <c r="H1067" s="672">
        <v>44085</v>
      </c>
      <c r="I1067" s="672">
        <v>44085</v>
      </c>
      <c r="J1067" s="1145" t="s">
        <v>2628</v>
      </c>
    </row>
    <row r="1068" spans="1:10" ht="53.25" customHeight="1" x14ac:dyDescent="0.2">
      <c r="A1068" s="1189" t="s">
        <v>2125</v>
      </c>
      <c r="B1068" s="1111"/>
      <c r="C1068" s="1111"/>
      <c r="D1068" s="1111"/>
      <c r="E1068" s="673">
        <v>325023</v>
      </c>
      <c r="F1068" s="477"/>
      <c r="G1068" s="477"/>
      <c r="H1068" s="477">
        <v>2021</v>
      </c>
      <c r="I1068" s="477"/>
      <c r="J1068" s="1145" t="s">
        <v>2628</v>
      </c>
    </row>
    <row r="1069" spans="1:10" ht="39" customHeight="1" x14ac:dyDescent="0.2">
      <c r="A1069" s="1189" t="s">
        <v>2126</v>
      </c>
      <c r="B1069" s="1111"/>
      <c r="C1069" s="1111"/>
      <c r="D1069" s="1111"/>
      <c r="E1069" s="673">
        <v>242340</v>
      </c>
      <c r="F1069" s="477"/>
      <c r="G1069" s="477"/>
      <c r="H1069" s="477">
        <v>2021</v>
      </c>
      <c r="I1069" s="477"/>
      <c r="J1069" s="1145" t="s">
        <v>2628</v>
      </c>
    </row>
    <row r="1070" spans="1:10" ht="30" customHeight="1" thickBot="1" x14ac:dyDescent="0.25">
      <c r="A1070" s="1190" t="s">
        <v>2127</v>
      </c>
      <c r="B1070" s="556"/>
      <c r="C1070" s="556"/>
      <c r="D1070" s="556"/>
      <c r="E1070" s="674">
        <v>16250</v>
      </c>
      <c r="F1070" s="581"/>
      <c r="G1070" s="581"/>
      <c r="H1070" s="581">
        <v>2021</v>
      </c>
      <c r="I1070" s="581"/>
      <c r="J1070" s="1145" t="s">
        <v>2628</v>
      </c>
    </row>
    <row r="1071" spans="1:10" ht="24.75" customHeight="1" thickBot="1" x14ac:dyDescent="0.25">
      <c r="A1071" s="542" t="s">
        <v>2128</v>
      </c>
      <c r="B1071" s="543"/>
      <c r="C1071" s="543"/>
      <c r="D1071" s="543"/>
      <c r="E1071" s="543"/>
      <c r="F1071" s="543"/>
      <c r="G1071" s="543"/>
      <c r="H1071" s="543"/>
      <c r="I1071" s="543"/>
      <c r="J1071" s="544"/>
    </row>
    <row r="1072" spans="1:10" ht="36" x14ac:dyDescent="0.2">
      <c r="A1072" s="1191" t="s">
        <v>2129</v>
      </c>
      <c r="B1072" s="625" t="s">
        <v>2130</v>
      </c>
      <c r="C1072" s="625" t="s">
        <v>1784</v>
      </c>
      <c r="D1072" s="625">
        <v>5</v>
      </c>
      <c r="E1072" s="675">
        <v>5364</v>
      </c>
      <c r="F1072" s="584" t="s">
        <v>2131</v>
      </c>
      <c r="G1072" s="557" t="s">
        <v>1661</v>
      </c>
      <c r="H1072" s="558">
        <v>43566</v>
      </c>
      <c r="I1072" s="676">
        <v>43584</v>
      </c>
      <c r="J1072" s="1192" t="s">
        <v>2132</v>
      </c>
    </row>
    <row r="1073" spans="1:10" ht="36" x14ac:dyDescent="0.2">
      <c r="A1073" s="1181" t="s">
        <v>2133</v>
      </c>
      <c r="B1073" s="535" t="s">
        <v>2130</v>
      </c>
      <c r="C1073" s="535" t="s">
        <v>1784</v>
      </c>
      <c r="D1073" s="535">
        <v>9</v>
      </c>
      <c r="E1073" s="677">
        <v>8954.6</v>
      </c>
      <c r="F1073" s="473" t="s">
        <v>2134</v>
      </c>
      <c r="G1073" s="510" t="s">
        <v>1661</v>
      </c>
      <c r="H1073" s="511">
        <v>43588</v>
      </c>
      <c r="I1073" s="473" t="s">
        <v>1984</v>
      </c>
      <c r="J1073" s="1145" t="s">
        <v>2628</v>
      </c>
    </row>
    <row r="1074" spans="1:10" ht="36" x14ac:dyDescent="0.2">
      <c r="A1074" s="1181" t="s">
        <v>2135</v>
      </c>
      <c r="B1074" s="535" t="s">
        <v>2130</v>
      </c>
      <c r="C1074" s="535" t="s">
        <v>1784</v>
      </c>
      <c r="D1074" s="535">
        <v>41</v>
      </c>
      <c r="E1074" s="677">
        <v>13189.8</v>
      </c>
      <c r="F1074" s="473" t="s">
        <v>2136</v>
      </c>
      <c r="G1074" s="510" t="s">
        <v>1661</v>
      </c>
      <c r="H1074" s="511">
        <v>43682</v>
      </c>
      <c r="I1074" s="473" t="s">
        <v>2137</v>
      </c>
      <c r="J1074" s="1145" t="s">
        <v>2628</v>
      </c>
    </row>
    <row r="1075" spans="1:10" ht="36" x14ac:dyDescent="0.2">
      <c r="A1075" s="1181" t="s">
        <v>2138</v>
      </c>
      <c r="B1075" s="535" t="s">
        <v>2130</v>
      </c>
      <c r="C1075" s="535" t="s">
        <v>1784</v>
      </c>
      <c r="D1075" s="535">
        <v>42</v>
      </c>
      <c r="E1075" s="677">
        <v>6480</v>
      </c>
      <c r="F1075" s="473" t="s">
        <v>2139</v>
      </c>
      <c r="G1075" s="510" t="s">
        <v>1661</v>
      </c>
      <c r="H1075" s="511">
        <v>43682</v>
      </c>
      <c r="I1075" s="473" t="s">
        <v>2140</v>
      </c>
      <c r="J1075" s="1145" t="s">
        <v>2628</v>
      </c>
    </row>
    <row r="1076" spans="1:10" ht="36" x14ac:dyDescent="0.2">
      <c r="A1076" s="1181" t="s">
        <v>2138</v>
      </c>
      <c r="B1076" s="535" t="s">
        <v>2130</v>
      </c>
      <c r="C1076" s="535" t="s">
        <v>1784</v>
      </c>
      <c r="D1076" s="535">
        <v>43</v>
      </c>
      <c r="E1076" s="677">
        <v>5103</v>
      </c>
      <c r="F1076" s="473" t="s">
        <v>2139</v>
      </c>
      <c r="G1076" s="510" t="s">
        <v>1661</v>
      </c>
      <c r="H1076" s="511">
        <v>43682</v>
      </c>
      <c r="I1076" s="473" t="s">
        <v>2140</v>
      </c>
      <c r="J1076" s="1145" t="s">
        <v>2628</v>
      </c>
    </row>
    <row r="1077" spans="1:10" ht="36" x14ac:dyDescent="0.2">
      <c r="A1077" s="1181" t="s">
        <v>2141</v>
      </c>
      <c r="B1077" s="535" t="s">
        <v>2142</v>
      </c>
      <c r="C1077" s="535" t="s">
        <v>1775</v>
      </c>
      <c r="D1077" s="535">
        <v>55</v>
      </c>
      <c r="E1077" s="677">
        <v>13786.06</v>
      </c>
      <c r="F1077" s="473" t="s">
        <v>2143</v>
      </c>
      <c r="G1077" s="510" t="s">
        <v>1661</v>
      </c>
      <c r="H1077" s="511">
        <v>43700</v>
      </c>
      <c r="I1077" s="473" t="s">
        <v>2144</v>
      </c>
      <c r="J1077" s="1145" t="s">
        <v>2628</v>
      </c>
    </row>
    <row r="1078" spans="1:10" ht="84" x14ac:dyDescent="0.2">
      <c r="A1078" s="1181" t="s">
        <v>2145</v>
      </c>
      <c r="B1078" s="535" t="s">
        <v>2142</v>
      </c>
      <c r="C1078" s="535" t="s">
        <v>1775</v>
      </c>
      <c r="D1078" s="535">
        <v>56</v>
      </c>
      <c r="E1078" s="677">
        <v>12264.45</v>
      </c>
      <c r="F1078" s="473" t="s">
        <v>2146</v>
      </c>
      <c r="G1078" s="510" t="s">
        <v>1661</v>
      </c>
      <c r="H1078" s="511">
        <v>43700</v>
      </c>
      <c r="I1078" s="473" t="s">
        <v>2147</v>
      </c>
      <c r="J1078" s="1145" t="s">
        <v>2628</v>
      </c>
    </row>
    <row r="1079" spans="1:10" ht="36" x14ac:dyDescent="0.2">
      <c r="A1079" s="1181" t="s">
        <v>2148</v>
      </c>
      <c r="B1079" s="535" t="s">
        <v>2142</v>
      </c>
      <c r="C1079" s="535" t="s">
        <v>1775</v>
      </c>
      <c r="D1079" s="535">
        <v>57</v>
      </c>
      <c r="E1079" s="677">
        <v>9078.2099999999991</v>
      </c>
      <c r="F1079" s="473" t="s">
        <v>2143</v>
      </c>
      <c r="G1079" s="510" t="s">
        <v>1661</v>
      </c>
      <c r="H1079" s="511">
        <v>43704</v>
      </c>
      <c r="I1079" s="473" t="s">
        <v>2144</v>
      </c>
      <c r="J1079" s="1145" t="s">
        <v>2628</v>
      </c>
    </row>
    <row r="1080" spans="1:10" ht="96" x14ac:dyDescent="0.2">
      <c r="A1080" s="1181" t="s">
        <v>2149</v>
      </c>
      <c r="B1080" s="535" t="s">
        <v>2130</v>
      </c>
      <c r="C1080" s="535" t="s">
        <v>1784</v>
      </c>
      <c r="D1080" s="535">
        <v>69</v>
      </c>
      <c r="E1080" s="677">
        <v>7100</v>
      </c>
      <c r="F1080" s="473" t="s">
        <v>2150</v>
      </c>
      <c r="G1080" s="510" t="s">
        <v>1661</v>
      </c>
      <c r="H1080" s="511">
        <v>43767</v>
      </c>
      <c r="I1080" s="473" t="s">
        <v>2151</v>
      </c>
      <c r="J1080" s="1145" t="s">
        <v>2628</v>
      </c>
    </row>
    <row r="1081" spans="1:10" ht="84" x14ac:dyDescent="0.2">
      <c r="A1081" s="1181" t="s">
        <v>2152</v>
      </c>
      <c r="B1081" s="535" t="s">
        <v>2142</v>
      </c>
      <c r="C1081" s="535" t="s">
        <v>1775</v>
      </c>
      <c r="D1081" s="535">
        <v>71</v>
      </c>
      <c r="E1081" s="677">
        <v>6110.75</v>
      </c>
      <c r="F1081" s="473" t="s">
        <v>2146</v>
      </c>
      <c r="G1081" s="510" t="s">
        <v>1661</v>
      </c>
      <c r="H1081" s="511">
        <v>43775</v>
      </c>
      <c r="I1081" s="473" t="s">
        <v>2014</v>
      </c>
      <c r="J1081" s="1145" t="s">
        <v>2628</v>
      </c>
    </row>
    <row r="1082" spans="1:10" ht="84" x14ac:dyDescent="0.2">
      <c r="A1082" s="1181" t="s">
        <v>2153</v>
      </c>
      <c r="B1082" s="535" t="s">
        <v>2142</v>
      </c>
      <c r="C1082" s="535" t="s">
        <v>1775</v>
      </c>
      <c r="D1082" s="535">
        <v>74</v>
      </c>
      <c r="E1082" s="677">
        <v>5916.19</v>
      </c>
      <c r="F1082" s="473" t="s">
        <v>2146</v>
      </c>
      <c r="G1082" s="510" t="s">
        <v>1661</v>
      </c>
      <c r="H1082" s="511">
        <v>43775</v>
      </c>
      <c r="I1082" s="473" t="s">
        <v>2154</v>
      </c>
      <c r="J1082" s="1145" t="s">
        <v>2628</v>
      </c>
    </row>
    <row r="1083" spans="1:10" ht="48" x14ac:dyDescent="0.2">
      <c r="A1083" s="1181" t="s">
        <v>2155</v>
      </c>
      <c r="B1083" s="535" t="s">
        <v>2142</v>
      </c>
      <c r="C1083" s="535" t="s">
        <v>1775</v>
      </c>
      <c r="D1083" s="535">
        <v>80</v>
      </c>
      <c r="E1083" s="677">
        <v>6180.13</v>
      </c>
      <c r="F1083" s="473" t="s">
        <v>2156</v>
      </c>
      <c r="G1083" s="510" t="s">
        <v>1661</v>
      </c>
      <c r="H1083" s="511">
        <v>43775</v>
      </c>
      <c r="I1083" s="473" t="s">
        <v>1976</v>
      </c>
      <c r="J1083" s="1145" t="s">
        <v>2628</v>
      </c>
    </row>
    <row r="1084" spans="1:10" ht="84" x14ac:dyDescent="0.2">
      <c r="A1084" s="1181" t="s">
        <v>2157</v>
      </c>
      <c r="B1084" s="535" t="s">
        <v>2142</v>
      </c>
      <c r="C1084" s="535" t="s">
        <v>1775</v>
      </c>
      <c r="D1084" s="535">
        <v>83</v>
      </c>
      <c r="E1084" s="677">
        <v>7423.85</v>
      </c>
      <c r="F1084" s="473" t="s">
        <v>2146</v>
      </c>
      <c r="G1084" s="510" t="s">
        <v>1661</v>
      </c>
      <c r="H1084" s="511">
        <v>43775</v>
      </c>
      <c r="I1084" s="473" t="s">
        <v>2014</v>
      </c>
      <c r="J1084" s="1145" t="s">
        <v>2628</v>
      </c>
    </row>
    <row r="1085" spans="1:10" ht="24" x14ac:dyDescent="0.2">
      <c r="A1085" s="1181" t="s">
        <v>2158</v>
      </c>
      <c r="B1085" s="535" t="s">
        <v>2142</v>
      </c>
      <c r="C1085" s="535" t="s">
        <v>1775</v>
      </c>
      <c r="D1085" s="535">
        <v>88</v>
      </c>
      <c r="E1085" s="677">
        <v>5276.96</v>
      </c>
      <c r="F1085" s="473" t="s">
        <v>2159</v>
      </c>
      <c r="G1085" s="510" t="s">
        <v>1661</v>
      </c>
      <c r="H1085" s="511">
        <v>43775</v>
      </c>
      <c r="I1085" s="473" t="s">
        <v>2160</v>
      </c>
      <c r="J1085" s="1145" t="s">
        <v>2628</v>
      </c>
    </row>
    <row r="1086" spans="1:10" ht="84" x14ac:dyDescent="0.2">
      <c r="A1086" s="1181" t="s">
        <v>2161</v>
      </c>
      <c r="B1086" s="535" t="s">
        <v>2142</v>
      </c>
      <c r="C1086" s="535" t="s">
        <v>1775</v>
      </c>
      <c r="D1086" s="535">
        <v>96</v>
      </c>
      <c r="E1086" s="677">
        <v>5472.25</v>
      </c>
      <c r="F1086" s="473" t="s">
        <v>2146</v>
      </c>
      <c r="G1086" s="510" t="s">
        <v>1661</v>
      </c>
      <c r="H1086" s="511">
        <v>43775</v>
      </c>
      <c r="I1086" s="473" t="s">
        <v>2162</v>
      </c>
      <c r="J1086" s="1145" t="s">
        <v>2628</v>
      </c>
    </row>
    <row r="1087" spans="1:10" ht="60" x14ac:dyDescent="0.2">
      <c r="A1087" s="1181" t="s">
        <v>2163</v>
      </c>
      <c r="B1087" s="535" t="s">
        <v>2142</v>
      </c>
      <c r="C1087" s="535" t="s">
        <v>1775</v>
      </c>
      <c r="D1087" s="535">
        <v>98</v>
      </c>
      <c r="E1087" s="677">
        <v>20575.830000000002</v>
      </c>
      <c r="F1087" s="473" t="s">
        <v>2164</v>
      </c>
      <c r="G1087" s="510" t="s">
        <v>1661</v>
      </c>
      <c r="H1087" s="511">
        <v>43783</v>
      </c>
      <c r="I1087" s="473" t="s">
        <v>2165</v>
      </c>
      <c r="J1087" s="1145" t="s">
        <v>2628</v>
      </c>
    </row>
    <row r="1088" spans="1:10" ht="84" x14ac:dyDescent="0.2">
      <c r="A1088" s="1181" t="s">
        <v>2166</v>
      </c>
      <c r="B1088" s="535" t="s">
        <v>2142</v>
      </c>
      <c r="C1088" s="535" t="s">
        <v>1775</v>
      </c>
      <c r="D1088" s="535">
        <v>99</v>
      </c>
      <c r="E1088" s="677">
        <v>9676</v>
      </c>
      <c r="F1088" s="473" t="s">
        <v>2146</v>
      </c>
      <c r="G1088" s="510" t="s">
        <v>1661</v>
      </c>
      <c r="H1088" s="511">
        <v>43783</v>
      </c>
      <c r="I1088" s="473" t="s">
        <v>2162</v>
      </c>
      <c r="J1088" s="1145" t="s">
        <v>2628</v>
      </c>
    </row>
    <row r="1089" spans="1:10" ht="36" x14ac:dyDescent="0.2">
      <c r="A1089" s="1181" t="s">
        <v>2167</v>
      </c>
      <c r="B1089" s="535" t="s">
        <v>2142</v>
      </c>
      <c r="C1089" s="535" t="s">
        <v>1775</v>
      </c>
      <c r="D1089" s="535">
        <v>111</v>
      </c>
      <c r="E1089" s="677">
        <v>7858.8</v>
      </c>
      <c r="F1089" s="473" t="s">
        <v>2168</v>
      </c>
      <c r="G1089" s="510" t="s">
        <v>1661</v>
      </c>
      <c r="H1089" s="511">
        <v>43784</v>
      </c>
      <c r="I1089" s="473" t="s">
        <v>2169</v>
      </c>
      <c r="J1089" s="1145" t="s">
        <v>2628</v>
      </c>
    </row>
    <row r="1090" spans="1:10" ht="36" x14ac:dyDescent="0.2">
      <c r="A1090" s="1181" t="s">
        <v>2170</v>
      </c>
      <c r="B1090" s="535" t="s">
        <v>2142</v>
      </c>
      <c r="C1090" s="535" t="s">
        <v>1775</v>
      </c>
      <c r="D1090" s="535">
        <v>113</v>
      </c>
      <c r="E1090" s="677">
        <v>7071.15</v>
      </c>
      <c r="F1090" s="473" t="s">
        <v>2168</v>
      </c>
      <c r="G1090" s="510" t="s">
        <v>1661</v>
      </c>
      <c r="H1090" s="511">
        <v>43784</v>
      </c>
      <c r="I1090" s="473" t="s">
        <v>2169</v>
      </c>
      <c r="J1090" s="1145" t="s">
        <v>2628</v>
      </c>
    </row>
    <row r="1091" spans="1:10" ht="48" x14ac:dyDescent="0.2">
      <c r="A1091" s="1181" t="s">
        <v>2171</v>
      </c>
      <c r="B1091" s="535" t="s">
        <v>2142</v>
      </c>
      <c r="C1091" s="535" t="s">
        <v>1775</v>
      </c>
      <c r="D1091" s="535">
        <v>115</v>
      </c>
      <c r="E1091" s="677">
        <v>6125.38</v>
      </c>
      <c r="F1091" s="473" t="s">
        <v>2172</v>
      </c>
      <c r="G1091" s="510" t="s">
        <v>1661</v>
      </c>
      <c r="H1091" s="511">
        <v>43784</v>
      </c>
      <c r="I1091" s="473" t="s">
        <v>2173</v>
      </c>
      <c r="J1091" s="1145" t="s">
        <v>2628</v>
      </c>
    </row>
    <row r="1092" spans="1:10" ht="36" x14ac:dyDescent="0.2">
      <c r="A1092" s="1181" t="s">
        <v>2174</v>
      </c>
      <c r="B1092" s="535" t="s">
        <v>2130</v>
      </c>
      <c r="C1092" s="535" t="s">
        <v>1784</v>
      </c>
      <c r="D1092" s="535">
        <v>124</v>
      </c>
      <c r="E1092" s="677">
        <v>19224.599999999999</v>
      </c>
      <c r="F1092" s="473" t="s">
        <v>2175</v>
      </c>
      <c r="G1092" s="510" t="s">
        <v>1661</v>
      </c>
      <c r="H1092" s="511">
        <v>43784</v>
      </c>
      <c r="I1092" s="473" t="s">
        <v>2169</v>
      </c>
      <c r="J1092" s="1145" t="s">
        <v>2628</v>
      </c>
    </row>
    <row r="1093" spans="1:10" ht="36" x14ac:dyDescent="0.2">
      <c r="A1093" s="1181" t="s">
        <v>2176</v>
      </c>
      <c r="B1093" s="535" t="s">
        <v>2130</v>
      </c>
      <c r="C1093" s="535" t="s">
        <v>1784</v>
      </c>
      <c r="D1093" s="535">
        <v>128</v>
      </c>
      <c r="E1093" s="677">
        <v>9804</v>
      </c>
      <c r="F1093" s="473" t="s">
        <v>2177</v>
      </c>
      <c r="G1093" s="510" t="s">
        <v>1661</v>
      </c>
      <c r="H1093" s="511">
        <v>43784</v>
      </c>
      <c r="I1093" s="473" t="s">
        <v>2169</v>
      </c>
      <c r="J1093" s="1145" t="s">
        <v>2628</v>
      </c>
    </row>
    <row r="1094" spans="1:10" ht="36" x14ac:dyDescent="0.2">
      <c r="A1094" s="1181" t="s">
        <v>2178</v>
      </c>
      <c r="B1094" s="535" t="s">
        <v>2142</v>
      </c>
      <c r="C1094" s="535" t="s">
        <v>1775</v>
      </c>
      <c r="D1094" s="535">
        <v>153</v>
      </c>
      <c r="E1094" s="677">
        <v>5341.75</v>
      </c>
      <c r="F1094" s="473" t="s">
        <v>2179</v>
      </c>
      <c r="G1094" s="510" t="s">
        <v>1661</v>
      </c>
      <c r="H1094" s="511">
        <v>43796</v>
      </c>
      <c r="I1094" s="473" t="s">
        <v>2173</v>
      </c>
      <c r="J1094" s="1145" t="s">
        <v>2628</v>
      </c>
    </row>
    <row r="1095" spans="1:10" ht="48" x14ac:dyDescent="0.2">
      <c r="A1095" s="1181" t="s">
        <v>2180</v>
      </c>
      <c r="B1095" s="535" t="s">
        <v>2142</v>
      </c>
      <c r="C1095" s="535" t="s">
        <v>1775</v>
      </c>
      <c r="D1095" s="535">
        <v>154</v>
      </c>
      <c r="E1095" s="677">
        <v>5893.04</v>
      </c>
      <c r="F1095" s="473" t="s">
        <v>2181</v>
      </c>
      <c r="G1095" s="510" t="s">
        <v>1661</v>
      </c>
      <c r="H1095" s="511">
        <v>43796</v>
      </c>
      <c r="I1095" s="473" t="s">
        <v>2182</v>
      </c>
      <c r="J1095" s="1145" t="s">
        <v>2628</v>
      </c>
    </row>
    <row r="1096" spans="1:10" ht="36" x14ac:dyDescent="0.2">
      <c r="A1096" s="1181" t="s">
        <v>2183</v>
      </c>
      <c r="B1096" s="535" t="s">
        <v>2142</v>
      </c>
      <c r="C1096" s="535" t="s">
        <v>1775</v>
      </c>
      <c r="D1096" s="535">
        <v>155</v>
      </c>
      <c r="E1096" s="677">
        <v>5341.75</v>
      </c>
      <c r="F1096" s="473" t="s">
        <v>2179</v>
      </c>
      <c r="G1096" s="510" t="s">
        <v>1661</v>
      </c>
      <c r="H1096" s="511">
        <v>43796</v>
      </c>
      <c r="I1096" s="473" t="s">
        <v>2184</v>
      </c>
      <c r="J1096" s="1145" t="s">
        <v>2628</v>
      </c>
    </row>
    <row r="1097" spans="1:10" ht="36" x14ac:dyDescent="0.2">
      <c r="A1097" s="1181" t="s">
        <v>2185</v>
      </c>
      <c r="B1097" s="535" t="s">
        <v>2142</v>
      </c>
      <c r="C1097" s="535" t="s">
        <v>1775</v>
      </c>
      <c r="D1097" s="535">
        <v>156</v>
      </c>
      <c r="E1097" s="677">
        <v>5341.75</v>
      </c>
      <c r="F1097" s="473" t="s">
        <v>2179</v>
      </c>
      <c r="G1097" s="510" t="s">
        <v>1661</v>
      </c>
      <c r="H1097" s="511">
        <v>43796</v>
      </c>
      <c r="I1097" s="473" t="s">
        <v>2154</v>
      </c>
      <c r="J1097" s="1145" t="s">
        <v>2628</v>
      </c>
    </row>
    <row r="1098" spans="1:10" ht="24" x14ac:dyDescent="0.2">
      <c r="A1098" s="1181" t="s">
        <v>2186</v>
      </c>
      <c r="B1098" s="535" t="s">
        <v>2142</v>
      </c>
      <c r="C1098" s="535" t="s">
        <v>1775</v>
      </c>
      <c r="D1098" s="535">
        <v>159</v>
      </c>
      <c r="E1098" s="677">
        <v>5456.32</v>
      </c>
      <c r="F1098" s="473" t="s">
        <v>2187</v>
      </c>
      <c r="G1098" s="510" t="s">
        <v>1661</v>
      </c>
      <c r="H1098" s="511">
        <v>43796</v>
      </c>
      <c r="I1098" s="473" t="s">
        <v>2188</v>
      </c>
      <c r="J1098" s="1145" t="s">
        <v>2628</v>
      </c>
    </row>
    <row r="1099" spans="1:10" ht="84" x14ac:dyDescent="0.2">
      <c r="A1099" s="1181" t="s">
        <v>2189</v>
      </c>
      <c r="B1099" s="535" t="s">
        <v>2142</v>
      </c>
      <c r="C1099" s="535" t="s">
        <v>1775</v>
      </c>
      <c r="D1099" s="535">
        <v>165</v>
      </c>
      <c r="E1099" s="677">
        <v>6336.6</v>
      </c>
      <c r="F1099" s="473" t="s">
        <v>2146</v>
      </c>
      <c r="G1099" s="510" t="s">
        <v>1661</v>
      </c>
      <c r="H1099" s="511">
        <v>43796</v>
      </c>
      <c r="I1099" s="473" t="s">
        <v>1976</v>
      </c>
      <c r="J1099" s="1145" t="s">
        <v>2628</v>
      </c>
    </row>
    <row r="1100" spans="1:10" ht="84" x14ac:dyDescent="0.2">
      <c r="A1100" s="1181" t="s">
        <v>2152</v>
      </c>
      <c r="B1100" s="535" t="s">
        <v>2142</v>
      </c>
      <c r="C1100" s="535" t="s">
        <v>1775</v>
      </c>
      <c r="D1100" s="535">
        <v>166</v>
      </c>
      <c r="E1100" s="677">
        <v>6653.43</v>
      </c>
      <c r="F1100" s="473" t="s">
        <v>2146</v>
      </c>
      <c r="G1100" s="510" t="s">
        <v>1661</v>
      </c>
      <c r="H1100" s="511">
        <v>43796</v>
      </c>
      <c r="I1100" s="473" t="s">
        <v>1976</v>
      </c>
      <c r="J1100" s="1145" t="s">
        <v>2628</v>
      </c>
    </row>
    <row r="1101" spans="1:10" ht="36" x14ac:dyDescent="0.2">
      <c r="A1101" s="1181" t="s">
        <v>2157</v>
      </c>
      <c r="B1101" s="535" t="s">
        <v>2142</v>
      </c>
      <c r="C1101" s="535" t="s">
        <v>1775</v>
      </c>
      <c r="D1101" s="535">
        <v>167</v>
      </c>
      <c r="E1101" s="677">
        <v>20910.78</v>
      </c>
      <c r="F1101" s="473" t="s">
        <v>2179</v>
      </c>
      <c r="G1101" s="510" t="s">
        <v>1661</v>
      </c>
      <c r="H1101" s="511">
        <v>43796</v>
      </c>
      <c r="I1101" s="473" t="s">
        <v>2182</v>
      </c>
      <c r="J1101" s="1145" t="s">
        <v>2628</v>
      </c>
    </row>
    <row r="1102" spans="1:10" ht="36" x14ac:dyDescent="0.2">
      <c r="A1102" s="1181" t="s">
        <v>2190</v>
      </c>
      <c r="B1102" s="535" t="s">
        <v>2142</v>
      </c>
      <c r="C1102" s="535" t="s">
        <v>1775</v>
      </c>
      <c r="D1102" s="535">
        <v>168</v>
      </c>
      <c r="E1102" s="677">
        <v>10645.49</v>
      </c>
      <c r="F1102" s="473" t="s">
        <v>2191</v>
      </c>
      <c r="G1102" s="510" t="s">
        <v>1661</v>
      </c>
      <c r="H1102" s="511">
        <v>43796</v>
      </c>
      <c r="I1102" s="473" t="s">
        <v>1976</v>
      </c>
      <c r="J1102" s="1145" t="s">
        <v>2628</v>
      </c>
    </row>
    <row r="1103" spans="1:10" ht="84" x14ac:dyDescent="0.2">
      <c r="A1103" s="1181" t="s">
        <v>2192</v>
      </c>
      <c r="B1103" s="535" t="s">
        <v>2142</v>
      </c>
      <c r="C1103" s="535" t="s">
        <v>1775</v>
      </c>
      <c r="D1103" s="535">
        <v>169</v>
      </c>
      <c r="E1103" s="677">
        <v>10138.56</v>
      </c>
      <c r="F1103" s="473" t="s">
        <v>2146</v>
      </c>
      <c r="G1103" s="510" t="s">
        <v>1661</v>
      </c>
      <c r="H1103" s="511">
        <v>43796</v>
      </c>
      <c r="I1103" s="473" t="s">
        <v>2193</v>
      </c>
      <c r="J1103" s="1145" t="s">
        <v>2628</v>
      </c>
    </row>
    <row r="1104" spans="1:10" ht="36" x14ac:dyDescent="0.2">
      <c r="A1104" s="1181" t="s">
        <v>2194</v>
      </c>
      <c r="B1104" s="535" t="s">
        <v>2142</v>
      </c>
      <c r="C1104" s="535" t="s">
        <v>1775</v>
      </c>
      <c r="D1104" s="535">
        <v>170</v>
      </c>
      <c r="E1104" s="677">
        <v>5341.75</v>
      </c>
      <c r="F1104" s="473" t="s">
        <v>2179</v>
      </c>
      <c r="G1104" s="510" t="s">
        <v>1661</v>
      </c>
      <c r="H1104" s="511">
        <v>43796</v>
      </c>
      <c r="I1104" s="473" t="s">
        <v>2184</v>
      </c>
      <c r="J1104" s="1145" t="s">
        <v>2628</v>
      </c>
    </row>
    <row r="1105" spans="1:10" ht="36" x14ac:dyDescent="0.2">
      <c r="A1105" s="1181" t="s">
        <v>2195</v>
      </c>
      <c r="B1105" s="535" t="s">
        <v>2142</v>
      </c>
      <c r="C1105" s="535" t="s">
        <v>1775</v>
      </c>
      <c r="D1105" s="535">
        <v>178</v>
      </c>
      <c r="E1105" s="677">
        <v>5341.75</v>
      </c>
      <c r="F1105" s="473" t="s">
        <v>2179</v>
      </c>
      <c r="G1105" s="510" t="s">
        <v>1661</v>
      </c>
      <c r="H1105" s="511">
        <v>43796</v>
      </c>
      <c r="I1105" s="473" t="s">
        <v>2173</v>
      </c>
      <c r="J1105" s="1145" t="s">
        <v>2628</v>
      </c>
    </row>
    <row r="1106" spans="1:10" ht="36" x14ac:dyDescent="0.2">
      <c r="A1106" s="1181" t="s">
        <v>2196</v>
      </c>
      <c r="B1106" s="535" t="s">
        <v>2130</v>
      </c>
      <c r="C1106" s="535" t="s">
        <v>1784</v>
      </c>
      <c r="D1106" s="535">
        <v>187</v>
      </c>
      <c r="E1106" s="677">
        <v>7920</v>
      </c>
      <c r="F1106" s="473" t="s">
        <v>2197</v>
      </c>
      <c r="G1106" s="510" t="s">
        <v>1661</v>
      </c>
      <c r="H1106" s="511">
        <v>43797</v>
      </c>
      <c r="I1106" s="473" t="s">
        <v>2198</v>
      </c>
      <c r="J1106" s="1145" t="s">
        <v>2628</v>
      </c>
    </row>
    <row r="1107" spans="1:10" ht="36" x14ac:dyDescent="0.2">
      <c r="A1107" s="1181" t="s">
        <v>2199</v>
      </c>
      <c r="B1107" s="535" t="s">
        <v>2142</v>
      </c>
      <c r="C1107" s="535" t="s">
        <v>1775</v>
      </c>
      <c r="D1107" s="535">
        <v>195</v>
      </c>
      <c r="E1107" s="677">
        <v>56932.58</v>
      </c>
      <c r="F1107" s="473" t="s">
        <v>2200</v>
      </c>
      <c r="G1107" s="510" t="s">
        <v>1661</v>
      </c>
      <c r="H1107" s="510" t="s">
        <v>2201</v>
      </c>
      <c r="I1107" s="473" t="s">
        <v>1976</v>
      </c>
      <c r="J1107" s="1145" t="s">
        <v>2628</v>
      </c>
    </row>
    <row r="1108" spans="1:10" ht="36" x14ac:dyDescent="0.2">
      <c r="A1108" s="1181" t="s">
        <v>2202</v>
      </c>
      <c r="B1108" s="535" t="s">
        <v>2130</v>
      </c>
      <c r="C1108" s="535" t="s">
        <v>1784</v>
      </c>
      <c r="D1108" s="535">
        <v>199</v>
      </c>
      <c r="E1108" s="677">
        <v>18148</v>
      </c>
      <c r="F1108" s="473" t="s">
        <v>2203</v>
      </c>
      <c r="G1108" s="510" t="s">
        <v>1661</v>
      </c>
      <c r="H1108" s="510" t="s">
        <v>2173</v>
      </c>
      <c r="I1108" s="473" t="s">
        <v>1976</v>
      </c>
      <c r="J1108" s="1145" t="s">
        <v>2628</v>
      </c>
    </row>
    <row r="1109" spans="1:10" ht="60" x14ac:dyDescent="0.2">
      <c r="A1109" s="1181" t="s">
        <v>2163</v>
      </c>
      <c r="B1109" s="535" t="s">
        <v>2142</v>
      </c>
      <c r="C1109" s="535" t="s">
        <v>1775</v>
      </c>
      <c r="D1109" s="535">
        <v>211</v>
      </c>
      <c r="E1109" s="677">
        <v>14877.09</v>
      </c>
      <c r="F1109" s="473" t="s">
        <v>2164</v>
      </c>
      <c r="G1109" s="510" t="s">
        <v>1661</v>
      </c>
      <c r="H1109" s="510" t="s">
        <v>2204</v>
      </c>
      <c r="I1109" s="473" t="s">
        <v>2205</v>
      </c>
      <c r="J1109" s="1145" t="s">
        <v>2628</v>
      </c>
    </row>
    <row r="1110" spans="1:10" ht="60" x14ac:dyDescent="0.2">
      <c r="A1110" s="1181" t="s">
        <v>2163</v>
      </c>
      <c r="B1110" s="535" t="s">
        <v>2142</v>
      </c>
      <c r="C1110" s="535" t="s">
        <v>1775</v>
      </c>
      <c r="D1110" s="535">
        <v>212</v>
      </c>
      <c r="E1110" s="677">
        <v>8926.25</v>
      </c>
      <c r="F1110" s="473" t="s">
        <v>2164</v>
      </c>
      <c r="G1110" s="510" t="s">
        <v>1661</v>
      </c>
      <c r="H1110" s="510" t="s">
        <v>2204</v>
      </c>
      <c r="I1110" s="473" t="s">
        <v>2205</v>
      </c>
      <c r="J1110" s="1145" t="s">
        <v>2628</v>
      </c>
    </row>
    <row r="1111" spans="1:10" ht="84" x14ac:dyDescent="0.2">
      <c r="A1111" s="1181" t="s">
        <v>2192</v>
      </c>
      <c r="B1111" s="535" t="s">
        <v>2142</v>
      </c>
      <c r="C1111" s="535" t="s">
        <v>1775</v>
      </c>
      <c r="D1111" s="535">
        <v>213</v>
      </c>
      <c r="E1111" s="677">
        <v>12319.2</v>
      </c>
      <c r="F1111" s="473" t="s">
        <v>2146</v>
      </c>
      <c r="G1111" s="510" t="s">
        <v>1661</v>
      </c>
      <c r="H1111" s="510" t="s">
        <v>2206</v>
      </c>
      <c r="I1111" s="473" t="s">
        <v>2151</v>
      </c>
      <c r="J1111" s="1145" t="s">
        <v>2628</v>
      </c>
    </row>
    <row r="1112" spans="1:10" ht="36" x14ac:dyDescent="0.2">
      <c r="A1112" s="1181" t="s">
        <v>2190</v>
      </c>
      <c r="B1112" s="535" t="s">
        <v>2142</v>
      </c>
      <c r="C1112" s="535" t="s">
        <v>1775</v>
      </c>
      <c r="D1112" s="535">
        <v>214</v>
      </c>
      <c r="E1112" s="677">
        <v>12935.16</v>
      </c>
      <c r="F1112" s="473" t="s">
        <v>2191</v>
      </c>
      <c r="G1112" s="510" t="s">
        <v>1661</v>
      </c>
      <c r="H1112" s="510" t="s">
        <v>2206</v>
      </c>
      <c r="I1112" s="473" t="s">
        <v>2151</v>
      </c>
      <c r="J1112" s="1145" t="s">
        <v>2628</v>
      </c>
    </row>
    <row r="1113" spans="1:10" ht="48" x14ac:dyDescent="0.2">
      <c r="A1113" s="1181" t="s">
        <v>2157</v>
      </c>
      <c r="B1113" s="535" t="s">
        <v>2142</v>
      </c>
      <c r="C1113" s="535" t="s">
        <v>1775</v>
      </c>
      <c r="D1113" s="535">
        <v>215</v>
      </c>
      <c r="E1113" s="677">
        <v>22092.43</v>
      </c>
      <c r="F1113" s="473" t="s">
        <v>2181</v>
      </c>
      <c r="G1113" s="510" t="s">
        <v>1661</v>
      </c>
      <c r="H1113" s="510" t="s">
        <v>2206</v>
      </c>
      <c r="I1113" s="473" t="s">
        <v>2207</v>
      </c>
      <c r="J1113" s="1145" t="s">
        <v>2628</v>
      </c>
    </row>
    <row r="1114" spans="1:10" ht="24" x14ac:dyDescent="0.2">
      <c r="A1114" s="1181" t="s">
        <v>2208</v>
      </c>
      <c r="B1114" s="535" t="s">
        <v>2142</v>
      </c>
      <c r="C1114" s="535" t="s">
        <v>1775</v>
      </c>
      <c r="D1114" s="535">
        <v>216</v>
      </c>
      <c r="E1114" s="677">
        <v>9718.48</v>
      </c>
      <c r="F1114" s="473" t="s">
        <v>2209</v>
      </c>
      <c r="G1114" s="510" t="s">
        <v>1661</v>
      </c>
      <c r="H1114" s="510" t="s">
        <v>2206</v>
      </c>
      <c r="I1114" s="473" t="s">
        <v>2151</v>
      </c>
      <c r="J1114" s="1145" t="s">
        <v>2628</v>
      </c>
    </row>
    <row r="1115" spans="1:10" ht="48" x14ac:dyDescent="0.2">
      <c r="A1115" s="1181" t="s">
        <v>2153</v>
      </c>
      <c r="B1115" s="535" t="s">
        <v>2142</v>
      </c>
      <c r="C1115" s="535" t="s">
        <v>1775</v>
      </c>
      <c r="D1115" s="535">
        <v>217</v>
      </c>
      <c r="E1115" s="677">
        <v>11258.38</v>
      </c>
      <c r="F1115" s="473" t="s">
        <v>2181</v>
      </c>
      <c r="G1115" s="510" t="s">
        <v>1661</v>
      </c>
      <c r="H1115" s="510" t="s">
        <v>2206</v>
      </c>
      <c r="I1115" s="473" t="s">
        <v>2207</v>
      </c>
      <c r="J1115" s="1145" t="s">
        <v>2628</v>
      </c>
    </row>
    <row r="1116" spans="1:10" ht="24" x14ac:dyDescent="0.2">
      <c r="A1116" s="1181" t="s">
        <v>2180</v>
      </c>
      <c r="B1116" s="535" t="s">
        <v>2142</v>
      </c>
      <c r="C1116" s="535" t="s">
        <v>1775</v>
      </c>
      <c r="D1116" s="535">
        <v>219</v>
      </c>
      <c r="E1116" s="677">
        <v>10895.65</v>
      </c>
      <c r="F1116" s="473" t="s">
        <v>2209</v>
      </c>
      <c r="G1116" s="510" t="s">
        <v>1661</v>
      </c>
      <c r="H1116" s="510" t="s">
        <v>2206</v>
      </c>
      <c r="I1116" s="473" t="s">
        <v>2151</v>
      </c>
      <c r="J1116" s="1145" t="s">
        <v>2628</v>
      </c>
    </row>
    <row r="1117" spans="1:10" ht="24" x14ac:dyDescent="0.2">
      <c r="A1117" s="1181" t="s">
        <v>2210</v>
      </c>
      <c r="B1117" s="535" t="s">
        <v>2142</v>
      </c>
      <c r="C1117" s="535" t="s">
        <v>1775</v>
      </c>
      <c r="D1117" s="535">
        <v>221</v>
      </c>
      <c r="E1117" s="677">
        <v>8555</v>
      </c>
      <c r="F1117" s="473" t="s">
        <v>2211</v>
      </c>
      <c r="G1117" s="510" t="s">
        <v>1661</v>
      </c>
      <c r="H1117" s="510" t="s">
        <v>2206</v>
      </c>
      <c r="I1117" s="473" t="s">
        <v>2212</v>
      </c>
      <c r="J1117" s="1145" t="s">
        <v>2628</v>
      </c>
    </row>
    <row r="1118" spans="1:10" ht="36" x14ac:dyDescent="0.2">
      <c r="A1118" s="1181" t="s">
        <v>2213</v>
      </c>
      <c r="B1118" s="535" t="s">
        <v>2142</v>
      </c>
      <c r="C1118" s="535" t="s">
        <v>1775</v>
      </c>
      <c r="D1118" s="535">
        <v>244</v>
      </c>
      <c r="E1118" s="677">
        <v>5525.23</v>
      </c>
      <c r="F1118" s="473" t="s">
        <v>2214</v>
      </c>
      <c r="G1118" s="510" t="s">
        <v>1661</v>
      </c>
      <c r="H1118" s="510" t="s">
        <v>2198</v>
      </c>
      <c r="I1118" s="473" t="s">
        <v>2151</v>
      </c>
      <c r="J1118" s="1145" t="s">
        <v>2628</v>
      </c>
    </row>
    <row r="1119" spans="1:10" ht="36" x14ac:dyDescent="0.2">
      <c r="A1119" s="1181" t="s">
        <v>2199</v>
      </c>
      <c r="B1119" s="535" t="s">
        <v>2142</v>
      </c>
      <c r="C1119" s="535" t="s">
        <v>1775</v>
      </c>
      <c r="D1119" s="535">
        <v>245</v>
      </c>
      <c r="E1119" s="677">
        <v>15841.5</v>
      </c>
      <c r="F1119" s="473" t="s">
        <v>2215</v>
      </c>
      <c r="G1119" s="510" t="s">
        <v>1661</v>
      </c>
      <c r="H1119" s="510" t="s">
        <v>2198</v>
      </c>
      <c r="I1119" s="473" t="s">
        <v>2182</v>
      </c>
      <c r="J1119" s="1145" t="s">
        <v>2628</v>
      </c>
    </row>
    <row r="1120" spans="1:10" ht="48" x14ac:dyDescent="0.2">
      <c r="A1120" s="1181" t="s">
        <v>2216</v>
      </c>
      <c r="B1120" s="535" t="s">
        <v>2142</v>
      </c>
      <c r="C1120" s="535" t="s">
        <v>1775</v>
      </c>
      <c r="D1120" s="535">
        <v>246</v>
      </c>
      <c r="E1120" s="677">
        <v>11947.5</v>
      </c>
      <c r="F1120" s="473" t="s">
        <v>2217</v>
      </c>
      <c r="G1120" s="510" t="s">
        <v>1661</v>
      </c>
      <c r="H1120" s="510" t="s">
        <v>2205</v>
      </c>
      <c r="I1120" s="473" t="s">
        <v>2151</v>
      </c>
      <c r="J1120" s="1145" t="s">
        <v>2628</v>
      </c>
    </row>
    <row r="1121" spans="1:10" ht="48" x14ac:dyDescent="0.2">
      <c r="A1121" s="1181" t="s">
        <v>2218</v>
      </c>
      <c r="B1121" s="535" t="s">
        <v>2142</v>
      </c>
      <c r="C1121" s="535" t="s">
        <v>1775</v>
      </c>
      <c r="D1121" s="535">
        <v>247</v>
      </c>
      <c r="E1121" s="677">
        <v>5543.64</v>
      </c>
      <c r="F1121" s="473" t="s">
        <v>2172</v>
      </c>
      <c r="G1121" s="510" t="s">
        <v>1661</v>
      </c>
      <c r="H1121" s="510" t="s">
        <v>2205</v>
      </c>
      <c r="I1121" s="473" t="s">
        <v>2182</v>
      </c>
      <c r="J1121" s="1145" t="s">
        <v>2628</v>
      </c>
    </row>
    <row r="1122" spans="1:10" ht="36" x14ac:dyDescent="0.2">
      <c r="A1122" s="1181" t="s">
        <v>2199</v>
      </c>
      <c r="B1122" s="535" t="s">
        <v>2142</v>
      </c>
      <c r="C1122" s="535" t="s">
        <v>1775</v>
      </c>
      <c r="D1122" s="535">
        <v>251</v>
      </c>
      <c r="E1122" s="677">
        <v>16897.599999999999</v>
      </c>
      <c r="F1122" s="473" t="s">
        <v>2215</v>
      </c>
      <c r="G1122" s="510" t="s">
        <v>1661</v>
      </c>
      <c r="H1122" s="510" t="s">
        <v>2205</v>
      </c>
      <c r="I1122" s="473" t="s">
        <v>2182</v>
      </c>
      <c r="J1122" s="1145" t="s">
        <v>2628</v>
      </c>
    </row>
    <row r="1123" spans="1:10" ht="36" x14ac:dyDescent="0.2">
      <c r="A1123" s="1181" t="s">
        <v>2219</v>
      </c>
      <c r="B1123" s="535" t="s">
        <v>2130</v>
      </c>
      <c r="C1123" s="535" t="s">
        <v>1784</v>
      </c>
      <c r="D1123" s="535">
        <v>258</v>
      </c>
      <c r="E1123" s="677">
        <v>28500</v>
      </c>
      <c r="F1123" s="473" t="s">
        <v>2220</v>
      </c>
      <c r="G1123" s="510" t="s">
        <v>1661</v>
      </c>
      <c r="H1123" s="510" t="s">
        <v>2212</v>
      </c>
      <c r="I1123" s="473" t="s">
        <v>2151</v>
      </c>
      <c r="J1123" s="1145" t="s">
        <v>2628</v>
      </c>
    </row>
    <row r="1124" spans="1:10" ht="36" x14ac:dyDescent="0.2">
      <c r="A1124" s="1181" t="s">
        <v>2221</v>
      </c>
      <c r="B1124" s="535" t="s">
        <v>2130</v>
      </c>
      <c r="C1124" s="535" t="s">
        <v>1784</v>
      </c>
      <c r="D1124" s="535">
        <v>259</v>
      </c>
      <c r="E1124" s="677">
        <v>25500</v>
      </c>
      <c r="F1124" s="473" t="s">
        <v>2200</v>
      </c>
      <c r="G1124" s="510" t="s">
        <v>1661</v>
      </c>
      <c r="H1124" s="510" t="s">
        <v>2207</v>
      </c>
      <c r="I1124" s="473" t="s">
        <v>2151</v>
      </c>
      <c r="J1124" s="1145" t="s">
        <v>2628</v>
      </c>
    </row>
    <row r="1125" spans="1:10" ht="36" x14ac:dyDescent="0.2">
      <c r="A1125" s="1181" t="s">
        <v>2199</v>
      </c>
      <c r="B1125" s="535" t="s">
        <v>2142</v>
      </c>
      <c r="C1125" s="535" t="s">
        <v>1775</v>
      </c>
      <c r="D1125" s="535">
        <v>261</v>
      </c>
      <c r="E1125" s="677">
        <v>9927.34</v>
      </c>
      <c r="F1125" s="473" t="s">
        <v>2215</v>
      </c>
      <c r="G1125" s="510" t="s">
        <v>1661</v>
      </c>
      <c r="H1125" s="510" t="s">
        <v>2151</v>
      </c>
      <c r="I1125" s="473" t="s">
        <v>2222</v>
      </c>
      <c r="J1125" s="1145" t="s">
        <v>2628</v>
      </c>
    </row>
    <row r="1126" spans="1:10" ht="48" x14ac:dyDescent="0.2">
      <c r="A1126" s="1181" t="s">
        <v>2174</v>
      </c>
      <c r="B1126" s="535" t="s">
        <v>2130</v>
      </c>
      <c r="C1126" s="535" t="s">
        <v>1784</v>
      </c>
      <c r="D1126" s="535">
        <v>269</v>
      </c>
      <c r="E1126" s="677">
        <v>5199.7</v>
      </c>
      <c r="F1126" s="473" t="s">
        <v>2223</v>
      </c>
      <c r="G1126" s="510" t="s">
        <v>1661</v>
      </c>
      <c r="H1126" s="510" t="s">
        <v>2222</v>
      </c>
      <c r="I1126" s="473" t="s">
        <v>2222</v>
      </c>
      <c r="J1126" s="1145" t="s">
        <v>2628</v>
      </c>
    </row>
    <row r="1127" spans="1:10" ht="36" x14ac:dyDescent="0.2">
      <c r="A1127" s="1181" t="s">
        <v>2031</v>
      </c>
      <c r="B1127" s="535" t="s">
        <v>2130</v>
      </c>
      <c r="C1127" s="535" t="s">
        <v>1784</v>
      </c>
      <c r="D1127" s="535">
        <v>1</v>
      </c>
      <c r="E1127" s="677">
        <v>14879.75</v>
      </c>
      <c r="F1127" s="473" t="s">
        <v>2224</v>
      </c>
      <c r="G1127" s="510" t="s">
        <v>1661</v>
      </c>
      <c r="H1127" s="510" t="s">
        <v>2225</v>
      </c>
      <c r="I1127" s="473" t="s">
        <v>2225</v>
      </c>
      <c r="J1127" s="1145" t="s">
        <v>2628</v>
      </c>
    </row>
    <row r="1128" spans="1:10" ht="36" x14ac:dyDescent="0.2">
      <c r="A1128" s="1181" t="s">
        <v>2031</v>
      </c>
      <c r="B1128" s="535" t="s">
        <v>2130</v>
      </c>
      <c r="C1128" s="535" t="s">
        <v>1784</v>
      </c>
      <c r="D1128" s="535">
        <v>3</v>
      </c>
      <c r="E1128" s="677">
        <v>13965.65</v>
      </c>
      <c r="F1128" s="473" t="s">
        <v>2224</v>
      </c>
      <c r="G1128" s="510" t="s">
        <v>1661</v>
      </c>
      <c r="H1128" s="510" t="s">
        <v>2225</v>
      </c>
      <c r="I1128" s="473" t="s">
        <v>2225</v>
      </c>
      <c r="J1128" s="1145" t="s">
        <v>2628</v>
      </c>
    </row>
    <row r="1129" spans="1:10" ht="72" x14ac:dyDescent="0.2">
      <c r="A1129" s="1181" t="s">
        <v>2037</v>
      </c>
      <c r="B1129" s="535" t="s">
        <v>2130</v>
      </c>
      <c r="C1129" s="535" t="s">
        <v>1784</v>
      </c>
      <c r="D1129" s="535">
        <v>14</v>
      </c>
      <c r="E1129" s="677">
        <v>19390.310000000001</v>
      </c>
      <c r="F1129" s="473" t="s">
        <v>2226</v>
      </c>
      <c r="G1129" s="510" t="s">
        <v>1661</v>
      </c>
      <c r="H1129" s="511" t="s">
        <v>2227</v>
      </c>
      <c r="I1129" s="678">
        <v>43689</v>
      </c>
      <c r="J1129" s="1145" t="s">
        <v>2628</v>
      </c>
    </row>
    <row r="1130" spans="1:10" ht="36" x14ac:dyDescent="0.2">
      <c r="A1130" s="1181" t="s">
        <v>2037</v>
      </c>
      <c r="B1130" s="535" t="s">
        <v>2130</v>
      </c>
      <c r="C1130" s="535" t="s">
        <v>1784</v>
      </c>
      <c r="D1130" s="535">
        <v>15</v>
      </c>
      <c r="E1130" s="677">
        <v>11270.5</v>
      </c>
      <c r="F1130" s="473" t="s">
        <v>2228</v>
      </c>
      <c r="G1130" s="510" t="s">
        <v>1661</v>
      </c>
      <c r="H1130" s="511" t="s">
        <v>2227</v>
      </c>
      <c r="I1130" s="678">
        <v>43663</v>
      </c>
      <c r="J1130" s="1145" t="s">
        <v>2628</v>
      </c>
    </row>
    <row r="1131" spans="1:10" ht="36" x14ac:dyDescent="0.2">
      <c r="A1131" s="1181" t="s">
        <v>2037</v>
      </c>
      <c r="B1131" s="535" t="s">
        <v>2130</v>
      </c>
      <c r="C1131" s="535" t="s">
        <v>1784</v>
      </c>
      <c r="D1131" s="535">
        <v>16</v>
      </c>
      <c r="E1131" s="677">
        <v>23062.75</v>
      </c>
      <c r="F1131" s="473" t="s">
        <v>2229</v>
      </c>
      <c r="G1131" s="510" t="s">
        <v>1661</v>
      </c>
      <c r="H1131" s="511" t="s">
        <v>2227</v>
      </c>
      <c r="I1131" s="678">
        <v>43682</v>
      </c>
      <c r="J1131" s="1145" t="s">
        <v>2628</v>
      </c>
    </row>
    <row r="1132" spans="1:10" ht="72" x14ac:dyDescent="0.2">
      <c r="A1132" s="1181" t="s">
        <v>2037</v>
      </c>
      <c r="B1132" s="535" t="s">
        <v>2130</v>
      </c>
      <c r="C1132" s="535" t="s">
        <v>1784</v>
      </c>
      <c r="D1132" s="535">
        <v>17</v>
      </c>
      <c r="E1132" s="677">
        <v>6482.5</v>
      </c>
      <c r="F1132" s="473" t="s">
        <v>2226</v>
      </c>
      <c r="G1132" s="510" t="s">
        <v>1661</v>
      </c>
      <c r="H1132" s="511" t="s">
        <v>2227</v>
      </c>
      <c r="I1132" s="678">
        <v>43663</v>
      </c>
      <c r="J1132" s="1145" t="s">
        <v>2628</v>
      </c>
    </row>
    <row r="1133" spans="1:10" ht="36" x14ac:dyDescent="0.2">
      <c r="A1133" s="1181" t="s">
        <v>2037</v>
      </c>
      <c r="B1133" s="535" t="s">
        <v>2130</v>
      </c>
      <c r="C1133" s="535" t="s">
        <v>1784</v>
      </c>
      <c r="D1133" s="535">
        <v>18</v>
      </c>
      <c r="E1133" s="677">
        <v>12007.91</v>
      </c>
      <c r="F1133" s="473" t="s">
        <v>2230</v>
      </c>
      <c r="G1133" s="510" t="s">
        <v>1661</v>
      </c>
      <c r="H1133" s="511" t="s">
        <v>2227</v>
      </c>
      <c r="I1133" s="678">
        <v>43663</v>
      </c>
      <c r="J1133" s="1145" t="s">
        <v>2628</v>
      </c>
    </row>
    <row r="1134" spans="1:10" ht="36" x14ac:dyDescent="0.2">
      <c r="A1134" s="1181" t="s">
        <v>2031</v>
      </c>
      <c r="B1134" s="535" t="s">
        <v>2130</v>
      </c>
      <c r="C1134" s="535" t="s">
        <v>1784</v>
      </c>
      <c r="D1134" s="535">
        <v>25</v>
      </c>
      <c r="E1134" s="677">
        <v>9199.5499999999993</v>
      </c>
      <c r="F1134" s="473" t="s">
        <v>2224</v>
      </c>
      <c r="G1134" s="510" t="s">
        <v>1661</v>
      </c>
      <c r="H1134" s="510" t="s">
        <v>2231</v>
      </c>
      <c r="I1134" s="473" t="s">
        <v>2231</v>
      </c>
      <c r="J1134" s="1145" t="s">
        <v>2628</v>
      </c>
    </row>
    <row r="1135" spans="1:10" ht="36" x14ac:dyDescent="0.2">
      <c r="A1135" s="1181" t="s">
        <v>2031</v>
      </c>
      <c r="B1135" s="535" t="s">
        <v>2130</v>
      </c>
      <c r="C1135" s="535" t="s">
        <v>1784</v>
      </c>
      <c r="D1135" s="535">
        <v>27</v>
      </c>
      <c r="E1135" s="677">
        <v>10302.85</v>
      </c>
      <c r="F1135" s="473" t="s">
        <v>2224</v>
      </c>
      <c r="G1135" s="510" t="s">
        <v>1661</v>
      </c>
      <c r="H1135" s="510" t="s">
        <v>2231</v>
      </c>
      <c r="I1135" s="473" t="s">
        <v>2231</v>
      </c>
      <c r="J1135" s="1145" t="s">
        <v>2628</v>
      </c>
    </row>
    <row r="1136" spans="1:10" ht="36" x14ac:dyDescent="0.2">
      <c r="A1136" s="1181" t="s">
        <v>2031</v>
      </c>
      <c r="B1136" s="535" t="s">
        <v>2130</v>
      </c>
      <c r="C1136" s="535" t="s">
        <v>1784</v>
      </c>
      <c r="D1136" s="535">
        <v>47</v>
      </c>
      <c r="E1136" s="677">
        <v>7299.1</v>
      </c>
      <c r="F1136" s="473" t="s">
        <v>2224</v>
      </c>
      <c r="G1136" s="510" t="s">
        <v>1661</v>
      </c>
      <c r="H1136" s="510" t="s">
        <v>2232</v>
      </c>
      <c r="I1136" s="473" t="s">
        <v>2232</v>
      </c>
      <c r="J1136" s="1145" t="s">
        <v>2628</v>
      </c>
    </row>
    <row r="1137" spans="1:10" ht="36" x14ac:dyDescent="0.2">
      <c r="A1137" s="1181" t="s">
        <v>2031</v>
      </c>
      <c r="B1137" s="535" t="s">
        <v>2130</v>
      </c>
      <c r="C1137" s="535" t="s">
        <v>1784</v>
      </c>
      <c r="D1137" s="535">
        <v>53</v>
      </c>
      <c r="E1137" s="677">
        <v>11698.85</v>
      </c>
      <c r="F1137" s="473" t="s">
        <v>2224</v>
      </c>
      <c r="G1137" s="510" t="s">
        <v>1661</v>
      </c>
      <c r="H1137" s="510" t="s">
        <v>2232</v>
      </c>
      <c r="I1137" s="473" t="s">
        <v>2232</v>
      </c>
      <c r="J1137" s="1145" t="s">
        <v>2628</v>
      </c>
    </row>
    <row r="1138" spans="1:10" ht="36" x14ac:dyDescent="0.2">
      <c r="A1138" s="1181" t="s">
        <v>2031</v>
      </c>
      <c r="B1138" s="535" t="s">
        <v>2130</v>
      </c>
      <c r="C1138" s="535" t="s">
        <v>1784</v>
      </c>
      <c r="D1138" s="535">
        <v>69</v>
      </c>
      <c r="E1138" s="677">
        <v>13234.45</v>
      </c>
      <c r="F1138" s="473" t="s">
        <v>2224</v>
      </c>
      <c r="G1138" s="510" t="s">
        <v>1661</v>
      </c>
      <c r="H1138" s="510" t="s">
        <v>2233</v>
      </c>
      <c r="I1138" s="473" t="s">
        <v>2233</v>
      </c>
      <c r="J1138" s="1145" t="s">
        <v>2628</v>
      </c>
    </row>
    <row r="1139" spans="1:10" ht="36" x14ac:dyDescent="0.2">
      <c r="A1139" s="1181" t="s">
        <v>2031</v>
      </c>
      <c r="B1139" s="535" t="s">
        <v>2130</v>
      </c>
      <c r="C1139" s="535" t="s">
        <v>1784</v>
      </c>
      <c r="D1139" s="535">
        <v>70</v>
      </c>
      <c r="E1139" s="677">
        <v>8788.1</v>
      </c>
      <c r="F1139" s="473" t="s">
        <v>2224</v>
      </c>
      <c r="G1139" s="510" t="s">
        <v>1661</v>
      </c>
      <c r="H1139" s="510" t="s">
        <v>2233</v>
      </c>
      <c r="I1139" s="473" t="s">
        <v>2233</v>
      </c>
      <c r="J1139" s="1145" t="s">
        <v>2628</v>
      </c>
    </row>
    <row r="1140" spans="1:10" ht="36" x14ac:dyDescent="0.2">
      <c r="A1140" s="1181" t="s">
        <v>2031</v>
      </c>
      <c r="B1140" s="535" t="s">
        <v>2130</v>
      </c>
      <c r="C1140" s="535" t="s">
        <v>1784</v>
      </c>
      <c r="D1140" s="535">
        <v>96</v>
      </c>
      <c r="E1140" s="677">
        <v>14910.5</v>
      </c>
      <c r="F1140" s="473" t="s">
        <v>2224</v>
      </c>
      <c r="G1140" s="510" t="s">
        <v>1661</v>
      </c>
      <c r="H1140" s="510" t="s">
        <v>2234</v>
      </c>
      <c r="I1140" s="473" t="s">
        <v>2234</v>
      </c>
      <c r="J1140" s="1145" t="s">
        <v>2628</v>
      </c>
    </row>
    <row r="1141" spans="1:10" ht="36" x14ac:dyDescent="0.2">
      <c r="A1141" s="1181" t="s">
        <v>2031</v>
      </c>
      <c r="B1141" s="535" t="s">
        <v>2130</v>
      </c>
      <c r="C1141" s="535" t="s">
        <v>1784</v>
      </c>
      <c r="D1141" s="535">
        <v>97</v>
      </c>
      <c r="E1141" s="677">
        <v>16942.55</v>
      </c>
      <c r="F1141" s="473" t="s">
        <v>2224</v>
      </c>
      <c r="G1141" s="510" t="s">
        <v>1661</v>
      </c>
      <c r="H1141" s="510" t="s">
        <v>2234</v>
      </c>
      <c r="I1141" s="473" t="s">
        <v>2234</v>
      </c>
      <c r="J1141" s="1145" t="s">
        <v>2628</v>
      </c>
    </row>
    <row r="1142" spans="1:10" ht="36" x14ac:dyDescent="0.2">
      <c r="A1142" s="1181" t="s">
        <v>2031</v>
      </c>
      <c r="B1142" s="535" t="s">
        <v>2130</v>
      </c>
      <c r="C1142" s="535" t="s">
        <v>1784</v>
      </c>
      <c r="D1142" s="535">
        <v>113</v>
      </c>
      <c r="E1142" s="677">
        <v>15492</v>
      </c>
      <c r="F1142" s="473" t="s">
        <v>2224</v>
      </c>
      <c r="G1142" s="510" t="s">
        <v>1661</v>
      </c>
      <c r="H1142" s="510" t="s">
        <v>2235</v>
      </c>
      <c r="I1142" s="473" t="s">
        <v>2235</v>
      </c>
      <c r="J1142" s="1145" t="s">
        <v>2628</v>
      </c>
    </row>
    <row r="1143" spans="1:10" ht="36" x14ac:dyDescent="0.2">
      <c r="A1143" s="1181" t="s">
        <v>2031</v>
      </c>
      <c r="B1143" s="535" t="s">
        <v>2130</v>
      </c>
      <c r="C1143" s="535" t="s">
        <v>1784</v>
      </c>
      <c r="D1143" s="535">
        <v>114</v>
      </c>
      <c r="E1143" s="677">
        <v>18387.25</v>
      </c>
      <c r="F1143" s="473" t="s">
        <v>2224</v>
      </c>
      <c r="G1143" s="510" t="s">
        <v>1661</v>
      </c>
      <c r="H1143" s="510" t="s">
        <v>2235</v>
      </c>
      <c r="I1143" s="473" t="s">
        <v>2235</v>
      </c>
      <c r="J1143" s="1145" t="s">
        <v>2628</v>
      </c>
    </row>
    <row r="1144" spans="1:10" ht="24" x14ac:dyDescent="0.2">
      <c r="A1144" s="1181" t="s">
        <v>2236</v>
      </c>
      <c r="B1144" s="535" t="s">
        <v>2130</v>
      </c>
      <c r="C1144" s="535" t="s">
        <v>1784</v>
      </c>
      <c r="D1144" s="535">
        <v>128</v>
      </c>
      <c r="E1144" s="677">
        <v>19500</v>
      </c>
      <c r="F1144" s="473" t="s">
        <v>2237</v>
      </c>
      <c r="G1144" s="510" t="s">
        <v>1661</v>
      </c>
      <c r="H1144" s="510" t="s">
        <v>2238</v>
      </c>
      <c r="I1144" s="473" t="s">
        <v>2238</v>
      </c>
      <c r="J1144" s="1145" t="s">
        <v>2628</v>
      </c>
    </row>
    <row r="1145" spans="1:10" ht="36" x14ac:dyDescent="0.2">
      <c r="A1145" s="1181" t="s">
        <v>2031</v>
      </c>
      <c r="B1145" s="535" t="s">
        <v>2130</v>
      </c>
      <c r="C1145" s="535" t="s">
        <v>1784</v>
      </c>
      <c r="D1145" s="535">
        <v>129</v>
      </c>
      <c r="E1145" s="677">
        <v>20519.8</v>
      </c>
      <c r="F1145" s="473" t="s">
        <v>2224</v>
      </c>
      <c r="G1145" s="510" t="s">
        <v>1661</v>
      </c>
      <c r="H1145" s="510" t="s">
        <v>2239</v>
      </c>
      <c r="I1145" s="473" t="s">
        <v>2239</v>
      </c>
      <c r="J1145" s="1145" t="s">
        <v>2628</v>
      </c>
    </row>
    <row r="1146" spans="1:10" ht="36" x14ac:dyDescent="0.2">
      <c r="A1146" s="1181" t="s">
        <v>2031</v>
      </c>
      <c r="B1146" s="535" t="s">
        <v>2130</v>
      </c>
      <c r="C1146" s="535" t="s">
        <v>1784</v>
      </c>
      <c r="D1146" s="535">
        <v>130</v>
      </c>
      <c r="E1146" s="677">
        <v>21879.1</v>
      </c>
      <c r="F1146" s="473" t="s">
        <v>2224</v>
      </c>
      <c r="G1146" s="510" t="s">
        <v>1661</v>
      </c>
      <c r="H1146" s="510" t="s">
        <v>2239</v>
      </c>
      <c r="I1146" s="473" t="s">
        <v>2239</v>
      </c>
      <c r="J1146" s="1145" t="s">
        <v>2628</v>
      </c>
    </row>
    <row r="1147" spans="1:10" ht="36" x14ac:dyDescent="0.2">
      <c r="A1147" s="1181" t="s">
        <v>2240</v>
      </c>
      <c r="B1147" s="535" t="s">
        <v>2130</v>
      </c>
      <c r="C1147" s="535" t="s">
        <v>1784</v>
      </c>
      <c r="D1147" s="535">
        <v>151</v>
      </c>
      <c r="E1147" s="677">
        <v>8235</v>
      </c>
      <c r="F1147" s="473" t="s">
        <v>2241</v>
      </c>
      <c r="G1147" s="510" t="s">
        <v>1661</v>
      </c>
      <c r="H1147" s="510" t="s">
        <v>2242</v>
      </c>
      <c r="I1147" s="473" t="s">
        <v>2242</v>
      </c>
      <c r="J1147" s="1145" t="s">
        <v>2628</v>
      </c>
    </row>
    <row r="1148" spans="1:10" ht="36" x14ac:dyDescent="0.2">
      <c r="A1148" s="1181" t="s">
        <v>2243</v>
      </c>
      <c r="B1148" s="535" t="s">
        <v>2130</v>
      </c>
      <c r="C1148" s="535" t="s">
        <v>1784</v>
      </c>
      <c r="D1148" s="535">
        <v>156</v>
      </c>
      <c r="E1148" s="677">
        <v>10648.24</v>
      </c>
      <c r="F1148" s="473" t="s">
        <v>2244</v>
      </c>
      <c r="G1148" s="510" t="s">
        <v>1661</v>
      </c>
      <c r="H1148" s="510" t="s">
        <v>2245</v>
      </c>
      <c r="I1148" s="473" t="s">
        <v>2245</v>
      </c>
      <c r="J1148" s="1145" t="s">
        <v>2628</v>
      </c>
    </row>
    <row r="1149" spans="1:10" ht="36" x14ac:dyDescent="0.2">
      <c r="A1149" s="1181" t="s">
        <v>2031</v>
      </c>
      <c r="B1149" s="535" t="s">
        <v>2130</v>
      </c>
      <c r="C1149" s="535" t="s">
        <v>1784</v>
      </c>
      <c r="D1149" s="535">
        <v>161</v>
      </c>
      <c r="E1149" s="677">
        <v>16667.8</v>
      </c>
      <c r="F1149" s="473" t="s">
        <v>2224</v>
      </c>
      <c r="G1149" s="510" t="s">
        <v>1661</v>
      </c>
      <c r="H1149" s="510" t="s">
        <v>2246</v>
      </c>
      <c r="I1149" s="473" t="s">
        <v>2246</v>
      </c>
      <c r="J1149" s="1145" t="s">
        <v>2628</v>
      </c>
    </row>
    <row r="1150" spans="1:10" ht="36" x14ac:dyDescent="0.2">
      <c r="A1150" s="1181" t="s">
        <v>2031</v>
      </c>
      <c r="B1150" s="535" t="s">
        <v>2130</v>
      </c>
      <c r="C1150" s="535" t="s">
        <v>1784</v>
      </c>
      <c r="D1150" s="535">
        <v>162</v>
      </c>
      <c r="E1150" s="677">
        <v>13031.5</v>
      </c>
      <c r="F1150" s="473" t="s">
        <v>2224</v>
      </c>
      <c r="G1150" s="510" t="s">
        <v>1661</v>
      </c>
      <c r="H1150" s="510" t="s">
        <v>2246</v>
      </c>
      <c r="I1150" s="473" t="s">
        <v>2246</v>
      </c>
      <c r="J1150" s="1145" t="s">
        <v>2628</v>
      </c>
    </row>
    <row r="1151" spans="1:10" ht="36" x14ac:dyDescent="0.2">
      <c r="A1151" s="1181" t="s">
        <v>2247</v>
      </c>
      <c r="B1151" s="535" t="s">
        <v>2130</v>
      </c>
      <c r="C1151" s="535" t="s">
        <v>1784</v>
      </c>
      <c r="D1151" s="535">
        <v>169</v>
      </c>
      <c r="E1151" s="677">
        <v>7841.88</v>
      </c>
      <c r="F1151" s="473" t="s">
        <v>2244</v>
      </c>
      <c r="G1151" s="510" t="s">
        <v>1661</v>
      </c>
      <c r="H1151" s="510" t="s">
        <v>2248</v>
      </c>
      <c r="I1151" s="473" t="s">
        <v>2248</v>
      </c>
      <c r="J1151" s="1145" t="s">
        <v>2628</v>
      </c>
    </row>
    <row r="1152" spans="1:10" ht="36" x14ac:dyDescent="0.2">
      <c r="A1152" s="1181" t="s">
        <v>2249</v>
      </c>
      <c r="B1152" s="535" t="s">
        <v>2130</v>
      </c>
      <c r="C1152" s="535" t="s">
        <v>1784</v>
      </c>
      <c r="D1152" s="535">
        <v>177</v>
      </c>
      <c r="E1152" s="677">
        <v>19800.990000000002</v>
      </c>
      <c r="F1152" s="473" t="s">
        <v>2244</v>
      </c>
      <c r="G1152" s="510" t="s">
        <v>1661</v>
      </c>
      <c r="H1152" s="510" t="s">
        <v>2250</v>
      </c>
      <c r="I1152" s="473" t="s">
        <v>2250</v>
      </c>
      <c r="J1152" s="1145" t="s">
        <v>2628</v>
      </c>
    </row>
    <row r="1153" spans="1:10" ht="36" x14ac:dyDescent="0.2">
      <c r="A1153" s="1181" t="s">
        <v>2031</v>
      </c>
      <c r="B1153" s="535" t="s">
        <v>2130</v>
      </c>
      <c r="C1153" s="535" t="s">
        <v>1784</v>
      </c>
      <c r="D1153" s="535">
        <v>182</v>
      </c>
      <c r="E1153" s="677">
        <v>16940.599999999999</v>
      </c>
      <c r="F1153" s="473" t="s">
        <v>2224</v>
      </c>
      <c r="G1153" s="510" t="s">
        <v>1661</v>
      </c>
      <c r="H1153" s="510" t="s">
        <v>2251</v>
      </c>
      <c r="I1153" s="473" t="s">
        <v>2251</v>
      </c>
      <c r="J1153" s="1145" t="s">
        <v>2628</v>
      </c>
    </row>
    <row r="1154" spans="1:10" ht="36" x14ac:dyDescent="0.2">
      <c r="A1154" s="1181" t="s">
        <v>2031</v>
      </c>
      <c r="B1154" s="535" t="s">
        <v>2130</v>
      </c>
      <c r="C1154" s="535" t="s">
        <v>1784</v>
      </c>
      <c r="D1154" s="535">
        <v>194</v>
      </c>
      <c r="E1154" s="677">
        <v>13913.3</v>
      </c>
      <c r="F1154" s="473" t="s">
        <v>2224</v>
      </c>
      <c r="G1154" s="510" t="s">
        <v>1661</v>
      </c>
      <c r="H1154" s="510" t="s">
        <v>2006</v>
      </c>
      <c r="I1154" s="473" t="s">
        <v>2006</v>
      </c>
      <c r="J1154" s="1145" t="s">
        <v>2628</v>
      </c>
    </row>
    <row r="1155" spans="1:10" ht="36" x14ac:dyDescent="0.2">
      <c r="A1155" s="1181" t="s">
        <v>2249</v>
      </c>
      <c r="B1155" s="535" t="s">
        <v>2130</v>
      </c>
      <c r="C1155" s="535" t="s">
        <v>1784</v>
      </c>
      <c r="D1155" s="535">
        <v>195</v>
      </c>
      <c r="E1155" s="677">
        <v>7303.1</v>
      </c>
      <c r="F1155" s="473" t="s">
        <v>2252</v>
      </c>
      <c r="G1155" s="510" t="s">
        <v>1661</v>
      </c>
      <c r="H1155" s="510" t="s">
        <v>2253</v>
      </c>
      <c r="I1155" s="473" t="s">
        <v>2253</v>
      </c>
      <c r="J1155" s="1145" t="s">
        <v>2628</v>
      </c>
    </row>
    <row r="1156" spans="1:10" ht="24" x14ac:dyDescent="0.2">
      <c r="A1156" s="1181" t="s">
        <v>2236</v>
      </c>
      <c r="B1156" s="535" t="s">
        <v>2130</v>
      </c>
      <c r="C1156" s="535" t="s">
        <v>1784</v>
      </c>
      <c r="D1156" s="535">
        <v>203</v>
      </c>
      <c r="E1156" s="677">
        <v>7475</v>
      </c>
      <c r="F1156" s="473" t="s">
        <v>2237</v>
      </c>
      <c r="G1156" s="510" t="s">
        <v>1661</v>
      </c>
      <c r="H1156" s="510" t="s">
        <v>2254</v>
      </c>
      <c r="I1156" s="473" t="s">
        <v>2254</v>
      </c>
      <c r="J1156" s="1145" t="s">
        <v>2628</v>
      </c>
    </row>
    <row r="1157" spans="1:10" ht="36" x14ac:dyDescent="0.2">
      <c r="A1157" s="1181" t="s">
        <v>2031</v>
      </c>
      <c r="B1157" s="535" t="s">
        <v>2130</v>
      </c>
      <c r="C1157" s="535" t="s">
        <v>1784</v>
      </c>
      <c r="D1157" s="535">
        <v>204</v>
      </c>
      <c r="E1157" s="677">
        <v>21294.799999999999</v>
      </c>
      <c r="F1157" s="473" t="s">
        <v>2224</v>
      </c>
      <c r="G1157" s="510" t="s">
        <v>1661</v>
      </c>
      <c r="H1157" s="510" t="s">
        <v>2255</v>
      </c>
      <c r="I1157" s="473" t="s">
        <v>2255</v>
      </c>
      <c r="J1157" s="1145" t="s">
        <v>2628</v>
      </c>
    </row>
    <row r="1158" spans="1:10" ht="36" x14ac:dyDescent="0.2">
      <c r="A1158" s="1181" t="s">
        <v>2031</v>
      </c>
      <c r="B1158" s="535" t="s">
        <v>2130</v>
      </c>
      <c r="C1158" s="535" t="s">
        <v>1784</v>
      </c>
      <c r="D1158" s="535">
        <v>216</v>
      </c>
      <c r="E1158" s="677">
        <v>16910.2</v>
      </c>
      <c r="F1158" s="473" t="s">
        <v>2224</v>
      </c>
      <c r="G1158" s="510" t="s">
        <v>1661</v>
      </c>
      <c r="H1158" s="510" t="s">
        <v>2256</v>
      </c>
      <c r="I1158" s="473" t="s">
        <v>2256</v>
      </c>
      <c r="J1158" s="1145" t="s">
        <v>2628</v>
      </c>
    </row>
    <row r="1159" spans="1:10" ht="36" x14ac:dyDescent="0.2">
      <c r="A1159" s="1181" t="s">
        <v>2257</v>
      </c>
      <c r="B1159" s="535" t="s">
        <v>2130</v>
      </c>
      <c r="C1159" s="535" t="s">
        <v>1784</v>
      </c>
      <c r="D1159" s="535">
        <v>221</v>
      </c>
      <c r="E1159" s="677">
        <v>10300</v>
      </c>
      <c r="F1159" s="473" t="s">
        <v>2258</v>
      </c>
      <c r="G1159" s="510" t="s">
        <v>1661</v>
      </c>
      <c r="H1159" s="510" t="s">
        <v>2259</v>
      </c>
      <c r="I1159" s="473" t="s">
        <v>2259</v>
      </c>
      <c r="J1159" s="1145" t="s">
        <v>2628</v>
      </c>
    </row>
    <row r="1160" spans="1:10" ht="36" x14ac:dyDescent="0.2">
      <c r="A1160" s="1181" t="s">
        <v>2031</v>
      </c>
      <c r="B1160" s="535" t="s">
        <v>2130</v>
      </c>
      <c r="C1160" s="535" t="s">
        <v>1784</v>
      </c>
      <c r="D1160" s="535">
        <v>226</v>
      </c>
      <c r="E1160" s="677">
        <v>19032.400000000001</v>
      </c>
      <c r="F1160" s="473" t="s">
        <v>2224</v>
      </c>
      <c r="G1160" s="510" t="s">
        <v>1661</v>
      </c>
      <c r="H1160" s="510" t="s">
        <v>2260</v>
      </c>
      <c r="I1160" s="473" t="s">
        <v>2260</v>
      </c>
      <c r="J1160" s="1145" t="s">
        <v>2628</v>
      </c>
    </row>
    <row r="1161" spans="1:10" ht="36" x14ac:dyDescent="0.2">
      <c r="A1161" s="1181" t="s">
        <v>2031</v>
      </c>
      <c r="B1161" s="535" t="s">
        <v>2130</v>
      </c>
      <c r="C1161" s="535" t="s">
        <v>1784</v>
      </c>
      <c r="D1161" s="535">
        <v>227</v>
      </c>
      <c r="E1161" s="677">
        <v>19041.3</v>
      </c>
      <c r="F1161" s="473" t="s">
        <v>2224</v>
      </c>
      <c r="G1161" s="510" t="s">
        <v>1661</v>
      </c>
      <c r="H1161" s="510" t="s">
        <v>2260</v>
      </c>
      <c r="I1161" s="473" t="s">
        <v>2260</v>
      </c>
      <c r="J1161" s="1145" t="s">
        <v>2628</v>
      </c>
    </row>
    <row r="1162" spans="1:10" ht="36" x14ac:dyDescent="0.2">
      <c r="A1162" s="1181" t="s">
        <v>2240</v>
      </c>
      <c r="B1162" s="535" t="s">
        <v>2130</v>
      </c>
      <c r="C1162" s="535" t="s">
        <v>1784</v>
      </c>
      <c r="D1162" s="535">
        <v>250</v>
      </c>
      <c r="E1162" s="677">
        <v>26100</v>
      </c>
      <c r="F1162" s="473" t="s">
        <v>2261</v>
      </c>
      <c r="G1162" s="510" t="s">
        <v>1661</v>
      </c>
      <c r="H1162" s="510" t="s">
        <v>2262</v>
      </c>
      <c r="I1162" s="473" t="s">
        <v>2262</v>
      </c>
      <c r="J1162" s="1145" t="s">
        <v>2628</v>
      </c>
    </row>
    <row r="1163" spans="1:10" ht="36" x14ac:dyDescent="0.2">
      <c r="A1163" s="1181" t="s">
        <v>2263</v>
      </c>
      <c r="B1163" s="535" t="s">
        <v>2130</v>
      </c>
      <c r="C1163" s="535" t="s">
        <v>1784</v>
      </c>
      <c r="D1163" s="535">
        <v>251</v>
      </c>
      <c r="E1163" s="677">
        <v>12396</v>
      </c>
      <c r="F1163" s="473" t="s">
        <v>2264</v>
      </c>
      <c r="G1163" s="510" t="s">
        <v>1661</v>
      </c>
      <c r="H1163" s="510" t="s">
        <v>2262</v>
      </c>
      <c r="I1163" s="473" t="s">
        <v>2262</v>
      </c>
      <c r="J1163" s="1145" t="s">
        <v>2628</v>
      </c>
    </row>
    <row r="1164" spans="1:10" ht="36" x14ac:dyDescent="0.2">
      <c r="A1164" s="1181" t="s">
        <v>2031</v>
      </c>
      <c r="B1164" s="535" t="s">
        <v>2130</v>
      </c>
      <c r="C1164" s="535" t="s">
        <v>1784</v>
      </c>
      <c r="D1164" s="535">
        <v>253</v>
      </c>
      <c r="E1164" s="677">
        <v>19877.900000000001</v>
      </c>
      <c r="F1164" s="473" t="s">
        <v>2224</v>
      </c>
      <c r="G1164" s="510" t="s">
        <v>1661</v>
      </c>
      <c r="H1164" s="510" t="s">
        <v>2262</v>
      </c>
      <c r="I1164" s="473" t="s">
        <v>2262</v>
      </c>
      <c r="J1164" s="1145" t="s">
        <v>2628</v>
      </c>
    </row>
    <row r="1165" spans="1:10" ht="36" x14ac:dyDescent="0.2">
      <c r="A1165" s="1181" t="s">
        <v>2031</v>
      </c>
      <c r="B1165" s="535" t="s">
        <v>2130</v>
      </c>
      <c r="C1165" s="535" t="s">
        <v>1784</v>
      </c>
      <c r="D1165" s="535">
        <v>284</v>
      </c>
      <c r="E1165" s="677">
        <v>16924.400000000001</v>
      </c>
      <c r="F1165" s="473" t="s">
        <v>2224</v>
      </c>
      <c r="G1165" s="510" t="s">
        <v>1661</v>
      </c>
      <c r="H1165" s="510" t="s">
        <v>2204</v>
      </c>
      <c r="I1165" s="473" t="s">
        <v>2204</v>
      </c>
      <c r="J1165" s="1145" t="s">
        <v>2628</v>
      </c>
    </row>
    <row r="1166" spans="1:10" ht="36" x14ac:dyDescent="0.2">
      <c r="A1166" s="1181" t="s">
        <v>2265</v>
      </c>
      <c r="B1166" s="535" t="s">
        <v>2130</v>
      </c>
      <c r="C1166" s="535" t="s">
        <v>1784</v>
      </c>
      <c r="D1166" s="535">
        <v>289</v>
      </c>
      <c r="E1166" s="677">
        <v>10282.700000000001</v>
      </c>
      <c r="F1166" s="473" t="s">
        <v>2244</v>
      </c>
      <c r="G1166" s="510" t="s">
        <v>1661</v>
      </c>
      <c r="H1166" s="510" t="s">
        <v>2184</v>
      </c>
      <c r="I1166" s="473" t="s">
        <v>2184</v>
      </c>
      <c r="J1166" s="1145" t="s">
        <v>2628</v>
      </c>
    </row>
    <row r="1167" spans="1:10" ht="36" x14ac:dyDescent="0.2">
      <c r="A1167" s="1181" t="s">
        <v>2266</v>
      </c>
      <c r="B1167" s="535" t="s">
        <v>2130</v>
      </c>
      <c r="C1167" s="535" t="s">
        <v>1784</v>
      </c>
      <c r="D1167" s="535">
        <v>296</v>
      </c>
      <c r="E1167" s="677">
        <v>5000</v>
      </c>
      <c r="F1167" s="473" t="s">
        <v>2267</v>
      </c>
      <c r="G1167" s="510" t="s">
        <v>1661</v>
      </c>
      <c r="H1167" s="510" t="s">
        <v>1991</v>
      </c>
      <c r="I1167" s="473" t="s">
        <v>1991</v>
      </c>
      <c r="J1167" s="1145" t="s">
        <v>2628</v>
      </c>
    </row>
    <row r="1168" spans="1:10" ht="48" x14ac:dyDescent="0.2">
      <c r="A1168" s="1181" t="s">
        <v>2174</v>
      </c>
      <c r="B1168" s="535" t="s">
        <v>2130</v>
      </c>
      <c r="C1168" s="535" t="s">
        <v>1784</v>
      </c>
      <c r="D1168" s="535">
        <v>1</v>
      </c>
      <c r="E1168" s="677">
        <v>22428.39</v>
      </c>
      <c r="F1168" s="473" t="s">
        <v>2223</v>
      </c>
      <c r="G1168" s="510" t="s">
        <v>1661</v>
      </c>
      <c r="H1168" s="511">
        <v>43865</v>
      </c>
      <c r="I1168" s="473" t="s">
        <v>2268</v>
      </c>
      <c r="J1168" s="1145" t="s">
        <v>2628</v>
      </c>
    </row>
    <row r="1169" spans="1:10" ht="48" x14ac:dyDescent="0.2">
      <c r="A1169" s="1181" t="s">
        <v>2269</v>
      </c>
      <c r="B1169" s="535" t="s">
        <v>2130</v>
      </c>
      <c r="C1169" s="535" t="s">
        <v>1784</v>
      </c>
      <c r="D1169" s="535">
        <v>9</v>
      </c>
      <c r="E1169" s="677">
        <v>15820</v>
      </c>
      <c r="F1169" s="473" t="s">
        <v>2270</v>
      </c>
      <c r="G1169" s="510" t="s">
        <v>1661</v>
      </c>
      <c r="H1169" s="511">
        <v>43920</v>
      </c>
      <c r="I1169" s="473" t="s">
        <v>2271</v>
      </c>
      <c r="J1169" s="1145" t="s">
        <v>2628</v>
      </c>
    </row>
    <row r="1170" spans="1:10" ht="48" x14ac:dyDescent="0.2">
      <c r="A1170" s="1181" t="s">
        <v>2135</v>
      </c>
      <c r="B1170" s="535" t="s">
        <v>2130</v>
      </c>
      <c r="C1170" s="535" t="s">
        <v>1784</v>
      </c>
      <c r="D1170" s="535">
        <v>10</v>
      </c>
      <c r="E1170" s="677">
        <v>6780</v>
      </c>
      <c r="F1170" s="473" t="s">
        <v>2270</v>
      </c>
      <c r="G1170" s="510" t="s">
        <v>1661</v>
      </c>
      <c r="H1170" s="511">
        <v>43920</v>
      </c>
      <c r="I1170" s="473" t="s">
        <v>2271</v>
      </c>
      <c r="J1170" s="1145" t="s">
        <v>2628</v>
      </c>
    </row>
    <row r="1171" spans="1:10" ht="48" x14ac:dyDescent="0.2">
      <c r="A1171" s="1181" t="s">
        <v>2269</v>
      </c>
      <c r="B1171" s="535" t="s">
        <v>2130</v>
      </c>
      <c r="C1171" s="535" t="s">
        <v>1784</v>
      </c>
      <c r="D1171" s="535">
        <v>11</v>
      </c>
      <c r="E1171" s="677">
        <v>11300</v>
      </c>
      <c r="F1171" s="473" t="s">
        <v>2270</v>
      </c>
      <c r="G1171" s="510" t="s">
        <v>1661</v>
      </c>
      <c r="H1171" s="511">
        <v>43920</v>
      </c>
      <c r="I1171" s="473" t="s">
        <v>2271</v>
      </c>
      <c r="J1171" s="1145" t="s">
        <v>2628</v>
      </c>
    </row>
    <row r="1172" spans="1:10" ht="60" x14ac:dyDescent="0.2">
      <c r="A1172" s="1181" t="s">
        <v>2272</v>
      </c>
      <c r="B1172" s="535" t="s">
        <v>2142</v>
      </c>
      <c r="C1172" s="535" t="s">
        <v>1775</v>
      </c>
      <c r="D1172" s="535">
        <v>25</v>
      </c>
      <c r="E1172" s="677">
        <v>10228.24</v>
      </c>
      <c r="F1172" s="473" t="s">
        <v>2273</v>
      </c>
      <c r="G1172" s="510" t="s">
        <v>1661</v>
      </c>
      <c r="H1172" s="511">
        <v>43924</v>
      </c>
      <c r="I1172" s="473" t="s">
        <v>2274</v>
      </c>
      <c r="J1172" s="1145" t="s">
        <v>2628</v>
      </c>
    </row>
    <row r="1173" spans="1:10" ht="60" x14ac:dyDescent="0.2">
      <c r="A1173" s="1181" t="s">
        <v>2272</v>
      </c>
      <c r="B1173" s="535" t="s">
        <v>2142</v>
      </c>
      <c r="C1173" s="535" t="s">
        <v>1775</v>
      </c>
      <c r="D1173" s="535">
        <v>26</v>
      </c>
      <c r="E1173" s="677">
        <v>17120.57</v>
      </c>
      <c r="F1173" s="473" t="s">
        <v>2273</v>
      </c>
      <c r="G1173" s="510" t="s">
        <v>1661</v>
      </c>
      <c r="H1173" s="511">
        <v>43924</v>
      </c>
      <c r="I1173" s="473" t="s">
        <v>2274</v>
      </c>
      <c r="J1173" s="1145" t="s">
        <v>2628</v>
      </c>
    </row>
    <row r="1174" spans="1:10" ht="60" x14ac:dyDescent="0.2">
      <c r="A1174" s="1181" t="s">
        <v>2272</v>
      </c>
      <c r="B1174" s="535" t="s">
        <v>2142</v>
      </c>
      <c r="C1174" s="535" t="s">
        <v>1775</v>
      </c>
      <c r="D1174" s="535">
        <v>27</v>
      </c>
      <c r="E1174" s="677">
        <v>23989.31</v>
      </c>
      <c r="F1174" s="473" t="s">
        <v>2273</v>
      </c>
      <c r="G1174" s="510" t="s">
        <v>1661</v>
      </c>
      <c r="H1174" s="511">
        <v>43924</v>
      </c>
      <c r="I1174" s="473" t="s">
        <v>2274</v>
      </c>
      <c r="J1174" s="1145" t="s">
        <v>2628</v>
      </c>
    </row>
    <row r="1175" spans="1:10" ht="36" x14ac:dyDescent="0.2">
      <c r="A1175" s="1181" t="s">
        <v>2275</v>
      </c>
      <c r="B1175" s="535" t="s">
        <v>2142</v>
      </c>
      <c r="C1175" s="535" t="s">
        <v>1775</v>
      </c>
      <c r="D1175" s="535">
        <v>33</v>
      </c>
      <c r="E1175" s="677">
        <v>4130</v>
      </c>
      <c r="F1175" s="473" t="s">
        <v>2276</v>
      </c>
      <c r="G1175" s="510" t="s">
        <v>1661</v>
      </c>
      <c r="H1175" s="511">
        <v>43958</v>
      </c>
      <c r="I1175" s="473" t="s">
        <v>2277</v>
      </c>
      <c r="J1175" s="1145" t="s">
        <v>2628</v>
      </c>
    </row>
    <row r="1176" spans="1:10" ht="36" x14ac:dyDescent="0.2">
      <c r="A1176" s="1181" t="s">
        <v>2275</v>
      </c>
      <c r="B1176" s="535" t="s">
        <v>2142</v>
      </c>
      <c r="C1176" s="535" t="s">
        <v>1775</v>
      </c>
      <c r="D1176" s="535">
        <v>34</v>
      </c>
      <c r="E1176" s="677">
        <v>5782</v>
      </c>
      <c r="F1176" s="473" t="s">
        <v>2276</v>
      </c>
      <c r="G1176" s="510" t="s">
        <v>1661</v>
      </c>
      <c r="H1176" s="511">
        <v>43958</v>
      </c>
      <c r="I1176" s="473" t="s">
        <v>2277</v>
      </c>
      <c r="J1176" s="1145" t="s">
        <v>2628</v>
      </c>
    </row>
    <row r="1177" spans="1:10" ht="36" x14ac:dyDescent="0.2">
      <c r="A1177" s="1181" t="s">
        <v>2278</v>
      </c>
      <c r="B1177" s="535" t="s">
        <v>2130</v>
      </c>
      <c r="C1177" s="535" t="s">
        <v>1784</v>
      </c>
      <c r="D1177" s="535">
        <v>36</v>
      </c>
      <c r="E1177" s="677">
        <v>5928</v>
      </c>
      <c r="F1177" s="473" t="s">
        <v>2279</v>
      </c>
      <c r="G1177" s="510" t="s">
        <v>1661</v>
      </c>
      <c r="H1177" s="511">
        <v>44007</v>
      </c>
      <c r="I1177" s="473" t="s">
        <v>2280</v>
      </c>
      <c r="J1177" s="1145" t="s">
        <v>2628</v>
      </c>
    </row>
    <row r="1178" spans="1:10" ht="36" x14ac:dyDescent="0.2">
      <c r="A1178" s="1181" t="s">
        <v>2281</v>
      </c>
      <c r="B1178" s="535" t="s">
        <v>2130</v>
      </c>
      <c r="C1178" s="535" t="s">
        <v>1784</v>
      </c>
      <c r="D1178" s="535">
        <v>37</v>
      </c>
      <c r="E1178" s="677">
        <v>4000</v>
      </c>
      <c r="F1178" s="473" t="s">
        <v>2279</v>
      </c>
      <c r="G1178" s="510" t="s">
        <v>1661</v>
      </c>
      <c r="H1178" s="511">
        <v>44007</v>
      </c>
      <c r="I1178" s="473" t="s">
        <v>2280</v>
      </c>
      <c r="J1178" s="1145" t="s">
        <v>2628</v>
      </c>
    </row>
    <row r="1179" spans="1:10" ht="72" x14ac:dyDescent="0.2">
      <c r="A1179" s="1181" t="s">
        <v>2282</v>
      </c>
      <c r="B1179" s="535" t="s">
        <v>2142</v>
      </c>
      <c r="C1179" s="535" t="s">
        <v>1775</v>
      </c>
      <c r="D1179" s="535">
        <v>38</v>
      </c>
      <c r="E1179" s="677">
        <v>4602</v>
      </c>
      <c r="F1179" s="473" t="s">
        <v>2283</v>
      </c>
      <c r="G1179" s="510" t="s">
        <v>1661</v>
      </c>
      <c r="H1179" s="511">
        <v>44025</v>
      </c>
      <c r="I1179" s="473" t="s">
        <v>2277</v>
      </c>
      <c r="J1179" s="1145" t="s">
        <v>2628</v>
      </c>
    </row>
    <row r="1180" spans="1:10" ht="48" x14ac:dyDescent="0.2">
      <c r="A1180" s="1181" t="s">
        <v>2284</v>
      </c>
      <c r="B1180" s="535" t="s">
        <v>2142</v>
      </c>
      <c r="C1180" s="535" t="s">
        <v>1775</v>
      </c>
      <c r="D1180" s="535">
        <v>39</v>
      </c>
      <c r="E1180" s="677">
        <v>8909</v>
      </c>
      <c r="F1180" s="473" t="s">
        <v>2285</v>
      </c>
      <c r="G1180" s="510" t="s">
        <v>1661</v>
      </c>
      <c r="H1180" s="511">
        <v>44025</v>
      </c>
      <c r="I1180" s="473" t="s">
        <v>2286</v>
      </c>
      <c r="J1180" s="1145" t="s">
        <v>2628</v>
      </c>
    </row>
    <row r="1181" spans="1:10" ht="72" x14ac:dyDescent="0.2">
      <c r="A1181" s="1181" t="s">
        <v>2287</v>
      </c>
      <c r="B1181" s="535" t="s">
        <v>2142</v>
      </c>
      <c r="C1181" s="535" t="s">
        <v>1775</v>
      </c>
      <c r="D1181" s="535">
        <v>40</v>
      </c>
      <c r="E1181" s="677">
        <v>6442.8</v>
      </c>
      <c r="F1181" s="473" t="s">
        <v>2283</v>
      </c>
      <c r="G1181" s="510" t="s">
        <v>1661</v>
      </c>
      <c r="H1181" s="510" t="s">
        <v>2288</v>
      </c>
      <c r="I1181" s="473" t="s">
        <v>2289</v>
      </c>
      <c r="J1181" s="1145" t="s">
        <v>2628</v>
      </c>
    </row>
    <row r="1182" spans="1:10" ht="36" x14ac:dyDescent="0.2">
      <c r="A1182" s="1181" t="s">
        <v>2290</v>
      </c>
      <c r="B1182" s="535" t="s">
        <v>2142</v>
      </c>
      <c r="C1182" s="535" t="s">
        <v>1775</v>
      </c>
      <c r="D1182" s="535">
        <v>41</v>
      </c>
      <c r="E1182" s="677">
        <v>8177.4</v>
      </c>
      <c r="F1182" s="473" t="s">
        <v>2291</v>
      </c>
      <c r="G1182" s="510" t="s">
        <v>1661</v>
      </c>
      <c r="H1182" s="510" t="s">
        <v>2288</v>
      </c>
      <c r="I1182" s="473" t="s">
        <v>2286</v>
      </c>
      <c r="J1182" s="1145" t="s">
        <v>2628</v>
      </c>
    </row>
    <row r="1183" spans="1:10" ht="48" x14ac:dyDescent="0.2">
      <c r="A1183" s="1181" t="s">
        <v>2284</v>
      </c>
      <c r="B1183" s="535" t="s">
        <v>2142</v>
      </c>
      <c r="C1183" s="535" t="s">
        <v>1775</v>
      </c>
      <c r="D1183" s="535">
        <v>42</v>
      </c>
      <c r="E1183" s="677">
        <v>12472.6</v>
      </c>
      <c r="F1183" s="473" t="s">
        <v>2285</v>
      </c>
      <c r="G1183" s="510" t="s">
        <v>1661</v>
      </c>
      <c r="H1183" s="510" t="s">
        <v>2288</v>
      </c>
      <c r="I1183" s="473" t="s">
        <v>2286</v>
      </c>
      <c r="J1183" s="1145" t="s">
        <v>2628</v>
      </c>
    </row>
    <row r="1184" spans="1:10" ht="48" x14ac:dyDescent="0.2">
      <c r="A1184" s="1181" t="s">
        <v>2284</v>
      </c>
      <c r="B1184" s="535" t="s">
        <v>2142</v>
      </c>
      <c r="C1184" s="535" t="s">
        <v>1775</v>
      </c>
      <c r="D1184" s="535">
        <v>45</v>
      </c>
      <c r="E1184" s="677">
        <v>5345.4</v>
      </c>
      <c r="F1184" s="473" t="s">
        <v>2285</v>
      </c>
      <c r="G1184" s="510" t="s">
        <v>1661</v>
      </c>
      <c r="H1184" s="510" t="s">
        <v>2288</v>
      </c>
      <c r="I1184" s="473" t="s">
        <v>2286</v>
      </c>
      <c r="J1184" s="1145" t="s">
        <v>2628</v>
      </c>
    </row>
    <row r="1185" spans="1:10" ht="36" x14ac:dyDescent="0.2">
      <c r="A1185" s="1181" t="s">
        <v>2129</v>
      </c>
      <c r="B1185" s="535" t="s">
        <v>2130</v>
      </c>
      <c r="C1185" s="535" t="s">
        <v>1784</v>
      </c>
      <c r="D1185" s="535">
        <v>65</v>
      </c>
      <c r="E1185" s="677">
        <v>6990</v>
      </c>
      <c r="F1185" s="473" t="s">
        <v>2131</v>
      </c>
      <c r="G1185" s="510" t="s">
        <v>1661</v>
      </c>
      <c r="H1185" s="510" t="s">
        <v>2292</v>
      </c>
      <c r="I1185" s="473" t="s">
        <v>2293</v>
      </c>
      <c r="J1185" s="1145" t="s">
        <v>2628</v>
      </c>
    </row>
    <row r="1186" spans="1:10" ht="36" x14ac:dyDescent="0.2">
      <c r="A1186" s="1181" t="s">
        <v>2294</v>
      </c>
      <c r="B1186" s="535" t="s">
        <v>2142</v>
      </c>
      <c r="C1186" s="535" t="s">
        <v>1775</v>
      </c>
      <c r="D1186" s="535">
        <v>67</v>
      </c>
      <c r="E1186" s="677">
        <v>4106.3999999999996</v>
      </c>
      <c r="F1186" s="473" t="s">
        <v>2295</v>
      </c>
      <c r="G1186" s="510" t="s">
        <v>1318</v>
      </c>
      <c r="H1186" s="510" t="s">
        <v>2296</v>
      </c>
      <c r="I1186" s="473"/>
      <c r="J1186" s="1145" t="s">
        <v>2628</v>
      </c>
    </row>
    <row r="1187" spans="1:10" ht="36" x14ac:dyDescent="0.2">
      <c r="A1187" s="1181" t="s">
        <v>2297</v>
      </c>
      <c r="B1187" s="535" t="s">
        <v>2142</v>
      </c>
      <c r="C1187" s="535" t="s">
        <v>1775</v>
      </c>
      <c r="D1187" s="535">
        <v>68</v>
      </c>
      <c r="E1187" s="677">
        <v>6333.06</v>
      </c>
      <c r="F1187" s="473" t="s">
        <v>2295</v>
      </c>
      <c r="G1187" s="510" t="s">
        <v>1318</v>
      </c>
      <c r="H1187" s="510" t="s">
        <v>2296</v>
      </c>
      <c r="I1187" s="473"/>
      <c r="J1187" s="1145" t="s">
        <v>2628</v>
      </c>
    </row>
    <row r="1188" spans="1:10" ht="36" x14ac:dyDescent="0.2">
      <c r="A1188" s="1181" t="s">
        <v>2298</v>
      </c>
      <c r="B1188" s="535" t="s">
        <v>2142</v>
      </c>
      <c r="C1188" s="535" t="s">
        <v>1775</v>
      </c>
      <c r="D1188" s="535">
        <v>69</v>
      </c>
      <c r="E1188" s="677">
        <v>6608</v>
      </c>
      <c r="F1188" s="473" t="s">
        <v>2295</v>
      </c>
      <c r="G1188" s="510" t="s">
        <v>1318</v>
      </c>
      <c r="H1188" s="510" t="s">
        <v>2296</v>
      </c>
      <c r="I1188" s="473"/>
      <c r="J1188" s="1145" t="s">
        <v>2628</v>
      </c>
    </row>
    <row r="1189" spans="1:10" ht="36" x14ac:dyDescent="0.2">
      <c r="A1189" s="1181" t="s">
        <v>2294</v>
      </c>
      <c r="B1189" s="535" t="s">
        <v>2142</v>
      </c>
      <c r="C1189" s="535" t="s">
        <v>1775</v>
      </c>
      <c r="D1189" s="535">
        <v>70</v>
      </c>
      <c r="E1189" s="677">
        <v>9581.6</v>
      </c>
      <c r="F1189" s="473" t="s">
        <v>2295</v>
      </c>
      <c r="G1189" s="510" t="s">
        <v>1318</v>
      </c>
      <c r="H1189" s="510" t="s">
        <v>2296</v>
      </c>
      <c r="I1189" s="473"/>
      <c r="J1189" s="1145" t="s">
        <v>2628</v>
      </c>
    </row>
    <row r="1190" spans="1:10" ht="36" x14ac:dyDescent="0.2">
      <c r="A1190" s="1181" t="s">
        <v>2298</v>
      </c>
      <c r="B1190" s="535" t="s">
        <v>2142</v>
      </c>
      <c r="C1190" s="535" t="s">
        <v>1775</v>
      </c>
      <c r="D1190" s="535">
        <v>71</v>
      </c>
      <c r="E1190" s="677">
        <v>4720</v>
      </c>
      <c r="F1190" s="473" t="s">
        <v>2295</v>
      </c>
      <c r="G1190" s="510" t="s">
        <v>1318</v>
      </c>
      <c r="H1190" s="510" t="s">
        <v>2296</v>
      </c>
      <c r="I1190" s="473"/>
      <c r="J1190" s="1145" t="s">
        <v>2628</v>
      </c>
    </row>
    <row r="1191" spans="1:10" ht="36" x14ac:dyDescent="0.2">
      <c r="A1191" s="1181" t="s">
        <v>2299</v>
      </c>
      <c r="B1191" s="535" t="s">
        <v>2142</v>
      </c>
      <c r="C1191" s="535" t="s">
        <v>1775</v>
      </c>
      <c r="D1191" s="535">
        <v>72</v>
      </c>
      <c r="E1191" s="677">
        <v>10555.1</v>
      </c>
      <c r="F1191" s="473" t="s">
        <v>2295</v>
      </c>
      <c r="G1191" s="510" t="s">
        <v>1318</v>
      </c>
      <c r="H1191" s="510" t="s">
        <v>2296</v>
      </c>
      <c r="I1191" s="473"/>
      <c r="J1191" s="1145" t="s">
        <v>2628</v>
      </c>
    </row>
    <row r="1192" spans="1:10" ht="36" x14ac:dyDescent="0.2">
      <c r="A1192" s="1181" t="s">
        <v>2300</v>
      </c>
      <c r="B1192" s="535" t="s">
        <v>2130</v>
      </c>
      <c r="C1192" s="535" t="s">
        <v>1784</v>
      </c>
      <c r="D1192" s="535">
        <v>74</v>
      </c>
      <c r="E1192" s="677">
        <v>5100</v>
      </c>
      <c r="F1192" s="473" t="s">
        <v>2301</v>
      </c>
      <c r="G1192" s="510" t="s">
        <v>1661</v>
      </c>
      <c r="H1192" s="512">
        <v>44096</v>
      </c>
      <c r="I1192" s="473" t="s">
        <v>2302</v>
      </c>
      <c r="J1192" s="1145" t="s">
        <v>2628</v>
      </c>
    </row>
    <row r="1193" spans="1:10" ht="36" x14ac:dyDescent="0.2">
      <c r="A1193" s="1181" t="s">
        <v>2303</v>
      </c>
      <c r="B1193" s="535" t="s">
        <v>2142</v>
      </c>
      <c r="C1193" s="535" t="s">
        <v>1775</v>
      </c>
      <c r="D1193" s="535">
        <v>76</v>
      </c>
      <c r="E1193" s="677">
        <v>5451.6</v>
      </c>
      <c r="F1193" s="473" t="s">
        <v>2304</v>
      </c>
      <c r="G1193" s="510" t="s">
        <v>1661</v>
      </c>
      <c r="H1193" s="510" t="s">
        <v>2293</v>
      </c>
      <c r="I1193" s="473"/>
      <c r="J1193" s="1145" t="s">
        <v>2628</v>
      </c>
    </row>
    <row r="1194" spans="1:10" ht="36" x14ac:dyDescent="0.2">
      <c r="A1194" s="1181" t="s">
        <v>2305</v>
      </c>
      <c r="B1194" s="535" t="s">
        <v>2130</v>
      </c>
      <c r="C1194" s="535" t="s">
        <v>1784</v>
      </c>
      <c r="D1194" s="535">
        <v>78</v>
      </c>
      <c r="E1194" s="677">
        <v>4750</v>
      </c>
      <c r="F1194" s="473" t="s">
        <v>2136</v>
      </c>
      <c r="G1194" s="510" t="s">
        <v>1661</v>
      </c>
      <c r="H1194" s="511">
        <v>44098</v>
      </c>
      <c r="I1194" s="473" t="s">
        <v>2302</v>
      </c>
      <c r="J1194" s="1145" t="s">
        <v>2628</v>
      </c>
    </row>
    <row r="1195" spans="1:10" ht="48" x14ac:dyDescent="0.2">
      <c r="A1195" s="1181" t="s">
        <v>2306</v>
      </c>
      <c r="B1195" s="535" t="s">
        <v>2142</v>
      </c>
      <c r="C1195" s="535" t="s">
        <v>1775</v>
      </c>
      <c r="D1195" s="535">
        <v>4</v>
      </c>
      <c r="E1195" s="677">
        <v>2957.67</v>
      </c>
      <c r="F1195" s="473" t="s">
        <v>2172</v>
      </c>
      <c r="G1195" s="510" t="s">
        <v>1661</v>
      </c>
      <c r="H1195" s="512">
        <v>43865</v>
      </c>
      <c r="I1195" s="473" t="s">
        <v>2307</v>
      </c>
      <c r="J1195" s="1145" t="s">
        <v>2628</v>
      </c>
    </row>
    <row r="1196" spans="1:10" ht="48" x14ac:dyDescent="0.2">
      <c r="A1196" s="1181" t="s">
        <v>2308</v>
      </c>
      <c r="B1196" s="535" t="s">
        <v>2142</v>
      </c>
      <c r="C1196" s="535" t="s">
        <v>1775</v>
      </c>
      <c r="D1196" s="535">
        <v>5</v>
      </c>
      <c r="E1196" s="677">
        <v>2079.4699999999998</v>
      </c>
      <c r="F1196" s="473" t="s">
        <v>2172</v>
      </c>
      <c r="G1196" s="510" t="s">
        <v>1661</v>
      </c>
      <c r="H1196" s="512">
        <v>43865</v>
      </c>
      <c r="I1196" s="473" t="s">
        <v>2307</v>
      </c>
      <c r="J1196" s="1145" t="s">
        <v>2628</v>
      </c>
    </row>
    <row r="1197" spans="1:10" ht="36" x14ac:dyDescent="0.2">
      <c r="A1197" s="1181" t="s">
        <v>2309</v>
      </c>
      <c r="B1197" s="535" t="s">
        <v>2130</v>
      </c>
      <c r="C1197" s="535" t="s">
        <v>1784</v>
      </c>
      <c r="D1197" s="535">
        <v>7</v>
      </c>
      <c r="E1197" s="677">
        <v>3000</v>
      </c>
      <c r="F1197" s="473" t="s">
        <v>2139</v>
      </c>
      <c r="G1197" s="510" t="s">
        <v>1661</v>
      </c>
      <c r="H1197" s="511">
        <v>43868</v>
      </c>
      <c r="I1197" s="473" t="s">
        <v>2268</v>
      </c>
      <c r="J1197" s="1145" t="s">
        <v>2628</v>
      </c>
    </row>
    <row r="1198" spans="1:10" ht="48" x14ac:dyDescent="0.2">
      <c r="A1198" s="1181" t="s">
        <v>2208</v>
      </c>
      <c r="B1198" s="535" t="s">
        <v>2142</v>
      </c>
      <c r="C1198" s="535" t="s">
        <v>1775</v>
      </c>
      <c r="D1198" s="535">
        <v>8</v>
      </c>
      <c r="E1198" s="677">
        <v>3404.82</v>
      </c>
      <c r="F1198" s="473" t="s">
        <v>2172</v>
      </c>
      <c r="G1198" s="510" t="s">
        <v>1661</v>
      </c>
      <c r="H1198" s="511">
        <v>43871</v>
      </c>
      <c r="I1198" s="473" t="s">
        <v>2307</v>
      </c>
      <c r="J1198" s="1145" t="s">
        <v>2628</v>
      </c>
    </row>
    <row r="1199" spans="1:10" ht="48" x14ac:dyDescent="0.2">
      <c r="A1199" s="1181" t="s">
        <v>2310</v>
      </c>
      <c r="B1199" s="535" t="s">
        <v>2142</v>
      </c>
      <c r="C1199" s="535" t="s">
        <v>1775</v>
      </c>
      <c r="D1199" s="535">
        <v>21</v>
      </c>
      <c r="E1199" s="677">
        <v>2977.14</v>
      </c>
      <c r="F1199" s="473" t="s">
        <v>2311</v>
      </c>
      <c r="G1199" s="510" t="s">
        <v>1661</v>
      </c>
      <c r="H1199" s="511">
        <v>43924</v>
      </c>
      <c r="I1199" s="473" t="s">
        <v>2312</v>
      </c>
      <c r="J1199" s="1145" t="s">
        <v>2628</v>
      </c>
    </row>
    <row r="1200" spans="1:10" ht="60" x14ac:dyDescent="0.2">
      <c r="A1200" s="1181" t="s">
        <v>2272</v>
      </c>
      <c r="B1200" s="535" t="s">
        <v>2142</v>
      </c>
      <c r="C1200" s="535" t="s">
        <v>1775</v>
      </c>
      <c r="D1200" s="535">
        <v>30</v>
      </c>
      <c r="E1200" s="677">
        <v>2726.69</v>
      </c>
      <c r="F1200" s="473" t="s">
        <v>2273</v>
      </c>
      <c r="G1200" s="510" t="s">
        <v>1661</v>
      </c>
      <c r="H1200" s="511">
        <v>43955</v>
      </c>
      <c r="I1200" s="473" t="s">
        <v>2313</v>
      </c>
      <c r="J1200" s="1145" t="s">
        <v>2628</v>
      </c>
    </row>
    <row r="1201" spans="1:10" ht="36" x14ac:dyDescent="0.2">
      <c r="A1201" s="1181" t="s">
        <v>2314</v>
      </c>
      <c r="B1201" s="535" t="s">
        <v>2130</v>
      </c>
      <c r="C1201" s="535" t="s">
        <v>1784</v>
      </c>
      <c r="D1201" s="535">
        <v>35</v>
      </c>
      <c r="E1201" s="677">
        <v>3000</v>
      </c>
      <c r="F1201" s="473" t="s">
        <v>2136</v>
      </c>
      <c r="G1201" s="510" t="s">
        <v>1661</v>
      </c>
      <c r="H1201" s="511">
        <v>43991</v>
      </c>
      <c r="I1201" s="473" t="s">
        <v>2315</v>
      </c>
      <c r="J1201" s="1145" t="s">
        <v>2628</v>
      </c>
    </row>
    <row r="1202" spans="1:10" ht="36" x14ac:dyDescent="0.2">
      <c r="A1202" s="1181" t="s">
        <v>2287</v>
      </c>
      <c r="B1202" s="535" t="s">
        <v>2142</v>
      </c>
      <c r="C1202" s="535" t="s">
        <v>1775</v>
      </c>
      <c r="D1202" s="535">
        <v>43</v>
      </c>
      <c r="E1202" s="677">
        <v>2655</v>
      </c>
      <c r="F1202" s="473" t="s">
        <v>2304</v>
      </c>
      <c r="G1202" s="510" t="s">
        <v>1661</v>
      </c>
      <c r="H1202" s="511">
        <v>44025</v>
      </c>
      <c r="I1202" s="473" t="s">
        <v>2286</v>
      </c>
      <c r="J1202" s="1145" t="s">
        <v>2628</v>
      </c>
    </row>
    <row r="1203" spans="1:10" ht="48" x14ac:dyDescent="0.2">
      <c r="A1203" s="1181" t="s">
        <v>2290</v>
      </c>
      <c r="B1203" s="535" t="s">
        <v>2142</v>
      </c>
      <c r="C1203" s="535" t="s">
        <v>1775</v>
      </c>
      <c r="D1203" s="535">
        <v>44</v>
      </c>
      <c r="E1203" s="677">
        <v>3504.6</v>
      </c>
      <c r="F1203" s="473" t="s">
        <v>2316</v>
      </c>
      <c r="G1203" s="510" t="s">
        <v>1661</v>
      </c>
      <c r="H1203" s="511">
        <v>44025</v>
      </c>
      <c r="I1203" s="473"/>
      <c r="J1203" s="1145" t="s">
        <v>2628</v>
      </c>
    </row>
    <row r="1204" spans="1:10" ht="36" x14ac:dyDescent="0.2">
      <c r="A1204" s="1181" t="s">
        <v>2305</v>
      </c>
      <c r="B1204" s="535" t="s">
        <v>2130</v>
      </c>
      <c r="C1204" s="535" t="s">
        <v>1784</v>
      </c>
      <c r="D1204" s="535">
        <v>51</v>
      </c>
      <c r="E1204" s="677">
        <v>2375</v>
      </c>
      <c r="F1204" s="473" t="s">
        <v>2136</v>
      </c>
      <c r="G1204" s="510" t="s">
        <v>1661</v>
      </c>
      <c r="H1204" s="511">
        <v>44067</v>
      </c>
      <c r="I1204" s="473" t="s">
        <v>2317</v>
      </c>
      <c r="J1204" s="1145" t="s">
        <v>2628</v>
      </c>
    </row>
    <row r="1205" spans="1:10" ht="84" x14ac:dyDescent="0.2">
      <c r="A1205" s="1181" t="s">
        <v>2318</v>
      </c>
      <c r="B1205" s="535" t="s">
        <v>2142</v>
      </c>
      <c r="C1205" s="535" t="s">
        <v>1775</v>
      </c>
      <c r="D1205" s="535">
        <v>54</v>
      </c>
      <c r="E1205" s="677">
        <v>3398.4</v>
      </c>
      <c r="F1205" s="473" t="s">
        <v>2146</v>
      </c>
      <c r="G1205" s="510" t="s">
        <v>1661</v>
      </c>
      <c r="H1205" s="511">
        <v>44069</v>
      </c>
      <c r="I1205" s="473" t="s">
        <v>2319</v>
      </c>
      <c r="J1205" s="1145" t="s">
        <v>2628</v>
      </c>
    </row>
    <row r="1206" spans="1:10" ht="84" x14ac:dyDescent="0.2">
      <c r="A1206" s="1181" t="s">
        <v>2320</v>
      </c>
      <c r="B1206" s="535" t="s">
        <v>2142</v>
      </c>
      <c r="C1206" s="535" t="s">
        <v>1775</v>
      </c>
      <c r="D1206" s="535">
        <v>55</v>
      </c>
      <c r="E1206" s="677">
        <v>3398.4</v>
      </c>
      <c r="F1206" s="473" t="s">
        <v>2146</v>
      </c>
      <c r="G1206" s="510" t="s">
        <v>1661</v>
      </c>
      <c r="H1206" s="511">
        <v>44069</v>
      </c>
      <c r="I1206" s="473" t="s">
        <v>2319</v>
      </c>
      <c r="J1206" s="1145" t="s">
        <v>2628</v>
      </c>
    </row>
    <row r="1207" spans="1:10" ht="84" x14ac:dyDescent="0.2">
      <c r="A1207" s="1181" t="s">
        <v>2321</v>
      </c>
      <c r="B1207" s="535" t="s">
        <v>2142</v>
      </c>
      <c r="C1207" s="535" t="s">
        <v>1775</v>
      </c>
      <c r="D1207" s="535">
        <v>56</v>
      </c>
      <c r="E1207" s="677">
        <v>3398.4</v>
      </c>
      <c r="F1207" s="473" t="s">
        <v>2146</v>
      </c>
      <c r="G1207" s="510" t="s">
        <v>1661</v>
      </c>
      <c r="H1207" s="511">
        <v>44069</v>
      </c>
      <c r="I1207" s="473" t="s">
        <v>2322</v>
      </c>
      <c r="J1207" s="1145" t="s">
        <v>2628</v>
      </c>
    </row>
    <row r="1208" spans="1:10" ht="36" x14ac:dyDescent="0.2">
      <c r="A1208" s="1181" t="s">
        <v>2323</v>
      </c>
      <c r="B1208" s="535" t="s">
        <v>2142</v>
      </c>
      <c r="C1208" s="535" t="s">
        <v>1775</v>
      </c>
      <c r="D1208" s="535">
        <v>61</v>
      </c>
      <c r="E1208" s="677">
        <v>2968.47</v>
      </c>
      <c r="F1208" s="473" t="s">
        <v>2324</v>
      </c>
      <c r="G1208" s="510" t="s">
        <v>1661</v>
      </c>
      <c r="H1208" s="511">
        <v>44069</v>
      </c>
      <c r="I1208" s="473" t="s">
        <v>2319</v>
      </c>
      <c r="J1208" s="1145" t="s">
        <v>2628</v>
      </c>
    </row>
    <row r="1209" spans="1:10" ht="36" x14ac:dyDescent="0.2">
      <c r="A1209" s="1181" t="s">
        <v>2298</v>
      </c>
      <c r="B1209" s="535" t="s">
        <v>2142</v>
      </c>
      <c r="C1209" s="535" t="s">
        <v>1775</v>
      </c>
      <c r="D1209" s="535">
        <v>66</v>
      </c>
      <c r="E1209" s="677">
        <v>2832</v>
      </c>
      <c r="F1209" s="473" t="s">
        <v>2295</v>
      </c>
      <c r="G1209" s="510" t="s">
        <v>1661</v>
      </c>
      <c r="H1209" s="511">
        <v>44092</v>
      </c>
      <c r="I1209" s="473"/>
      <c r="J1209" s="1145" t="s">
        <v>2628</v>
      </c>
    </row>
    <row r="1210" spans="1:10" ht="36" x14ac:dyDescent="0.2">
      <c r="A1210" s="1181" t="s">
        <v>2325</v>
      </c>
      <c r="B1210" s="535" t="s">
        <v>2130</v>
      </c>
      <c r="C1210" s="535" t="s">
        <v>1784</v>
      </c>
      <c r="D1210" s="535">
        <v>73</v>
      </c>
      <c r="E1210" s="677">
        <v>2500</v>
      </c>
      <c r="F1210" s="473" t="s">
        <v>2279</v>
      </c>
      <c r="G1210" s="510" t="s">
        <v>1661</v>
      </c>
      <c r="H1210" s="511">
        <v>44096</v>
      </c>
      <c r="I1210" s="473" t="s">
        <v>2326</v>
      </c>
      <c r="J1210" s="1145" t="s">
        <v>2628</v>
      </c>
    </row>
    <row r="1211" spans="1:10" ht="24" x14ac:dyDescent="0.2">
      <c r="A1211" s="1181" t="s">
        <v>2303</v>
      </c>
      <c r="B1211" s="535" t="s">
        <v>2142</v>
      </c>
      <c r="C1211" s="535" t="s">
        <v>1775</v>
      </c>
      <c r="D1211" s="535">
        <v>75</v>
      </c>
      <c r="E1211" s="677">
        <v>2301</v>
      </c>
      <c r="F1211" s="473" t="s">
        <v>2327</v>
      </c>
      <c r="G1211" s="510" t="s">
        <v>1661</v>
      </c>
      <c r="H1211" s="511">
        <v>44096</v>
      </c>
      <c r="I1211" s="473" t="s">
        <v>2328</v>
      </c>
      <c r="J1211" s="1145" t="s">
        <v>2628</v>
      </c>
    </row>
    <row r="1212" spans="1:10" ht="24" x14ac:dyDescent="0.2">
      <c r="A1212" s="1181" t="s">
        <v>2303</v>
      </c>
      <c r="B1212" s="535" t="s">
        <v>2142</v>
      </c>
      <c r="C1212" s="535" t="s">
        <v>1775</v>
      </c>
      <c r="D1212" s="535">
        <v>77</v>
      </c>
      <c r="E1212" s="677">
        <v>3835</v>
      </c>
      <c r="F1212" s="473" t="s">
        <v>2327</v>
      </c>
      <c r="G1212" s="510" t="s">
        <v>1661</v>
      </c>
      <c r="H1212" s="511">
        <v>44096</v>
      </c>
      <c r="I1212" s="473" t="s">
        <v>2328</v>
      </c>
      <c r="J1212" s="1145" t="s">
        <v>2628</v>
      </c>
    </row>
    <row r="1213" spans="1:10" ht="36" x14ac:dyDescent="0.2">
      <c r="A1213" s="1181" t="s">
        <v>2278</v>
      </c>
      <c r="B1213" s="535" t="s">
        <v>2130</v>
      </c>
      <c r="C1213" s="535" t="s">
        <v>1784</v>
      </c>
      <c r="D1213" s="535">
        <v>79</v>
      </c>
      <c r="E1213" s="677">
        <v>2750</v>
      </c>
      <c r="F1213" s="473" t="s">
        <v>2279</v>
      </c>
      <c r="G1213" s="510" t="s">
        <v>1661</v>
      </c>
      <c r="H1213" s="511">
        <v>44098</v>
      </c>
      <c r="I1213" s="473" t="s">
        <v>2326</v>
      </c>
      <c r="J1213" s="1145" t="s">
        <v>2628</v>
      </c>
    </row>
    <row r="1214" spans="1:10" ht="24" x14ac:dyDescent="0.2">
      <c r="A1214" s="1181" t="s">
        <v>2031</v>
      </c>
      <c r="B1214" s="535" t="s">
        <v>2130</v>
      </c>
      <c r="C1214" s="535" t="s">
        <v>1784</v>
      </c>
      <c r="D1214" s="535">
        <v>2</v>
      </c>
      <c r="E1214" s="677">
        <v>15168.84</v>
      </c>
      <c r="F1214" s="473" t="s">
        <v>2329</v>
      </c>
      <c r="G1214" s="510" t="s">
        <v>1661</v>
      </c>
      <c r="H1214" s="511">
        <v>43858</v>
      </c>
      <c r="I1214" s="473" t="s">
        <v>2330</v>
      </c>
      <c r="J1214" s="1145" t="s">
        <v>2628</v>
      </c>
    </row>
    <row r="1215" spans="1:10" ht="24" x14ac:dyDescent="0.2">
      <c r="A1215" s="1181" t="s">
        <v>2031</v>
      </c>
      <c r="B1215" s="535" t="s">
        <v>2130</v>
      </c>
      <c r="C1215" s="535" t="s">
        <v>1784</v>
      </c>
      <c r="D1215" s="535">
        <v>3</v>
      </c>
      <c r="E1215" s="677">
        <v>16590.5</v>
      </c>
      <c r="F1215" s="473" t="s">
        <v>2329</v>
      </c>
      <c r="G1215" s="510" t="s">
        <v>1661</v>
      </c>
      <c r="H1215" s="511">
        <v>43858</v>
      </c>
      <c r="I1215" s="473" t="s">
        <v>2330</v>
      </c>
      <c r="J1215" s="1145" t="s">
        <v>2628</v>
      </c>
    </row>
    <row r="1216" spans="1:10" ht="48" x14ac:dyDescent="0.2">
      <c r="A1216" s="1181" t="s">
        <v>2037</v>
      </c>
      <c r="B1216" s="535" t="s">
        <v>2130</v>
      </c>
      <c r="C1216" s="535" t="s">
        <v>1784</v>
      </c>
      <c r="D1216" s="535">
        <v>16</v>
      </c>
      <c r="E1216" s="677">
        <v>11518.3</v>
      </c>
      <c r="F1216" s="473" t="s">
        <v>2331</v>
      </c>
      <c r="G1216" s="510" t="s">
        <v>1661</v>
      </c>
      <c r="H1216" s="511">
        <v>43873</v>
      </c>
      <c r="I1216" s="679">
        <v>44105</v>
      </c>
      <c r="J1216" s="1145" t="s">
        <v>2628</v>
      </c>
    </row>
    <row r="1217" spans="1:10" ht="36" x14ac:dyDescent="0.2">
      <c r="A1217" s="1181" t="s">
        <v>2037</v>
      </c>
      <c r="B1217" s="535" t="s">
        <v>2130</v>
      </c>
      <c r="C1217" s="535" t="s">
        <v>1784</v>
      </c>
      <c r="D1217" s="535">
        <v>18</v>
      </c>
      <c r="E1217" s="677">
        <v>16206.66</v>
      </c>
      <c r="F1217" s="473" t="s">
        <v>2230</v>
      </c>
      <c r="G1217" s="510" t="s">
        <v>1661</v>
      </c>
      <c r="H1217" s="511">
        <v>43873</v>
      </c>
      <c r="I1217" s="679">
        <v>44105</v>
      </c>
      <c r="J1217" s="1145" t="s">
        <v>2628</v>
      </c>
    </row>
    <row r="1218" spans="1:10" ht="36" x14ac:dyDescent="0.2">
      <c r="A1218" s="1181" t="s">
        <v>2037</v>
      </c>
      <c r="B1218" s="535" t="s">
        <v>2130</v>
      </c>
      <c r="C1218" s="535" t="s">
        <v>1784</v>
      </c>
      <c r="D1218" s="535">
        <v>19</v>
      </c>
      <c r="E1218" s="677">
        <v>6319.81</v>
      </c>
      <c r="F1218" s="473" t="s">
        <v>2230</v>
      </c>
      <c r="G1218" s="510" t="s">
        <v>1661</v>
      </c>
      <c r="H1218" s="511">
        <v>43873</v>
      </c>
      <c r="I1218" s="679">
        <v>44105</v>
      </c>
      <c r="J1218" s="1145" t="s">
        <v>2628</v>
      </c>
    </row>
    <row r="1219" spans="1:10" ht="48" x14ac:dyDescent="0.2">
      <c r="A1219" s="1181" t="s">
        <v>2037</v>
      </c>
      <c r="B1219" s="535" t="s">
        <v>2130</v>
      </c>
      <c r="C1219" s="535" t="s">
        <v>1784</v>
      </c>
      <c r="D1219" s="535">
        <v>20</v>
      </c>
      <c r="E1219" s="677">
        <v>11860.46</v>
      </c>
      <c r="F1219" s="473" t="s">
        <v>2331</v>
      </c>
      <c r="G1219" s="510" t="s">
        <v>1661</v>
      </c>
      <c r="H1219" s="511">
        <v>43873</v>
      </c>
      <c r="I1219" s="679" t="s">
        <v>2332</v>
      </c>
      <c r="J1219" s="1145" t="s">
        <v>2628</v>
      </c>
    </row>
    <row r="1220" spans="1:10" ht="36" x14ac:dyDescent="0.2">
      <c r="A1220" s="1181" t="s">
        <v>2037</v>
      </c>
      <c r="B1220" s="535" t="s">
        <v>2130</v>
      </c>
      <c r="C1220" s="535" t="s">
        <v>1784</v>
      </c>
      <c r="D1220" s="535">
        <v>21</v>
      </c>
      <c r="E1220" s="677">
        <v>20551.25</v>
      </c>
      <c r="F1220" s="473" t="s">
        <v>2333</v>
      </c>
      <c r="G1220" s="510" t="s">
        <v>1661</v>
      </c>
      <c r="H1220" s="511">
        <v>43873</v>
      </c>
      <c r="I1220" s="679">
        <v>44105</v>
      </c>
      <c r="J1220" s="1145" t="s">
        <v>2628</v>
      </c>
    </row>
    <row r="1221" spans="1:10" ht="36" x14ac:dyDescent="0.2">
      <c r="A1221" s="1181" t="s">
        <v>2031</v>
      </c>
      <c r="B1221" s="535" t="s">
        <v>2130</v>
      </c>
      <c r="C1221" s="535" t="s">
        <v>1784</v>
      </c>
      <c r="D1221" s="535">
        <v>23</v>
      </c>
      <c r="E1221" s="677">
        <v>13729.7</v>
      </c>
      <c r="F1221" s="473" t="s">
        <v>2224</v>
      </c>
      <c r="G1221" s="510" t="s">
        <v>1661</v>
      </c>
      <c r="H1221" s="511">
        <v>43886</v>
      </c>
      <c r="I1221" s="473" t="s">
        <v>2334</v>
      </c>
      <c r="J1221" s="1145" t="s">
        <v>2628</v>
      </c>
    </row>
    <row r="1222" spans="1:10" ht="36" x14ac:dyDescent="0.2">
      <c r="A1222" s="1181" t="s">
        <v>2031</v>
      </c>
      <c r="B1222" s="535" t="s">
        <v>2130</v>
      </c>
      <c r="C1222" s="535" t="s">
        <v>1784</v>
      </c>
      <c r="D1222" s="535">
        <v>24</v>
      </c>
      <c r="E1222" s="677">
        <v>12260.6</v>
      </c>
      <c r="F1222" s="473" t="s">
        <v>2224</v>
      </c>
      <c r="G1222" s="510" t="s">
        <v>1661</v>
      </c>
      <c r="H1222" s="511">
        <v>43886</v>
      </c>
      <c r="I1222" s="473" t="s">
        <v>2334</v>
      </c>
      <c r="J1222" s="1145" t="s">
        <v>2628</v>
      </c>
    </row>
    <row r="1223" spans="1:10" ht="36" x14ac:dyDescent="0.2">
      <c r="A1223" s="1181" t="s">
        <v>2031</v>
      </c>
      <c r="B1223" s="535" t="s">
        <v>2130</v>
      </c>
      <c r="C1223" s="535" t="s">
        <v>1784</v>
      </c>
      <c r="D1223" s="535">
        <v>40</v>
      </c>
      <c r="E1223" s="677">
        <v>8935.4</v>
      </c>
      <c r="F1223" s="473" t="s">
        <v>2224</v>
      </c>
      <c r="G1223" s="510" t="s">
        <v>1661</v>
      </c>
      <c r="H1223" s="511">
        <v>43903</v>
      </c>
      <c r="I1223" s="473" t="s">
        <v>2335</v>
      </c>
      <c r="J1223" s="1145" t="s">
        <v>2628</v>
      </c>
    </row>
    <row r="1224" spans="1:10" ht="36" x14ac:dyDescent="0.2">
      <c r="A1224" s="1181" t="s">
        <v>2031</v>
      </c>
      <c r="B1224" s="535" t="s">
        <v>2130</v>
      </c>
      <c r="C1224" s="535" t="s">
        <v>1784</v>
      </c>
      <c r="D1224" s="535">
        <v>42</v>
      </c>
      <c r="E1224" s="677">
        <v>14817.9</v>
      </c>
      <c r="F1224" s="473" t="s">
        <v>2224</v>
      </c>
      <c r="G1224" s="510" t="s">
        <v>1661</v>
      </c>
      <c r="H1224" s="511">
        <v>43903</v>
      </c>
      <c r="I1224" s="473" t="s">
        <v>2335</v>
      </c>
      <c r="J1224" s="1145" t="s">
        <v>2628</v>
      </c>
    </row>
    <row r="1225" spans="1:10" ht="36" x14ac:dyDescent="0.2">
      <c r="A1225" s="1181" t="s">
        <v>2031</v>
      </c>
      <c r="B1225" s="535" t="s">
        <v>2130</v>
      </c>
      <c r="C1225" s="535" t="s">
        <v>1784</v>
      </c>
      <c r="D1225" s="535">
        <v>48</v>
      </c>
      <c r="E1225" s="677">
        <v>14913.7</v>
      </c>
      <c r="F1225" s="473" t="s">
        <v>2224</v>
      </c>
      <c r="G1225" s="510" t="s">
        <v>1661</v>
      </c>
      <c r="H1225" s="511">
        <v>43949</v>
      </c>
      <c r="I1225" s="473" t="s">
        <v>2336</v>
      </c>
      <c r="J1225" s="1145" t="s">
        <v>2628</v>
      </c>
    </row>
    <row r="1226" spans="1:10" ht="36" x14ac:dyDescent="0.2">
      <c r="A1226" s="1181" t="s">
        <v>2031</v>
      </c>
      <c r="B1226" s="535" t="s">
        <v>2130</v>
      </c>
      <c r="C1226" s="535" t="s">
        <v>1784</v>
      </c>
      <c r="D1226" s="535">
        <v>54</v>
      </c>
      <c r="E1226" s="677">
        <v>10175.6</v>
      </c>
      <c r="F1226" s="473" t="s">
        <v>2224</v>
      </c>
      <c r="G1226" s="510" t="s">
        <v>1661</v>
      </c>
      <c r="H1226" s="511">
        <v>43949</v>
      </c>
      <c r="I1226" s="473" t="s">
        <v>2336</v>
      </c>
      <c r="J1226" s="1145" t="s">
        <v>2628</v>
      </c>
    </row>
    <row r="1227" spans="1:10" ht="36" x14ac:dyDescent="0.2">
      <c r="A1227" s="1181" t="s">
        <v>2031</v>
      </c>
      <c r="B1227" s="535" t="s">
        <v>2130</v>
      </c>
      <c r="C1227" s="535" t="s">
        <v>1784</v>
      </c>
      <c r="D1227" s="535">
        <v>58</v>
      </c>
      <c r="E1227" s="677">
        <v>11334.6</v>
      </c>
      <c r="F1227" s="473" t="s">
        <v>2224</v>
      </c>
      <c r="G1227" s="510" t="s">
        <v>1661</v>
      </c>
      <c r="H1227" s="511">
        <v>43978</v>
      </c>
      <c r="I1227" s="473" t="s">
        <v>2337</v>
      </c>
      <c r="J1227" s="1145" t="s">
        <v>2628</v>
      </c>
    </row>
    <row r="1228" spans="1:10" ht="36" x14ac:dyDescent="0.2">
      <c r="A1228" s="1181" t="s">
        <v>2031</v>
      </c>
      <c r="B1228" s="535" t="s">
        <v>2130</v>
      </c>
      <c r="C1228" s="535" t="s">
        <v>1784</v>
      </c>
      <c r="D1228" s="535">
        <v>59</v>
      </c>
      <c r="E1228" s="677">
        <v>7525</v>
      </c>
      <c r="F1228" s="473" t="s">
        <v>2224</v>
      </c>
      <c r="G1228" s="510" t="s">
        <v>1661</v>
      </c>
      <c r="H1228" s="511">
        <v>43978</v>
      </c>
      <c r="I1228" s="473" t="s">
        <v>2337</v>
      </c>
      <c r="J1228" s="1145" t="s">
        <v>2628</v>
      </c>
    </row>
    <row r="1229" spans="1:10" ht="36" x14ac:dyDescent="0.2">
      <c r="A1229" s="1181" t="s">
        <v>2031</v>
      </c>
      <c r="B1229" s="535" t="s">
        <v>2130</v>
      </c>
      <c r="C1229" s="535" t="s">
        <v>1784</v>
      </c>
      <c r="D1229" s="535">
        <v>76</v>
      </c>
      <c r="E1229" s="677">
        <v>8005.9</v>
      </c>
      <c r="F1229" s="473" t="s">
        <v>2224</v>
      </c>
      <c r="G1229" s="510" t="s">
        <v>1661</v>
      </c>
      <c r="H1229" s="511">
        <v>44011</v>
      </c>
      <c r="I1229" s="473" t="s">
        <v>2338</v>
      </c>
      <c r="J1229" s="1145" t="s">
        <v>2628</v>
      </c>
    </row>
    <row r="1230" spans="1:10" ht="36" x14ac:dyDescent="0.2">
      <c r="A1230" s="1181" t="s">
        <v>2031</v>
      </c>
      <c r="B1230" s="535" t="s">
        <v>2130</v>
      </c>
      <c r="C1230" s="535" t="s">
        <v>1784</v>
      </c>
      <c r="D1230" s="535">
        <v>77</v>
      </c>
      <c r="E1230" s="677">
        <v>11124.7</v>
      </c>
      <c r="F1230" s="473" t="s">
        <v>2224</v>
      </c>
      <c r="G1230" s="510" t="s">
        <v>1661</v>
      </c>
      <c r="H1230" s="511">
        <v>44011</v>
      </c>
      <c r="I1230" s="473" t="s">
        <v>2338</v>
      </c>
      <c r="J1230" s="1145" t="s">
        <v>2628</v>
      </c>
    </row>
    <row r="1231" spans="1:10" ht="48" x14ac:dyDescent="0.2">
      <c r="A1231" s="1181" t="s">
        <v>2339</v>
      </c>
      <c r="B1231" s="535" t="s">
        <v>2130</v>
      </c>
      <c r="C1231" s="535" t="s">
        <v>1784</v>
      </c>
      <c r="D1231" s="535">
        <v>112</v>
      </c>
      <c r="E1231" s="677">
        <v>6000</v>
      </c>
      <c r="F1231" s="473" t="s">
        <v>2340</v>
      </c>
      <c r="G1231" s="510" t="s">
        <v>1661</v>
      </c>
      <c r="H1231" s="510" t="s">
        <v>2292</v>
      </c>
      <c r="I1231" s="473" t="s">
        <v>2292</v>
      </c>
      <c r="J1231" s="1145" t="s">
        <v>2628</v>
      </c>
    </row>
    <row r="1232" spans="1:10" ht="36" x14ac:dyDescent="0.2">
      <c r="A1232" s="1181" t="s">
        <v>2031</v>
      </c>
      <c r="B1232" s="535" t="s">
        <v>2130</v>
      </c>
      <c r="C1232" s="535" t="s">
        <v>1784</v>
      </c>
      <c r="D1232" s="535">
        <v>115</v>
      </c>
      <c r="E1232" s="677">
        <v>8118.66</v>
      </c>
      <c r="F1232" s="473" t="s">
        <v>2224</v>
      </c>
      <c r="G1232" s="510" t="s">
        <v>1661</v>
      </c>
      <c r="H1232" s="511">
        <v>44091</v>
      </c>
      <c r="I1232" s="473" t="s">
        <v>2341</v>
      </c>
      <c r="J1232" s="1145" t="s">
        <v>2628</v>
      </c>
    </row>
    <row r="1233" spans="1:10" ht="20.100000000000001" customHeight="1" x14ac:dyDescent="0.2">
      <c r="A1233" s="1181" t="s">
        <v>2031</v>
      </c>
      <c r="B1233" s="535" t="s">
        <v>2130</v>
      </c>
      <c r="C1233" s="535" t="s">
        <v>1784</v>
      </c>
      <c r="D1233" s="535">
        <v>117</v>
      </c>
      <c r="E1233" s="677">
        <v>11731.5</v>
      </c>
      <c r="F1233" s="473" t="s">
        <v>2224</v>
      </c>
      <c r="G1233" s="510" t="s">
        <v>1661</v>
      </c>
      <c r="H1233" s="511">
        <v>44092</v>
      </c>
      <c r="I1233" s="473" t="s">
        <v>2296</v>
      </c>
      <c r="J1233" s="1145" t="s">
        <v>2628</v>
      </c>
    </row>
    <row r="1234" spans="1:10" ht="20.100000000000001" customHeight="1" x14ac:dyDescent="0.2">
      <c r="A1234" s="1181" t="s">
        <v>2031</v>
      </c>
      <c r="B1234" s="561">
        <v>14</v>
      </c>
      <c r="C1234" s="535" t="s">
        <v>1784</v>
      </c>
      <c r="D1234" s="535" t="s">
        <v>621</v>
      </c>
      <c r="E1234" s="677">
        <v>456236</v>
      </c>
      <c r="F1234" s="473"/>
      <c r="G1234" s="513"/>
      <c r="H1234" s="511">
        <v>44561.000011574077</v>
      </c>
      <c r="I1234" s="680">
        <v>44561.000011574077</v>
      </c>
      <c r="J1234" s="1145" t="s">
        <v>2628</v>
      </c>
    </row>
    <row r="1235" spans="1:10" ht="20.100000000000001" customHeight="1" x14ac:dyDescent="0.2">
      <c r="A1235" s="1181" t="s">
        <v>2342</v>
      </c>
      <c r="B1235" s="561">
        <v>14</v>
      </c>
      <c r="C1235" s="535" t="s">
        <v>1784</v>
      </c>
      <c r="D1235" s="535"/>
      <c r="E1235" s="677">
        <v>38038.199999999997</v>
      </c>
      <c r="F1235" s="473"/>
      <c r="G1235" s="513"/>
      <c r="H1235" s="511">
        <v>44561.000011574077</v>
      </c>
      <c r="I1235" s="680">
        <v>44561.000011574077</v>
      </c>
      <c r="J1235" s="1145" t="s">
        <v>2628</v>
      </c>
    </row>
    <row r="1236" spans="1:10" ht="20.100000000000001" customHeight="1" x14ac:dyDescent="0.2">
      <c r="A1236" s="1181" t="s">
        <v>1932</v>
      </c>
      <c r="B1236" s="561">
        <v>14</v>
      </c>
      <c r="C1236" s="535" t="s">
        <v>1784</v>
      </c>
      <c r="D1236" s="535"/>
      <c r="E1236" s="677">
        <v>19200</v>
      </c>
      <c r="F1236" s="473"/>
      <c r="G1236" s="513"/>
      <c r="H1236" s="511">
        <v>44561.000011574077</v>
      </c>
      <c r="I1236" s="680">
        <v>44561.000011574077</v>
      </c>
      <c r="J1236" s="1145" t="s">
        <v>2628</v>
      </c>
    </row>
    <row r="1237" spans="1:10" ht="20.100000000000001" customHeight="1" x14ac:dyDescent="0.2">
      <c r="A1237" s="1181" t="s">
        <v>2343</v>
      </c>
      <c r="B1237" s="561">
        <v>14</v>
      </c>
      <c r="C1237" s="535" t="s">
        <v>1784</v>
      </c>
      <c r="D1237" s="535"/>
      <c r="E1237" s="677">
        <v>6287.2</v>
      </c>
      <c r="F1237" s="473"/>
      <c r="G1237" s="513"/>
      <c r="H1237" s="511">
        <v>44561.000011574077</v>
      </c>
      <c r="I1237" s="680">
        <v>44561.000011574077</v>
      </c>
      <c r="J1237" s="1145" t="s">
        <v>2628</v>
      </c>
    </row>
    <row r="1238" spans="1:10" ht="20.100000000000001" customHeight="1" x14ac:dyDescent="0.2">
      <c r="A1238" s="1181" t="s">
        <v>2344</v>
      </c>
      <c r="B1238" s="561">
        <v>14</v>
      </c>
      <c r="C1238" s="535" t="s">
        <v>1784</v>
      </c>
      <c r="D1238" s="535"/>
      <c r="E1238" s="677">
        <v>1897</v>
      </c>
      <c r="F1238" s="473"/>
      <c r="G1238" s="513"/>
      <c r="H1238" s="511">
        <v>44561.000011574077</v>
      </c>
      <c r="I1238" s="680">
        <v>44561.000011574077</v>
      </c>
      <c r="J1238" s="1145" t="s">
        <v>2628</v>
      </c>
    </row>
    <row r="1239" spans="1:10" ht="29.25" customHeight="1" x14ac:dyDescent="0.2">
      <c r="A1239" s="1181" t="s">
        <v>2037</v>
      </c>
      <c r="B1239" s="561">
        <v>14</v>
      </c>
      <c r="C1239" s="535" t="s">
        <v>1784</v>
      </c>
      <c r="D1239" s="535"/>
      <c r="E1239" s="677">
        <v>90768</v>
      </c>
      <c r="F1239" s="473"/>
      <c r="G1239" s="513"/>
      <c r="H1239" s="511">
        <v>44561.000011574077</v>
      </c>
      <c r="I1239" s="680">
        <v>44561.000011574077</v>
      </c>
      <c r="J1239" s="1145" t="s">
        <v>2628</v>
      </c>
    </row>
    <row r="1240" spans="1:10" ht="27.75" customHeight="1" x14ac:dyDescent="0.2">
      <c r="A1240" s="1181" t="s">
        <v>2345</v>
      </c>
      <c r="B1240" s="561">
        <v>14</v>
      </c>
      <c r="C1240" s="535" t="s">
        <v>1784</v>
      </c>
      <c r="D1240" s="535"/>
      <c r="E1240" s="677">
        <v>550800</v>
      </c>
      <c r="F1240" s="473"/>
      <c r="G1240" s="513"/>
      <c r="H1240" s="511">
        <v>44561.000011574077</v>
      </c>
      <c r="I1240" s="680">
        <v>44561.000011574077</v>
      </c>
      <c r="J1240" s="1145" t="s">
        <v>2628</v>
      </c>
    </row>
    <row r="1241" spans="1:10" ht="35.25" customHeight="1" x14ac:dyDescent="0.2">
      <c r="A1241" s="1181" t="s">
        <v>2346</v>
      </c>
      <c r="B1241" s="561"/>
      <c r="C1241" s="535"/>
      <c r="D1241" s="535"/>
      <c r="E1241" s="677">
        <v>345000</v>
      </c>
      <c r="F1241" s="473"/>
      <c r="G1241" s="513"/>
      <c r="H1241" s="511">
        <v>44561.000011574077</v>
      </c>
      <c r="I1241" s="680">
        <v>44561.000011574077</v>
      </c>
      <c r="J1241" s="1145" t="s">
        <v>2628</v>
      </c>
    </row>
    <row r="1242" spans="1:10" ht="20.100000000000001" customHeight="1" thickBot="1" x14ac:dyDescent="0.25">
      <c r="A1242" s="1193" t="s">
        <v>2347</v>
      </c>
      <c r="B1242" s="627">
        <v>14</v>
      </c>
      <c r="C1242" s="626" t="s">
        <v>1784</v>
      </c>
      <c r="D1242" s="626"/>
      <c r="E1242" s="681">
        <v>197563</v>
      </c>
      <c r="F1242" s="575"/>
      <c r="G1242" s="552"/>
      <c r="H1242" s="553">
        <v>44561.000011574077</v>
      </c>
      <c r="I1242" s="682">
        <v>44561.000011574077</v>
      </c>
      <c r="J1242" s="1145" t="s">
        <v>2628</v>
      </c>
    </row>
    <row r="1243" spans="1:10" ht="27.75" customHeight="1" thickBot="1" x14ac:dyDescent="0.25">
      <c r="A1243" s="542" t="s">
        <v>2348</v>
      </c>
      <c r="B1243" s="543"/>
      <c r="C1243" s="543"/>
      <c r="D1243" s="543"/>
      <c r="E1243" s="543"/>
      <c r="F1243" s="543"/>
      <c r="G1243" s="543"/>
      <c r="H1243" s="543"/>
      <c r="I1243" s="543"/>
      <c r="J1243" s="544"/>
    </row>
    <row r="1244" spans="1:10" ht="36" x14ac:dyDescent="0.2">
      <c r="A1244" s="1177" t="s">
        <v>2349</v>
      </c>
      <c r="B1244" s="554" t="s">
        <v>1473</v>
      </c>
      <c r="C1244" s="521" t="s">
        <v>2350</v>
      </c>
      <c r="D1244" s="550" t="s">
        <v>2351</v>
      </c>
      <c r="E1244" s="555">
        <v>54000</v>
      </c>
      <c r="F1244" s="539">
        <v>20319363221</v>
      </c>
      <c r="G1244" s="522" t="s">
        <v>2352</v>
      </c>
      <c r="H1244" s="551">
        <v>43775</v>
      </c>
      <c r="I1244" s="551">
        <v>43830</v>
      </c>
      <c r="J1244" s="1194" t="s">
        <v>2349</v>
      </c>
    </row>
    <row r="1245" spans="1:10" ht="24" x14ac:dyDescent="0.2">
      <c r="A1245" s="1158" t="s">
        <v>2353</v>
      </c>
      <c r="B1245" s="1015" t="s">
        <v>2354</v>
      </c>
      <c r="C1245" s="1015" t="s">
        <v>2350</v>
      </c>
      <c r="D1245" s="1015" t="s">
        <v>2355</v>
      </c>
      <c r="E1245" s="484">
        <v>53750</v>
      </c>
      <c r="F1245" s="469">
        <v>10717307335</v>
      </c>
      <c r="G1245" s="1017" t="s">
        <v>2352</v>
      </c>
      <c r="H1245" s="1019">
        <v>43537</v>
      </c>
      <c r="I1245" s="1019">
        <v>43538</v>
      </c>
      <c r="J1245" s="1145" t="s">
        <v>2356</v>
      </c>
    </row>
    <row r="1246" spans="1:10" ht="36" x14ac:dyDescent="0.2">
      <c r="A1246" s="1156" t="s">
        <v>2357</v>
      </c>
      <c r="B1246" s="1015" t="s">
        <v>2358</v>
      </c>
      <c r="C1246" s="1015" t="s">
        <v>2350</v>
      </c>
      <c r="D1246" s="1015" t="s">
        <v>2359</v>
      </c>
      <c r="E1246" s="484">
        <v>57431</v>
      </c>
      <c r="F1246" s="469">
        <v>10459382637</v>
      </c>
      <c r="G1246" s="1017" t="s">
        <v>2352</v>
      </c>
      <c r="H1246" s="1019">
        <v>43738</v>
      </c>
      <c r="I1246" s="1019">
        <v>43739</v>
      </c>
      <c r="J1246" s="1145" t="s">
        <v>2360</v>
      </c>
    </row>
    <row r="1247" spans="1:10" ht="21" customHeight="1" x14ac:dyDescent="0.2">
      <c r="A1247" s="1156" t="s">
        <v>1977</v>
      </c>
      <c r="B1247" s="1015" t="s">
        <v>1687</v>
      </c>
      <c r="C1247" s="1015" t="s">
        <v>2361</v>
      </c>
      <c r="D1247" s="1015" t="s">
        <v>2362</v>
      </c>
      <c r="E1247" s="484">
        <v>35632.22</v>
      </c>
      <c r="F1247" s="469">
        <v>20125412875</v>
      </c>
      <c r="G1247" s="1017" t="s">
        <v>2352</v>
      </c>
      <c r="H1247" s="1019">
        <v>43802</v>
      </c>
      <c r="I1247" s="1019">
        <v>43803</v>
      </c>
      <c r="J1247" s="1145" t="s">
        <v>2363</v>
      </c>
    </row>
    <row r="1248" spans="1:10" ht="24" x14ac:dyDescent="0.2">
      <c r="A1248" s="1156" t="s">
        <v>2364</v>
      </c>
      <c r="B1248" s="1015" t="s">
        <v>1687</v>
      </c>
      <c r="C1248" s="1015" t="s">
        <v>2361</v>
      </c>
      <c r="D1248" s="1015" t="s">
        <v>2365</v>
      </c>
      <c r="E1248" s="484">
        <v>45689.47</v>
      </c>
      <c r="F1248" s="469">
        <v>20564249891</v>
      </c>
      <c r="G1248" s="1017" t="s">
        <v>2352</v>
      </c>
      <c r="H1248" s="1019">
        <v>43784</v>
      </c>
      <c r="I1248" s="1019">
        <v>43805</v>
      </c>
      <c r="J1248" s="1145" t="s">
        <v>2366</v>
      </c>
    </row>
    <row r="1249" spans="1:10" ht="24" x14ac:dyDescent="0.2">
      <c r="A1249" s="1156" t="s">
        <v>2367</v>
      </c>
      <c r="B1249" s="1015" t="s">
        <v>1687</v>
      </c>
      <c r="C1249" s="1015" t="s">
        <v>2361</v>
      </c>
      <c r="D1249" s="1015" t="s">
        <v>2362</v>
      </c>
      <c r="E1249" s="484">
        <v>113958.46</v>
      </c>
      <c r="F1249" s="469">
        <v>10738781380</v>
      </c>
      <c r="G1249" s="1017" t="s">
        <v>2352</v>
      </c>
      <c r="H1249" s="1019">
        <v>43798</v>
      </c>
      <c r="I1249" s="1019">
        <v>43805</v>
      </c>
      <c r="J1249" s="1145" t="s">
        <v>2368</v>
      </c>
    </row>
    <row r="1250" spans="1:10" ht="27.75" customHeight="1" x14ac:dyDescent="0.2">
      <c r="A1250" s="1156" t="s">
        <v>2369</v>
      </c>
      <c r="B1250" s="1015" t="s">
        <v>1758</v>
      </c>
      <c r="C1250" s="1015" t="s">
        <v>2350</v>
      </c>
      <c r="D1250" s="1017" t="s">
        <v>2370</v>
      </c>
      <c r="E1250" s="484">
        <v>44932.800000000003</v>
      </c>
      <c r="F1250" s="469">
        <v>10459382637</v>
      </c>
      <c r="G1250" s="1017" t="s">
        <v>2352</v>
      </c>
      <c r="H1250" s="1019">
        <v>43801</v>
      </c>
      <c r="I1250" s="1019">
        <v>43805</v>
      </c>
      <c r="J1250" s="1145" t="s">
        <v>2371</v>
      </c>
    </row>
    <row r="1251" spans="1:10" ht="24" x14ac:dyDescent="0.2">
      <c r="A1251" s="1156" t="s">
        <v>2372</v>
      </c>
      <c r="B1251" s="1015" t="s">
        <v>2373</v>
      </c>
      <c r="C1251" s="1015" t="s">
        <v>2350</v>
      </c>
      <c r="D1251" s="1015" t="s">
        <v>2374</v>
      </c>
      <c r="E1251" s="484">
        <v>48373.599999999999</v>
      </c>
      <c r="F1251" s="469">
        <v>20605127127</v>
      </c>
      <c r="G1251" s="1017" t="s">
        <v>2352</v>
      </c>
      <c r="H1251" s="1019">
        <v>43803</v>
      </c>
      <c r="I1251" s="1019">
        <v>43809</v>
      </c>
      <c r="J1251" s="1145" t="s">
        <v>2375</v>
      </c>
    </row>
    <row r="1252" spans="1:10" ht="27.75" customHeight="1" x14ac:dyDescent="0.2">
      <c r="A1252" s="1156" t="s">
        <v>2376</v>
      </c>
      <c r="B1252" s="1015" t="s">
        <v>2377</v>
      </c>
      <c r="C1252" s="1015" t="s">
        <v>2378</v>
      </c>
      <c r="D1252" s="1015" t="s">
        <v>2362</v>
      </c>
      <c r="E1252" s="484">
        <v>11700</v>
      </c>
      <c r="F1252" s="469">
        <v>20490599224</v>
      </c>
      <c r="G1252" s="1017" t="s">
        <v>2352</v>
      </c>
      <c r="H1252" s="1019">
        <v>43971</v>
      </c>
      <c r="I1252" s="1019">
        <v>43973</v>
      </c>
      <c r="J1252" s="1145" t="s">
        <v>2379</v>
      </c>
    </row>
    <row r="1253" spans="1:10" ht="36" x14ac:dyDescent="0.2">
      <c r="A1253" s="1156" t="s">
        <v>2380</v>
      </c>
      <c r="B1253" s="1015" t="s">
        <v>2377</v>
      </c>
      <c r="C1253" s="1015" t="s">
        <v>2378</v>
      </c>
      <c r="D1253" s="1015" t="s">
        <v>2381</v>
      </c>
      <c r="E1253" s="484">
        <v>4600</v>
      </c>
      <c r="F1253" s="469">
        <v>10239870363</v>
      </c>
      <c r="G1253" s="1017" t="s">
        <v>2352</v>
      </c>
      <c r="H1253" s="1019">
        <v>43950</v>
      </c>
      <c r="I1253" s="1019">
        <v>44000</v>
      </c>
      <c r="J1253" s="1145" t="s">
        <v>2382</v>
      </c>
    </row>
    <row r="1254" spans="1:10" ht="29.25" customHeight="1" x14ac:dyDescent="0.2">
      <c r="A1254" s="1156" t="s">
        <v>2383</v>
      </c>
      <c r="B1254" s="1015" t="s">
        <v>1687</v>
      </c>
      <c r="C1254" s="1015" t="s">
        <v>2361</v>
      </c>
      <c r="D1254" s="1015" t="s">
        <v>2384</v>
      </c>
      <c r="E1254" s="484">
        <v>11268.57</v>
      </c>
      <c r="F1254" s="469">
        <v>10310319401</v>
      </c>
      <c r="G1254" s="1017" t="s">
        <v>2352</v>
      </c>
      <c r="H1254" s="1019">
        <v>43880</v>
      </c>
      <c r="I1254" s="1019">
        <v>43887</v>
      </c>
      <c r="J1254" s="1145" t="s">
        <v>2385</v>
      </c>
    </row>
    <row r="1255" spans="1:10" ht="22.5" customHeight="1" x14ac:dyDescent="0.2">
      <c r="A1255" s="1156" t="s">
        <v>2386</v>
      </c>
      <c r="B1255" s="1015" t="s">
        <v>1687</v>
      </c>
      <c r="C1255" s="1015" t="s">
        <v>2361</v>
      </c>
      <c r="D1255" s="1015" t="s">
        <v>2387</v>
      </c>
      <c r="E1255" s="484">
        <v>7147.99</v>
      </c>
      <c r="F1255" s="469">
        <v>10238239724</v>
      </c>
      <c r="G1255" s="1017" t="s">
        <v>2352</v>
      </c>
      <c r="H1255" s="1019">
        <v>43515</v>
      </c>
      <c r="I1255" s="1019">
        <v>43887</v>
      </c>
      <c r="J1255" s="1145" t="s">
        <v>2385</v>
      </c>
    </row>
    <row r="1256" spans="1:10" ht="36" x14ac:dyDescent="0.2">
      <c r="A1256" s="1156" t="s">
        <v>2388</v>
      </c>
      <c r="B1256" s="1015" t="s">
        <v>2377</v>
      </c>
      <c r="C1256" s="1015" t="s">
        <v>2378</v>
      </c>
      <c r="D1256" s="1015" t="s">
        <v>2389</v>
      </c>
      <c r="E1256" s="484">
        <v>8255</v>
      </c>
      <c r="F1256" s="469">
        <v>20603261608</v>
      </c>
      <c r="G1256" s="1017" t="s">
        <v>2352</v>
      </c>
      <c r="H1256" s="1019">
        <v>44011</v>
      </c>
      <c r="I1256" s="1019">
        <v>44014</v>
      </c>
      <c r="J1256" s="1145" t="s">
        <v>2390</v>
      </c>
    </row>
    <row r="1257" spans="1:10" ht="24" x14ac:dyDescent="0.2">
      <c r="A1257" s="1156" t="s">
        <v>2391</v>
      </c>
      <c r="B1257" s="1015" t="s">
        <v>2377</v>
      </c>
      <c r="C1257" s="1015" t="s">
        <v>2378</v>
      </c>
      <c r="D1257" s="1015" t="s">
        <v>2392</v>
      </c>
      <c r="E1257" s="484">
        <v>24482.799999999999</v>
      </c>
      <c r="F1257" s="469">
        <v>10247214661</v>
      </c>
      <c r="G1257" s="1017" t="s">
        <v>2352</v>
      </c>
      <c r="H1257" s="1019">
        <v>43885</v>
      </c>
      <c r="I1257" s="1019">
        <v>43898</v>
      </c>
      <c r="J1257" s="1145" t="s">
        <v>2393</v>
      </c>
    </row>
    <row r="1258" spans="1:10" ht="36" x14ac:dyDescent="0.2">
      <c r="A1258" s="1156" t="s">
        <v>2391</v>
      </c>
      <c r="B1258" s="1015" t="s">
        <v>2377</v>
      </c>
      <c r="C1258" s="1015" t="s">
        <v>2378</v>
      </c>
      <c r="D1258" s="1015" t="s">
        <v>2394</v>
      </c>
      <c r="E1258" s="484">
        <v>33940.39</v>
      </c>
      <c r="F1258" s="469">
        <v>10247214661</v>
      </c>
      <c r="G1258" s="1017" t="s">
        <v>2352</v>
      </c>
      <c r="H1258" s="1019">
        <v>43895</v>
      </c>
      <c r="I1258" s="1019">
        <v>43908</v>
      </c>
      <c r="J1258" s="1145" t="s">
        <v>2395</v>
      </c>
    </row>
    <row r="1259" spans="1:10" ht="36" x14ac:dyDescent="0.2">
      <c r="A1259" s="1156" t="s">
        <v>2396</v>
      </c>
      <c r="B1259" s="1015" t="s">
        <v>2377</v>
      </c>
      <c r="C1259" s="1015" t="s">
        <v>2378</v>
      </c>
      <c r="D1259" s="1015" t="s">
        <v>2397</v>
      </c>
      <c r="E1259" s="484">
        <v>25780</v>
      </c>
      <c r="F1259" s="469">
        <v>20603122501</v>
      </c>
      <c r="G1259" s="1017" t="s">
        <v>2352</v>
      </c>
      <c r="H1259" s="1019">
        <v>43663</v>
      </c>
      <c r="I1259" s="1019">
        <v>43738</v>
      </c>
      <c r="J1259" s="1145" t="s">
        <v>2398</v>
      </c>
    </row>
    <row r="1260" spans="1:10" ht="24" x14ac:dyDescent="0.2">
      <c r="A1260" s="1156" t="s">
        <v>2399</v>
      </c>
      <c r="B1260" s="1015" t="s">
        <v>1687</v>
      </c>
      <c r="C1260" s="1015" t="s">
        <v>2400</v>
      </c>
      <c r="D1260" s="1015"/>
      <c r="E1260" s="484">
        <v>250000</v>
      </c>
      <c r="F1260" s="1015"/>
      <c r="G1260" s="1017" t="s">
        <v>2401</v>
      </c>
      <c r="H1260" s="1017">
        <v>2021</v>
      </c>
      <c r="I1260" s="1017"/>
      <c r="J1260" s="1145" t="s">
        <v>2402</v>
      </c>
    </row>
    <row r="1261" spans="1:10" ht="24" x14ac:dyDescent="0.2">
      <c r="A1261" s="1156" t="s">
        <v>2403</v>
      </c>
      <c r="B1261" s="1015" t="s">
        <v>1687</v>
      </c>
      <c r="C1261" s="1015" t="s">
        <v>2361</v>
      </c>
      <c r="D1261" s="1015"/>
      <c r="E1261" s="484" t="s">
        <v>2404</v>
      </c>
      <c r="F1261" s="1015"/>
      <c r="G1261" s="1017" t="s">
        <v>2401</v>
      </c>
      <c r="H1261" s="1017">
        <v>2021</v>
      </c>
      <c r="I1261" s="1017"/>
      <c r="J1261" s="1145" t="s">
        <v>2402</v>
      </c>
    </row>
    <row r="1262" spans="1:10" ht="24" x14ac:dyDescent="0.2">
      <c r="A1262" s="1156" t="s">
        <v>2405</v>
      </c>
      <c r="B1262" s="1015" t="s">
        <v>1687</v>
      </c>
      <c r="C1262" s="1015" t="s">
        <v>2361</v>
      </c>
      <c r="D1262" s="1015"/>
      <c r="E1262" s="484">
        <v>200000</v>
      </c>
      <c r="F1262" s="1015"/>
      <c r="G1262" s="1017" t="s">
        <v>2401</v>
      </c>
      <c r="H1262" s="1017">
        <v>2021</v>
      </c>
      <c r="I1262" s="1017"/>
      <c r="J1262" s="1145" t="s">
        <v>2406</v>
      </c>
    </row>
    <row r="1263" spans="1:10" ht="28.5" customHeight="1" x14ac:dyDescent="0.2">
      <c r="A1263" s="1156" t="s">
        <v>2407</v>
      </c>
      <c r="B1263" s="1015" t="s">
        <v>2377</v>
      </c>
      <c r="C1263" s="1015" t="s">
        <v>2378</v>
      </c>
      <c r="D1263" s="1015"/>
      <c r="E1263" s="484">
        <v>10000</v>
      </c>
      <c r="F1263" s="1015"/>
      <c r="G1263" s="1017" t="s">
        <v>2401</v>
      </c>
      <c r="H1263" s="1017">
        <v>2021</v>
      </c>
      <c r="I1263" s="1017"/>
      <c r="J1263" s="1145" t="s">
        <v>2408</v>
      </c>
    </row>
    <row r="1264" spans="1:10" ht="24" x14ac:dyDescent="0.2">
      <c r="A1264" s="1156" t="s">
        <v>2409</v>
      </c>
      <c r="B1264" s="1015" t="s">
        <v>1687</v>
      </c>
      <c r="C1264" s="1015" t="s">
        <v>2361</v>
      </c>
      <c r="D1264" s="1015"/>
      <c r="E1264" s="484">
        <v>300000</v>
      </c>
      <c r="F1264" s="1015"/>
      <c r="G1264" s="1017" t="s">
        <v>2401</v>
      </c>
      <c r="H1264" s="1017">
        <v>2021</v>
      </c>
      <c r="I1264" s="1017"/>
      <c r="J1264" s="1145" t="s">
        <v>2402</v>
      </c>
    </row>
    <row r="1265" spans="1:10" ht="24" x14ac:dyDescent="0.2">
      <c r="A1265" s="1156" t="s">
        <v>2410</v>
      </c>
      <c r="B1265" s="1015" t="s">
        <v>2377</v>
      </c>
      <c r="C1265" s="1015" t="s">
        <v>2378</v>
      </c>
      <c r="D1265" s="1015"/>
      <c r="E1265" s="484">
        <v>100000</v>
      </c>
      <c r="F1265" s="1015"/>
      <c r="G1265" s="1017" t="s">
        <v>2401</v>
      </c>
      <c r="H1265" s="1017">
        <v>2021</v>
      </c>
      <c r="I1265" s="1017"/>
      <c r="J1265" s="1145" t="s">
        <v>2411</v>
      </c>
    </row>
    <row r="1266" spans="1:10" x14ac:dyDescent="0.2">
      <c r="A1266" s="1156" t="s">
        <v>2396</v>
      </c>
      <c r="B1266" s="1015" t="s">
        <v>2377</v>
      </c>
      <c r="C1266" s="1015" t="s">
        <v>2378</v>
      </c>
      <c r="D1266" s="1015"/>
      <c r="E1266" s="484">
        <v>300000</v>
      </c>
      <c r="F1266" s="1015"/>
      <c r="G1266" s="1017" t="s">
        <v>2401</v>
      </c>
      <c r="H1266" s="1017">
        <v>2021</v>
      </c>
      <c r="I1266" s="1017"/>
      <c r="J1266" s="1145" t="s">
        <v>2412</v>
      </c>
    </row>
    <row r="1267" spans="1:10" ht="24" x14ac:dyDescent="0.2">
      <c r="A1267" s="1156" t="s">
        <v>2413</v>
      </c>
      <c r="B1267" s="1015" t="s">
        <v>2377</v>
      </c>
      <c r="C1267" s="1015" t="s">
        <v>2378</v>
      </c>
      <c r="D1267" s="1015"/>
      <c r="E1267" s="484">
        <v>100000</v>
      </c>
      <c r="F1267" s="1015"/>
      <c r="G1267" s="1017" t="s">
        <v>2401</v>
      </c>
      <c r="H1267" s="1017">
        <v>2021</v>
      </c>
      <c r="I1267" s="1017"/>
      <c r="J1267" s="1145" t="s">
        <v>2414</v>
      </c>
    </row>
    <row r="1268" spans="1:10" ht="24" x14ac:dyDescent="0.2">
      <c r="A1268" s="1156" t="s">
        <v>2415</v>
      </c>
      <c r="B1268" s="1015" t="s">
        <v>1687</v>
      </c>
      <c r="C1268" s="1015" t="s">
        <v>2361</v>
      </c>
      <c r="D1268" s="1015"/>
      <c r="E1268" s="484">
        <v>100000</v>
      </c>
      <c r="F1268" s="1015"/>
      <c r="G1268" s="1017" t="s">
        <v>2401</v>
      </c>
      <c r="H1268" s="1017">
        <v>2021</v>
      </c>
      <c r="I1268" s="1017"/>
      <c r="J1268" s="1145" t="s">
        <v>2411</v>
      </c>
    </row>
    <row r="1269" spans="1:10" ht="24.75" thickBot="1" x14ac:dyDescent="0.25">
      <c r="A1269" s="1157" t="s">
        <v>2416</v>
      </c>
      <c r="B1269" s="495" t="s">
        <v>2377</v>
      </c>
      <c r="C1269" s="495" t="s">
        <v>2378</v>
      </c>
      <c r="D1269" s="495"/>
      <c r="E1269" s="549">
        <v>50000</v>
      </c>
      <c r="F1269" s="495"/>
      <c r="G1269" s="538" t="s">
        <v>2401</v>
      </c>
      <c r="H1269" s="538">
        <v>2021</v>
      </c>
      <c r="I1269" s="538"/>
      <c r="J1269" s="1147" t="s">
        <v>2411</v>
      </c>
    </row>
    <row r="1270" spans="1:10" ht="30" customHeight="1" thickBot="1" x14ac:dyDescent="0.25">
      <c r="A1270" s="542" t="s">
        <v>2461</v>
      </c>
      <c r="B1270" s="543"/>
      <c r="C1270" s="543"/>
      <c r="D1270" s="543"/>
      <c r="E1270" s="543"/>
      <c r="F1270" s="543"/>
      <c r="G1270" s="543"/>
      <c r="H1270" s="543"/>
      <c r="I1270" s="543"/>
      <c r="J1270" s="544"/>
    </row>
    <row r="1271" spans="1:10" ht="50.1" customHeight="1" x14ac:dyDescent="0.2">
      <c r="A1271" s="1154" t="s">
        <v>2417</v>
      </c>
      <c r="B1271" s="539" t="s">
        <v>640</v>
      </c>
      <c r="C1271" s="521" t="s">
        <v>2418</v>
      </c>
      <c r="D1271" s="550" t="s">
        <v>2419</v>
      </c>
      <c r="E1271" s="683" t="s">
        <v>2459</v>
      </c>
      <c r="F1271" s="683" t="s">
        <v>2420</v>
      </c>
      <c r="G1271" s="522" t="s">
        <v>2421</v>
      </c>
      <c r="H1271" s="551">
        <v>43796</v>
      </c>
      <c r="I1271" s="551">
        <v>43805</v>
      </c>
      <c r="J1271" s="1195" t="s">
        <v>2628</v>
      </c>
    </row>
    <row r="1272" spans="1:10" ht="72.75" customHeight="1" x14ac:dyDescent="0.2">
      <c r="A1272" s="1155" t="s">
        <v>2422</v>
      </c>
      <c r="B1272" s="469" t="s">
        <v>640</v>
      </c>
      <c r="C1272" s="1015" t="s">
        <v>2418</v>
      </c>
      <c r="D1272" s="516" t="s">
        <v>2423</v>
      </c>
      <c r="E1272" s="1015" t="s">
        <v>2424</v>
      </c>
      <c r="F1272" s="525" t="s">
        <v>2460</v>
      </c>
      <c r="G1272" s="1017" t="s">
        <v>2421</v>
      </c>
      <c r="H1272" s="1019">
        <v>43805</v>
      </c>
      <c r="I1272" s="1019">
        <v>43819</v>
      </c>
      <c r="J1272" s="1149" t="s">
        <v>2628</v>
      </c>
    </row>
    <row r="1273" spans="1:10" ht="64.5" customHeight="1" x14ac:dyDescent="0.2">
      <c r="A1273" s="1155" t="s">
        <v>2425</v>
      </c>
      <c r="B1273" s="469" t="s">
        <v>640</v>
      </c>
      <c r="C1273" s="1015" t="s">
        <v>2418</v>
      </c>
      <c r="D1273" s="516" t="s">
        <v>2426</v>
      </c>
      <c r="E1273" s="1015" t="s">
        <v>2427</v>
      </c>
      <c r="F1273" s="1015" t="s">
        <v>2428</v>
      </c>
      <c r="G1273" s="1017" t="s">
        <v>2421</v>
      </c>
      <c r="H1273" s="1019">
        <v>43815</v>
      </c>
      <c r="I1273" s="1019">
        <v>43826</v>
      </c>
      <c r="J1273" s="1149" t="s">
        <v>2628</v>
      </c>
    </row>
    <row r="1274" spans="1:10" ht="50.1" customHeight="1" x14ac:dyDescent="0.2">
      <c r="A1274" s="1155" t="s">
        <v>2429</v>
      </c>
      <c r="B1274" s="469" t="s">
        <v>1929</v>
      </c>
      <c r="C1274" s="1015" t="s">
        <v>2418</v>
      </c>
      <c r="D1274" s="1015"/>
      <c r="E1274" s="1015" t="s">
        <v>2430</v>
      </c>
      <c r="F1274" s="1015" t="s">
        <v>2431</v>
      </c>
      <c r="G1274" s="1017" t="s">
        <v>2421</v>
      </c>
      <c r="H1274" s="1017"/>
      <c r="I1274" s="1017"/>
      <c r="J1274" s="1149" t="s">
        <v>2628</v>
      </c>
    </row>
    <row r="1275" spans="1:10" ht="50.1" customHeight="1" x14ac:dyDescent="0.2">
      <c r="A1275" s="1155" t="s">
        <v>2432</v>
      </c>
      <c r="B1275" s="1015" t="s">
        <v>2433</v>
      </c>
      <c r="C1275" s="1015" t="s">
        <v>1776</v>
      </c>
      <c r="D1275" s="1017"/>
      <c r="E1275" s="517" t="s">
        <v>2434</v>
      </c>
      <c r="F1275" s="1017"/>
      <c r="G1275" s="1017" t="s">
        <v>2421</v>
      </c>
      <c r="H1275" s="1017"/>
      <c r="I1275" s="1017"/>
      <c r="J1275" s="1149" t="s">
        <v>2628</v>
      </c>
    </row>
    <row r="1276" spans="1:10" ht="50.1" customHeight="1" x14ac:dyDescent="0.2">
      <c r="A1276" s="1155" t="s">
        <v>2435</v>
      </c>
      <c r="B1276" s="1015" t="s">
        <v>2433</v>
      </c>
      <c r="C1276" s="1015" t="s">
        <v>1776</v>
      </c>
      <c r="D1276" s="1015"/>
      <c r="E1276" s="517" t="s">
        <v>2436</v>
      </c>
      <c r="F1276" s="1015"/>
      <c r="G1276" s="1017" t="s">
        <v>2421</v>
      </c>
      <c r="H1276" s="1017"/>
      <c r="I1276" s="1017"/>
      <c r="J1276" s="1149" t="s">
        <v>2628</v>
      </c>
    </row>
    <row r="1277" spans="1:10" ht="50.1" customHeight="1" x14ac:dyDescent="0.2">
      <c r="A1277" s="1155" t="s">
        <v>2437</v>
      </c>
      <c r="B1277" s="1015" t="s">
        <v>2433</v>
      </c>
      <c r="C1277" s="1015" t="s">
        <v>1776</v>
      </c>
      <c r="D1277" s="1015"/>
      <c r="E1277" s="517" t="s">
        <v>2438</v>
      </c>
      <c r="F1277" s="1015"/>
      <c r="G1277" s="1017" t="s">
        <v>2421</v>
      </c>
      <c r="H1277" s="1017"/>
      <c r="I1277" s="1017"/>
      <c r="J1277" s="1149" t="s">
        <v>2628</v>
      </c>
    </row>
    <row r="1278" spans="1:10" ht="50.1" customHeight="1" x14ac:dyDescent="0.2">
      <c r="A1278" s="1155" t="s">
        <v>2439</v>
      </c>
      <c r="B1278" s="1015"/>
      <c r="C1278" s="1015"/>
      <c r="D1278" s="1015"/>
      <c r="E1278" s="517" t="s">
        <v>2440</v>
      </c>
      <c r="F1278" s="1015"/>
      <c r="G1278" s="1017" t="s">
        <v>2421</v>
      </c>
      <c r="H1278" s="1017"/>
      <c r="I1278" s="1017"/>
      <c r="J1278" s="1149" t="s">
        <v>2628</v>
      </c>
    </row>
    <row r="1279" spans="1:10" ht="50.1" customHeight="1" x14ac:dyDescent="0.2">
      <c r="A1279" s="1155" t="s">
        <v>2441</v>
      </c>
      <c r="B1279" s="1015"/>
      <c r="C1279" s="1015"/>
      <c r="D1279" s="1015"/>
      <c r="E1279" s="517" t="s">
        <v>2442</v>
      </c>
      <c r="F1279" s="1015"/>
      <c r="G1279" s="1017" t="s">
        <v>2421</v>
      </c>
      <c r="H1279" s="1017"/>
      <c r="I1279" s="1017"/>
      <c r="J1279" s="1149" t="s">
        <v>2628</v>
      </c>
    </row>
    <row r="1280" spans="1:10" ht="50.1" customHeight="1" x14ac:dyDescent="0.2">
      <c r="A1280" s="1155" t="s">
        <v>2443</v>
      </c>
      <c r="B1280" s="1015"/>
      <c r="C1280" s="1015"/>
      <c r="D1280" s="1015"/>
      <c r="E1280" s="517" t="s">
        <v>2434</v>
      </c>
      <c r="F1280" s="1015"/>
      <c r="G1280" s="1017" t="s">
        <v>2421</v>
      </c>
      <c r="H1280" s="1017"/>
      <c r="I1280" s="1017"/>
      <c r="J1280" s="1149" t="s">
        <v>2628</v>
      </c>
    </row>
    <row r="1281" spans="1:10" ht="50.1" customHeight="1" x14ac:dyDescent="0.2">
      <c r="A1281" s="1155" t="s">
        <v>2444</v>
      </c>
      <c r="B1281" s="1015"/>
      <c r="C1281" s="1015"/>
      <c r="D1281" s="1015"/>
      <c r="E1281" s="517" t="s">
        <v>2445</v>
      </c>
      <c r="F1281" s="1015"/>
      <c r="G1281" s="1017" t="s">
        <v>2421</v>
      </c>
      <c r="H1281" s="1017"/>
      <c r="I1281" s="1017"/>
      <c r="J1281" s="1149" t="s">
        <v>2628</v>
      </c>
    </row>
    <row r="1282" spans="1:10" ht="50.1" customHeight="1" x14ac:dyDescent="0.2">
      <c r="A1282" s="1155" t="s">
        <v>2446</v>
      </c>
      <c r="B1282" s="1015"/>
      <c r="C1282" s="1015"/>
      <c r="D1282" s="1015"/>
      <c r="E1282" s="1015" t="s">
        <v>2447</v>
      </c>
      <c r="F1282" s="1015"/>
      <c r="G1282" s="1017" t="s">
        <v>2421</v>
      </c>
      <c r="H1282" s="1017"/>
      <c r="I1282" s="1017"/>
      <c r="J1282" s="1149" t="s">
        <v>2628</v>
      </c>
    </row>
    <row r="1283" spans="1:10" ht="50.1" customHeight="1" x14ac:dyDescent="0.2">
      <c r="A1283" s="1155" t="s">
        <v>2448</v>
      </c>
      <c r="B1283" s="1015"/>
      <c r="C1283" s="1015"/>
      <c r="D1283" s="1015"/>
      <c r="E1283" s="1015" t="s">
        <v>2449</v>
      </c>
      <c r="F1283" s="1015" t="s">
        <v>2450</v>
      </c>
      <c r="G1283" s="1017"/>
      <c r="H1283" s="1017"/>
      <c r="I1283" s="1017"/>
      <c r="J1283" s="1149" t="s">
        <v>2628</v>
      </c>
    </row>
    <row r="1284" spans="1:10" ht="50.1" customHeight="1" x14ac:dyDescent="0.2">
      <c r="A1284" s="1155" t="s">
        <v>2432</v>
      </c>
      <c r="B1284" s="1015"/>
      <c r="C1284" s="1015"/>
      <c r="D1284" s="1015"/>
      <c r="E1284" s="517" t="s">
        <v>2434</v>
      </c>
      <c r="F1284" s="1015"/>
      <c r="G1284" s="1017"/>
      <c r="H1284" s="1017"/>
      <c r="I1284" s="1017"/>
      <c r="J1284" s="1149" t="s">
        <v>2628</v>
      </c>
    </row>
    <row r="1285" spans="1:10" ht="50.1" customHeight="1" x14ac:dyDescent="0.2">
      <c r="A1285" s="1155" t="s">
        <v>2435</v>
      </c>
      <c r="B1285" s="1015"/>
      <c r="C1285" s="1015"/>
      <c r="D1285" s="1015"/>
      <c r="E1285" s="517" t="s">
        <v>2436</v>
      </c>
      <c r="F1285" s="1015"/>
      <c r="G1285" s="1017"/>
      <c r="H1285" s="1017"/>
      <c r="I1285" s="1017"/>
      <c r="J1285" s="1149" t="s">
        <v>2628</v>
      </c>
    </row>
    <row r="1286" spans="1:10" ht="50.1" customHeight="1" x14ac:dyDescent="0.2">
      <c r="A1286" s="1155" t="s">
        <v>2437</v>
      </c>
      <c r="B1286" s="1015"/>
      <c r="C1286" s="1015"/>
      <c r="D1286" s="1015"/>
      <c r="E1286" s="517" t="s">
        <v>2438</v>
      </c>
      <c r="F1286" s="1015"/>
      <c r="G1286" s="1017"/>
      <c r="H1286" s="1017"/>
      <c r="I1286" s="1017"/>
      <c r="J1286" s="1149" t="s">
        <v>2628</v>
      </c>
    </row>
    <row r="1287" spans="1:10" ht="50.1" customHeight="1" x14ac:dyDescent="0.2">
      <c r="A1287" s="1155" t="s">
        <v>2439</v>
      </c>
      <c r="B1287" s="1015"/>
      <c r="C1287" s="1015"/>
      <c r="D1287" s="1015"/>
      <c r="E1287" s="517" t="s">
        <v>2440</v>
      </c>
      <c r="F1287" s="1015"/>
      <c r="G1287" s="1017"/>
      <c r="H1287" s="1017"/>
      <c r="I1287" s="1017"/>
      <c r="J1287" s="1149" t="s">
        <v>2628</v>
      </c>
    </row>
    <row r="1288" spans="1:10" ht="50.1" customHeight="1" x14ac:dyDescent="0.2">
      <c r="A1288" s="1155" t="s">
        <v>2441</v>
      </c>
      <c r="B1288" s="1015"/>
      <c r="C1288" s="1015"/>
      <c r="D1288" s="1015"/>
      <c r="E1288" s="517" t="s">
        <v>2442</v>
      </c>
      <c r="F1288" s="1015"/>
      <c r="G1288" s="1017"/>
      <c r="H1288" s="1017"/>
      <c r="I1288" s="1017"/>
      <c r="J1288" s="1149" t="s">
        <v>2628</v>
      </c>
    </row>
    <row r="1289" spans="1:10" ht="50.1" customHeight="1" x14ac:dyDescent="0.2">
      <c r="A1289" s="1155" t="s">
        <v>2443</v>
      </c>
      <c r="B1289" s="1015"/>
      <c r="C1289" s="1015"/>
      <c r="D1289" s="1015"/>
      <c r="E1289" s="517" t="s">
        <v>2434</v>
      </c>
      <c r="F1289" s="1015"/>
      <c r="G1289" s="1017"/>
      <c r="H1289" s="1017"/>
      <c r="I1289" s="1017"/>
      <c r="J1289" s="1149" t="s">
        <v>2628</v>
      </c>
    </row>
    <row r="1290" spans="1:10" ht="50.1" customHeight="1" x14ac:dyDescent="0.2">
      <c r="A1290" s="1155" t="s">
        <v>2444</v>
      </c>
      <c r="B1290" s="1015"/>
      <c r="C1290" s="1015"/>
      <c r="D1290" s="1015"/>
      <c r="E1290" s="517" t="s">
        <v>2445</v>
      </c>
      <c r="F1290" s="1015"/>
      <c r="G1290" s="1017"/>
      <c r="H1290" s="1017"/>
      <c r="I1290" s="1017"/>
      <c r="J1290" s="1149" t="s">
        <v>2628</v>
      </c>
    </row>
    <row r="1291" spans="1:10" ht="50.1" customHeight="1" x14ac:dyDescent="0.2">
      <c r="A1291" s="1155" t="s">
        <v>2446</v>
      </c>
      <c r="B1291" s="1015"/>
      <c r="C1291" s="1015"/>
      <c r="D1291" s="1015"/>
      <c r="E1291" s="1015" t="s">
        <v>2447</v>
      </c>
      <c r="F1291" s="1015"/>
      <c r="G1291" s="1017"/>
      <c r="H1291" s="1017"/>
      <c r="I1291" s="1017"/>
      <c r="J1291" s="1149" t="s">
        <v>2628</v>
      </c>
    </row>
    <row r="1292" spans="1:10" ht="75" customHeight="1" x14ac:dyDescent="0.2">
      <c r="A1292" s="1155" t="s">
        <v>2451</v>
      </c>
      <c r="B1292" s="469"/>
      <c r="C1292" s="1015"/>
      <c r="D1292" s="1015"/>
      <c r="E1292" s="1015" t="s">
        <v>2452</v>
      </c>
      <c r="F1292" s="1015"/>
      <c r="G1292" s="1017"/>
      <c r="H1292" s="1017"/>
      <c r="I1292" s="1017"/>
      <c r="J1292" s="1149" t="s">
        <v>2628</v>
      </c>
    </row>
    <row r="1293" spans="1:10" ht="61.5" customHeight="1" x14ac:dyDescent="0.2">
      <c r="A1293" s="1155" t="s">
        <v>2453</v>
      </c>
      <c r="B1293" s="469"/>
      <c r="C1293" s="1015"/>
      <c r="D1293" s="1015"/>
      <c r="E1293" s="1015" t="s">
        <v>2454</v>
      </c>
      <c r="F1293" s="1015"/>
      <c r="G1293" s="1017"/>
      <c r="H1293" s="1017"/>
      <c r="I1293" s="1017"/>
      <c r="J1293" s="1149" t="s">
        <v>2628</v>
      </c>
    </row>
    <row r="1294" spans="1:10" ht="50.1" customHeight="1" x14ac:dyDescent="0.2">
      <c r="A1294" s="1196" t="s">
        <v>2455</v>
      </c>
      <c r="B1294" s="469"/>
      <c r="C1294" s="1015"/>
      <c r="D1294" s="1015"/>
      <c r="E1294" s="1015" t="s">
        <v>2456</v>
      </c>
      <c r="F1294" s="1015"/>
      <c r="G1294" s="1017"/>
      <c r="H1294" s="1017"/>
      <c r="I1294" s="1017"/>
      <c r="J1294" s="1149" t="s">
        <v>2628</v>
      </c>
    </row>
    <row r="1295" spans="1:10" ht="50.1" customHeight="1" thickBot="1" x14ac:dyDescent="0.25">
      <c r="A1295" s="1197" t="s">
        <v>2457</v>
      </c>
      <c r="B1295" s="545"/>
      <c r="C1295" s="546"/>
      <c r="D1295" s="545"/>
      <c r="E1295" s="495" t="s">
        <v>2458</v>
      </c>
      <c r="F1295" s="545"/>
      <c r="G1295" s="547"/>
      <c r="H1295" s="547"/>
      <c r="I1295" s="547"/>
      <c r="J1295" s="1149" t="s">
        <v>2628</v>
      </c>
    </row>
    <row r="1296" spans="1:10" ht="30" customHeight="1" thickBot="1" x14ac:dyDescent="0.25">
      <c r="A1296" s="542" t="s">
        <v>2462</v>
      </c>
      <c r="B1296" s="543"/>
      <c r="C1296" s="543"/>
      <c r="D1296" s="543"/>
      <c r="E1296" s="543"/>
      <c r="F1296" s="543"/>
      <c r="G1296" s="543"/>
      <c r="H1296" s="543"/>
      <c r="I1296" s="543"/>
      <c r="J1296" s="544"/>
    </row>
    <row r="1297" spans="1:10" ht="39.950000000000003" customHeight="1" x14ac:dyDescent="0.2">
      <c r="A1297" s="1198" t="s">
        <v>12006</v>
      </c>
      <c r="B1297" s="999" t="s">
        <v>12007</v>
      </c>
      <c r="C1297" s="1000" t="s">
        <v>1219</v>
      </c>
      <c r="D1297" s="1000" t="s">
        <v>12008</v>
      </c>
      <c r="E1297" s="1001">
        <v>5817.4</v>
      </c>
      <c r="F1297" s="999" t="s">
        <v>12009</v>
      </c>
      <c r="G1297" s="999" t="s">
        <v>12010</v>
      </c>
      <c r="H1297" s="1002">
        <v>43494</v>
      </c>
      <c r="I1297" s="1002">
        <v>43515</v>
      </c>
      <c r="J1297" s="1199"/>
    </row>
    <row r="1298" spans="1:10" s="81" customFormat="1" ht="39.950000000000003" customHeight="1" x14ac:dyDescent="0.2">
      <c r="A1298" s="1198" t="s">
        <v>12011</v>
      </c>
      <c r="B1298" s="999" t="s">
        <v>12007</v>
      </c>
      <c r="C1298" s="1000" t="s">
        <v>1219</v>
      </c>
      <c r="D1298" s="1000" t="s">
        <v>12012</v>
      </c>
      <c r="E1298" s="1001">
        <v>197.24</v>
      </c>
      <c r="F1298" s="999" t="s">
        <v>2172</v>
      </c>
      <c r="G1298" s="999" t="s">
        <v>12010</v>
      </c>
      <c r="H1298" s="1002">
        <v>43507</v>
      </c>
      <c r="I1298" s="1002">
        <v>43515</v>
      </c>
      <c r="J1298" s="1199"/>
    </row>
    <row r="1299" spans="1:10" s="81" customFormat="1" ht="39.950000000000003" customHeight="1" x14ac:dyDescent="0.2">
      <c r="A1299" s="1198" t="s">
        <v>12011</v>
      </c>
      <c r="B1299" s="999" t="s">
        <v>12007</v>
      </c>
      <c r="C1299" s="1000" t="s">
        <v>1219</v>
      </c>
      <c r="D1299" s="1000" t="s">
        <v>12013</v>
      </c>
      <c r="E1299" s="1001">
        <v>6582.6</v>
      </c>
      <c r="F1299" s="999" t="s">
        <v>12014</v>
      </c>
      <c r="G1299" s="999" t="s">
        <v>12010</v>
      </c>
      <c r="H1299" s="1002">
        <v>43507</v>
      </c>
      <c r="I1299" s="1002">
        <v>43514</v>
      </c>
      <c r="J1299" s="1199"/>
    </row>
    <row r="1300" spans="1:10" s="81" customFormat="1" ht="39.950000000000003" customHeight="1" x14ac:dyDescent="0.2">
      <c r="A1300" s="1198" t="s">
        <v>12015</v>
      </c>
      <c r="B1300" s="999" t="s">
        <v>1928</v>
      </c>
      <c r="C1300" s="1000" t="s">
        <v>1219</v>
      </c>
      <c r="D1300" s="1000" t="s">
        <v>12016</v>
      </c>
      <c r="E1300" s="1001">
        <v>3542.36</v>
      </c>
      <c r="F1300" s="999" t="s">
        <v>12017</v>
      </c>
      <c r="G1300" s="999" t="s">
        <v>12010</v>
      </c>
      <c r="H1300" s="1002">
        <v>43565</v>
      </c>
      <c r="I1300" s="1002">
        <v>43581</v>
      </c>
      <c r="J1300" s="1199"/>
    </row>
    <row r="1301" spans="1:10" s="81" customFormat="1" ht="39.950000000000003" customHeight="1" x14ac:dyDescent="0.2">
      <c r="A1301" s="1198" t="s">
        <v>12018</v>
      </c>
      <c r="B1301" s="999" t="s">
        <v>1928</v>
      </c>
      <c r="C1301" s="1000" t="s">
        <v>1219</v>
      </c>
      <c r="D1301" s="1000" t="s">
        <v>12019</v>
      </c>
      <c r="E1301" s="1001">
        <v>1326.65</v>
      </c>
      <c r="F1301" s="999" t="s">
        <v>12020</v>
      </c>
      <c r="G1301" s="999" t="s">
        <v>12010</v>
      </c>
      <c r="H1301" s="1002">
        <v>43565</v>
      </c>
      <c r="I1301" s="1002">
        <v>43572</v>
      </c>
      <c r="J1301" s="1199"/>
    </row>
    <row r="1302" spans="1:10" s="81" customFormat="1" ht="39.950000000000003" customHeight="1" x14ac:dyDescent="0.2">
      <c r="A1302" s="1198" t="s">
        <v>12021</v>
      </c>
      <c r="B1302" s="999" t="s">
        <v>1928</v>
      </c>
      <c r="C1302" s="1000" t="s">
        <v>1219</v>
      </c>
      <c r="D1302" s="1000" t="s">
        <v>12022</v>
      </c>
      <c r="E1302" s="1001">
        <v>991.48</v>
      </c>
      <c r="F1302" s="999" t="s">
        <v>12017</v>
      </c>
      <c r="G1302" s="999" t="s">
        <v>12010</v>
      </c>
      <c r="H1302" s="1002">
        <v>43565</v>
      </c>
      <c r="I1302" s="1002">
        <v>43581</v>
      </c>
      <c r="J1302" s="1199"/>
    </row>
    <row r="1303" spans="1:10" s="81" customFormat="1" ht="39.950000000000003" customHeight="1" x14ac:dyDescent="0.2">
      <c r="A1303" s="1198" t="s">
        <v>12023</v>
      </c>
      <c r="B1303" s="999" t="s">
        <v>1928</v>
      </c>
      <c r="C1303" s="1000" t="s">
        <v>1219</v>
      </c>
      <c r="D1303" s="1000" t="s">
        <v>12024</v>
      </c>
      <c r="E1303" s="1001">
        <v>23517</v>
      </c>
      <c r="F1303" s="999" t="s">
        <v>12025</v>
      </c>
      <c r="G1303" s="999" t="s">
        <v>12010</v>
      </c>
      <c r="H1303" s="1002">
        <v>43567</v>
      </c>
      <c r="I1303" s="1002">
        <v>43591</v>
      </c>
      <c r="J1303" s="1199"/>
    </row>
    <row r="1304" spans="1:10" s="81" customFormat="1" ht="39.950000000000003" customHeight="1" x14ac:dyDescent="0.2">
      <c r="A1304" s="1198" t="s">
        <v>12026</v>
      </c>
      <c r="B1304" s="999" t="s">
        <v>1928</v>
      </c>
      <c r="C1304" s="1000" t="s">
        <v>1219</v>
      </c>
      <c r="D1304" s="1000" t="s">
        <v>12027</v>
      </c>
      <c r="E1304" s="1001">
        <v>33571</v>
      </c>
      <c r="F1304" s="999" t="s">
        <v>12014</v>
      </c>
      <c r="G1304" s="999" t="s">
        <v>12010</v>
      </c>
      <c r="H1304" s="1002">
        <v>43584</v>
      </c>
      <c r="I1304" s="1002">
        <v>43600</v>
      </c>
      <c r="J1304" s="1199"/>
    </row>
    <row r="1305" spans="1:10" s="81" customFormat="1" ht="39.950000000000003" customHeight="1" x14ac:dyDescent="0.2">
      <c r="A1305" s="1198" t="s">
        <v>12028</v>
      </c>
      <c r="B1305" s="999" t="s">
        <v>1928</v>
      </c>
      <c r="C1305" s="1000" t="s">
        <v>1219</v>
      </c>
      <c r="D1305" s="1000" t="s">
        <v>12029</v>
      </c>
      <c r="E1305" s="1001">
        <v>1420</v>
      </c>
      <c r="F1305" s="999" t="s">
        <v>12030</v>
      </c>
      <c r="G1305" s="999" t="s">
        <v>12010</v>
      </c>
      <c r="H1305" s="1002">
        <v>43584</v>
      </c>
      <c r="I1305" s="1002">
        <v>43592</v>
      </c>
      <c r="J1305" s="1199"/>
    </row>
    <row r="1306" spans="1:10" s="81" customFormat="1" ht="39.950000000000003" customHeight="1" x14ac:dyDescent="0.2">
      <c r="A1306" s="1198" t="s">
        <v>12031</v>
      </c>
      <c r="B1306" s="999" t="s">
        <v>1928</v>
      </c>
      <c r="C1306" s="1000" t="s">
        <v>1219</v>
      </c>
      <c r="D1306" s="1000" t="s">
        <v>12032</v>
      </c>
      <c r="E1306" s="1001">
        <v>1860.27</v>
      </c>
      <c r="F1306" s="999" t="s">
        <v>12020</v>
      </c>
      <c r="G1306" s="999" t="s">
        <v>12010</v>
      </c>
      <c r="H1306" s="1002">
        <v>43593</v>
      </c>
      <c r="I1306" s="1002">
        <v>43599</v>
      </c>
      <c r="J1306" s="1199"/>
    </row>
    <row r="1307" spans="1:10" s="81" customFormat="1" ht="39.950000000000003" customHeight="1" x14ac:dyDescent="0.2">
      <c r="A1307" s="1198" t="s">
        <v>12033</v>
      </c>
      <c r="B1307" s="999" t="s">
        <v>1928</v>
      </c>
      <c r="C1307" s="1000" t="s">
        <v>1219</v>
      </c>
      <c r="D1307" s="1000" t="s">
        <v>12034</v>
      </c>
      <c r="E1307" s="1001">
        <v>1280.06</v>
      </c>
      <c r="F1307" s="999" t="s">
        <v>12017</v>
      </c>
      <c r="G1307" s="999" t="s">
        <v>12010</v>
      </c>
      <c r="H1307" s="1002">
        <v>43601</v>
      </c>
      <c r="I1307" s="1002">
        <v>43626</v>
      </c>
      <c r="J1307" s="1199"/>
    </row>
    <row r="1308" spans="1:10" s="81" customFormat="1" ht="39.950000000000003" customHeight="1" x14ac:dyDescent="0.2">
      <c r="A1308" s="1198" t="s">
        <v>12035</v>
      </c>
      <c r="B1308" s="999" t="s">
        <v>1928</v>
      </c>
      <c r="C1308" s="1000" t="s">
        <v>1219</v>
      </c>
      <c r="D1308" s="1000" t="s">
        <v>12036</v>
      </c>
      <c r="E1308" s="1001">
        <v>1306.8499999999999</v>
      </c>
      <c r="F1308" s="999" t="s">
        <v>12020</v>
      </c>
      <c r="G1308" s="999" t="s">
        <v>12010</v>
      </c>
      <c r="H1308" s="1002">
        <v>43601</v>
      </c>
      <c r="I1308" s="1002">
        <v>43614</v>
      </c>
      <c r="J1308" s="1199"/>
    </row>
    <row r="1309" spans="1:10" s="81" customFormat="1" ht="39.950000000000003" customHeight="1" x14ac:dyDescent="0.2">
      <c r="A1309" s="1198" t="s">
        <v>12037</v>
      </c>
      <c r="B1309" s="999" t="s">
        <v>1928</v>
      </c>
      <c r="C1309" s="1000" t="s">
        <v>1219</v>
      </c>
      <c r="D1309" s="1000" t="s">
        <v>12038</v>
      </c>
      <c r="E1309" s="1001">
        <v>3996</v>
      </c>
      <c r="F1309" s="999" t="s">
        <v>12039</v>
      </c>
      <c r="G1309" s="999" t="s">
        <v>12010</v>
      </c>
      <c r="H1309" s="1002">
        <v>43601</v>
      </c>
      <c r="I1309" s="1002">
        <v>43605</v>
      </c>
      <c r="J1309" s="1199"/>
    </row>
    <row r="1310" spans="1:10" s="81" customFormat="1" ht="39.950000000000003" customHeight="1" x14ac:dyDescent="0.2">
      <c r="A1310" s="1198" t="s">
        <v>12040</v>
      </c>
      <c r="B1310" s="999" t="s">
        <v>1928</v>
      </c>
      <c r="C1310" s="1000" t="s">
        <v>1219</v>
      </c>
      <c r="D1310" s="1000" t="s">
        <v>12041</v>
      </c>
      <c r="E1310" s="1001">
        <v>587</v>
      </c>
      <c r="F1310" s="999" t="s">
        <v>12042</v>
      </c>
      <c r="G1310" s="999" t="s">
        <v>12010</v>
      </c>
      <c r="H1310" s="1002">
        <v>43606</v>
      </c>
      <c r="I1310" s="1002">
        <v>43634</v>
      </c>
      <c r="J1310" s="1199"/>
    </row>
    <row r="1311" spans="1:10" s="81" customFormat="1" ht="39.950000000000003" customHeight="1" x14ac:dyDescent="0.2">
      <c r="A1311" s="1198" t="s">
        <v>12040</v>
      </c>
      <c r="B1311" s="999" t="s">
        <v>1928</v>
      </c>
      <c r="C1311" s="1000" t="s">
        <v>1219</v>
      </c>
      <c r="D1311" s="1000" t="s">
        <v>12043</v>
      </c>
      <c r="E1311" s="1001">
        <v>836.5</v>
      </c>
      <c r="F1311" s="999" t="s">
        <v>12044</v>
      </c>
      <c r="G1311" s="999" t="s">
        <v>12010</v>
      </c>
      <c r="H1311" s="1002">
        <v>43606</v>
      </c>
      <c r="I1311" s="1002">
        <v>43616</v>
      </c>
      <c r="J1311" s="1199"/>
    </row>
    <row r="1312" spans="1:10" s="81" customFormat="1" ht="39.950000000000003" customHeight="1" x14ac:dyDescent="0.2">
      <c r="A1312" s="1198" t="s">
        <v>12045</v>
      </c>
      <c r="B1312" s="999" t="s">
        <v>1928</v>
      </c>
      <c r="C1312" s="1000" t="s">
        <v>1219</v>
      </c>
      <c r="D1312" s="1000" t="s">
        <v>12046</v>
      </c>
      <c r="E1312" s="1001">
        <v>582</v>
      </c>
      <c r="F1312" s="999" t="s">
        <v>12044</v>
      </c>
      <c r="G1312" s="999" t="s">
        <v>12010</v>
      </c>
      <c r="H1312" s="1002">
        <v>43606</v>
      </c>
      <c r="I1312" s="1002">
        <v>43616</v>
      </c>
      <c r="J1312" s="1199"/>
    </row>
    <row r="1313" spans="1:10" s="81" customFormat="1" ht="39.950000000000003" customHeight="1" x14ac:dyDescent="0.2">
      <c r="A1313" s="1198" t="s">
        <v>12047</v>
      </c>
      <c r="B1313" s="999" t="s">
        <v>1928</v>
      </c>
      <c r="C1313" s="1000" t="s">
        <v>1219</v>
      </c>
      <c r="D1313" s="1000" t="s">
        <v>12048</v>
      </c>
      <c r="E1313" s="1001">
        <v>1520.22</v>
      </c>
      <c r="F1313" s="999" t="s">
        <v>2172</v>
      </c>
      <c r="G1313" s="999" t="s">
        <v>12010</v>
      </c>
      <c r="H1313" s="1002">
        <v>43622</v>
      </c>
      <c r="I1313" s="1002">
        <v>43643</v>
      </c>
      <c r="J1313" s="1199"/>
    </row>
    <row r="1314" spans="1:10" s="81" customFormat="1" ht="39.950000000000003" customHeight="1" x14ac:dyDescent="0.2">
      <c r="A1314" s="1198" t="s">
        <v>12049</v>
      </c>
      <c r="B1314" s="999" t="s">
        <v>1928</v>
      </c>
      <c r="C1314" s="1000" t="s">
        <v>1219</v>
      </c>
      <c r="D1314" s="1000" t="s">
        <v>12050</v>
      </c>
      <c r="E1314" s="1001">
        <v>701.59</v>
      </c>
      <c r="F1314" s="999" t="s">
        <v>12051</v>
      </c>
      <c r="G1314" s="999" t="s">
        <v>12010</v>
      </c>
      <c r="H1314" s="1002">
        <v>43622</v>
      </c>
      <c r="I1314" s="1002">
        <v>43630</v>
      </c>
      <c r="J1314" s="1199"/>
    </row>
    <row r="1315" spans="1:10" s="81" customFormat="1" ht="39.950000000000003" customHeight="1" x14ac:dyDescent="0.2">
      <c r="A1315" s="1198" t="s">
        <v>12049</v>
      </c>
      <c r="B1315" s="999" t="s">
        <v>1928</v>
      </c>
      <c r="C1315" s="1000" t="s">
        <v>1219</v>
      </c>
      <c r="D1315" s="1000" t="s">
        <v>12052</v>
      </c>
      <c r="E1315" s="1001">
        <v>84.15</v>
      </c>
      <c r="F1315" s="999" t="s">
        <v>2156</v>
      </c>
      <c r="G1315" s="999" t="s">
        <v>12010</v>
      </c>
      <c r="H1315" s="1002">
        <v>43622</v>
      </c>
      <c r="I1315" s="1002">
        <v>43643</v>
      </c>
      <c r="J1315" s="1199"/>
    </row>
    <row r="1316" spans="1:10" s="81" customFormat="1" ht="39.950000000000003" customHeight="1" x14ac:dyDescent="0.2">
      <c r="A1316" s="1198" t="s">
        <v>12053</v>
      </c>
      <c r="B1316" s="999" t="s">
        <v>1928</v>
      </c>
      <c r="C1316" s="1000" t="s">
        <v>1219</v>
      </c>
      <c r="D1316" s="1000" t="s">
        <v>12054</v>
      </c>
      <c r="E1316" s="1001">
        <v>594.64</v>
      </c>
      <c r="F1316" s="999" t="s">
        <v>2181</v>
      </c>
      <c r="G1316" s="999" t="s">
        <v>12010</v>
      </c>
      <c r="H1316" s="1002">
        <v>43622</v>
      </c>
      <c r="I1316" s="1002">
        <v>43643</v>
      </c>
      <c r="J1316" s="1199"/>
    </row>
    <row r="1317" spans="1:10" s="81" customFormat="1" ht="39.950000000000003" customHeight="1" x14ac:dyDescent="0.2">
      <c r="A1317" s="1198" t="s">
        <v>12055</v>
      </c>
      <c r="B1317" s="999" t="s">
        <v>1928</v>
      </c>
      <c r="C1317" s="1000" t="s">
        <v>1219</v>
      </c>
      <c r="D1317" s="1000" t="s">
        <v>12056</v>
      </c>
      <c r="E1317" s="1001">
        <v>441.3</v>
      </c>
      <c r="F1317" s="999" t="s">
        <v>2172</v>
      </c>
      <c r="G1317" s="999" t="s">
        <v>12010</v>
      </c>
      <c r="H1317" s="1002">
        <v>43634</v>
      </c>
      <c r="I1317" s="1002">
        <v>43657</v>
      </c>
      <c r="J1317" s="1199"/>
    </row>
    <row r="1318" spans="1:10" s="81" customFormat="1" ht="39.950000000000003" customHeight="1" x14ac:dyDescent="0.2">
      <c r="A1318" s="1198" t="s">
        <v>12057</v>
      </c>
      <c r="B1318" s="999" t="s">
        <v>1928</v>
      </c>
      <c r="C1318" s="1000" t="s">
        <v>1219</v>
      </c>
      <c r="D1318" s="1000" t="s">
        <v>12058</v>
      </c>
      <c r="E1318" s="1001">
        <v>1153.51</v>
      </c>
      <c r="F1318" s="999" t="s">
        <v>2156</v>
      </c>
      <c r="G1318" s="999" t="s">
        <v>12010</v>
      </c>
      <c r="H1318" s="1002">
        <v>43634</v>
      </c>
      <c r="I1318" s="1002">
        <v>43657</v>
      </c>
      <c r="J1318" s="1199"/>
    </row>
    <row r="1319" spans="1:10" s="81" customFormat="1" ht="39.950000000000003" customHeight="1" x14ac:dyDescent="0.2">
      <c r="A1319" s="1198" t="s">
        <v>12059</v>
      </c>
      <c r="B1319" s="999" t="s">
        <v>1928</v>
      </c>
      <c r="C1319" s="1000" t="s">
        <v>1219</v>
      </c>
      <c r="D1319" s="1000" t="s">
        <v>12060</v>
      </c>
      <c r="E1319" s="1001">
        <v>225.43</v>
      </c>
      <c r="F1319" s="999" t="s">
        <v>12051</v>
      </c>
      <c r="G1319" s="999" t="s">
        <v>12010</v>
      </c>
      <c r="H1319" s="1002">
        <v>43634</v>
      </c>
      <c r="I1319" s="1002">
        <v>43654</v>
      </c>
      <c r="J1319" s="1199"/>
    </row>
    <row r="1320" spans="1:10" s="81" customFormat="1" ht="39.950000000000003" customHeight="1" x14ac:dyDescent="0.2">
      <c r="A1320" s="1198" t="s">
        <v>12061</v>
      </c>
      <c r="B1320" s="999" t="s">
        <v>12007</v>
      </c>
      <c r="C1320" s="1000" t="s">
        <v>1219</v>
      </c>
      <c r="D1320" s="1000" t="s">
        <v>12062</v>
      </c>
      <c r="E1320" s="1001">
        <v>545.44000000000005</v>
      </c>
      <c r="F1320" s="999" t="s">
        <v>2304</v>
      </c>
      <c r="G1320" s="999" t="s">
        <v>12010</v>
      </c>
      <c r="H1320" s="1002">
        <v>43636</v>
      </c>
      <c r="I1320" s="1002">
        <v>43657</v>
      </c>
      <c r="J1320" s="1199"/>
    </row>
    <row r="1321" spans="1:10" s="81" customFormat="1" ht="39.950000000000003" customHeight="1" x14ac:dyDescent="0.2">
      <c r="A1321" s="1198" t="s">
        <v>12063</v>
      </c>
      <c r="B1321" s="999" t="s">
        <v>1928</v>
      </c>
      <c r="C1321" s="1000" t="s">
        <v>1219</v>
      </c>
      <c r="D1321" s="1000" t="s">
        <v>12064</v>
      </c>
      <c r="E1321" s="1001">
        <v>658.44</v>
      </c>
      <c r="F1321" s="999" t="s">
        <v>12065</v>
      </c>
      <c r="G1321" s="999" t="s">
        <v>12010</v>
      </c>
      <c r="H1321" s="1002">
        <v>43641</v>
      </c>
      <c r="I1321" s="1002">
        <v>43656</v>
      </c>
      <c r="J1321" s="1199"/>
    </row>
    <row r="1322" spans="1:10" s="81" customFormat="1" ht="39.950000000000003" customHeight="1" x14ac:dyDescent="0.2">
      <c r="A1322" s="1198" t="s">
        <v>12066</v>
      </c>
      <c r="B1322" s="999" t="s">
        <v>1928</v>
      </c>
      <c r="C1322" s="1000" t="s">
        <v>1219</v>
      </c>
      <c r="D1322" s="1000" t="s">
        <v>12067</v>
      </c>
      <c r="E1322" s="1001">
        <v>98.13</v>
      </c>
      <c r="F1322" s="999" t="s">
        <v>2143</v>
      </c>
      <c r="G1322" s="999" t="s">
        <v>12010</v>
      </c>
      <c r="H1322" s="1002">
        <v>43644</v>
      </c>
      <c r="I1322" s="1002">
        <v>43662</v>
      </c>
      <c r="J1322" s="1199"/>
    </row>
    <row r="1323" spans="1:10" s="81" customFormat="1" ht="39.950000000000003" customHeight="1" x14ac:dyDescent="0.2">
      <c r="A1323" s="1198" t="s">
        <v>12068</v>
      </c>
      <c r="B1323" s="999" t="s">
        <v>1928</v>
      </c>
      <c r="C1323" s="1000" t="s">
        <v>1219</v>
      </c>
      <c r="D1323" s="1000" t="s">
        <v>12069</v>
      </c>
      <c r="E1323" s="1001">
        <v>1046.71</v>
      </c>
      <c r="F1323" s="999" t="s">
        <v>2143</v>
      </c>
      <c r="G1323" s="999" t="s">
        <v>12010</v>
      </c>
      <c r="H1323" s="1002">
        <v>43644</v>
      </c>
      <c r="I1323" s="1002">
        <v>43662</v>
      </c>
      <c r="J1323" s="1199"/>
    </row>
    <row r="1324" spans="1:10" s="81" customFormat="1" ht="39.950000000000003" customHeight="1" x14ac:dyDescent="0.2">
      <c r="A1324" s="1198" t="s">
        <v>12070</v>
      </c>
      <c r="B1324" s="999" t="s">
        <v>1928</v>
      </c>
      <c r="C1324" s="1000" t="s">
        <v>1219</v>
      </c>
      <c r="D1324" s="1000" t="s">
        <v>12071</v>
      </c>
      <c r="E1324" s="1001">
        <v>802.9</v>
      </c>
      <c r="F1324" s="999" t="s">
        <v>12042</v>
      </c>
      <c r="G1324" s="999" t="s">
        <v>12010</v>
      </c>
      <c r="H1324" s="1002">
        <v>43657</v>
      </c>
      <c r="I1324" s="1002">
        <v>43662</v>
      </c>
      <c r="J1324" s="1199"/>
    </row>
    <row r="1325" spans="1:10" s="81" customFormat="1" ht="39.950000000000003" customHeight="1" x14ac:dyDescent="0.2">
      <c r="A1325" s="1198" t="s">
        <v>12072</v>
      </c>
      <c r="B1325" s="999" t="s">
        <v>1928</v>
      </c>
      <c r="C1325" s="1000" t="s">
        <v>1219</v>
      </c>
      <c r="D1325" s="1000" t="s">
        <v>12073</v>
      </c>
      <c r="E1325" s="1001">
        <v>450</v>
      </c>
      <c r="F1325" s="999" t="s">
        <v>12039</v>
      </c>
      <c r="G1325" s="999" t="s">
        <v>12010</v>
      </c>
      <c r="H1325" s="1002">
        <v>43671</v>
      </c>
      <c r="I1325" s="1002">
        <v>43678</v>
      </c>
      <c r="J1325" s="1199"/>
    </row>
    <row r="1326" spans="1:10" s="81" customFormat="1" ht="39.950000000000003" customHeight="1" x14ac:dyDescent="0.2">
      <c r="A1326" s="1198" t="s">
        <v>12074</v>
      </c>
      <c r="B1326" s="999" t="s">
        <v>1928</v>
      </c>
      <c r="C1326" s="1000" t="s">
        <v>1219</v>
      </c>
      <c r="D1326" s="1000" t="s">
        <v>12075</v>
      </c>
      <c r="E1326" s="1001">
        <v>6912</v>
      </c>
      <c r="F1326" s="999" t="s">
        <v>12076</v>
      </c>
      <c r="G1326" s="999" t="s">
        <v>12010</v>
      </c>
      <c r="H1326" s="1002">
        <v>43697</v>
      </c>
      <c r="I1326" s="1002">
        <v>43700</v>
      </c>
      <c r="J1326" s="1199"/>
    </row>
    <row r="1327" spans="1:10" s="81" customFormat="1" ht="39.950000000000003" customHeight="1" x14ac:dyDescent="0.2">
      <c r="A1327" s="1198" t="s">
        <v>12077</v>
      </c>
      <c r="B1327" s="999" t="s">
        <v>1928</v>
      </c>
      <c r="C1327" s="1000" t="s">
        <v>1219</v>
      </c>
      <c r="D1327" s="1000" t="s">
        <v>12078</v>
      </c>
      <c r="E1327" s="1001">
        <v>21600</v>
      </c>
      <c r="F1327" s="999" t="s">
        <v>12079</v>
      </c>
      <c r="G1327" s="999" t="s">
        <v>12010</v>
      </c>
      <c r="H1327" s="1002">
        <v>43697</v>
      </c>
      <c r="I1327" s="1002">
        <v>43704</v>
      </c>
      <c r="J1327" s="1199"/>
    </row>
    <row r="1328" spans="1:10" s="81" customFormat="1" ht="39.950000000000003" customHeight="1" x14ac:dyDescent="0.2">
      <c r="A1328" s="1198" t="s">
        <v>12080</v>
      </c>
      <c r="B1328" s="999" t="s">
        <v>1928</v>
      </c>
      <c r="C1328" s="1000" t="s">
        <v>1219</v>
      </c>
      <c r="D1328" s="1000" t="s">
        <v>12081</v>
      </c>
      <c r="E1328" s="1001">
        <v>163</v>
      </c>
      <c r="F1328" s="999" t="s">
        <v>12042</v>
      </c>
      <c r="G1328" s="999" t="s">
        <v>12010</v>
      </c>
      <c r="H1328" s="1002">
        <v>43697</v>
      </c>
      <c r="I1328" s="1002">
        <v>43713</v>
      </c>
      <c r="J1328" s="1199"/>
    </row>
    <row r="1329" spans="1:10" s="81" customFormat="1" ht="39.950000000000003" customHeight="1" x14ac:dyDescent="0.2">
      <c r="A1329" s="1200" t="s">
        <v>12082</v>
      </c>
      <c r="B1329" s="999" t="s">
        <v>1928</v>
      </c>
      <c r="C1329" s="1000" t="s">
        <v>1219</v>
      </c>
      <c r="D1329" s="1000" t="s">
        <v>12083</v>
      </c>
      <c r="E1329" s="1004">
        <v>1740</v>
      </c>
      <c r="F1329" s="1003" t="s">
        <v>12084</v>
      </c>
      <c r="G1329" s="999" t="s">
        <v>12010</v>
      </c>
      <c r="H1329" s="1005">
        <v>43697</v>
      </c>
      <c r="I1329" s="1002">
        <v>43704</v>
      </c>
      <c r="J1329" s="1199"/>
    </row>
    <row r="1330" spans="1:10" s="81" customFormat="1" ht="39.950000000000003" customHeight="1" x14ac:dyDescent="0.2">
      <c r="A1330" s="1200" t="s">
        <v>12085</v>
      </c>
      <c r="B1330" s="999" t="s">
        <v>1928</v>
      </c>
      <c r="C1330" s="1000" t="s">
        <v>1219</v>
      </c>
      <c r="D1330" s="1000" t="s">
        <v>12086</v>
      </c>
      <c r="E1330" s="1006">
        <v>396.5</v>
      </c>
      <c r="F1330" s="1003" t="s">
        <v>12042</v>
      </c>
      <c r="G1330" s="999" t="s">
        <v>12010</v>
      </c>
      <c r="H1330" s="1005">
        <v>43697</v>
      </c>
      <c r="I1330" s="1002">
        <v>43711</v>
      </c>
      <c r="J1330" s="1199"/>
    </row>
    <row r="1331" spans="1:10" s="81" customFormat="1" ht="39.950000000000003" customHeight="1" x14ac:dyDescent="0.2">
      <c r="A1331" s="1200" t="s">
        <v>12087</v>
      </c>
      <c r="B1331" s="999" t="s">
        <v>1928</v>
      </c>
      <c r="C1331" s="1000" t="s">
        <v>1219</v>
      </c>
      <c r="D1331" s="1000" t="s">
        <v>12088</v>
      </c>
      <c r="E1331" s="1006">
        <v>1250</v>
      </c>
      <c r="F1331" s="1003" t="s">
        <v>12042</v>
      </c>
      <c r="G1331" s="999" t="s">
        <v>12010</v>
      </c>
      <c r="H1331" s="1005">
        <v>43704</v>
      </c>
      <c r="I1331" s="1002">
        <v>43711</v>
      </c>
      <c r="J1331" s="1199"/>
    </row>
    <row r="1332" spans="1:10" s="81" customFormat="1" ht="39.950000000000003" customHeight="1" x14ac:dyDescent="0.2">
      <c r="A1332" s="1200" t="s">
        <v>12089</v>
      </c>
      <c r="B1332" s="999" t="s">
        <v>12007</v>
      </c>
      <c r="C1332" s="1000" t="s">
        <v>1219</v>
      </c>
      <c r="D1332" s="1000" t="s">
        <v>12090</v>
      </c>
      <c r="E1332" s="1006">
        <v>20809.650000000001</v>
      </c>
      <c r="F1332" s="1003" t="s">
        <v>12091</v>
      </c>
      <c r="G1332" s="999" t="s">
        <v>12010</v>
      </c>
      <c r="H1332" s="1005">
        <v>43704</v>
      </c>
      <c r="I1332" s="1002">
        <v>43711</v>
      </c>
      <c r="J1332" s="1199"/>
    </row>
    <row r="1333" spans="1:10" s="81" customFormat="1" ht="39.950000000000003" customHeight="1" x14ac:dyDescent="0.2">
      <c r="A1333" s="1189" t="s">
        <v>12092</v>
      </c>
      <c r="B1333" s="999" t="s">
        <v>12007</v>
      </c>
      <c r="C1333" s="1000" t="s">
        <v>1219</v>
      </c>
      <c r="D1333" s="1000" t="s">
        <v>12093</v>
      </c>
      <c r="E1333" s="1006">
        <v>12737.58</v>
      </c>
      <c r="F1333" s="508" t="s">
        <v>12094</v>
      </c>
      <c r="G1333" s="999" t="s">
        <v>12010</v>
      </c>
      <c r="H1333" s="1005">
        <v>43704</v>
      </c>
      <c r="I1333" s="1002">
        <v>43718</v>
      </c>
      <c r="J1333" s="1199"/>
    </row>
    <row r="1334" spans="1:10" s="81" customFormat="1" ht="39.950000000000003" customHeight="1" x14ac:dyDescent="0.2">
      <c r="A1334" s="1189" t="s">
        <v>12095</v>
      </c>
      <c r="B1334" s="999" t="s">
        <v>1928</v>
      </c>
      <c r="C1334" s="1000" t="s">
        <v>1219</v>
      </c>
      <c r="D1334" s="1000" t="s">
        <v>12096</v>
      </c>
      <c r="E1334" s="1006">
        <v>4128.3</v>
      </c>
      <c r="F1334" s="508" t="s">
        <v>12097</v>
      </c>
      <c r="G1334" s="999" t="s">
        <v>12010</v>
      </c>
      <c r="H1334" s="1005">
        <v>43704</v>
      </c>
      <c r="I1334" s="1002">
        <v>43714</v>
      </c>
      <c r="J1334" s="1199"/>
    </row>
    <row r="1335" spans="1:10" s="81" customFormat="1" ht="39.950000000000003" customHeight="1" x14ac:dyDescent="0.2">
      <c r="A1335" s="1189" t="s">
        <v>12098</v>
      </c>
      <c r="B1335" s="999" t="s">
        <v>1928</v>
      </c>
      <c r="C1335" s="1000" t="s">
        <v>1219</v>
      </c>
      <c r="D1335" s="1000" t="s">
        <v>12099</v>
      </c>
      <c r="E1335" s="1006">
        <v>905.23</v>
      </c>
      <c r="F1335" s="508" t="s">
        <v>12100</v>
      </c>
      <c r="G1335" s="999" t="s">
        <v>12010</v>
      </c>
      <c r="H1335" s="1005">
        <v>43704</v>
      </c>
      <c r="I1335" s="1002">
        <v>43738</v>
      </c>
      <c r="J1335" s="1199"/>
    </row>
    <row r="1336" spans="1:10" s="81" customFormat="1" ht="39.950000000000003" customHeight="1" x14ac:dyDescent="0.2">
      <c r="A1336" s="1189" t="s">
        <v>12101</v>
      </c>
      <c r="B1336" s="999" t="s">
        <v>1928</v>
      </c>
      <c r="C1336" s="1000" t="s">
        <v>1219</v>
      </c>
      <c r="D1336" s="1000" t="s">
        <v>12102</v>
      </c>
      <c r="E1336" s="1006">
        <v>11000</v>
      </c>
      <c r="F1336" s="508" t="s">
        <v>12103</v>
      </c>
      <c r="G1336" s="999" t="s">
        <v>12010</v>
      </c>
      <c r="H1336" s="1005">
        <v>43705</v>
      </c>
      <c r="I1336" s="1002">
        <v>43705</v>
      </c>
      <c r="J1336" s="1199"/>
    </row>
    <row r="1337" spans="1:10" s="81" customFormat="1" ht="39.950000000000003" customHeight="1" x14ac:dyDescent="0.2">
      <c r="A1337" s="1189" t="s">
        <v>12104</v>
      </c>
      <c r="B1337" s="999" t="s">
        <v>12007</v>
      </c>
      <c r="C1337" s="1000" t="s">
        <v>1219</v>
      </c>
      <c r="D1337" s="1000" t="s">
        <v>12105</v>
      </c>
      <c r="E1337" s="1006">
        <v>19621.98</v>
      </c>
      <c r="F1337" s="508" t="s">
        <v>12106</v>
      </c>
      <c r="G1337" s="999" t="s">
        <v>12010</v>
      </c>
      <c r="H1337" s="1005">
        <v>43705</v>
      </c>
      <c r="I1337" s="1002">
        <v>43711</v>
      </c>
      <c r="J1337" s="1199"/>
    </row>
    <row r="1338" spans="1:10" s="81" customFormat="1" ht="39.950000000000003" customHeight="1" x14ac:dyDescent="0.2">
      <c r="A1338" s="1189" t="s">
        <v>12107</v>
      </c>
      <c r="B1338" s="999" t="s">
        <v>12007</v>
      </c>
      <c r="C1338" s="1000" t="s">
        <v>1219</v>
      </c>
      <c r="D1338" s="1000" t="s">
        <v>12108</v>
      </c>
      <c r="E1338" s="1006">
        <v>12865.55</v>
      </c>
      <c r="F1338" s="508" t="s">
        <v>12109</v>
      </c>
      <c r="G1338" s="999" t="s">
        <v>12010</v>
      </c>
      <c r="H1338" s="1005">
        <v>43705</v>
      </c>
      <c r="I1338" s="1002">
        <v>43711</v>
      </c>
      <c r="J1338" s="1199"/>
    </row>
    <row r="1339" spans="1:10" s="81" customFormat="1" ht="39.950000000000003" customHeight="1" x14ac:dyDescent="0.2">
      <c r="A1339" s="1189" t="s">
        <v>12110</v>
      </c>
      <c r="B1339" s="999" t="s">
        <v>1928</v>
      </c>
      <c r="C1339" s="1000" t="s">
        <v>1219</v>
      </c>
      <c r="D1339" s="1000" t="s">
        <v>12111</v>
      </c>
      <c r="E1339" s="1006">
        <v>3040</v>
      </c>
      <c r="F1339" s="508" t="s">
        <v>12112</v>
      </c>
      <c r="G1339" s="999" t="s">
        <v>12010</v>
      </c>
      <c r="H1339" s="1005">
        <v>43727</v>
      </c>
      <c r="I1339" s="1002">
        <v>43739</v>
      </c>
      <c r="J1339" s="1199"/>
    </row>
    <row r="1340" spans="1:10" s="81" customFormat="1" ht="39.950000000000003" customHeight="1" x14ac:dyDescent="0.2">
      <c r="A1340" s="1189" t="s">
        <v>12113</v>
      </c>
      <c r="B1340" s="999" t="s">
        <v>1928</v>
      </c>
      <c r="C1340" s="1000" t="s">
        <v>1219</v>
      </c>
      <c r="D1340" s="1000" t="s">
        <v>12114</v>
      </c>
      <c r="E1340" s="1006">
        <v>1856</v>
      </c>
      <c r="F1340" s="508" t="s">
        <v>12115</v>
      </c>
      <c r="G1340" s="999" t="s">
        <v>12010</v>
      </c>
      <c r="H1340" s="1005">
        <v>43728</v>
      </c>
      <c r="I1340" s="1002">
        <v>43740</v>
      </c>
      <c r="J1340" s="1199"/>
    </row>
    <row r="1341" spans="1:10" s="81" customFormat="1" ht="39.950000000000003" customHeight="1" x14ac:dyDescent="0.2">
      <c r="A1341" s="1189" t="s">
        <v>12116</v>
      </c>
      <c r="B1341" s="999" t="s">
        <v>1928</v>
      </c>
      <c r="C1341" s="1000" t="s">
        <v>1219</v>
      </c>
      <c r="D1341" s="1000" t="s">
        <v>12117</v>
      </c>
      <c r="E1341" s="1006">
        <v>2028.12</v>
      </c>
      <c r="F1341" s="508" t="s">
        <v>2136</v>
      </c>
      <c r="G1341" s="999" t="s">
        <v>12010</v>
      </c>
      <c r="H1341" s="1005">
        <v>43734</v>
      </c>
      <c r="I1341" s="1002">
        <v>43741</v>
      </c>
      <c r="J1341" s="1199"/>
    </row>
    <row r="1342" spans="1:10" s="81" customFormat="1" ht="39.950000000000003" customHeight="1" x14ac:dyDescent="0.2">
      <c r="A1342" s="1189" t="s">
        <v>12118</v>
      </c>
      <c r="B1342" s="999" t="s">
        <v>12007</v>
      </c>
      <c r="C1342" s="1000" t="s">
        <v>1219</v>
      </c>
      <c r="D1342" s="1000" t="s">
        <v>12119</v>
      </c>
      <c r="E1342" s="1006">
        <v>5050.54</v>
      </c>
      <c r="F1342" s="508" t="s">
        <v>2156</v>
      </c>
      <c r="G1342" s="999" t="s">
        <v>12010</v>
      </c>
      <c r="H1342" s="1005">
        <v>43740</v>
      </c>
      <c r="I1342" s="1002">
        <v>43755</v>
      </c>
      <c r="J1342" s="1199"/>
    </row>
    <row r="1343" spans="1:10" s="81" customFormat="1" ht="39.950000000000003" customHeight="1" x14ac:dyDescent="0.2">
      <c r="A1343" s="1189" t="s">
        <v>12118</v>
      </c>
      <c r="B1343" s="999" t="s">
        <v>12007</v>
      </c>
      <c r="C1343" s="1000" t="s">
        <v>1219</v>
      </c>
      <c r="D1343" s="1000" t="s">
        <v>12120</v>
      </c>
      <c r="E1343" s="1006">
        <v>17862.89</v>
      </c>
      <c r="F1343" s="508" t="s">
        <v>12121</v>
      </c>
      <c r="G1343" s="999" t="s">
        <v>12010</v>
      </c>
      <c r="H1343" s="1005">
        <v>43740</v>
      </c>
      <c r="I1343" s="1002">
        <v>43768</v>
      </c>
      <c r="J1343" s="1199"/>
    </row>
    <row r="1344" spans="1:10" s="81" customFormat="1" ht="39.950000000000003" customHeight="1" x14ac:dyDescent="0.2">
      <c r="A1344" s="1189" t="s">
        <v>12118</v>
      </c>
      <c r="B1344" s="999" t="s">
        <v>12007</v>
      </c>
      <c r="C1344" s="1000" t="s">
        <v>1219</v>
      </c>
      <c r="D1344" s="1000" t="s">
        <v>12122</v>
      </c>
      <c r="E1344" s="1006">
        <v>8046.23</v>
      </c>
      <c r="F1344" s="508" t="s">
        <v>2172</v>
      </c>
      <c r="G1344" s="999" t="s">
        <v>12010</v>
      </c>
      <c r="H1344" s="1005">
        <v>43740</v>
      </c>
      <c r="I1344" s="1002">
        <v>43755</v>
      </c>
      <c r="J1344" s="1199"/>
    </row>
    <row r="1345" spans="1:10" s="81" customFormat="1" ht="39.950000000000003" customHeight="1" x14ac:dyDescent="0.2">
      <c r="A1345" s="1189" t="s">
        <v>12118</v>
      </c>
      <c r="B1345" s="999" t="s">
        <v>12007</v>
      </c>
      <c r="C1345" s="1000" t="s">
        <v>1219</v>
      </c>
      <c r="D1345" s="1000" t="s">
        <v>12123</v>
      </c>
      <c r="E1345" s="1006">
        <v>7785.91</v>
      </c>
      <c r="F1345" s="508" t="s">
        <v>2181</v>
      </c>
      <c r="G1345" s="999" t="s">
        <v>12010</v>
      </c>
      <c r="H1345" s="1005">
        <v>43740</v>
      </c>
      <c r="I1345" s="1002">
        <v>43787</v>
      </c>
      <c r="J1345" s="1199"/>
    </row>
    <row r="1346" spans="1:10" s="81" customFormat="1" ht="39.950000000000003" customHeight="1" x14ac:dyDescent="0.2">
      <c r="A1346" s="1189" t="s">
        <v>12124</v>
      </c>
      <c r="B1346" s="999" t="s">
        <v>1928</v>
      </c>
      <c r="C1346" s="1000" t="s">
        <v>1219</v>
      </c>
      <c r="D1346" s="1000" t="s">
        <v>12125</v>
      </c>
      <c r="E1346" s="1006">
        <v>2737.6</v>
      </c>
      <c r="F1346" s="508" t="s">
        <v>2181</v>
      </c>
      <c r="G1346" s="999" t="s">
        <v>12010</v>
      </c>
      <c r="H1346" s="1005">
        <v>43740</v>
      </c>
      <c r="I1346" s="1002">
        <v>43755</v>
      </c>
      <c r="J1346" s="1199"/>
    </row>
    <row r="1347" spans="1:10" s="81" customFormat="1" ht="39.950000000000003" customHeight="1" x14ac:dyDescent="0.2">
      <c r="A1347" s="1189" t="s">
        <v>12118</v>
      </c>
      <c r="B1347" s="999" t="s">
        <v>12007</v>
      </c>
      <c r="C1347" s="1000" t="s">
        <v>1219</v>
      </c>
      <c r="D1347" s="1000" t="s">
        <v>12126</v>
      </c>
      <c r="E1347" s="1006">
        <v>603.85</v>
      </c>
      <c r="F1347" s="508" t="s">
        <v>2191</v>
      </c>
      <c r="G1347" s="999" t="s">
        <v>12010</v>
      </c>
      <c r="H1347" s="1005">
        <v>43740</v>
      </c>
      <c r="I1347" s="1002">
        <v>43754</v>
      </c>
      <c r="J1347" s="1199"/>
    </row>
    <row r="1348" spans="1:10" s="81" customFormat="1" ht="39.950000000000003" customHeight="1" x14ac:dyDescent="0.2">
      <c r="A1348" s="1189" t="s">
        <v>12118</v>
      </c>
      <c r="B1348" s="999" t="s">
        <v>12007</v>
      </c>
      <c r="C1348" s="1000" t="s">
        <v>1219</v>
      </c>
      <c r="D1348" s="1000" t="s">
        <v>12127</v>
      </c>
      <c r="E1348" s="1006">
        <v>11121.85</v>
      </c>
      <c r="F1348" s="508" t="s">
        <v>2179</v>
      </c>
      <c r="G1348" s="999" t="s">
        <v>12010</v>
      </c>
      <c r="H1348" s="1005">
        <v>43740</v>
      </c>
      <c r="I1348" s="1002">
        <v>43752</v>
      </c>
      <c r="J1348" s="1199"/>
    </row>
    <row r="1349" spans="1:10" s="81" customFormat="1" ht="39.950000000000003" customHeight="1" x14ac:dyDescent="0.2">
      <c r="A1349" s="1189" t="s">
        <v>12128</v>
      </c>
      <c r="B1349" s="999" t="s">
        <v>12007</v>
      </c>
      <c r="C1349" s="1000" t="s">
        <v>1219</v>
      </c>
      <c r="D1349" s="1000" t="s">
        <v>12129</v>
      </c>
      <c r="E1349" s="1006">
        <v>103354.56</v>
      </c>
      <c r="F1349" s="508" t="s">
        <v>12130</v>
      </c>
      <c r="G1349" s="999" t="s">
        <v>12010</v>
      </c>
      <c r="H1349" s="1005">
        <v>43752</v>
      </c>
      <c r="I1349" s="1002">
        <v>43759</v>
      </c>
      <c r="J1349" s="1199"/>
    </row>
    <row r="1350" spans="1:10" s="81" customFormat="1" ht="39.950000000000003" customHeight="1" x14ac:dyDescent="0.2">
      <c r="A1350" s="1189" t="s">
        <v>12131</v>
      </c>
      <c r="B1350" s="999" t="s">
        <v>12007</v>
      </c>
      <c r="C1350" s="1000" t="s">
        <v>1219</v>
      </c>
      <c r="D1350" s="1000" t="s">
        <v>12132</v>
      </c>
      <c r="E1350" s="1006">
        <v>6744.76</v>
      </c>
      <c r="F1350" s="508" t="s">
        <v>2285</v>
      </c>
      <c r="G1350" s="999" t="s">
        <v>12010</v>
      </c>
      <c r="H1350" s="1005">
        <v>43755</v>
      </c>
      <c r="I1350" s="1002">
        <v>43767</v>
      </c>
      <c r="J1350" s="1199"/>
    </row>
    <row r="1351" spans="1:10" s="81" customFormat="1" ht="39.950000000000003" customHeight="1" x14ac:dyDescent="0.2">
      <c r="A1351" s="1189" t="s">
        <v>12133</v>
      </c>
      <c r="B1351" s="999" t="s">
        <v>12007</v>
      </c>
      <c r="C1351" s="1000" t="s">
        <v>1219</v>
      </c>
      <c r="D1351" s="1000" t="s">
        <v>12134</v>
      </c>
      <c r="E1351" s="1006">
        <v>14761.52</v>
      </c>
      <c r="F1351" s="508" t="s">
        <v>2191</v>
      </c>
      <c r="G1351" s="999" t="s">
        <v>12010</v>
      </c>
      <c r="H1351" s="1005">
        <v>43755</v>
      </c>
      <c r="I1351" s="1002">
        <v>43767</v>
      </c>
      <c r="J1351" s="1199"/>
    </row>
    <row r="1352" spans="1:10" s="81" customFormat="1" ht="39.950000000000003" customHeight="1" x14ac:dyDescent="0.2">
      <c r="A1352" s="1189" t="s">
        <v>12135</v>
      </c>
      <c r="B1352" s="999" t="s">
        <v>12007</v>
      </c>
      <c r="C1352" s="1000" t="s">
        <v>1219</v>
      </c>
      <c r="D1352" s="1000" t="s">
        <v>12136</v>
      </c>
      <c r="E1352" s="1006">
        <v>6956.81</v>
      </c>
      <c r="F1352" s="508" t="s">
        <v>2181</v>
      </c>
      <c r="G1352" s="999" t="s">
        <v>12010</v>
      </c>
      <c r="H1352" s="1005">
        <v>43755</v>
      </c>
      <c r="I1352" s="1002">
        <v>43787</v>
      </c>
      <c r="J1352" s="1199"/>
    </row>
    <row r="1353" spans="1:10" s="81" customFormat="1" ht="39.950000000000003" customHeight="1" x14ac:dyDescent="0.2">
      <c r="A1353" s="1189" t="s">
        <v>12137</v>
      </c>
      <c r="B1353" s="999" t="s">
        <v>12007</v>
      </c>
      <c r="C1353" s="1000" t="s">
        <v>1219</v>
      </c>
      <c r="D1353" s="1000" t="s">
        <v>12138</v>
      </c>
      <c r="E1353" s="1006">
        <v>19007.580000000002</v>
      </c>
      <c r="F1353" s="508" t="s">
        <v>2172</v>
      </c>
      <c r="G1353" s="999" t="s">
        <v>12010</v>
      </c>
      <c r="H1353" s="1005">
        <v>43755</v>
      </c>
      <c r="I1353" s="1002">
        <v>43787</v>
      </c>
      <c r="J1353" s="1199"/>
    </row>
    <row r="1354" spans="1:10" s="81" customFormat="1" ht="39.950000000000003" customHeight="1" x14ac:dyDescent="0.2">
      <c r="A1354" s="1189" t="s">
        <v>12139</v>
      </c>
      <c r="B1354" s="999" t="s">
        <v>12007</v>
      </c>
      <c r="C1354" s="1000" t="s">
        <v>1219</v>
      </c>
      <c r="D1354" s="1000" t="s">
        <v>12140</v>
      </c>
      <c r="E1354" s="1006">
        <v>42876.959999999999</v>
      </c>
      <c r="F1354" s="508" t="s">
        <v>2179</v>
      </c>
      <c r="G1354" s="999" t="s">
        <v>12010</v>
      </c>
      <c r="H1354" s="1005">
        <v>43755</v>
      </c>
      <c r="I1354" s="1002">
        <v>43781</v>
      </c>
      <c r="J1354" s="1199"/>
    </row>
    <row r="1355" spans="1:10" s="81" customFormat="1" ht="39.950000000000003" customHeight="1" x14ac:dyDescent="0.2">
      <c r="A1355" s="1189" t="s">
        <v>12141</v>
      </c>
      <c r="B1355" s="999" t="s">
        <v>12007</v>
      </c>
      <c r="C1355" s="1000" t="s">
        <v>1219</v>
      </c>
      <c r="D1355" s="1000" t="s">
        <v>12142</v>
      </c>
      <c r="E1355" s="1006">
        <v>20107.77</v>
      </c>
      <c r="F1355" s="508" t="s">
        <v>2156</v>
      </c>
      <c r="G1355" s="999" t="s">
        <v>12010</v>
      </c>
      <c r="H1355" s="1005">
        <v>43755</v>
      </c>
      <c r="I1355" s="1002">
        <v>43787</v>
      </c>
      <c r="J1355" s="1199"/>
    </row>
    <row r="1356" spans="1:10" s="81" customFormat="1" ht="39.950000000000003" customHeight="1" x14ac:dyDescent="0.2">
      <c r="A1356" s="1189" t="s">
        <v>12143</v>
      </c>
      <c r="B1356" s="999" t="s">
        <v>12007</v>
      </c>
      <c r="C1356" s="1000" t="s">
        <v>1219</v>
      </c>
      <c r="D1356" s="1000" t="s">
        <v>12144</v>
      </c>
      <c r="E1356" s="1006">
        <v>9187.89</v>
      </c>
      <c r="F1356" s="508" t="s">
        <v>12145</v>
      </c>
      <c r="G1356" s="999" t="s">
        <v>12010</v>
      </c>
      <c r="H1356" s="1005">
        <v>43755</v>
      </c>
      <c r="I1356" s="1002">
        <v>43766</v>
      </c>
      <c r="J1356" s="1199"/>
    </row>
    <row r="1357" spans="1:10" s="81" customFormat="1" ht="39.950000000000003" customHeight="1" x14ac:dyDescent="0.2">
      <c r="A1357" s="1189" t="s">
        <v>12146</v>
      </c>
      <c r="B1357" s="999" t="s">
        <v>12007</v>
      </c>
      <c r="C1357" s="1000" t="s">
        <v>1219</v>
      </c>
      <c r="D1357" s="1000" t="s">
        <v>12147</v>
      </c>
      <c r="E1357" s="1006">
        <v>39518.730000000003</v>
      </c>
      <c r="F1357" s="508" t="s">
        <v>2146</v>
      </c>
      <c r="G1357" s="999" t="s">
        <v>12010</v>
      </c>
      <c r="H1357" s="1005">
        <v>43755</v>
      </c>
      <c r="I1357" s="1002">
        <v>43768</v>
      </c>
      <c r="J1357" s="1199"/>
    </row>
    <row r="1358" spans="1:10" s="81" customFormat="1" ht="39.950000000000003" customHeight="1" x14ac:dyDescent="0.2">
      <c r="A1358" s="1189" t="s">
        <v>12148</v>
      </c>
      <c r="B1358" s="999" t="s">
        <v>12007</v>
      </c>
      <c r="C1358" s="1000" t="s">
        <v>1219</v>
      </c>
      <c r="D1358" s="1000" t="s">
        <v>12149</v>
      </c>
      <c r="E1358" s="1006">
        <v>539.21</v>
      </c>
      <c r="F1358" s="508" t="s">
        <v>2285</v>
      </c>
      <c r="G1358" s="999" t="s">
        <v>12010</v>
      </c>
      <c r="H1358" s="1005">
        <v>43755</v>
      </c>
      <c r="I1358" s="1002">
        <v>43767</v>
      </c>
      <c r="J1358" s="1199"/>
    </row>
    <row r="1359" spans="1:10" s="81" customFormat="1" ht="39.950000000000003" customHeight="1" x14ac:dyDescent="0.2">
      <c r="A1359" s="1189" t="s">
        <v>12150</v>
      </c>
      <c r="B1359" s="999" t="s">
        <v>1928</v>
      </c>
      <c r="C1359" s="1000" t="s">
        <v>1219</v>
      </c>
      <c r="D1359" s="1000" t="s">
        <v>12151</v>
      </c>
      <c r="E1359" s="1006">
        <v>9052.9599999999991</v>
      </c>
      <c r="F1359" s="508" t="s">
        <v>2146</v>
      </c>
      <c r="G1359" s="999" t="s">
        <v>12010</v>
      </c>
      <c r="H1359" s="1005">
        <v>43755</v>
      </c>
      <c r="I1359" s="1002">
        <v>43768</v>
      </c>
      <c r="J1359" s="1199"/>
    </row>
    <row r="1360" spans="1:10" s="81" customFormat="1" ht="39.950000000000003" customHeight="1" x14ac:dyDescent="0.2">
      <c r="A1360" s="1189" t="s">
        <v>12152</v>
      </c>
      <c r="B1360" s="999" t="s">
        <v>1928</v>
      </c>
      <c r="C1360" s="1000" t="s">
        <v>1219</v>
      </c>
      <c r="D1360" s="1000" t="s">
        <v>12153</v>
      </c>
      <c r="E1360" s="1006">
        <v>6257.78</v>
      </c>
      <c r="F1360" s="508" t="s">
        <v>12017</v>
      </c>
      <c r="G1360" s="999" t="s">
        <v>12010</v>
      </c>
      <c r="H1360" s="1005">
        <v>43755</v>
      </c>
      <c r="I1360" s="1002">
        <v>43768</v>
      </c>
      <c r="J1360" s="1199"/>
    </row>
    <row r="1361" spans="1:10" s="81" customFormat="1" ht="39.950000000000003" customHeight="1" x14ac:dyDescent="0.2">
      <c r="A1361" s="1189" t="s">
        <v>12154</v>
      </c>
      <c r="B1361" s="999" t="s">
        <v>1928</v>
      </c>
      <c r="C1361" s="1000" t="s">
        <v>1219</v>
      </c>
      <c r="D1361" s="1000" t="s">
        <v>12155</v>
      </c>
      <c r="E1361" s="1006">
        <v>321</v>
      </c>
      <c r="F1361" s="508" t="s">
        <v>12156</v>
      </c>
      <c r="G1361" s="999" t="s">
        <v>12010</v>
      </c>
      <c r="H1361" s="1005">
        <v>43761</v>
      </c>
      <c r="I1361" s="1002">
        <v>43811</v>
      </c>
      <c r="J1361" s="1199"/>
    </row>
    <row r="1362" spans="1:10" s="81" customFormat="1" ht="39.950000000000003" customHeight="1" x14ac:dyDescent="0.2">
      <c r="A1362" s="1189" t="s">
        <v>12157</v>
      </c>
      <c r="B1362" s="999" t="s">
        <v>12007</v>
      </c>
      <c r="C1362" s="1000" t="s">
        <v>1219</v>
      </c>
      <c r="D1362" s="1000" t="s">
        <v>12158</v>
      </c>
      <c r="E1362" s="1006">
        <v>63243.87</v>
      </c>
      <c r="F1362" s="508" t="s">
        <v>12017</v>
      </c>
      <c r="G1362" s="999" t="s">
        <v>12010</v>
      </c>
      <c r="H1362" s="1005">
        <v>43762</v>
      </c>
      <c r="I1362" s="1002">
        <v>43781</v>
      </c>
      <c r="J1362" s="1199"/>
    </row>
    <row r="1363" spans="1:10" s="81" customFormat="1" ht="39.950000000000003" customHeight="1" x14ac:dyDescent="0.2">
      <c r="A1363" s="1189" t="s">
        <v>12159</v>
      </c>
      <c r="B1363" s="999" t="s">
        <v>1928</v>
      </c>
      <c r="C1363" s="1000" t="s">
        <v>1219</v>
      </c>
      <c r="D1363" s="1000" t="s">
        <v>12160</v>
      </c>
      <c r="E1363" s="1006">
        <v>2925</v>
      </c>
      <c r="F1363" s="508" t="s">
        <v>12161</v>
      </c>
      <c r="G1363" s="999" t="s">
        <v>12010</v>
      </c>
      <c r="H1363" s="1005">
        <v>43767</v>
      </c>
      <c r="I1363" s="1002">
        <v>43780</v>
      </c>
      <c r="J1363" s="1199"/>
    </row>
    <row r="1364" spans="1:10" s="81" customFormat="1" ht="39.950000000000003" customHeight="1" x14ac:dyDescent="0.2">
      <c r="A1364" s="1189" t="s">
        <v>12162</v>
      </c>
      <c r="B1364" s="999" t="s">
        <v>1928</v>
      </c>
      <c r="C1364" s="1000" t="s">
        <v>1219</v>
      </c>
      <c r="D1364" s="1000" t="s">
        <v>12163</v>
      </c>
      <c r="E1364" s="1006">
        <v>2711.72</v>
      </c>
      <c r="F1364" s="508" t="s">
        <v>12164</v>
      </c>
      <c r="G1364" s="999" t="s">
        <v>12010</v>
      </c>
      <c r="H1364" s="1005">
        <v>43767</v>
      </c>
      <c r="I1364" s="1002">
        <v>43776</v>
      </c>
      <c r="J1364" s="1199"/>
    </row>
    <row r="1365" spans="1:10" s="81" customFormat="1" ht="39.950000000000003" customHeight="1" x14ac:dyDescent="0.2">
      <c r="A1365" s="1189" t="s">
        <v>12165</v>
      </c>
      <c r="B1365" s="999" t="s">
        <v>1928</v>
      </c>
      <c r="C1365" s="1000" t="s">
        <v>1219</v>
      </c>
      <c r="D1365" s="1000" t="s">
        <v>12166</v>
      </c>
      <c r="E1365" s="1006">
        <v>12960</v>
      </c>
      <c r="F1365" s="508" t="s">
        <v>12079</v>
      </c>
      <c r="G1365" s="999" t="s">
        <v>12010</v>
      </c>
      <c r="H1365" s="1005">
        <v>43773</v>
      </c>
      <c r="I1365" s="1002">
        <v>43780</v>
      </c>
      <c r="J1365" s="1199"/>
    </row>
    <row r="1366" spans="1:10" s="81" customFormat="1" ht="39.950000000000003" customHeight="1" x14ac:dyDescent="0.2">
      <c r="A1366" s="1189" t="s">
        <v>12167</v>
      </c>
      <c r="B1366" s="999" t="s">
        <v>1928</v>
      </c>
      <c r="C1366" s="1000" t="s">
        <v>1219</v>
      </c>
      <c r="D1366" s="1000" t="s">
        <v>12168</v>
      </c>
      <c r="E1366" s="1006">
        <v>21790</v>
      </c>
      <c r="F1366" s="508" t="s">
        <v>12014</v>
      </c>
      <c r="G1366" s="999" t="s">
        <v>12010</v>
      </c>
      <c r="H1366" s="1005">
        <v>43774</v>
      </c>
      <c r="I1366" s="1002">
        <v>43788</v>
      </c>
      <c r="J1366" s="1199"/>
    </row>
    <row r="1367" spans="1:10" s="81" customFormat="1" ht="39.950000000000003" customHeight="1" x14ac:dyDescent="0.2">
      <c r="A1367" s="1189" t="s">
        <v>12169</v>
      </c>
      <c r="B1367" s="999" t="s">
        <v>1928</v>
      </c>
      <c r="C1367" s="1000" t="s">
        <v>1219</v>
      </c>
      <c r="D1367" s="1000" t="s">
        <v>12170</v>
      </c>
      <c r="E1367" s="1006">
        <v>11664</v>
      </c>
      <c r="F1367" s="508" t="s">
        <v>12171</v>
      </c>
      <c r="G1367" s="999" t="s">
        <v>12010</v>
      </c>
      <c r="H1367" s="1005">
        <v>43774</v>
      </c>
      <c r="I1367" s="1002">
        <v>43788</v>
      </c>
      <c r="J1367" s="1199"/>
    </row>
    <row r="1368" spans="1:10" s="81" customFormat="1" ht="39.950000000000003" customHeight="1" x14ac:dyDescent="0.2">
      <c r="A1368" s="1189" t="s">
        <v>12118</v>
      </c>
      <c r="B1368" s="999" t="s">
        <v>12007</v>
      </c>
      <c r="C1368" s="1000" t="s">
        <v>1219</v>
      </c>
      <c r="D1368" s="1000" t="s">
        <v>12172</v>
      </c>
      <c r="E1368" s="1006">
        <v>2649.34</v>
      </c>
      <c r="F1368" s="508" t="s">
        <v>2191</v>
      </c>
      <c r="G1368" s="999" t="s">
        <v>12010</v>
      </c>
      <c r="H1368" s="1005">
        <v>43775</v>
      </c>
      <c r="I1368" s="1002">
        <v>43788</v>
      </c>
      <c r="J1368" s="1199"/>
    </row>
    <row r="1369" spans="1:10" s="81" customFormat="1" ht="39.950000000000003" customHeight="1" x14ac:dyDescent="0.2">
      <c r="A1369" s="1189" t="s">
        <v>12118</v>
      </c>
      <c r="B1369" s="999" t="s">
        <v>12007</v>
      </c>
      <c r="C1369" s="1000" t="s">
        <v>1219</v>
      </c>
      <c r="D1369" s="1000" t="s">
        <v>12173</v>
      </c>
      <c r="E1369" s="1006">
        <v>4054.62</v>
      </c>
      <c r="F1369" s="508" t="s">
        <v>2172</v>
      </c>
      <c r="G1369" s="999" t="s">
        <v>12010</v>
      </c>
      <c r="H1369" s="1005">
        <v>43775</v>
      </c>
      <c r="I1369" s="1002">
        <v>43812</v>
      </c>
      <c r="J1369" s="1199"/>
    </row>
    <row r="1370" spans="1:10" s="81" customFormat="1" ht="39.950000000000003" customHeight="1" x14ac:dyDescent="0.2">
      <c r="A1370" s="1189" t="s">
        <v>12118</v>
      </c>
      <c r="B1370" s="999" t="s">
        <v>12007</v>
      </c>
      <c r="C1370" s="1000" t="s">
        <v>1219</v>
      </c>
      <c r="D1370" s="1000" t="s">
        <v>12174</v>
      </c>
      <c r="E1370" s="1006">
        <v>3645.67</v>
      </c>
      <c r="F1370" s="508" t="s">
        <v>2304</v>
      </c>
      <c r="G1370" s="999" t="s">
        <v>12010</v>
      </c>
      <c r="H1370" s="1005">
        <v>43775</v>
      </c>
      <c r="I1370" s="1002">
        <v>43787</v>
      </c>
      <c r="J1370" s="1199"/>
    </row>
    <row r="1371" spans="1:10" s="81" customFormat="1" ht="39.950000000000003" customHeight="1" x14ac:dyDescent="0.2">
      <c r="A1371" s="1189" t="s">
        <v>2552</v>
      </c>
      <c r="B1371" s="999" t="s">
        <v>12007</v>
      </c>
      <c r="C1371" s="1000" t="s">
        <v>1219</v>
      </c>
      <c r="D1371" s="1000" t="s">
        <v>12175</v>
      </c>
      <c r="E1371" s="1006">
        <v>7909.42</v>
      </c>
      <c r="F1371" s="508" t="s">
        <v>2181</v>
      </c>
      <c r="G1371" s="999" t="s">
        <v>12010</v>
      </c>
      <c r="H1371" s="1005">
        <v>43775</v>
      </c>
      <c r="I1371" s="1002">
        <v>43794</v>
      </c>
      <c r="J1371" s="1199"/>
    </row>
    <row r="1372" spans="1:10" s="81" customFormat="1" ht="39.950000000000003" customHeight="1" x14ac:dyDescent="0.2">
      <c r="A1372" s="1189" t="s">
        <v>12118</v>
      </c>
      <c r="B1372" s="999" t="s">
        <v>12007</v>
      </c>
      <c r="C1372" s="1000" t="s">
        <v>1219</v>
      </c>
      <c r="D1372" s="1000" t="s">
        <v>12176</v>
      </c>
      <c r="E1372" s="1006">
        <v>6752.46</v>
      </c>
      <c r="F1372" s="508" t="s">
        <v>2146</v>
      </c>
      <c r="G1372" s="999" t="s">
        <v>12010</v>
      </c>
      <c r="H1372" s="1005">
        <v>43775</v>
      </c>
      <c r="I1372" s="1002">
        <v>43794</v>
      </c>
      <c r="J1372" s="1199"/>
    </row>
    <row r="1373" spans="1:10" s="81" customFormat="1" ht="39.950000000000003" customHeight="1" x14ac:dyDescent="0.2">
      <c r="A1373" s="1189" t="s">
        <v>12177</v>
      </c>
      <c r="B1373" s="999" t="s">
        <v>12007</v>
      </c>
      <c r="C1373" s="1000" t="s">
        <v>1219</v>
      </c>
      <c r="D1373" s="1000" t="s">
        <v>12178</v>
      </c>
      <c r="E1373" s="1006">
        <v>285.02</v>
      </c>
      <c r="F1373" s="508" t="s">
        <v>12121</v>
      </c>
      <c r="G1373" s="999" t="s">
        <v>12010</v>
      </c>
      <c r="H1373" s="1005">
        <v>43775</v>
      </c>
      <c r="I1373" s="1002">
        <v>43775</v>
      </c>
      <c r="J1373" s="1199"/>
    </row>
    <row r="1374" spans="1:10" s="81" customFormat="1" ht="39.950000000000003" customHeight="1" x14ac:dyDescent="0.2">
      <c r="A1374" s="1189" t="s">
        <v>12118</v>
      </c>
      <c r="B1374" s="999" t="s">
        <v>12007</v>
      </c>
      <c r="C1374" s="1000" t="s">
        <v>1219</v>
      </c>
      <c r="D1374" s="1000" t="s">
        <v>12179</v>
      </c>
      <c r="E1374" s="1006">
        <v>2262.54</v>
      </c>
      <c r="F1374" s="508" t="s">
        <v>2156</v>
      </c>
      <c r="G1374" s="999" t="s">
        <v>12010</v>
      </c>
      <c r="H1374" s="1005">
        <v>43775</v>
      </c>
      <c r="I1374" s="1002">
        <v>43794</v>
      </c>
      <c r="J1374" s="1199"/>
    </row>
    <row r="1375" spans="1:10" s="81" customFormat="1" ht="39.950000000000003" customHeight="1" x14ac:dyDescent="0.2">
      <c r="A1375" s="1189" t="s">
        <v>12180</v>
      </c>
      <c r="B1375" s="999" t="s">
        <v>1928</v>
      </c>
      <c r="C1375" s="1000" t="s">
        <v>1219</v>
      </c>
      <c r="D1375" s="1000" t="s">
        <v>12181</v>
      </c>
      <c r="E1375" s="1006">
        <v>5357.96</v>
      </c>
      <c r="F1375" s="508" t="s">
        <v>12145</v>
      </c>
      <c r="G1375" s="999" t="s">
        <v>12010</v>
      </c>
      <c r="H1375" s="1005">
        <v>43775</v>
      </c>
      <c r="I1375" s="1002">
        <v>43787</v>
      </c>
      <c r="J1375" s="1199"/>
    </row>
    <row r="1376" spans="1:10" s="81" customFormat="1" ht="39.950000000000003" customHeight="1" x14ac:dyDescent="0.2">
      <c r="A1376" s="1189" t="s">
        <v>12182</v>
      </c>
      <c r="B1376" s="999" t="s">
        <v>1758</v>
      </c>
      <c r="C1376" s="1000" t="s">
        <v>1219</v>
      </c>
      <c r="D1376" s="1000" t="s">
        <v>12183</v>
      </c>
      <c r="E1376" s="1006">
        <v>61710</v>
      </c>
      <c r="F1376" s="508" t="s">
        <v>12184</v>
      </c>
      <c r="G1376" s="999" t="s">
        <v>12010</v>
      </c>
      <c r="H1376" s="1005">
        <v>43782</v>
      </c>
      <c r="I1376" s="1002">
        <v>43787</v>
      </c>
      <c r="J1376" s="1199"/>
    </row>
    <row r="1377" spans="1:10" s="81" customFormat="1" ht="39.950000000000003" customHeight="1" x14ac:dyDescent="0.2">
      <c r="A1377" s="1189" t="s">
        <v>12185</v>
      </c>
      <c r="B1377" s="999" t="s">
        <v>1758</v>
      </c>
      <c r="C1377" s="1000" t="s">
        <v>1219</v>
      </c>
      <c r="D1377" s="1000" t="s">
        <v>12186</v>
      </c>
      <c r="E1377" s="1006">
        <v>62796.800000000003</v>
      </c>
      <c r="F1377" s="508" t="s">
        <v>2136</v>
      </c>
      <c r="G1377" s="999" t="s">
        <v>12010</v>
      </c>
      <c r="H1377" s="1005">
        <v>43783</v>
      </c>
      <c r="I1377" s="1002">
        <v>43790</v>
      </c>
      <c r="J1377" s="1199"/>
    </row>
    <row r="1378" spans="1:10" s="81" customFormat="1" ht="39.950000000000003" customHeight="1" x14ac:dyDescent="0.2">
      <c r="A1378" s="1189" t="s">
        <v>12187</v>
      </c>
      <c r="B1378" s="999" t="s">
        <v>1928</v>
      </c>
      <c r="C1378" s="1000" t="s">
        <v>1219</v>
      </c>
      <c r="D1378" s="1000" t="s">
        <v>12188</v>
      </c>
      <c r="E1378" s="1006">
        <v>24750</v>
      </c>
      <c r="F1378" s="508" t="s">
        <v>2270</v>
      </c>
      <c r="G1378" s="999" t="s">
        <v>12010</v>
      </c>
      <c r="H1378" s="1005">
        <v>43783</v>
      </c>
      <c r="I1378" s="1002">
        <v>43789</v>
      </c>
      <c r="J1378" s="1199"/>
    </row>
    <row r="1379" spans="1:10" s="81" customFormat="1" ht="39.950000000000003" customHeight="1" x14ac:dyDescent="0.2">
      <c r="A1379" s="1189" t="s">
        <v>12189</v>
      </c>
      <c r="B1379" s="999" t="s">
        <v>1758</v>
      </c>
      <c r="C1379" s="1000" t="s">
        <v>1219</v>
      </c>
      <c r="D1379" s="1000" t="s">
        <v>12190</v>
      </c>
      <c r="E1379" s="1006">
        <v>62034</v>
      </c>
      <c r="F1379" s="508" t="s">
        <v>12191</v>
      </c>
      <c r="G1379" s="999" t="s">
        <v>12010</v>
      </c>
      <c r="H1379" s="1005">
        <v>43794</v>
      </c>
      <c r="I1379" s="1002">
        <v>43798</v>
      </c>
      <c r="J1379" s="1199"/>
    </row>
    <row r="1380" spans="1:10" s="81" customFormat="1" ht="39.950000000000003" customHeight="1" x14ac:dyDescent="0.2">
      <c r="A1380" s="1189" t="s">
        <v>12192</v>
      </c>
      <c r="B1380" s="999" t="s">
        <v>1928</v>
      </c>
      <c r="C1380" s="1000" t="s">
        <v>1219</v>
      </c>
      <c r="D1380" s="1000" t="s">
        <v>12193</v>
      </c>
      <c r="E1380" s="1006">
        <v>1396</v>
      </c>
      <c r="F1380" s="508" t="s">
        <v>12042</v>
      </c>
      <c r="G1380" s="999" t="s">
        <v>12010</v>
      </c>
      <c r="H1380" s="1005">
        <v>43795</v>
      </c>
      <c r="I1380" s="1002">
        <v>43810</v>
      </c>
      <c r="J1380" s="1199"/>
    </row>
    <row r="1381" spans="1:10" s="81" customFormat="1" ht="39.950000000000003" customHeight="1" x14ac:dyDescent="0.2">
      <c r="A1381" s="1189" t="s">
        <v>12194</v>
      </c>
      <c r="B1381" s="999" t="s">
        <v>1928</v>
      </c>
      <c r="C1381" s="1000" t="s">
        <v>1219</v>
      </c>
      <c r="D1381" s="1000" t="s">
        <v>12195</v>
      </c>
      <c r="E1381" s="1006">
        <v>6616</v>
      </c>
      <c r="F1381" s="508" t="s">
        <v>12191</v>
      </c>
      <c r="G1381" s="999" t="s">
        <v>12010</v>
      </c>
      <c r="H1381" s="1005">
        <v>43797</v>
      </c>
      <c r="I1381" s="1002">
        <v>43829</v>
      </c>
      <c r="J1381" s="1199"/>
    </row>
    <row r="1382" spans="1:10" s="81" customFormat="1" ht="39.950000000000003" customHeight="1" x14ac:dyDescent="0.2">
      <c r="A1382" s="1189" t="s">
        <v>12196</v>
      </c>
      <c r="B1382" s="999" t="s">
        <v>1928</v>
      </c>
      <c r="C1382" s="1000" t="s">
        <v>1219</v>
      </c>
      <c r="D1382" s="1000" t="s">
        <v>12197</v>
      </c>
      <c r="E1382" s="1006">
        <v>150</v>
      </c>
      <c r="F1382" s="508" t="s">
        <v>12042</v>
      </c>
      <c r="G1382" s="999" t="s">
        <v>12010</v>
      </c>
      <c r="H1382" s="1005">
        <v>43804</v>
      </c>
      <c r="I1382" s="1002">
        <v>43815</v>
      </c>
      <c r="J1382" s="1199"/>
    </row>
    <row r="1383" spans="1:10" s="81" customFormat="1" ht="39.950000000000003" customHeight="1" x14ac:dyDescent="0.2">
      <c r="A1383" s="1189" t="s">
        <v>12198</v>
      </c>
      <c r="B1383" s="999" t="s">
        <v>1928</v>
      </c>
      <c r="C1383" s="1000" t="s">
        <v>1219</v>
      </c>
      <c r="D1383" s="1000" t="s">
        <v>12199</v>
      </c>
      <c r="E1383" s="1006">
        <v>4543</v>
      </c>
      <c r="F1383" s="508" t="s">
        <v>12200</v>
      </c>
      <c r="G1383" s="999" t="s">
        <v>12010</v>
      </c>
      <c r="H1383" s="1005">
        <v>43817</v>
      </c>
      <c r="I1383" s="1002">
        <v>43825</v>
      </c>
      <c r="J1383" s="1199"/>
    </row>
    <row r="1384" spans="1:10" s="81" customFormat="1" ht="39.950000000000003" customHeight="1" x14ac:dyDescent="0.2">
      <c r="A1384" s="1189" t="s">
        <v>12192</v>
      </c>
      <c r="B1384" s="999" t="s">
        <v>1928</v>
      </c>
      <c r="C1384" s="1000" t="s">
        <v>1219</v>
      </c>
      <c r="D1384" s="1000" t="s">
        <v>12201</v>
      </c>
      <c r="E1384" s="1006">
        <v>6000</v>
      </c>
      <c r="F1384" s="508" t="s">
        <v>12202</v>
      </c>
      <c r="G1384" s="999" t="s">
        <v>12010</v>
      </c>
      <c r="H1384" s="1005">
        <v>43817</v>
      </c>
      <c r="I1384" s="1002">
        <v>43822</v>
      </c>
      <c r="J1384" s="1199"/>
    </row>
    <row r="1385" spans="1:10" s="81" customFormat="1" ht="39.950000000000003" customHeight="1" x14ac:dyDescent="0.2">
      <c r="A1385" s="1189" t="s">
        <v>12203</v>
      </c>
      <c r="B1385" s="999" t="s">
        <v>1928</v>
      </c>
      <c r="C1385" s="1000" t="s">
        <v>1219</v>
      </c>
      <c r="D1385" s="1000" t="s">
        <v>12204</v>
      </c>
      <c r="E1385" s="1006">
        <v>16000</v>
      </c>
      <c r="F1385" s="508" t="s">
        <v>12205</v>
      </c>
      <c r="G1385" s="999" t="s">
        <v>12010</v>
      </c>
      <c r="H1385" s="1005">
        <v>43817</v>
      </c>
      <c r="I1385" s="1002">
        <v>43822</v>
      </c>
      <c r="J1385" s="1199"/>
    </row>
    <row r="1386" spans="1:10" s="81" customFormat="1" ht="39.950000000000003" customHeight="1" x14ac:dyDescent="0.2">
      <c r="A1386" s="1189" t="s">
        <v>12206</v>
      </c>
      <c r="B1386" s="999" t="s">
        <v>1928</v>
      </c>
      <c r="C1386" s="1000" t="s">
        <v>1219</v>
      </c>
      <c r="D1386" s="1000" t="s">
        <v>12207</v>
      </c>
      <c r="E1386" s="1006">
        <v>7870</v>
      </c>
      <c r="F1386" s="508" t="s">
        <v>12030</v>
      </c>
      <c r="G1386" s="999" t="s">
        <v>12010</v>
      </c>
      <c r="H1386" s="1005">
        <v>43822</v>
      </c>
      <c r="I1386" s="1002">
        <v>43830</v>
      </c>
      <c r="J1386" s="1199"/>
    </row>
    <row r="1387" spans="1:10" s="81" customFormat="1" ht="39.950000000000003" customHeight="1" x14ac:dyDescent="0.2">
      <c r="A1387" s="1189" t="s">
        <v>12208</v>
      </c>
      <c r="B1387" s="999" t="s">
        <v>1928</v>
      </c>
      <c r="C1387" s="1000" t="s">
        <v>1219</v>
      </c>
      <c r="D1387" s="1000" t="s">
        <v>12209</v>
      </c>
      <c r="E1387" s="1006">
        <v>4200</v>
      </c>
      <c r="F1387" s="508" t="s">
        <v>12210</v>
      </c>
      <c r="G1387" s="999" t="s">
        <v>12010</v>
      </c>
      <c r="H1387" s="1005">
        <v>43822</v>
      </c>
      <c r="I1387" s="1002">
        <v>43830</v>
      </c>
      <c r="J1387" s="1199"/>
    </row>
    <row r="1388" spans="1:10" s="81" customFormat="1" ht="39.950000000000003" customHeight="1" x14ac:dyDescent="0.2">
      <c r="A1388" s="1189" t="s">
        <v>12211</v>
      </c>
      <c r="B1388" s="999" t="s">
        <v>1928</v>
      </c>
      <c r="C1388" s="1000" t="s">
        <v>1219</v>
      </c>
      <c r="D1388" s="1000" t="s">
        <v>12212</v>
      </c>
      <c r="E1388" s="1006">
        <v>2345</v>
      </c>
      <c r="F1388" s="508" t="s">
        <v>12213</v>
      </c>
      <c r="G1388" s="999" t="s">
        <v>12010</v>
      </c>
      <c r="H1388" s="1005">
        <v>43826</v>
      </c>
      <c r="I1388" s="1002">
        <v>43830</v>
      </c>
      <c r="J1388" s="1199"/>
    </row>
    <row r="1389" spans="1:10" s="81" customFormat="1" ht="39.950000000000003" customHeight="1" x14ac:dyDescent="0.2">
      <c r="A1389" s="1189" t="s">
        <v>12214</v>
      </c>
      <c r="B1389" s="999" t="s">
        <v>1928</v>
      </c>
      <c r="C1389" s="1000" t="s">
        <v>1219</v>
      </c>
      <c r="D1389" s="1000" t="s">
        <v>12215</v>
      </c>
      <c r="E1389" s="1006">
        <v>3947</v>
      </c>
      <c r="F1389" s="508" t="s">
        <v>12030</v>
      </c>
      <c r="G1389" s="999" t="s">
        <v>12010</v>
      </c>
      <c r="H1389" s="1005">
        <v>43826</v>
      </c>
      <c r="I1389" s="1002">
        <v>43830</v>
      </c>
      <c r="J1389" s="1199"/>
    </row>
    <row r="1390" spans="1:10" s="81" customFormat="1" ht="39.950000000000003" customHeight="1" x14ac:dyDescent="0.2">
      <c r="A1390" s="1189" t="s">
        <v>12216</v>
      </c>
      <c r="B1390" s="999" t="s">
        <v>1928</v>
      </c>
      <c r="C1390" s="1000" t="s">
        <v>1219</v>
      </c>
      <c r="D1390" s="1000" t="s">
        <v>12217</v>
      </c>
      <c r="E1390" s="1006">
        <v>3152</v>
      </c>
      <c r="F1390" s="508" t="s">
        <v>12161</v>
      </c>
      <c r="G1390" s="999" t="s">
        <v>12010</v>
      </c>
      <c r="H1390" s="1005">
        <v>43826</v>
      </c>
      <c r="I1390" s="1002">
        <v>43830</v>
      </c>
      <c r="J1390" s="1199"/>
    </row>
    <row r="1391" spans="1:10" s="81" customFormat="1" ht="39.950000000000003" customHeight="1" x14ac:dyDescent="0.2">
      <c r="A1391" s="1189" t="s">
        <v>12218</v>
      </c>
      <c r="B1391" s="999" t="s">
        <v>1928</v>
      </c>
      <c r="C1391" s="1000" t="s">
        <v>1219</v>
      </c>
      <c r="D1391" s="1000" t="s">
        <v>12219</v>
      </c>
      <c r="E1391" s="1006">
        <v>9818.4</v>
      </c>
      <c r="F1391" s="508" t="s">
        <v>12030</v>
      </c>
      <c r="G1391" s="999" t="s">
        <v>12010</v>
      </c>
      <c r="H1391" s="1005">
        <v>43826</v>
      </c>
      <c r="I1391" s="1002">
        <v>43830</v>
      </c>
      <c r="J1391" s="1199"/>
    </row>
    <row r="1392" spans="1:10" s="81" customFormat="1" ht="39.950000000000003" customHeight="1" x14ac:dyDescent="0.2">
      <c r="A1392" s="1189" t="s">
        <v>12220</v>
      </c>
      <c r="B1392" s="999" t="s">
        <v>1928</v>
      </c>
      <c r="C1392" s="1000" t="s">
        <v>1219</v>
      </c>
      <c r="D1392" s="1000" t="s">
        <v>12221</v>
      </c>
      <c r="E1392" s="1006">
        <v>710</v>
      </c>
      <c r="F1392" s="508" t="s">
        <v>12042</v>
      </c>
      <c r="G1392" s="999" t="s">
        <v>12010</v>
      </c>
      <c r="H1392" s="1005">
        <v>43829</v>
      </c>
      <c r="I1392" s="1002">
        <v>43830</v>
      </c>
      <c r="J1392" s="1199"/>
    </row>
    <row r="1393" spans="1:10" s="81" customFormat="1" ht="39.950000000000003" customHeight="1" x14ac:dyDescent="0.2">
      <c r="A1393" s="1189" t="s">
        <v>12222</v>
      </c>
      <c r="B1393" s="999" t="s">
        <v>1758</v>
      </c>
      <c r="C1393" s="1000" t="s">
        <v>1219</v>
      </c>
      <c r="D1393" s="1000" t="s">
        <v>12223</v>
      </c>
      <c r="E1393" s="1006">
        <v>62874</v>
      </c>
      <c r="F1393" s="508" t="s">
        <v>12210</v>
      </c>
      <c r="G1393" s="999" t="s">
        <v>12010</v>
      </c>
      <c r="H1393" s="1005">
        <v>43829</v>
      </c>
      <c r="I1393" s="1002">
        <v>43830</v>
      </c>
      <c r="J1393" s="1199"/>
    </row>
    <row r="1394" spans="1:10" s="81" customFormat="1" ht="39.950000000000003" customHeight="1" x14ac:dyDescent="0.2">
      <c r="A1394" s="1189" t="s">
        <v>12224</v>
      </c>
      <c r="B1394" s="999" t="s">
        <v>1928</v>
      </c>
      <c r="C1394" s="1000" t="s">
        <v>1219</v>
      </c>
      <c r="D1394" s="1000" t="s">
        <v>12225</v>
      </c>
      <c r="E1394" s="1007">
        <v>4631.95</v>
      </c>
      <c r="F1394" s="508" t="s">
        <v>12226</v>
      </c>
      <c r="G1394" s="508"/>
      <c r="H1394" s="1005">
        <v>43482</v>
      </c>
      <c r="I1394" s="1002">
        <v>43482</v>
      </c>
      <c r="J1394" s="1199"/>
    </row>
    <row r="1395" spans="1:10" s="81" customFormat="1" ht="39.950000000000003" customHeight="1" x14ac:dyDescent="0.2">
      <c r="A1395" s="1189" t="s">
        <v>12227</v>
      </c>
      <c r="B1395" s="999" t="s">
        <v>1928</v>
      </c>
      <c r="C1395" s="1000" t="s">
        <v>1219</v>
      </c>
      <c r="D1395" s="1000" t="s">
        <v>12228</v>
      </c>
      <c r="E1395" s="1007">
        <v>4172.25</v>
      </c>
      <c r="F1395" s="508" t="s">
        <v>12226</v>
      </c>
      <c r="G1395" s="508"/>
      <c r="H1395" s="1005">
        <v>43482</v>
      </c>
      <c r="I1395" s="1002">
        <v>43482</v>
      </c>
      <c r="J1395" s="1199"/>
    </row>
    <row r="1396" spans="1:10" s="81" customFormat="1" ht="39.950000000000003" customHeight="1" x14ac:dyDescent="0.2">
      <c r="A1396" s="1189" t="s">
        <v>12229</v>
      </c>
      <c r="B1396" s="999" t="s">
        <v>1928</v>
      </c>
      <c r="C1396" s="1000" t="s">
        <v>1219</v>
      </c>
      <c r="D1396" s="1000" t="s">
        <v>12230</v>
      </c>
      <c r="E1396" s="1007">
        <v>401.6</v>
      </c>
      <c r="F1396" s="508" t="s">
        <v>12226</v>
      </c>
      <c r="G1396" s="508"/>
      <c r="H1396" s="1005">
        <v>43482</v>
      </c>
      <c r="I1396" s="1002">
        <v>43482</v>
      </c>
      <c r="J1396" s="1199"/>
    </row>
    <row r="1397" spans="1:10" s="81" customFormat="1" ht="39.950000000000003" customHeight="1" x14ac:dyDescent="0.2">
      <c r="A1397" s="1189" t="s">
        <v>12231</v>
      </c>
      <c r="B1397" s="999" t="s">
        <v>1928</v>
      </c>
      <c r="C1397" s="1000" t="s">
        <v>1219</v>
      </c>
      <c r="D1397" s="1000" t="s">
        <v>12232</v>
      </c>
      <c r="E1397" s="1007">
        <v>105.8</v>
      </c>
      <c r="F1397" s="508" t="s">
        <v>12226</v>
      </c>
      <c r="G1397" s="508" t="s">
        <v>1691</v>
      </c>
      <c r="H1397" s="1005">
        <v>43482</v>
      </c>
      <c r="I1397" s="1002">
        <v>43482</v>
      </c>
      <c r="J1397" s="1199"/>
    </row>
    <row r="1398" spans="1:10" s="81" customFormat="1" ht="39.950000000000003" customHeight="1" x14ac:dyDescent="0.2">
      <c r="A1398" s="1189" t="s">
        <v>12233</v>
      </c>
      <c r="B1398" s="999" t="s">
        <v>1928</v>
      </c>
      <c r="C1398" s="1000" t="s">
        <v>1219</v>
      </c>
      <c r="D1398" s="1000" t="s">
        <v>12234</v>
      </c>
      <c r="E1398" s="1007">
        <v>1142.3499999999999</v>
      </c>
      <c r="F1398" s="508" t="s">
        <v>12226</v>
      </c>
      <c r="G1398" s="508" t="s">
        <v>1691</v>
      </c>
      <c r="H1398" s="1005">
        <v>43482</v>
      </c>
      <c r="I1398" s="1002">
        <v>43482</v>
      </c>
      <c r="J1398" s="1199"/>
    </row>
    <row r="1399" spans="1:10" s="81" customFormat="1" ht="39.950000000000003" customHeight="1" x14ac:dyDescent="0.2">
      <c r="A1399" s="1189" t="s">
        <v>12235</v>
      </c>
      <c r="B1399" s="999" t="s">
        <v>1928</v>
      </c>
      <c r="C1399" s="1000" t="s">
        <v>1219</v>
      </c>
      <c r="D1399" s="1000" t="s">
        <v>12236</v>
      </c>
      <c r="E1399" s="1007">
        <v>2500</v>
      </c>
      <c r="F1399" s="508" t="s">
        <v>12237</v>
      </c>
      <c r="G1399" s="508" t="s">
        <v>1691</v>
      </c>
      <c r="H1399" s="1005">
        <v>43493</v>
      </c>
      <c r="I1399" s="1002">
        <v>43498</v>
      </c>
      <c r="J1399" s="1199"/>
    </row>
    <row r="1400" spans="1:10" s="81" customFormat="1" ht="39.950000000000003" customHeight="1" x14ac:dyDescent="0.2">
      <c r="A1400" s="1189" t="s">
        <v>12238</v>
      </c>
      <c r="B1400" s="999" t="s">
        <v>1928</v>
      </c>
      <c r="C1400" s="1000" t="s">
        <v>1219</v>
      </c>
      <c r="D1400" s="1000" t="s">
        <v>12239</v>
      </c>
      <c r="E1400" s="1007">
        <v>8086.75</v>
      </c>
      <c r="F1400" s="508" t="s">
        <v>12226</v>
      </c>
      <c r="G1400" s="508" t="s">
        <v>1691</v>
      </c>
      <c r="H1400" s="1005">
        <v>43501</v>
      </c>
      <c r="I1400" s="1002">
        <v>43501</v>
      </c>
      <c r="J1400" s="1199"/>
    </row>
    <row r="1401" spans="1:10" s="81" customFormat="1" ht="39.950000000000003" customHeight="1" x14ac:dyDescent="0.2">
      <c r="A1401" s="1189" t="s">
        <v>12240</v>
      </c>
      <c r="B1401" s="999" t="s">
        <v>1928</v>
      </c>
      <c r="C1401" s="1000" t="s">
        <v>1219</v>
      </c>
      <c r="D1401" s="1000" t="s">
        <v>12241</v>
      </c>
      <c r="E1401" s="1007">
        <v>1554.75</v>
      </c>
      <c r="F1401" s="508" t="s">
        <v>12226</v>
      </c>
      <c r="G1401" s="508" t="s">
        <v>1691</v>
      </c>
      <c r="H1401" s="1005">
        <v>43501</v>
      </c>
      <c r="I1401" s="1002">
        <v>43501</v>
      </c>
      <c r="J1401" s="1199"/>
    </row>
    <row r="1402" spans="1:10" s="81" customFormat="1" ht="39.950000000000003" customHeight="1" x14ac:dyDescent="0.2">
      <c r="A1402" s="1189" t="s">
        <v>12242</v>
      </c>
      <c r="B1402" s="999" t="s">
        <v>1928</v>
      </c>
      <c r="C1402" s="1000" t="s">
        <v>1219</v>
      </c>
      <c r="D1402" s="1000" t="s">
        <v>12243</v>
      </c>
      <c r="E1402" s="1007">
        <v>700</v>
      </c>
      <c r="F1402" s="508" t="s">
        <v>12244</v>
      </c>
      <c r="G1402" s="508" t="s">
        <v>1691</v>
      </c>
      <c r="H1402" s="1005">
        <v>43501</v>
      </c>
      <c r="I1402" s="1002">
        <v>43506</v>
      </c>
      <c r="J1402" s="1199"/>
    </row>
    <row r="1403" spans="1:10" s="81" customFormat="1" ht="39.950000000000003" customHeight="1" x14ac:dyDescent="0.2">
      <c r="A1403" s="1189" t="s">
        <v>12245</v>
      </c>
      <c r="B1403" s="999" t="s">
        <v>1928</v>
      </c>
      <c r="C1403" s="1000" t="s">
        <v>12246</v>
      </c>
      <c r="D1403" s="1000" t="s">
        <v>12247</v>
      </c>
      <c r="E1403" s="1007">
        <v>7990</v>
      </c>
      <c r="F1403" s="508" t="s">
        <v>12248</v>
      </c>
      <c r="G1403" s="508" t="s">
        <v>1691</v>
      </c>
      <c r="H1403" s="1005">
        <v>43503</v>
      </c>
      <c r="I1403" s="1002">
        <v>43508</v>
      </c>
      <c r="J1403" s="1199"/>
    </row>
    <row r="1404" spans="1:10" s="81" customFormat="1" ht="39.950000000000003" customHeight="1" x14ac:dyDescent="0.2">
      <c r="A1404" s="1189" t="s">
        <v>12249</v>
      </c>
      <c r="B1404" s="999" t="s">
        <v>1928</v>
      </c>
      <c r="C1404" s="1000" t="s">
        <v>12246</v>
      </c>
      <c r="D1404" s="1000" t="s">
        <v>12250</v>
      </c>
      <c r="E1404" s="1007">
        <v>8000</v>
      </c>
      <c r="F1404" s="508" t="s">
        <v>12251</v>
      </c>
      <c r="G1404" s="508" t="s">
        <v>1691</v>
      </c>
      <c r="H1404" s="1005">
        <v>43503</v>
      </c>
      <c r="I1404" s="1002">
        <v>43508</v>
      </c>
      <c r="J1404" s="1199"/>
    </row>
    <row r="1405" spans="1:10" s="81" customFormat="1" ht="39.950000000000003" customHeight="1" x14ac:dyDescent="0.2">
      <c r="A1405" s="1189" t="s">
        <v>12252</v>
      </c>
      <c r="B1405" s="999" t="s">
        <v>1928</v>
      </c>
      <c r="C1405" s="1000" t="s">
        <v>1219</v>
      </c>
      <c r="D1405" s="1000" t="s">
        <v>12253</v>
      </c>
      <c r="E1405" s="1007">
        <v>2782.26</v>
      </c>
      <c r="F1405" s="508" t="s">
        <v>12254</v>
      </c>
      <c r="G1405" s="508" t="s">
        <v>1691</v>
      </c>
      <c r="H1405" s="1005">
        <v>43518</v>
      </c>
      <c r="I1405" s="1002">
        <v>43523</v>
      </c>
      <c r="J1405" s="1199"/>
    </row>
    <row r="1406" spans="1:10" s="81" customFormat="1" ht="39.950000000000003" customHeight="1" x14ac:dyDescent="0.2">
      <c r="A1406" s="1189" t="s">
        <v>12255</v>
      </c>
      <c r="B1406" s="999" t="s">
        <v>1928</v>
      </c>
      <c r="C1406" s="1000" t="s">
        <v>1219</v>
      </c>
      <c r="D1406" s="1000" t="s">
        <v>12256</v>
      </c>
      <c r="E1406" s="1007">
        <v>1314</v>
      </c>
      <c r="F1406" s="508" t="s">
        <v>12257</v>
      </c>
      <c r="G1406" s="508" t="s">
        <v>1691</v>
      </c>
      <c r="H1406" s="1005">
        <v>43518</v>
      </c>
      <c r="I1406" s="1002">
        <v>43523</v>
      </c>
      <c r="J1406" s="1199"/>
    </row>
    <row r="1407" spans="1:10" s="81" customFormat="1" ht="39.950000000000003" customHeight="1" x14ac:dyDescent="0.2">
      <c r="A1407" s="1189" t="s">
        <v>12258</v>
      </c>
      <c r="B1407" s="999" t="s">
        <v>1928</v>
      </c>
      <c r="C1407" s="1000" t="s">
        <v>1219</v>
      </c>
      <c r="D1407" s="1000" t="s">
        <v>12259</v>
      </c>
      <c r="E1407" s="1007">
        <v>2600</v>
      </c>
      <c r="F1407" s="508" t="s">
        <v>12260</v>
      </c>
      <c r="G1407" s="508" t="s">
        <v>1691</v>
      </c>
      <c r="H1407" s="1005">
        <v>43518</v>
      </c>
      <c r="I1407" s="1002">
        <v>43523</v>
      </c>
      <c r="J1407" s="1199"/>
    </row>
    <row r="1408" spans="1:10" s="81" customFormat="1" ht="39.950000000000003" customHeight="1" x14ac:dyDescent="0.2">
      <c r="A1408" s="1189" t="s">
        <v>12261</v>
      </c>
      <c r="B1408" s="999" t="s">
        <v>1928</v>
      </c>
      <c r="C1408" s="1000" t="s">
        <v>1219</v>
      </c>
      <c r="D1408" s="1000" t="s">
        <v>12262</v>
      </c>
      <c r="E1408" s="1007">
        <v>2600</v>
      </c>
      <c r="F1408" s="508" t="s">
        <v>12263</v>
      </c>
      <c r="G1408" s="508" t="s">
        <v>1691</v>
      </c>
      <c r="H1408" s="1005">
        <v>43518</v>
      </c>
      <c r="I1408" s="1002">
        <v>43523</v>
      </c>
      <c r="J1408" s="1199"/>
    </row>
    <row r="1409" spans="1:10" s="81" customFormat="1" ht="39.950000000000003" customHeight="1" x14ac:dyDescent="0.2">
      <c r="A1409" s="1189" t="s">
        <v>12264</v>
      </c>
      <c r="B1409" s="999" t="s">
        <v>1928</v>
      </c>
      <c r="C1409" s="1000" t="s">
        <v>1219</v>
      </c>
      <c r="D1409" s="1000" t="s">
        <v>12265</v>
      </c>
      <c r="E1409" s="1007">
        <v>1800</v>
      </c>
      <c r="F1409" s="508" t="s">
        <v>12254</v>
      </c>
      <c r="G1409" s="508" t="s">
        <v>1691</v>
      </c>
      <c r="H1409" s="1005">
        <v>43524</v>
      </c>
      <c r="I1409" s="1002">
        <v>43529</v>
      </c>
      <c r="J1409" s="1199"/>
    </row>
    <row r="1410" spans="1:10" s="81" customFormat="1" ht="39.950000000000003" customHeight="1" x14ac:dyDescent="0.2">
      <c r="A1410" s="1189" t="s">
        <v>12266</v>
      </c>
      <c r="B1410" s="999" t="s">
        <v>1928</v>
      </c>
      <c r="C1410" s="1000" t="s">
        <v>1219</v>
      </c>
      <c r="D1410" s="1000" t="s">
        <v>12267</v>
      </c>
      <c r="E1410" s="1007">
        <v>1230</v>
      </c>
      <c r="F1410" s="508" t="s">
        <v>12268</v>
      </c>
      <c r="G1410" s="508" t="s">
        <v>1691</v>
      </c>
      <c r="H1410" s="1005">
        <v>43525</v>
      </c>
      <c r="I1410" s="1002">
        <v>43530</v>
      </c>
      <c r="J1410" s="1199"/>
    </row>
    <row r="1411" spans="1:10" s="81" customFormat="1" ht="39.950000000000003" customHeight="1" x14ac:dyDescent="0.2">
      <c r="A1411" s="1189" t="s">
        <v>12255</v>
      </c>
      <c r="B1411" s="999" t="s">
        <v>1928</v>
      </c>
      <c r="C1411" s="1000" t="s">
        <v>1219</v>
      </c>
      <c r="D1411" s="1000" t="s">
        <v>12269</v>
      </c>
      <c r="E1411" s="1007">
        <v>1409.8</v>
      </c>
      <c r="F1411" s="508" t="s">
        <v>12270</v>
      </c>
      <c r="G1411" s="508" t="s">
        <v>1691</v>
      </c>
      <c r="H1411" s="1005">
        <v>43531</v>
      </c>
      <c r="I1411" s="1002">
        <v>43536</v>
      </c>
      <c r="J1411" s="1199"/>
    </row>
    <row r="1412" spans="1:10" s="81" customFormat="1" ht="39.950000000000003" customHeight="1" x14ac:dyDescent="0.2">
      <c r="A1412" s="1189" t="s">
        <v>12271</v>
      </c>
      <c r="B1412" s="999" t="s">
        <v>1928</v>
      </c>
      <c r="C1412" s="1000" t="s">
        <v>1219</v>
      </c>
      <c r="D1412" s="1000" t="s">
        <v>12272</v>
      </c>
      <c r="E1412" s="1007">
        <v>1158.0999999999999</v>
      </c>
      <c r="F1412" s="508" t="s">
        <v>12226</v>
      </c>
      <c r="G1412" s="508" t="s">
        <v>1691</v>
      </c>
      <c r="H1412" s="1005">
        <v>43538</v>
      </c>
      <c r="I1412" s="1002">
        <v>43538</v>
      </c>
      <c r="J1412" s="1199"/>
    </row>
    <row r="1413" spans="1:10" s="81" customFormat="1" ht="39.950000000000003" customHeight="1" x14ac:dyDescent="0.2">
      <c r="A1413" s="1189" t="s">
        <v>12273</v>
      </c>
      <c r="B1413" s="999" t="s">
        <v>1928</v>
      </c>
      <c r="C1413" s="1000" t="s">
        <v>1219</v>
      </c>
      <c r="D1413" s="1000" t="s">
        <v>12274</v>
      </c>
      <c r="E1413" s="1007">
        <v>4255.17</v>
      </c>
      <c r="F1413" s="508" t="s">
        <v>12270</v>
      </c>
      <c r="G1413" s="508" t="s">
        <v>1691</v>
      </c>
      <c r="H1413" s="1005">
        <v>43538</v>
      </c>
      <c r="I1413" s="1002">
        <v>43543</v>
      </c>
      <c r="J1413" s="1199"/>
    </row>
    <row r="1414" spans="1:10" s="81" customFormat="1" ht="39.950000000000003" customHeight="1" x14ac:dyDescent="0.2">
      <c r="A1414" s="1189" t="s">
        <v>12275</v>
      </c>
      <c r="B1414" s="999" t="s">
        <v>1928</v>
      </c>
      <c r="C1414" s="1000" t="s">
        <v>1219</v>
      </c>
      <c r="D1414" s="1000" t="s">
        <v>12276</v>
      </c>
      <c r="E1414" s="1007">
        <v>4896.6000000000004</v>
      </c>
      <c r="F1414" s="508" t="s">
        <v>12226</v>
      </c>
      <c r="G1414" s="508" t="s">
        <v>1691</v>
      </c>
      <c r="H1414" s="1005">
        <v>43538</v>
      </c>
      <c r="I1414" s="1002">
        <v>43538</v>
      </c>
      <c r="J1414" s="1199"/>
    </row>
    <row r="1415" spans="1:10" s="81" customFormat="1" ht="39.950000000000003" customHeight="1" x14ac:dyDescent="0.2">
      <c r="A1415" s="1189" t="s">
        <v>12277</v>
      </c>
      <c r="B1415" s="999" t="s">
        <v>1928</v>
      </c>
      <c r="C1415" s="1000" t="s">
        <v>1219</v>
      </c>
      <c r="D1415" s="1000" t="s">
        <v>12278</v>
      </c>
      <c r="E1415" s="1007">
        <v>10052</v>
      </c>
      <c r="F1415" s="508" t="s">
        <v>12244</v>
      </c>
      <c r="G1415" s="508" t="s">
        <v>1691</v>
      </c>
      <c r="H1415" s="1005">
        <v>43538</v>
      </c>
      <c r="I1415" s="1002">
        <v>43543</v>
      </c>
      <c r="J1415" s="1199"/>
    </row>
    <row r="1416" spans="1:10" s="81" customFormat="1" ht="39.950000000000003" customHeight="1" x14ac:dyDescent="0.2">
      <c r="A1416" s="1189" t="s">
        <v>12279</v>
      </c>
      <c r="B1416" s="999" t="s">
        <v>1928</v>
      </c>
      <c r="C1416" s="1000" t="s">
        <v>1219</v>
      </c>
      <c r="D1416" s="1000" t="s">
        <v>12280</v>
      </c>
      <c r="E1416" s="1007">
        <v>2600</v>
      </c>
      <c r="F1416" s="508" t="s">
        <v>12237</v>
      </c>
      <c r="G1416" s="508" t="s">
        <v>1691</v>
      </c>
      <c r="H1416" s="1005">
        <v>43544</v>
      </c>
      <c r="I1416" s="1002">
        <v>43549</v>
      </c>
      <c r="J1416" s="1199"/>
    </row>
    <row r="1417" spans="1:10" s="81" customFormat="1" ht="39.950000000000003" customHeight="1" x14ac:dyDescent="0.2">
      <c r="A1417" s="1189" t="s">
        <v>12281</v>
      </c>
      <c r="B1417" s="999" t="s">
        <v>1928</v>
      </c>
      <c r="C1417" s="1000" t="s">
        <v>1219</v>
      </c>
      <c r="D1417" s="1000" t="s">
        <v>12282</v>
      </c>
      <c r="E1417" s="1007">
        <v>700</v>
      </c>
      <c r="F1417" s="508" t="s">
        <v>12283</v>
      </c>
      <c r="G1417" s="508" t="s">
        <v>1691</v>
      </c>
      <c r="H1417" s="1005">
        <v>43551</v>
      </c>
      <c r="I1417" s="1002">
        <v>43556</v>
      </c>
      <c r="J1417" s="1199"/>
    </row>
    <row r="1418" spans="1:10" s="81" customFormat="1" ht="39.950000000000003" customHeight="1" x14ac:dyDescent="0.2">
      <c r="A1418" s="1189" t="s">
        <v>12284</v>
      </c>
      <c r="B1418" s="999" t="s">
        <v>1928</v>
      </c>
      <c r="C1418" s="1000" t="s">
        <v>12246</v>
      </c>
      <c r="D1418" s="1000" t="s">
        <v>12285</v>
      </c>
      <c r="E1418" s="1007">
        <v>10000</v>
      </c>
      <c r="F1418" s="508" t="s">
        <v>12251</v>
      </c>
      <c r="G1418" s="508" t="s">
        <v>1691</v>
      </c>
      <c r="H1418" s="1005">
        <v>43553</v>
      </c>
      <c r="I1418" s="1002">
        <v>43558</v>
      </c>
      <c r="J1418" s="1199"/>
    </row>
    <row r="1419" spans="1:10" s="81" customFormat="1" ht="39.950000000000003" customHeight="1" x14ac:dyDescent="0.2">
      <c r="A1419" s="1189" t="s">
        <v>12264</v>
      </c>
      <c r="B1419" s="999" t="s">
        <v>1928</v>
      </c>
      <c r="C1419" s="1000" t="s">
        <v>1219</v>
      </c>
      <c r="D1419" s="1000" t="s">
        <v>12286</v>
      </c>
      <c r="E1419" s="1007">
        <v>1800</v>
      </c>
      <c r="F1419" s="508" t="s">
        <v>12254</v>
      </c>
      <c r="G1419" s="508" t="s">
        <v>1691</v>
      </c>
      <c r="H1419" s="1005">
        <v>43553</v>
      </c>
      <c r="I1419" s="1002">
        <v>43558</v>
      </c>
      <c r="J1419" s="1199"/>
    </row>
    <row r="1420" spans="1:10" s="81" customFormat="1" ht="39.950000000000003" customHeight="1" x14ac:dyDescent="0.2">
      <c r="A1420" s="1189" t="s">
        <v>12287</v>
      </c>
      <c r="B1420" s="999" t="s">
        <v>1928</v>
      </c>
      <c r="C1420" s="1000" t="s">
        <v>1219</v>
      </c>
      <c r="D1420" s="1000" t="s">
        <v>12288</v>
      </c>
      <c r="E1420" s="1007">
        <v>900</v>
      </c>
      <c r="F1420" s="508" t="s">
        <v>12268</v>
      </c>
      <c r="G1420" s="508" t="s">
        <v>1691</v>
      </c>
      <c r="H1420" s="1005">
        <v>43553</v>
      </c>
      <c r="I1420" s="1002">
        <v>43558</v>
      </c>
      <c r="J1420" s="1199"/>
    </row>
    <row r="1421" spans="1:10" s="81" customFormat="1" ht="39.950000000000003" customHeight="1" x14ac:dyDescent="0.2">
      <c r="A1421" s="1189" t="s">
        <v>12289</v>
      </c>
      <c r="B1421" s="999" t="s">
        <v>1928</v>
      </c>
      <c r="C1421" s="1000" t="s">
        <v>1219</v>
      </c>
      <c r="D1421" s="1000" t="s">
        <v>12290</v>
      </c>
      <c r="E1421" s="1007">
        <v>5864.6</v>
      </c>
      <c r="F1421" s="508" t="s">
        <v>12226</v>
      </c>
      <c r="G1421" s="508" t="s">
        <v>1691</v>
      </c>
      <c r="H1421" s="1005">
        <v>43557</v>
      </c>
      <c r="I1421" s="1002">
        <v>43557</v>
      </c>
      <c r="J1421" s="1199"/>
    </row>
    <row r="1422" spans="1:10" s="81" customFormat="1" ht="39.950000000000003" customHeight="1" x14ac:dyDescent="0.2">
      <c r="A1422" s="1189" t="s">
        <v>12291</v>
      </c>
      <c r="B1422" s="999" t="s">
        <v>1928</v>
      </c>
      <c r="C1422" s="1000" t="s">
        <v>1219</v>
      </c>
      <c r="D1422" s="1000" t="s">
        <v>12292</v>
      </c>
      <c r="E1422" s="1007">
        <v>1326.2</v>
      </c>
      <c r="F1422" s="508" t="s">
        <v>12226</v>
      </c>
      <c r="G1422" s="508" t="s">
        <v>1691</v>
      </c>
      <c r="H1422" s="1005">
        <v>43557</v>
      </c>
      <c r="I1422" s="1002">
        <v>43557</v>
      </c>
      <c r="J1422" s="1199"/>
    </row>
    <row r="1423" spans="1:10" s="81" customFormat="1" ht="39.950000000000003" customHeight="1" x14ac:dyDescent="0.2">
      <c r="A1423" s="1189" t="s">
        <v>12293</v>
      </c>
      <c r="B1423" s="999" t="s">
        <v>1928</v>
      </c>
      <c r="C1423" s="1000" t="s">
        <v>1219</v>
      </c>
      <c r="D1423" s="1000" t="s">
        <v>12294</v>
      </c>
      <c r="E1423" s="1007">
        <v>1267.56</v>
      </c>
      <c r="F1423" s="508" t="s">
        <v>12295</v>
      </c>
      <c r="G1423" s="508" t="s">
        <v>1691</v>
      </c>
      <c r="H1423" s="1005">
        <v>43557</v>
      </c>
      <c r="I1423" s="1002">
        <v>43562</v>
      </c>
      <c r="J1423" s="1199"/>
    </row>
    <row r="1424" spans="1:10" s="81" customFormat="1" ht="39.950000000000003" customHeight="1" x14ac:dyDescent="0.2">
      <c r="A1424" s="1189" t="s">
        <v>12296</v>
      </c>
      <c r="B1424" s="999" t="s">
        <v>1928</v>
      </c>
      <c r="C1424" s="1000" t="s">
        <v>1219</v>
      </c>
      <c r="D1424" s="1000" t="s">
        <v>12297</v>
      </c>
      <c r="E1424" s="1007">
        <v>103.4</v>
      </c>
      <c r="F1424" s="508" t="s">
        <v>12226</v>
      </c>
      <c r="G1424" s="508" t="s">
        <v>1691</v>
      </c>
      <c r="H1424" s="1005">
        <v>43565</v>
      </c>
      <c r="I1424" s="1002">
        <v>43565</v>
      </c>
      <c r="J1424" s="1199"/>
    </row>
    <row r="1425" spans="1:10" s="81" customFormat="1" ht="39.950000000000003" customHeight="1" x14ac:dyDescent="0.2">
      <c r="A1425" s="1189" t="s">
        <v>12298</v>
      </c>
      <c r="B1425" s="999" t="s">
        <v>1928</v>
      </c>
      <c r="C1425" s="1000" t="s">
        <v>1219</v>
      </c>
      <c r="D1425" s="1000" t="s">
        <v>12299</v>
      </c>
      <c r="E1425" s="1007">
        <v>2600</v>
      </c>
      <c r="F1425" s="508" t="s">
        <v>12237</v>
      </c>
      <c r="G1425" s="508" t="s">
        <v>1691</v>
      </c>
      <c r="H1425" s="1005">
        <v>43565</v>
      </c>
      <c r="I1425" s="1002">
        <v>43570</v>
      </c>
      <c r="J1425" s="1199"/>
    </row>
    <row r="1426" spans="1:10" s="81" customFormat="1" ht="39.950000000000003" customHeight="1" x14ac:dyDescent="0.2">
      <c r="A1426" s="1189" t="s">
        <v>12300</v>
      </c>
      <c r="B1426" s="999" t="s">
        <v>1928</v>
      </c>
      <c r="C1426" s="1000" t="s">
        <v>1219</v>
      </c>
      <c r="D1426" s="1000" t="s">
        <v>12301</v>
      </c>
      <c r="E1426" s="1007">
        <v>456.78</v>
      </c>
      <c r="F1426" s="508" t="s">
        <v>12270</v>
      </c>
      <c r="G1426" s="508" t="s">
        <v>1691</v>
      </c>
      <c r="H1426" s="1005">
        <v>43565</v>
      </c>
      <c r="I1426" s="1002">
        <v>43570</v>
      </c>
      <c r="J1426" s="1199"/>
    </row>
    <row r="1427" spans="1:10" s="81" customFormat="1" ht="39.950000000000003" customHeight="1" x14ac:dyDescent="0.2">
      <c r="A1427" s="1189" t="s">
        <v>12302</v>
      </c>
      <c r="B1427" s="999" t="s">
        <v>1928</v>
      </c>
      <c r="C1427" s="1000" t="s">
        <v>1219</v>
      </c>
      <c r="D1427" s="1000" t="s">
        <v>12303</v>
      </c>
      <c r="E1427" s="1007">
        <v>563.26</v>
      </c>
      <c r="F1427" s="508" t="s">
        <v>12304</v>
      </c>
      <c r="G1427" s="508" t="s">
        <v>1691</v>
      </c>
      <c r="H1427" s="1005">
        <v>43566</v>
      </c>
      <c r="I1427" s="1002">
        <v>43571</v>
      </c>
      <c r="J1427" s="1199"/>
    </row>
    <row r="1428" spans="1:10" s="81" customFormat="1" ht="39.950000000000003" customHeight="1" x14ac:dyDescent="0.2">
      <c r="A1428" s="1189" t="s">
        <v>12305</v>
      </c>
      <c r="B1428" s="999" t="s">
        <v>1928</v>
      </c>
      <c r="C1428" s="1000" t="s">
        <v>1219</v>
      </c>
      <c r="D1428" s="1000" t="s">
        <v>12306</v>
      </c>
      <c r="E1428" s="1007">
        <v>470</v>
      </c>
      <c r="F1428" s="508" t="s">
        <v>12307</v>
      </c>
      <c r="G1428" s="508" t="s">
        <v>1691</v>
      </c>
      <c r="H1428" s="1005">
        <v>43567</v>
      </c>
      <c r="I1428" s="1002">
        <v>43572</v>
      </c>
      <c r="J1428" s="1199"/>
    </row>
    <row r="1429" spans="1:10" s="81" customFormat="1" ht="39.950000000000003" customHeight="1" x14ac:dyDescent="0.2">
      <c r="A1429" s="1189" t="s">
        <v>12308</v>
      </c>
      <c r="B1429" s="999" t="s">
        <v>1928</v>
      </c>
      <c r="C1429" s="1000" t="s">
        <v>12246</v>
      </c>
      <c r="D1429" s="1000" t="s">
        <v>12309</v>
      </c>
      <c r="E1429" s="1007">
        <v>6800</v>
      </c>
      <c r="F1429" s="508" t="s">
        <v>12310</v>
      </c>
      <c r="G1429" s="508" t="s">
        <v>1691</v>
      </c>
      <c r="H1429" s="1005">
        <v>43584</v>
      </c>
      <c r="I1429" s="1002">
        <v>43589</v>
      </c>
      <c r="J1429" s="1199"/>
    </row>
    <row r="1430" spans="1:10" s="81" customFormat="1" ht="39.950000000000003" customHeight="1" x14ac:dyDescent="0.2">
      <c r="A1430" s="1189" t="s">
        <v>12311</v>
      </c>
      <c r="B1430" s="999" t="s">
        <v>1928</v>
      </c>
      <c r="C1430" s="1000" t="s">
        <v>1219</v>
      </c>
      <c r="D1430" s="1000" t="s">
        <v>12312</v>
      </c>
      <c r="E1430" s="1007">
        <v>1800</v>
      </c>
      <c r="F1430" s="508" t="s">
        <v>12254</v>
      </c>
      <c r="G1430" s="508" t="s">
        <v>1691</v>
      </c>
      <c r="H1430" s="1005">
        <v>43592</v>
      </c>
      <c r="I1430" s="1002">
        <v>43597</v>
      </c>
      <c r="J1430" s="1199"/>
    </row>
    <row r="1431" spans="1:10" s="81" customFormat="1" ht="39.950000000000003" customHeight="1" x14ac:dyDescent="0.2">
      <c r="A1431" s="1189" t="s">
        <v>12313</v>
      </c>
      <c r="B1431" s="999" t="s">
        <v>1928</v>
      </c>
      <c r="C1431" s="1000" t="s">
        <v>1219</v>
      </c>
      <c r="D1431" s="1000" t="s">
        <v>12314</v>
      </c>
      <c r="E1431" s="1007">
        <v>900</v>
      </c>
      <c r="F1431" s="508" t="s">
        <v>12268</v>
      </c>
      <c r="G1431" s="508" t="s">
        <v>1691</v>
      </c>
      <c r="H1431" s="1005">
        <v>43592</v>
      </c>
      <c r="I1431" s="1002">
        <v>43597</v>
      </c>
      <c r="J1431" s="1199"/>
    </row>
    <row r="1432" spans="1:10" s="81" customFormat="1" ht="39.950000000000003" customHeight="1" x14ac:dyDescent="0.2">
      <c r="A1432" s="1189" t="s">
        <v>12315</v>
      </c>
      <c r="B1432" s="999" t="s">
        <v>1928</v>
      </c>
      <c r="C1432" s="1000" t="s">
        <v>1219</v>
      </c>
      <c r="D1432" s="1000" t="s">
        <v>12316</v>
      </c>
      <c r="E1432" s="1007">
        <v>2400</v>
      </c>
      <c r="F1432" s="508" t="s">
        <v>12317</v>
      </c>
      <c r="G1432" s="508" t="s">
        <v>1691</v>
      </c>
      <c r="H1432" s="1005">
        <v>43592</v>
      </c>
      <c r="I1432" s="1002">
        <v>43597</v>
      </c>
      <c r="J1432" s="1199"/>
    </row>
    <row r="1433" spans="1:10" s="81" customFormat="1" ht="39.950000000000003" customHeight="1" x14ac:dyDescent="0.2">
      <c r="A1433" s="1189" t="s">
        <v>12318</v>
      </c>
      <c r="B1433" s="999" t="s">
        <v>1928</v>
      </c>
      <c r="C1433" s="1000" t="s">
        <v>1219</v>
      </c>
      <c r="D1433" s="1000" t="s">
        <v>12319</v>
      </c>
      <c r="E1433" s="1007">
        <v>1761.9</v>
      </c>
      <c r="F1433" s="508" t="s">
        <v>12226</v>
      </c>
      <c r="G1433" s="508" t="s">
        <v>1691</v>
      </c>
      <c r="H1433" s="1005">
        <v>43593</v>
      </c>
      <c r="I1433" s="1002">
        <v>43593</v>
      </c>
      <c r="J1433" s="1199"/>
    </row>
    <row r="1434" spans="1:10" s="81" customFormat="1" ht="39.950000000000003" customHeight="1" x14ac:dyDescent="0.2">
      <c r="A1434" s="1189" t="s">
        <v>12320</v>
      </c>
      <c r="B1434" s="999" t="s">
        <v>1928</v>
      </c>
      <c r="C1434" s="1000" t="s">
        <v>1219</v>
      </c>
      <c r="D1434" s="1000" t="s">
        <v>12321</v>
      </c>
      <c r="E1434" s="1007">
        <v>119.5</v>
      </c>
      <c r="F1434" s="508" t="s">
        <v>12226</v>
      </c>
      <c r="G1434" s="508" t="s">
        <v>1691</v>
      </c>
      <c r="H1434" s="1005">
        <v>43593</v>
      </c>
      <c r="I1434" s="1002">
        <v>43593</v>
      </c>
      <c r="J1434" s="1199"/>
    </row>
    <row r="1435" spans="1:10" s="81" customFormat="1" ht="39.950000000000003" customHeight="1" x14ac:dyDescent="0.2">
      <c r="A1435" s="1189" t="s">
        <v>12322</v>
      </c>
      <c r="B1435" s="999" t="s">
        <v>1928</v>
      </c>
      <c r="C1435" s="1000" t="s">
        <v>1219</v>
      </c>
      <c r="D1435" s="1000" t="s">
        <v>12323</v>
      </c>
      <c r="E1435" s="1007">
        <v>12943.4</v>
      </c>
      <c r="F1435" s="508" t="s">
        <v>12226</v>
      </c>
      <c r="G1435" s="508" t="s">
        <v>1691</v>
      </c>
      <c r="H1435" s="1005">
        <v>43593</v>
      </c>
      <c r="I1435" s="1002">
        <v>43593</v>
      </c>
      <c r="J1435" s="1199"/>
    </row>
    <row r="1436" spans="1:10" s="81" customFormat="1" ht="39.950000000000003" customHeight="1" x14ac:dyDescent="0.2">
      <c r="A1436" s="1189" t="s">
        <v>12324</v>
      </c>
      <c r="B1436" s="999" t="s">
        <v>1928</v>
      </c>
      <c r="C1436" s="1000" t="s">
        <v>1219</v>
      </c>
      <c r="D1436" s="1000" t="s">
        <v>12325</v>
      </c>
      <c r="E1436" s="1007">
        <v>950</v>
      </c>
      <c r="F1436" s="508" t="s">
        <v>12326</v>
      </c>
      <c r="G1436" s="508" t="s">
        <v>1691</v>
      </c>
      <c r="H1436" s="1005">
        <v>43595</v>
      </c>
      <c r="I1436" s="1002">
        <v>43600</v>
      </c>
      <c r="J1436" s="1199"/>
    </row>
    <row r="1437" spans="1:10" s="81" customFormat="1" ht="39.950000000000003" customHeight="1" x14ac:dyDescent="0.2">
      <c r="A1437" s="1189" t="s">
        <v>12327</v>
      </c>
      <c r="B1437" s="999" t="s">
        <v>1928</v>
      </c>
      <c r="C1437" s="1000" t="s">
        <v>1219</v>
      </c>
      <c r="D1437" s="1000" t="s">
        <v>12328</v>
      </c>
      <c r="E1437" s="1007">
        <v>2600</v>
      </c>
      <c r="F1437" s="508" t="s">
        <v>12237</v>
      </c>
      <c r="G1437" s="508" t="s">
        <v>1691</v>
      </c>
      <c r="H1437" s="1005">
        <v>43605</v>
      </c>
      <c r="I1437" s="1002">
        <v>43610</v>
      </c>
      <c r="J1437" s="1199"/>
    </row>
    <row r="1438" spans="1:10" s="81" customFormat="1" ht="39.950000000000003" customHeight="1" x14ac:dyDescent="0.2">
      <c r="A1438" s="1189" t="s">
        <v>12329</v>
      </c>
      <c r="B1438" s="999" t="s">
        <v>1928</v>
      </c>
      <c r="C1438" s="1000" t="s">
        <v>1219</v>
      </c>
      <c r="D1438" s="1000" t="s">
        <v>12330</v>
      </c>
      <c r="E1438" s="1007">
        <v>450</v>
      </c>
      <c r="F1438" s="508" t="s">
        <v>12244</v>
      </c>
      <c r="G1438" s="508" t="s">
        <v>1691</v>
      </c>
      <c r="H1438" s="1005">
        <v>43606</v>
      </c>
      <c r="I1438" s="1002">
        <v>43611</v>
      </c>
      <c r="J1438" s="1199"/>
    </row>
    <row r="1439" spans="1:10" s="81" customFormat="1" ht="39.950000000000003" customHeight="1" x14ac:dyDescent="0.2">
      <c r="A1439" s="1189" t="s">
        <v>12331</v>
      </c>
      <c r="B1439" s="999" t="s">
        <v>1928</v>
      </c>
      <c r="C1439" s="1000" t="s">
        <v>1219</v>
      </c>
      <c r="D1439" s="1000" t="s">
        <v>12332</v>
      </c>
      <c r="E1439" s="1007">
        <v>9972.2999999999993</v>
      </c>
      <c r="F1439" s="508" t="s">
        <v>12226</v>
      </c>
      <c r="G1439" s="508" t="s">
        <v>1691</v>
      </c>
      <c r="H1439" s="1005">
        <v>43619</v>
      </c>
      <c r="I1439" s="1002">
        <v>43619</v>
      </c>
      <c r="J1439" s="1199"/>
    </row>
    <row r="1440" spans="1:10" s="81" customFormat="1" ht="39.950000000000003" customHeight="1" x14ac:dyDescent="0.2">
      <c r="A1440" s="1189" t="s">
        <v>12333</v>
      </c>
      <c r="B1440" s="999" t="s">
        <v>1928</v>
      </c>
      <c r="C1440" s="1000" t="s">
        <v>1219</v>
      </c>
      <c r="D1440" s="1000" t="s">
        <v>12334</v>
      </c>
      <c r="E1440" s="1007">
        <v>1457.3</v>
      </c>
      <c r="F1440" s="508" t="s">
        <v>12226</v>
      </c>
      <c r="G1440" s="508" t="s">
        <v>1691</v>
      </c>
      <c r="H1440" s="1005">
        <v>43619</v>
      </c>
      <c r="I1440" s="1002">
        <v>43619</v>
      </c>
      <c r="J1440" s="1199"/>
    </row>
    <row r="1441" spans="1:10" s="81" customFormat="1" ht="39.950000000000003" customHeight="1" x14ac:dyDescent="0.2">
      <c r="A1441" s="1189" t="s">
        <v>12335</v>
      </c>
      <c r="B1441" s="999" t="s">
        <v>1928</v>
      </c>
      <c r="C1441" s="1000" t="s">
        <v>1219</v>
      </c>
      <c r="D1441" s="1000" t="s">
        <v>12336</v>
      </c>
      <c r="E1441" s="1007">
        <v>1800</v>
      </c>
      <c r="F1441" s="508" t="s">
        <v>12254</v>
      </c>
      <c r="G1441" s="508" t="s">
        <v>1691</v>
      </c>
      <c r="H1441" s="1005">
        <v>43626</v>
      </c>
      <c r="I1441" s="1002">
        <v>43631</v>
      </c>
      <c r="J1441" s="1199"/>
    </row>
    <row r="1442" spans="1:10" s="81" customFormat="1" ht="39.950000000000003" customHeight="1" x14ac:dyDescent="0.2">
      <c r="A1442" s="1189" t="s">
        <v>12337</v>
      </c>
      <c r="B1442" s="999" t="s">
        <v>1928</v>
      </c>
      <c r="C1442" s="1000" t="s">
        <v>1219</v>
      </c>
      <c r="D1442" s="1000" t="s">
        <v>12338</v>
      </c>
      <c r="E1442" s="1007">
        <v>900</v>
      </c>
      <c r="F1442" s="508" t="s">
        <v>12268</v>
      </c>
      <c r="G1442" s="508" t="s">
        <v>1691</v>
      </c>
      <c r="H1442" s="1005">
        <v>43626</v>
      </c>
      <c r="I1442" s="1002">
        <v>43631</v>
      </c>
      <c r="J1442" s="1199"/>
    </row>
    <row r="1443" spans="1:10" s="81" customFormat="1" ht="39.950000000000003" customHeight="1" x14ac:dyDescent="0.2">
      <c r="A1443" s="1189" t="s">
        <v>12339</v>
      </c>
      <c r="B1443" s="999" t="s">
        <v>1928</v>
      </c>
      <c r="C1443" s="1000" t="s">
        <v>1219</v>
      </c>
      <c r="D1443" s="1000" t="s">
        <v>12340</v>
      </c>
      <c r="E1443" s="1007">
        <v>115.2</v>
      </c>
      <c r="F1443" s="508" t="s">
        <v>12226</v>
      </c>
      <c r="G1443" s="508" t="s">
        <v>1691</v>
      </c>
      <c r="H1443" s="1005">
        <v>43626</v>
      </c>
      <c r="I1443" s="1002">
        <v>43626</v>
      </c>
      <c r="J1443" s="1199"/>
    </row>
    <row r="1444" spans="1:10" s="81" customFormat="1" ht="39.950000000000003" customHeight="1" x14ac:dyDescent="0.2">
      <c r="A1444" s="1189" t="s">
        <v>12341</v>
      </c>
      <c r="B1444" s="999" t="s">
        <v>1928</v>
      </c>
      <c r="C1444" s="1000" t="s">
        <v>1219</v>
      </c>
      <c r="D1444" s="1000" t="s">
        <v>12342</v>
      </c>
      <c r="E1444" s="1007">
        <v>80</v>
      </c>
      <c r="F1444" s="508" t="s">
        <v>12343</v>
      </c>
      <c r="G1444" s="508" t="s">
        <v>1691</v>
      </c>
      <c r="H1444" s="1005">
        <v>43626</v>
      </c>
      <c r="I1444" s="1002">
        <v>43631</v>
      </c>
      <c r="J1444" s="1199"/>
    </row>
    <row r="1445" spans="1:10" s="81" customFormat="1" ht="39.950000000000003" customHeight="1" x14ac:dyDescent="0.2">
      <c r="A1445" s="1189" t="s">
        <v>12344</v>
      </c>
      <c r="B1445" s="999" t="s">
        <v>1928</v>
      </c>
      <c r="C1445" s="1000" t="s">
        <v>1219</v>
      </c>
      <c r="D1445" s="1000" t="s">
        <v>12345</v>
      </c>
      <c r="E1445" s="1007">
        <v>50</v>
      </c>
      <c r="F1445" s="508" t="s">
        <v>12346</v>
      </c>
      <c r="G1445" s="508" t="s">
        <v>1691</v>
      </c>
      <c r="H1445" s="1005">
        <v>43626</v>
      </c>
      <c r="I1445" s="1002">
        <v>43631</v>
      </c>
      <c r="J1445" s="1199"/>
    </row>
    <row r="1446" spans="1:10" s="81" customFormat="1" ht="39.950000000000003" customHeight="1" x14ac:dyDescent="0.2">
      <c r="A1446" s="1189" t="s">
        <v>12347</v>
      </c>
      <c r="B1446" s="999" t="s">
        <v>1928</v>
      </c>
      <c r="C1446" s="1000" t="s">
        <v>1219</v>
      </c>
      <c r="D1446" s="1000" t="s">
        <v>12348</v>
      </c>
      <c r="E1446" s="1007">
        <v>375.62</v>
      </c>
      <c r="F1446" s="508" t="s">
        <v>12295</v>
      </c>
      <c r="G1446" s="508" t="s">
        <v>1691</v>
      </c>
      <c r="H1446" s="1005">
        <v>43635</v>
      </c>
      <c r="I1446" s="1002">
        <v>43640</v>
      </c>
      <c r="J1446" s="1199"/>
    </row>
    <row r="1447" spans="1:10" s="81" customFormat="1" ht="39.950000000000003" customHeight="1" x14ac:dyDescent="0.2">
      <c r="A1447" s="1189" t="s">
        <v>12349</v>
      </c>
      <c r="B1447" s="999" t="s">
        <v>1928</v>
      </c>
      <c r="C1447" s="1000" t="s">
        <v>1219</v>
      </c>
      <c r="D1447" s="1000" t="s">
        <v>12350</v>
      </c>
      <c r="E1447" s="1007">
        <v>676.5</v>
      </c>
      <c r="F1447" s="508" t="s">
        <v>12244</v>
      </c>
      <c r="G1447" s="508" t="s">
        <v>1691</v>
      </c>
      <c r="H1447" s="1005">
        <v>43636</v>
      </c>
      <c r="I1447" s="1002">
        <v>43641</v>
      </c>
      <c r="J1447" s="1199"/>
    </row>
    <row r="1448" spans="1:10" s="81" customFormat="1" ht="39.950000000000003" customHeight="1" x14ac:dyDescent="0.2">
      <c r="A1448" s="1189" t="s">
        <v>12351</v>
      </c>
      <c r="B1448" s="999" t="s">
        <v>1928</v>
      </c>
      <c r="C1448" s="1000" t="s">
        <v>1219</v>
      </c>
      <c r="D1448" s="1000" t="s">
        <v>12352</v>
      </c>
      <c r="E1448" s="1007">
        <v>2600</v>
      </c>
      <c r="F1448" s="508" t="s">
        <v>12237</v>
      </c>
      <c r="G1448" s="508" t="s">
        <v>1691</v>
      </c>
      <c r="H1448" s="1005">
        <v>43636</v>
      </c>
      <c r="I1448" s="1002">
        <v>43641</v>
      </c>
      <c r="J1448" s="1199"/>
    </row>
    <row r="1449" spans="1:10" s="81" customFormat="1" ht="39.950000000000003" customHeight="1" x14ac:dyDescent="0.2">
      <c r="A1449" s="1189" t="s">
        <v>12353</v>
      </c>
      <c r="B1449" s="999" t="s">
        <v>1928</v>
      </c>
      <c r="C1449" s="1000" t="s">
        <v>1219</v>
      </c>
      <c r="D1449" s="1000" t="s">
        <v>12354</v>
      </c>
      <c r="E1449" s="1007">
        <v>3600</v>
      </c>
      <c r="F1449" s="508" t="s">
        <v>12317</v>
      </c>
      <c r="G1449" s="508" t="s">
        <v>1691</v>
      </c>
      <c r="H1449" s="1005">
        <v>43636</v>
      </c>
      <c r="I1449" s="1002">
        <v>43641</v>
      </c>
      <c r="J1449" s="1199"/>
    </row>
    <row r="1450" spans="1:10" s="81" customFormat="1" ht="39.950000000000003" customHeight="1" x14ac:dyDescent="0.2">
      <c r="A1450" s="1189" t="s">
        <v>12355</v>
      </c>
      <c r="B1450" s="999" t="s">
        <v>1928</v>
      </c>
      <c r="C1450" s="1000" t="s">
        <v>1219</v>
      </c>
      <c r="D1450" s="1000" t="s">
        <v>12356</v>
      </c>
      <c r="E1450" s="1007">
        <v>1692.1</v>
      </c>
      <c r="F1450" s="508" t="s">
        <v>12226</v>
      </c>
      <c r="G1450" s="508" t="s">
        <v>1691</v>
      </c>
      <c r="H1450" s="1005">
        <v>43644</v>
      </c>
      <c r="I1450" s="1002">
        <v>43644</v>
      </c>
      <c r="J1450" s="1199"/>
    </row>
    <row r="1451" spans="1:10" s="81" customFormat="1" ht="39.950000000000003" customHeight="1" x14ac:dyDescent="0.2">
      <c r="A1451" s="1189" t="s">
        <v>12357</v>
      </c>
      <c r="B1451" s="999" t="s">
        <v>1928</v>
      </c>
      <c r="C1451" s="1000" t="s">
        <v>1219</v>
      </c>
      <c r="D1451" s="1000" t="s">
        <v>12358</v>
      </c>
      <c r="E1451" s="1007">
        <v>11322.7</v>
      </c>
      <c r="F1451" s="508" t="s">
        <v>12226</v>
      </c>
      <c r="G1451" s="508" t="s">
        <v>1691</v>
      </c>
      <c r="H1451" s="1005">
        <v>43644</v>
      </c>
      <c r="I1451" s="1002">
        <v>43644</v>
      </c>
      <c r="J1451" s="1199"/>
    </row>
    <row r="1452" spans="1:10" s="81" customFormat="1" ht="39.950000000000003" customHeight="1" x14ac:dyDescent="0.2">
      <c r="A1452" s="1189" t="s">
        <v>12359</v>
      </c>
      <c r="B1452" s="999" t="s">
        <v>1928</v>
      </c>
      <c r="C1452" s="1000" t="s">
        <v>1219</v>
      </c>
      <c r="D1452" s="1000" t="s">
        <v>12360</v>
      </c>
      <c r="E1452" s="1007">
        <v>3965</v>
      </c>
      <c r="F1452" s="508" t="s">
        <v>12361</v>
      </c>
      <c r="G1452" s="508" t="s">
        <v>1691</v>
      </c>
      <c r="H1452" s="1005">
        <v>43654</v>
      </c>
      <c r="I1452" s="1002">
        <v>43659</v>
      </c>
      <c r="J1452" s="1199"/>
    </row>
    <row r="1453" spans="1:10" s="81" customFormat="1" ht="39.950000000000003" customHeight="1" x14ac:dyDescent="0.2">
      <c r="A1453" s="1189" t="s">
        <v>12362</v>
      </c>
      <c r="B1453" s="999" t="s">
        <v>1928</v>
      </c>
      <c r="C1453" s="1000" t="s">
        <v>1219</v>
      </c>
      <c r="D1453" s="1000" t="s">
        <v>12363</v>
      </c>
      <c r="E1453" s="1007">
        <v>594.24</v>
      </c>
      <c r="F1453" s="508" t="s">
        <v>12270</v>
      </c>
      <c r="G1453" s="508" t="s">
        <v>1691</v>
      </c>
      <c r="H1453" s="1005">
        <v>43654</v>
      </c>
      <c r="I1453" s="1002">
        <v>43659</v>
      </c>
      <c r="J1453" s="1199"/>
    </row>
    <row r="1454" spans="1:10" s="81" customFormat="1" ht="39.950000000000003" customHeight="1" x14ac:dyDescent="0.2">
      <c r="A1454" s="1189" t="s">
        <v>12364</v>
      </c>
      <c r="B1454" s="999" t="s">
        <v>1928</v>
      </c>
      <c r="C1454" s="1000" t="s">
        <v>1219</v>
      </c>
      <c r="D1454" s="1000" t="s">
        <v>12365</v>
      </c>
      <c r="E1454" s="1007">
        <v>1800</v>
      </c>
      <c r="F1454" s="508" t="s">
        <v>12254</v>
      </c>
      <c r="G1454" s="508" t="s">
        <v>1691</v>
      </c>
      <c r="H1454" s="1005">
        <v>43654</v>
      </c>
      <c r="I1454" s="1002">
        <v>43659</v>
      </c>
      <c r="J1454" s="1199"/>
    </row>
    <row r="1455" spans="1:10" s="81" customFormat="1" ht="39.950000000000003" customHeight="1" x14ac:dyDescent="0.2">
      <c r="A1455" s="1189" t="s">
        <v>12366</v>
      </c>
      <c r="B1455" s="999" t="s">
        <v>1928</v>
      </c>
      <c r="C1455" s="1000" t="s">
        <v>1219</v>
      </c>
      <c r="D1455" s="1000" t="s">
        <v>12367</v>
      </c>
      <c r="E1455" s="1007">
        <v>900</v>
      </c>
      <c r="F1455" s="508" t="s">
        <v>12268</v>
      </c>
      <c r="G1455" s="508" t="s">
        <v>1691</v>
      </c>
      <c r="H1455" s="1005">
        <v>43654</v>
      </c>
      <c r="I1455" s="1002">
        <v>43659</v>
      </c>
      <c r="J1455" s="1199"/>
    </row>
    <row r="1456" spans="1:10" s="81" customFormat="1" ht="39.950000000000003" customHeight="1" x14ac:dyDescent="0.2">
      <c r="A1456" s="1189" t="s">
        <v>12368</v>
      </c>
      <c r="B1456" s="999" t="s">
        <v>1928</v>
      </c>
      <c r="C1456" s="1000" t="s">
        <v>1219</v>
      </c>
      <c r="D1456" s="1000" t="s">
        <v>12369</v>
      </c>
      <c r="E1456" s="1007">
        <v>129.80000000000001</v>
      </c>
      <c r="F1456" s="508" t="s">
        <v>12226</v>
      </c>
      <c r="G1456" s="508" t="s">
        <v>1691</v>
      </c>
      <c r="H1456" s="1005">
        <v>43657</v>
      </c>
      <c r="I1456" s="1002">
        <v>43657</v>
      </c>
      <c r="J1456" s="1199"/>
    </row>
    <row r="1457" spans="1:10" s="81" customFormat="1" ht="39.950000000000003" customHeight="1" x14ac:dyDescent="0.2">
      <c r="A1457" s="1189" t="s">
        <v>12370</v>
      </c>
      <c r="B1457" s="999" t="s">
        <v>1928</v>
      </c>
      <c r="C1457" s="1000" t="s">
        <v>1219</v>
      </c>
      <c r="D1457" s="1000" t="s">
        <v>12371</v>
      </c>
      <c r="E1457" s="1007">
        <v>1000</v>
      </c>
      <c r="F1457" s="508" t="s">
        <v>12372</v>
      </c>
      <c r="G1457" s="508" t="s">
        <v>1691</v>
      </c>
      <c r="H1457" s="1005">
        <v>43657</v>
      </c>
      <c r="I1457" s="1002">
        <v>43662</v>
      </c>
      <c r="J1457" s="1199"/>
    </row>
    <row r="1458" spans="1:10" s="81" customFormat="1" ht="39.950000000000003" customHeight="1" x14ac:dyDescent="0.2">
      <c r="A1458" s="1189" t="s">
        <v>12373</v>
      </c>
      <c r="B1458" s="999" t="s">
        <v>1928</v>
      </c>
      <c r="C1458" s="1000" t="s">
        <v>1219</v>
      </c>
      <c r="D1458" s="1000" t="s">
        <v>12374</v>
      </c>
      <c r="E1458" s="1007">
        <v>650</v>
      </c>
      <c r="F1458" s="508" t="s">
        <v>12375</v>
      </c>
      <c r="G1458" s="508" t="s">
        <v>1691</v>
      </c>
      <c r="H1458" s="1005">
        <v>43658</v>
      </c>
      <c r="I1458" s="1002">
        <v>43663</v>
      </c>
      <c r="J1458" s="1199"/>
    </row>
    <row r="1459" spans="1:10" s="81" customFormat="1" ht="39.950000000000003" customHeight="1" x14ac:dyDescent="0.2">
      <c r="A1459" s="1189" t="s">
        <v>12376</v>
      </c>
      <c r="B1459" s="999" t="s">
        <v>1928</v>
      </c>
      <c r="C1459" s="1000" t="s">
        <v>1219</v>
      </c>
      <c r="D1459" s="1000" t="s">
        <v>12377</v>
      </c>
      <c r="E1459" s="1007">
        <v>80</v>
      </c>
      <c r="F1459" s="508" t="s">
        <v>12343</v>
      </c>
      <c r="G1459" s="508" t="s">
        <v>1691</v>
      </c>
      <c r="H1459" s="1005">
        <v>43664</v>
      </c>
      <c r="I1459" s="1002">
        <v>43669</v>
      </c>
      <c r="J1459" s="1199"/>
    </row>
    <row r="1460" spans="1:10" s="81" customFormat="1" ht="39.950000000000003" customHeight="1" x14ac:dyDescent="0.2">
      <c r="A1460" s="1189" t="s">
        <v>12378</v>
      </c>
      <c r="B1460" s="999" t="s">
        <v>1928</v>
      </c>
      <c r="C1460" s="1000" t="s">
        <v>1219</v>
      </c>
      <c r="D1460" s="1000" t="s">
        <v>12379</v>
      </c>
      <c r="E1460" s="1007">
        <v>582.9</v>
      </c>
      <c r="F1460" s="508" t="s">
        <v>12380</v>
      </c>
      <c r="G1460" s="508" t="s">
        <v>1691</v>
      </c>
      <c r="H1460" s="1005">
        <v>43671</v>
      </c>
      <c r="I1460" s="1002">
        <v>43676</v>
      </c>
      <c r="J1460" s="1199"/>
    </row>
    <row r="1461" spans="1:10" s="81" customFormat="1" ht="39.950000000000003" customHeight="1" x14ac:dyDescent="0.2">
      <c r="A1461" s="1189" t="s">
        <v>12381</v>
      </c>
      <c r="B1461" s="999" t="s">
        <v>1928</v>
      </c>
      <c r="C1461" s="1000" t="s">
        <v>1219</v>
      </c>
      <c r="D1461" s="1000" t="s">
        <v>12382</v>
      </c>
      <c r="E1461" s="1007">
        <v>702.63</v>
      </c>
      <c r="F1461" s="508" t="s">
        <v>12380</v>
      </c>
      <c r="G1461" s="508" t="s">
        <v>1691</v>
      </c>
      <c r="H1461" s="1005">
        <v>43671</v>
      </c>
      <c r="I1461" s="1002">
        <v>43676</v>
      </c>
      <c r="J1461" s="1199"/>
    </row>
    <row r="1462" spans="1:10" s="81" customFormat="1" ht="39.950000000000003" customHeight="1" x14ac:dyDescent="0.2">
      <c r="A1462" s="1189" t="s">
        <v>12383</v>
      </c>
      <c r="B1462" s="999" t="s">
        <v>1928</v>
      </c>
      <c r="C1462" s="1000" t="s">
        <v>1219</v>
      </c>
      <c r="D1462" s="1000" t="s">
        <v>12384</v>
      </c>
      <c r="E1462" s="1007">
        <v>716</v>
      </c>
      <c r="F1462" s="508" t="s">
        <v>12380</v>
      </c>
      <c r="G1462" s="508" t="s">
        <v>1691</v>
      </c>
      <c r="H1462" s="1005">
        <v>43671</v>
      </c>
      <c r="I1462" s="1002">
        <v>43676</v>
      </c>
      <c r="J1462" s="1199"/>
    </row>
    <row r="1463" spans="1:10" s="81" customFormat="1" ht="39.950000000000003" customHeight="1" x14ac:dyDescent="0.2">
      <c r="A1463" s="1189" t="s">
        <v>12385</v>
      </c>
      <c r="B1463" s="999" t="s">
        <v>1928</v>
      </c>
      <c r="C1463" s="1000" t="s">
        <v>1219</v>
      </c>
      <c r="D1463" s="1000" t="s">
        <v>12386</v>
      </c>
      <c r="E1463" s="1007">
        <v>6420.94</v>
      </c>
      <c r="F1463" s="508" t="s">
        <v>12270</v>
      </c>
      <c r="G1463" s="508" t="s">
        <v>1691</v>
      </c>
      <c r="H1463" s="1005">
        <v>43671</v>
      </c>
      <c r="I1463" s="1002">
        <v>43676</v>
      </c>
      <c r="J1463" s="1199"/>
    </row>
    <row r="1464" spans="1:10" s="81" customFormat="1" ht="39.950000000000003" customHeight="1" x14ac:dyDescent="0.2">
      <c r="A1464" s="1189" t="s">
        <v>12387</v>
      </c>
      <c r="B1464" s="999" t="s">
        <v>1928</v>
      </c>
      <c r="C1464" s="1000" t="s">
        <v>1219</v>
      </c>
      <c r="D1464" s="1000" t="s">
        <v>12388</v>
      </c>
      <c r="E1464" s="1007">
        <v>1606.2</v>
      </c>
      <c r="F1464" s="508" t="s">
        <v>12226</v>
      </c>
      <c r="G1464" s="508" t="s">
        <v>1691</v>
      </c>
      <c r="H1464" s="1005">
        <v>43683</v>
      </c>
      <c r="I1464" s="1002">
        <v>43683</v>
      </c>
      <c r="J1464" s="1199"/>
    </row>
    <row r="1465" spans="1:10" s="81" customFormat="1" ht="39.950000000000003" customHeight="1" x14ac:dyDescent="0.2">
      <c r="A1465" s="1189" t="s">
        <v>12389</v>
      </c>
      <c r="B1465" s="999" t="s">
        <v>1928</v>
      </c>
      <c r="C1465" s="1000" t="s">
        <v>1219</v>
      </c>
      <c r="D1465" s="1000" t="s">
        <v>12390</v>
      </c>
      <c r="E1465" s="1007">
        <v>11121.2</v>
      </c>
      <c r="F1465" s="508" t="s">
        <v>12226</v>
      </c>
      <c r="G1465" s="508" t="s">
        <v>1691</v>
      </c>
      <c r="H1465" s="1005">
        <v>43683</v>
      </c>
      <c r="I1465" s="1002">
        <v>43683</v>
      </c>
      <c r="J1465" s="1199"/>
    </row>
    <row r="1466" spans="1:10" s="81" customFormat="1" ht="39.950000000000003" customHeight="1" x14ac:dyDescent="0.2">
      <c r="A1466" s="1189" t="s">
        <v>12391</v>
      </c>
      <c r="B1466" s="999" t="s">
        <v>1928</v>
      </c>
      <c r="C1466" s="1000" t="s">
        <v>1219</v>
      </c>
      <c r="D1466" s="1000" t="s">
        <v>12392</v>
      </c>
      <c r="E1466" s="1007">
        <v>756</v>
      </c>
      <c r="F1466" s="508" t="s">
        <v>12393</v>
      </c>
      <c r="G1466" s="508" t="s">
        <v>1691</v>
      </c>
      <c r="H1466" s="1005">
        <v>43690</v>
      </c>
      <c r="I1466" s="1002">
        <v>43695</v>
      </c>
      <c r="J1466" s="1199"/>
    </row>
    <row r="1467" spans="1:10" s="81" customFormat="1" ht="39.950000000000003" customHeight="1" x14ac:dyDescent="0.2">
      <c r="A1467" s="1189" t="s">
        <v>12394</v>
      </c>
      <c r="B1467" s="999" t="s">
        <v>1928</v>
      </c>
      <c r="C1467" s="1000" t="s">
        <v>1219</v>
      </c>
      <c r="D1467" s="1000" t="s">
        <v>12395</v>
      </c>
      <c r="E1467" s="1007">
        <v>2600</v>
      </c>
      <c r="F1467" s="508" t="s">
        <v>12396</v>
      </c>
      <c r="G1467" s="508" t="s">
        <v>1691</v>
      </c>
      <c r="H1467" s="1005">
        <v>43690</v>
      </c>
      <c r="I1467" s="1002">
        <v>43695</v>
      </c>
      <c r="J1467" s="1199"/>
    </row>
    <row r="1468" spans="1:10" s="81" customFormat="1" ht="39.950000000000003" customHeight="1" x14ac:dyDescent="0.2">
      <c r="A1468" s="1189" t="s">
        <v>12397</v>
      </c>
      <c r="B1468" s="999" t="s">
        <v>1928</v>
      </c>
      <c r="C1468" s="1000" t="s">
        <v>1219</v>
      </c>
      <c r="D1468" s="1000" t="s">
        <v>12398</v>
      </c>
      <c r="E1468" s="1007">
        <v>1800</v>
      </c>
      <c r="F1468" s="508" t="s">
        <v>12254</v>
      </c>
      <c r="G1468" s="508" t="s">
        <v>1691</v>
      </c>
      <c r="H1468" s="1005">
        <v>43691</v>
      </c>
      <c r="I1468" s="1002">
        <v>43696</v>
      </c>
      <c r="J1468" s="1199"/>
    </row>
    <row r="1469" spans="1:10" s="81" customFormat="1" ht="39.950000000000003" customHeight="1" x14ac:dyDescent="0.2">
      <c r="A1469" s="1189" t="s">
        <v>12399</v>
      </c>
      <c r="B1469" s="999" t="s">
        <v>1928</v>
      </c>
      <c r="C1469" s="1000" t="s">
        <v>1219</v>
      </c>
      <c r="D1469" s="1000" t="s">
        <v>12400</v>
      </c>
      <c r="E1469" s="1007">
        <v>900</v>
      </c>
      <c r="F1469" s="508" t="s">
        <v>12268</v>
      </c>
      <c r="G1469" s="508" t="s">
        <v>1691</v>
      </c>
      <c r="H1469" s="1005">
        <v>43691</v>
      </c>
      <c r="I1469" s="1002">
        <v>43696</v>
      </c>
      <c r="J1469" s="1199"/>
    </row>
    <row r="1470" spans="1:10" s="81" customFormat="1" ht="39.950000000000003" customHeight="1" x14ac:dyDescent="0.2">
      <c r="A1470" s="1189" t="s">
        <v>12401</v>
      </c>
      <c r="B1470" s="999" t="s">
        <v>1928</v>
      </c>
      <c r="C1470" s="1000" t="s">
        <v>1219</v>
      </c>
      <c r="D1470" s="1000" t="s">
        <v>12402</v>
      </c>
      <c r="E1470" s="1007">
        <v>19953</v>
      </c>
      <c r="F1470" s="508" t="s">
        <v>12361</v>
      </c>
      <c r="G1470" s="508" t="s">
        <v>1691</v>
      </c>
      <c r="H1470" s="1005">
        <v>43691</v>
      </c>
      <c r="I1470" s="1002">
        <v>43696</v>
      </c>
      <c r="J1470" s="1199"/>
    </row>
    <row r="1471" spans="1:10" s="81" customFormat="1" ht="39.950000000000003" customHeight="1" x14ac:dyDescent="0.2">
      <c r="A1471" s="1189" t="s">
        <v>12403</v>
      </c>
      <c r="B1471" s="999" t="s">
        <v>1928</v>
      </c>
      <c r="C1471" s="1000" t="s">
        <v>1219</v>
      </c>
      <c r="D1471" s="1000" t="s">
        <v>12404</v>
      </c>
      <c r="E1471" s="1007">
        <v>155.19999999999999</v>
      </c>
      <c r="F1471" s="508" t="s">
        <v>12226</v>
      </c>
      <c r="G1471" s="508" t="s">
        <v>1691</v>
      </c>
      <c r="H1471" s="1005">
        <v>43691</v>
      </c>
      <c r="I1471" s="1002">
        <v>43691</v>
      </c>
      <c r="J1471" s="1199"/>
    </row>
    <row r="1472" spans="1:10" s="81" customFormat="1" ht="39.950000000000003" customHeight="1" x14ac:dyDescent="0.2">
      <c r="A1472" s="1189" t="s">
        <v>12405</v>
      </c>
      <c r="B1472" s="999" t="s">
        <v>1928</v>
      </c>
      <c r="C1472" s="1000" t="s">
        <v>12246</v>
      </c>
      <c r="D1472" s="1000" t="s">
        <v>12406</v>
      </c>
      <c r="E1472" s="1007">
        <v>3000</v>
      </c>
      <c r="F1472" s="508" t="s">
        <v>12310</v>
      </c>
      <c r="G1472" s="508" t="s">
        <v>1691</v>
      </c>
      <c r="H1472" s="1005">
        <v>43691</v>
      </c>
      <c r="I1472" s="1002">
        <v>43696</v>
      </c>
      <c r="J1472" s="1199"/>
    </row>
    <row r="1473" spans="1:10" s="81" customFormat="1" ht="39.950000000000003" customHeight="1" x14ac:dyDescent="0.2">
      <c r="A1473" s="1189" t="s">
        <v>12407</v>
      </c>
      <c r="B1473" s="999" t="s">
        <v>1928</v>
      </c>
      <c r="C1473" s="1000" t="s">
        <v>1219</v>
      </c>
      <c r="D1473" s="1000" t="s">
        <v>12408</v>
      </c>
      <c r="E1473" s="1007">
        <v>2600</v>
      </c>
      <c r="F1473" s="508" t="s">
        <v>12409</v>
      </c>
      <c r="G1473" s="508" t="s">
        <v>1691</v>
      </c>
      <c r="H1473" s="1005">
        <v>43704</v>
      </c>
      <c r="I1473" s="1002">
        <v>43709</v>
      </c>
      <c r="J1473" s="1199"/>
    </row>
    <row r="1474" spans="1:10" s="81" customFormat="1" ht="39.950000000000003" customHeight="1" x14ac:dyDescent="0.2">
      <c r="A1474" s="1189" t="s">
        <v>12410</v>
      </c>
      <c r="B1474" s="999" t="s">
        <v>1928</v>
      </c>
      <c r="C1474" s="1000" t="s">
        <v>1219</v>
      </c>
      <c r="D1474" s="1000" t="s">
        <v>12411</v>
      </c>
      <c r="E1474" s="1007">
        <v>700</v>
      </c>
      <c r="F1474" s="508" t="s">
        <v>12412</v>
      </c>
      <c r="G1474" s="508" t="s">
        <v>1691</v>
      </c>
      <c r="H1474" s="1005">
        <v>43704</v>
      </c>
      <c r="I1474" s="1002">
        <v>43709</v>
      </c>
      <c r="J1474" s="1199"/>
    </row>
    <row r="1475" spans="1:10" s="81" customFormat="1" ht="39.950000000000003" customHeight="1" x14ac:dyDescent="0.2">
      <c r="A1475" s="1189" t="s">
        <v>12413</v>
      </c>
      <c r="B1475" s="999" t="s">
        <v>1928</v>
      </c>
      <c r="C1475" s="1000" t="s">
        <v>1219</v>
      </c>
      <c r="D1475" s="1000" t="s">
        <v>12414</v>
      </c>
      <c r="E1475" s="1007">
        <v>5950.84</v>
      </c>
      <c r="F1475" s="508" t="s">
        <v>12270</v>
      </c>
      <c r="G1475" s="508" t="s">
        <v>1691</v>
      </c>
      <c r="H1475" s="1005">
        <v>43705</v>
      </c>
      <c r="I1475" s="1002">
        <v>43710</v>
      </c>
      <c r="J1475" s="1199"/>
    </row>
    <row r="1476" spans="1:10" s="81" customFormat="1" ht="39.950000000000003" customHeight="1" x14ac:dyDescent="0.2">
      <c r="A1476" s="1189" t="s">
        <v>12415</v>
      </c>
      <c r="B1476" s="999" t="s">
        <v>1928</v>
      </c>
      <c r="C1476" s="1000" t="s">
        <v>1219</v>
      </c>
      <c r="D1476" s="1000" t="s">
        <v>12416</v>
      </c>
      <c r="E1476" s="1007">
        <v>900</v>
      </c>
      <c r="F1476" s="508" t="s">
        <v>12268</v>
      </c>
      <c r="G1476" s="508" t="s">
        <v>1691</v>
      </c>
      <c r="H1476" s="1005">
        <v>43711</v>
      </c>
      <c r="I1476" s="1002">
        <v>43716</v>
      </c>
      <c r="J1476" s="1199"/>
    </row>
    <row r="1477" spans="1:10" s="81" customFormat="1" ht="39.950000000000003" customHeight="1" x14ac:dyDescent="0.2">
      <c r="A1477" s="1189" t="s">
        <v>12417</v>
      </c>
      <c r="B1477" s="999" t="s">
        <v>1928</v>
      </c>
      <c r="C1477" s="1000" t="s">
        <v>1219</v>
      </c>
      <c r="D1477" s="1000" t="s">
        <v>12418</v>
      </c>
      <c r="E1477" s="1007">
        <v>1800</v>
      </c>
      <c r="F1477" s="508" t="s">
        <v>12254</v>
      </c>
      <c r="G1477" s="508" t="s">
        <v>1691</v>
      </c>
      <c r="H1477" s="1005">
        <v>43711</v>
      </c>
      <c r="I1477" s="1002">
        <v>43716</v>
      </c>
      <c r="J1477" s="1199"/>
    </row>
    <row r="1478" spans="1:10" s="81" customFormat="1" ht="39.950000000000003" customHeight="1" x14ac:dyDescent="0.2">
      <c r="A1478" s="1189" t="s">
        <v>12419</v>
      </c>
      <c r="B1478" s="999" t="s">
        <v>1928</v>
      </c>
      <c r="C1478" s="1000" t="s">
        <v>1219</v>
      </c>
      <c r="D1478" s="1000" t="s">
        <v>12420</v>
      </c>
      <c r="E1478" s="1007">
        <v>80</v>
      </c>
      <c r="F1478" s="508" t="s">
        <v>12343</v>
      </c>
      <c r="G1478" s="508" t="s">
        <v>1691</v>
      </c>
      <c r="H1478" s="1005">
        <v>43713</v>
      </c>
      <c r="I1478" s="1002">
        <v>43718</v>
      </c>
      <c r="J1478" s="1199"/>
    </row>
    <row r="1479" spans="1:10" s="81" customFormat="1" ht="39.950000000000003" customHeight="1" x14ac:dyDescent="0.2">
      <c r="A1479" s="1189" t="s">
        <v>12421</v>
      </c>
      <c r="B1479" s="999" t="s">
        <v>1928</v>
      </c>
      <c r="C1479" s="1000" t="s">
        <v>1219</v>
      </c>
      <c r="D1479" s="1000" t="s">
        <v>12422</v>
      </c>
      <c r="E1479" s="1007">
        <v>1630.5</v>
      </c>
      <c r="F1479" s="508" t="s">
        <v>12226</v>
      </c>
      <c r="G1479" s="508" t="s">
        <v>1691</v>
      </c>
      <c r="H1479" s="1005">
        <v>43714</v>
      </c>
      <c r="I1479" s="1002">
        <v>43714</v>
      </c>
      <c r="J1479" s="1199"/>
    </row>
    <row r="1480" spans="1:10" s="81" customFormat="1" ht="39.950000000000003" customHeight="1" x14ac:dyDescent="0.2">
      <c r="A1480" s="1189" t="s">
        <v>12423</v>
      </c>
      <c r="B1480" s="999" t="s">
        <v>1928</v>
      </c>
      <c r="C1480" s="1000" t="s">
        <v>1219</v>
      </c>
      <c r="D1480" s="1000" t="s">
        <v>12424</v>
      </c>
      <c r="E1480" s="1007">
        <v>11445.4</v>
      </c>
      <c r="F1480" s="508" t="s">
        <v>12226</v>
      </c>
      <c r="G1480" s="508" t="s">
        <v>1691</v>
      </c>
      <c r="H1480" s="1005">
        <v>43714</v>
      </c>
      <c r="I1480" s="1002">
        <v>43714</v>
      </c>
      <c r="J1480" s="1199"/>
    </row>
    <row r="1481" spans="1:10" s="81" customFormat="1" ht="39.950000000000003" customHeight="1" x14ac:dyDescent="0.2">
      <c r="A1481" s="1189" t="s">
        <v>12425</v>
      </c>
      <c r="B1481" s="999" t="s">
        <v>1928</v>
      </c>
      <c r="C1481" s="1000" t="s">
        <v>1219</v>
      </c>
      <c r="D1481" s="1000" t="s">
        <v>12426</v>
      </c>
      <c r="E1481" s="1007">
        <v>2600</v>
      </c>
      <c r="F1481" s="508" t="s">
        <v>12396</v>
      </c>
      <c r="G1481" s="508" t="s">
        <v>1691</v>
      </c>
      <c r="H1481" s="1005">
        <v>43719</v>
      </c>
      <c r="I1481" s="1002">
        <v>43724</v>
      </c>
      <c r="J1481" s="1199"/>
    </row>
    <row r="1482" spans="1:10" s="81" customFormat="1" ht="39.950000000000003" customHeight="1" x14ac:dyDescent="0.2">
      <c r="A1482" s="1189" t="s">
        <v>12427</v>
      </c>
      <c r="B1482" s="999" t="s">
        <v>1928</v>
      </c>
      <c r="C1482" s="1000" t="s">
        <v>1219</v>
      </c>
      <c r="D1482" s="1000" t="s">
        <v>12428</v>
      </c>
      <c r="E1482" s="1007">
        <v>2082.5</v>
      </c>
      <c r="F1482" s="508" t="s">
        <v>12375</v>
      </c>
      <c r="G1482" s="508" t="s">
        <v>1691</v>
      </c>
      <c r="H1482" s="1005">
        <v>43720</v>
      </c>
      <c r="I1482" s="1002">
        <v>43725</v>
      </c>
      <c r="J1482" s="1199"/>
    </row>
    <row r="1483" spans="1:10" s="81" customFormat="1" ht="39.950000000000003" customHeight="1" x14ac:dyDescent="0.2">
      <c r="A1483" s="1189" t="s">
        <v>12429</v>
      </c>
      <c r="B1483" s="999" t="s">
        <v>1928</v>
      </c>
      <c r="C1483" s="1000" t="s">
        <v>1219</v>
      </c>
      <c r="D1483" s="1000" t="s">
        <v>12430</v>
      </c>
      <c r="E1483" s="1007">
        <v>200</v>
      </c>
      <c r="F1483" s="508" t="s">
        <v>12307</v>
      </c>
      <c r="G1483" s="508" t="s">
        <v>1691</v>
      </c>
      <c r="H1483" s="1005">
        <v>43727</v>
      </c>
      <c r="I1483" s="1002">
        <v>43732</v>
      </c>
      <c r="J1483" s="1199"/>
    </row>
    <row r="1484" spans="1:10" s="81" customFormat="1" ht="39.950000000000003" customHeight="1" x14ac:dyDescent="0.2">
      <c r="A1484" s="1189" t="s">
        <v>12431</v>
      </c>
      <c r="B1484" s="999" t="s">
        <v>1928</v>
      </c>
      <c r="C1484" s="1000" t="s">
        <v>1219</v>
      </c>
      <c r="D1484" s="1000" t="s">
        <v>12432</v>
      </c>
      <c r="E1484" s="1007">
        <v>2920</v>
      </c>
      <c r="F1484" s="508" t="s">
        <v>12317</v>
      </c>
      <c r="G1484" s="508" t="s">
        <v>1691</v>
      </c>
      <c r="H1484" s="1005">
        <v>43728</v>
      </c>
      <c r="I1484" s="1002">
        <v>43733</v>
      </c>
      <c r="J1484" s="1199"/>
    </row>
    <row r="1485" spans="1:10" s="81" customFormat="1" ht="39.950000000000003" customHeight="1" x14ac:dyDescent="0.2">
      <c r="A1485" s="1189" t="s">
        <v>12433</v>
      </c>
      <c r="B1485" s="999" t="s">
        <v>1928</v>
      </c>
      <c r="C1485" s="1000" t="s">
        <v>1219</v>
      </c>
      <c r="D1485" s="1000" t="s">
        <v>12434</v>
      </c>
      <c r="E1485" s="1007">
        <v>1247.4000000000001</v>
      </c>
      <c r="F1485" s="508" t="s">
        <v>12380</v>
      </c>
      <c r="G1485" s="508" t="s">
        <v>1691</v>
      </c>
      <c r="H1485" s="1005">
        <v>43728</v>
      </c>
      <c r="I1485" s="1002">
        <v>43733</v>
      </c>
      <c r="J1485" s="1199"/>
    </row>
    <row r="1486" spans="1:10" s="81" customFormat="1" ht="39.950000000000003" customHeight="1" x14ac:dyDescent="0.2">
      <c r="A1486" s="1189" t="s">
        <v>12435</v>
      </c>
      <c r="B1486" s="999" t="s">
        <v>1928</v>
      </c>
      <c r="C1486" s="1000" t="s">
        <v>1219</v>
      </c>
      <c r="D1486" s="1000" t="s">
        <v>12436</v>
      </c>
      <c r="E1486" s="1007">
        <v>700</v>
      </c>
      <c r="F1486" s="508" t="s">
        <v>12412</v>
      </c>
      <c r="G1486" s="508" t="s">
        <v>1691</v>
      </c>
      <c r="H1486" s="1005">
        <v>43738</v>
      </c>
      <c r="I1486" s="1002">
        <v>43743</v>
      </c>
      <c r="J1486" s="1199"/>
    </row>
    <row r="1487" spans="1:10" s="81" customFormat="1" ht="39.950000000000003" customHeight="1" x14ac:dyDescent="0.2">
      <c r="A1487" s="1189" t="s">
        <v>12437</v>
      </c>
      <c r="B1487" s="999" t="s">
        <v>1928</v>
      </c>
      <c r="C1487" s="1000" t="s">
        <v>1219</v>
      </c>
      <c r="D1487" s="1000" t="s">
        <v>12438</v>
      </c>
      <c r="E1487" s="1007">
        <v>3760</v>
      </c>
      <c r="F1487" s="508" t="s">
        <v>12439</v>
      </c>
      <c r="G1487" s="508" t="s">
        <v>1691</v>
      </c>
      <c r="H1487" s="1005">
        <v>43739</v>
      </c>
      <c r="I1487" s="1002">
        <v>43744</v>
      </c>
      <c r="J1487" s="1199"/>
    </row>
    <row r="1488" spans="1:10" s="81" customFormat="1" ht="39.950000000000003" customHeight="1" x14ac:dyDescent="0.2">
      <c r="A1488" s="1189" t="s">
        <v>12440</v>
      </c>
      <c r="B1488" s="999" t="s">
        <v>1928</v>
      </c>
      <c r="C1488" s="1000" t="s">
        <v>1219</v>
      </c>
      <c r="D1488" s="1000" t="s">
        <v>12441</v>
      </c>
      <c r="E1488" s="1007">
        <v>310</v>
      </c>
      <c r="F1488" s="508" t="s">
        <v>12442</v>
      </c>
      <c r="G1488" s="508" t="s">
        <v>1691</v>
      </c>
      <c r="H1488" s="1005">
        <v>43739</v>
      </c>
      <c r="I1488" s="1002">
        <v>43744</v>
      </c>
      <c r="J1488" s="1199"/>
    </row>
    <row r="1489" spans="1:10" s="81" customFormat="1" ht="39.950000000000003" customHeight="1" x14ac:dyDescent="0.2">
      <c r="A1489" s="1189" t="s">
        <v>12443</v>
      </c>
      <c r="B1489" s="999" t="s">
        <v>1928</v>
      </c>
      <c r="C1489" s="1000" t="s">
        <v>1219</v>
      </c>
      <c r="D1489" s="1000" t="s">
        <v>12444</v>
      </c>
      <c r="E1489" s="1007">
        <v>1796.9</v>
      </c>
      <c r="F1489" s="508" t="s">
        <v>12226</v>
      </c>
      <c r="G1489" s="508" t="s">
        <v>1691</v>
      </c>
      <c r="H1489" s="1005">
        <v>43741</v>
      </c>
      <c r="I1489" s="1002">
        <v>43741</v>
      </c>
      <c r="J1489" s="1199"/>
    </row>
    <row r="1490" spans="1:10" s="81" customFormat="1" ht="39.950000000000003" customHeight="1" x14ac:dyDescent="0.2">
      <c r="A1490" s="1189" t="s">
        <v>12445</v>
      </c>
      <c r="B1490" s="999" t="s">
        <v>1928</v>
      </c>
      <c r="C1490" s="1000" t="s">
        <v>1219</v>
      </c>
      <c r="D1490" s="1000" t="s">
        <v>12446</v>
      </c>
      <c r="E1490" s="1007">
        <v>12315</v>
      </c>
      <c r="F1490" s="508" t="s">
        <v>12226</v>
      </c>
      <c r="G1490" s="508" t="s">
        <v>1691</v>
      </c>
      <c r="H1490" s="1005">
        <v>43741</v>
      </c>
      <c r="I1490" s="1002">
        <v>43741</v>
      </c>
      <c r="J1490" s="1199"/>
    </row>
    <row r="1491" spans="1:10" s="81" customFormat="1" ht="39.950000000000003" customHeight="1" x14ac:dyDescent="0.2">
      <c r="A1491" s="1189" t="s">
        <v>12447</v>
      </c>
      <c r="B1491" s="999" t="s">
        <v>1928</v>
      </c>
      <c r="C1491" s="1000" t="s">
        <v>1219</v>
      </c>
      <c r="D1491" s="1000" t="s">
        <v>12448</v>
      </c>
      <c r="E1491" s="1007">
        <v>80</v>
      </c>
      <c r="F1491" s="508" t="s">
        <v>12343</v>
      </c>
      <c r="G1491" s="508" t="s">
        <v>1691</v>
      </c>
      <c r="H1491" s="1005">
        <v>43741</v>
      </c>
      <c r="I1491" s="1002">
        <v>43746</v>
      </c>
      <c r="J1491" s="1199"/>
    </row>
    <row r="1492" spans="1:10" s="81" customFormat="1" ht="39.950000000000003" customHeight="1" x14ac:dyDescent="0.2">
      <c r="A1492" s="1189" t="s">
        <v>12449</v>
      </c>
      <c r="B1492" s="999" t="s">
        <v>1928</v>
      </c>
      <c r="C1492" s="1000" t="s">
        <v>1219</v>
      </c>
      <c r="D1492" s="1000" t="s">
        <v>12450</v>
      </c>
      <c r="E1492" s="1007">
        <v>1800</v>
      </c>
      <c r="F1492" s="508" t="s">
        <v>12254</v>
      </c>
      <c r="G1492" s="508" t="s">
        <v>1691</v>
      </c>
      <c r="H1492" s="1005">
        <v>43747</v>
      </c>
      <c r="I1492" s="1002">
        <v>43752</v>
      </c>
      <c r="J1492" s="1199"/>
    </row>
    <row r="1493" spans="1:10" s="81" customFormat="1" ht="39.950000000000003" customHeight="1" x14ac:dyDescent="0.2">
      <c r="A1493" s="1189" t="s">
        <v>12451</v>
      </c>
      <c r="B1493" s="999" t="s">
        <v>1928</v>
      </c>
      <c r="C1493" s="1000" t="s">
        <v>1219</v>
      </c>
      <c r="D1493" s="1000" t="s">
        <v>12452</v>
      </c>
      <c r="E1493" s="1007">
        <v>900</v>
      </c>
      <c r="F1493" s="508" t="s">
        <v>12268</v>
      </c>
      <c r="G1493" s="508" t="s">
        <v>1691</v>
      </c>
      <c r="H1493" s="1005">
        <v>43747</v>
      </c>
      <c r="I1493" s="1002">
        <v>43752</v>
      </c>
      <c r="J1493" s="1199"/>
    </row>
    <row r="1494" spans="1:10" s="81" customFormat="1" ht="39.950000000000003" customHeight="1" x14ac:dyDescent="0.2">
      <c r="A1494" s="1189" t="s">
        <v>12453</v>
      </c>
      <c r="B1494" s="999" t="s">
        <v>1928</v>
      </c>
      <c r="C1494" s="1000" t="s">
        <v>1219</v>
      </c>
      <c r="D1494" s="1000" t="s">
        <v>12454</v>
      </c>
      <c r="E1494" s="1007">
        <v>1200</v>
      </c>
      <c r="F1494" s="508" t="s">
        <v>12455</v>
      </c>
      <c r="G1494" s="508" t="s">
        <v>1691</v>
      </c>
      <c r="H1494" s="1005">
        <v>43749</v>
      </c>
      <c r="I1494" s="1002">
        <v>43754</v>
      </c>
      <c r="J1494" s="1199"/>
    </row>
    <row r="1495" spans="1:10" s="81" customFormat="1" ht="39.950000000000003" customHeight="1" x14ac:dyDescent="0.2">
      <c r="A1495" s="1189" t="s">
        <v>12456</v>
      </c>
      <c r="B1495" s="999" t="s">
        <v>1928</v>
      </c>
      <c r="C1495" s="1000" t="s">
        <v>1219</v>
      </c>
      <c r="D1495" s="1000" t="s">
        <v>12457</v>
      </c>
      <c r="E1495" s="1007">
        <v>165.3</v>
      </c>
      <c r="F1495" s="508" t="s">
        <v>12226</v>
      </c>
      <c r="G1495" s="508" t="s">
        <v>1691</v>
      </c>
      <c r="H1495" s="1005">
        <v>43752</v>
      </c>
      <c r="I1495" s="1002">
        <v>43752</v>
      </c>
      <c r="J1495" s="1199"/>
    </row>
    <row r="1496" spans="1:10" s="81" customFormat="1" ht="39.950000000000003" customHeight="1" x14ac:dyDescent="0.2">
      <c r="A1496" s="1189" t="s">
        <v>12458</v>
      </c>
      <c r="B1496" s="999" t="s">
        <v>1928</v>
      </c>
      <c r="C1496" s="1000" t="s">
        <v>1219</v>
      </c>
      <c r="D1496" s="1000" t="s">
        <v>12459</v>
      </c>
      <c r="E1496" s="1007">
        <v>918</v>
      </c>
      <c r="F1496" s="508" t="s">
        <v>12380</v>
      </c>
      <c r="G1496" s="508" t="s">
        <v>1691</v>
      </c>
      <c r="H1496" s="1005">
        <v>43752</v>
      </c>
      <c r="I1496" s="1002">
        <v>43757</v>
      </c>
      <c r="J1496" s="1199"/>
    </row>
    <row r="1497" spans="1:10" s="81" customFormat="1" ht="39.950000000000003" customHeight="1" x14ac:dyDescent="0.2">
      <c r="A1497" s="1189" t="s">
        <v>12394</v>
      </c>
      <c r="B1497" s="999" t="s">
        <v>1928</v>
      </c>
      <c r="C1497" s="1000" t="s">
        <v>1219</v>
      </c>
      <c r="D1497" s="1000" t="s">
        <v>12460</v>
      </c>
      <c r="E1497" s="1007">
        <v>2600</v>
      </c>
      <c r="F1497" s="508" t="s">
        <v>12396</v>
      </c>
      <c r="G1497" s="508" t="s">
        <v>1691</v>
      </c>
      <c r="H1497" s="1005">
        <v>43752</v>
      </c>
      <c r="I1497" s="1002">
        <v>43757</v>
      </c>
      <c r="J1497" s="1199"/>
    </row>
    <row r="1498" spans="1:10" s="81" customFormat="1" ht="39.950000000000003" customHeight="1" x14ac:dyDescent="0.2">
      <c r="A1498" s="1189" t="s">
        <v>12461</v>
      </c>
      <c r="B1498" s="999" t="s">
        <v>1928</v>
      </c>
      <c r="C1498" s="1000" t="s">
        <v>1219</v>
      </c>
      <c r="D1498" s="1000" t="s">
        <v>12462</v>
      </c>
      <c r="E1498" s="1007">
        <v>1200</v>
      </c>
      <c r="F1498" s="508" t="s">
        <v>12317</v>
      </c>
      <c r="G1498" s="508" t="s">
        <v>1691</v>
      </c>
      <c r="H1498" s="1005">
        <v>43752</v>
      </c>
      <c r="I1498" s="1002">
        <v>43757</v>
      </c>
      <c r="J1498" s="1199"/>
    </row>
    <row r="1499" spans="1:10" s="81" customFormat="1" ht="39.950000000000003" customHeight="1" x14ac:dyDescent="0.2">
      <c r="A1499" s="1189" t="s">
        <v>12463</v>
      </c>
      <c r="B1499" s="999" t="s">
        <v>1928</v>
      </c>
      <c r="C1499" s="1000" t="s">
        <v>1219</v>
      </c>
      <c r="D1499" s="1000" t="s">
        <v>12464</v>
      </c>
      <c r="E1499" s="1007">
        <v>2600</v>
      </c>
      <c r="F1499" s="508" t="s">
        <v>12409</v>
      </c>
      <c r="G1499" s="508" t="s">
        <v>1691</v>
      </c>
      <c r="H1499" s="1005">
        <v>43754</v>
      </c>
      <c r="I1499" s="1002">
        <v>43759</v>
      </c>
      <c r="J1499" s="1199"/>
    </row>
    <row r="1500" spans="1:10" s="81" customFormat="1" ht="39.950000000000003" customHeight="1" x14ac:dyDescent="0.2">
      <c r="A1500" s="1189" t="s">
        <v>12465</v>
      </c>
      <c r="B1500" s="999" t="s">
        <v>1928</v>
      </c>
      <c r="C1500" s="1000" t="s">
        <v>1219</v>
      </c>
      <c r="D1500" s="1000" t="s">
        <v>12466</v>
      </c>
      <c r="E1500" s="1007">
        <v>2985.2</v>
      </c>
      <c r="F1500" s="508" t="s">
        <v>12380</v>
      </c>
      <c r="G1500" s="508" t="s">
        <v>1691</v>
      </c>
      <c r="H1500" s="1005">
        <v>43760</v>
      </c>
      <c r="I1500" s="1002">
        <v>43765</v>
      </c>
      <c r="J1500" s="1199"/>
    </row>
    <row r="1501" spans="1:10" s="81" customFormat="1" ht="39.950000000000003" customHeight="1" x14ac:dyDescent="0.2">
      <c r="A1501" s="1189" t="s">
        <v>12467</v>
      </c>
      <c r="B1501" s="999" t="s">
        <v>1928</v>
      </c>
      <c r="C1501" s="1000" t="s">
        <v>1219</v>
      </c>
      <c r="D1501" s="1000" t="s">
        <v>12468</v>
      </c>
      <c r="E1501" s="1007">
        <v>75</v>
      </c>
      <c r="F1501" s="508" t="s">
        <v>12375</v>
      </c>
      <c r="G1501" s="508" t="s">
        <v>1691</v>
      </c>
      <c r="H1501" s="1005">
        <v>43760</v>
      </c>
      <c r="I1501" s="1002">
        <v>43765</v>
      </c>
      <c r="J1501" s="1199"/>
    </row>
    <row r="1502" spans="1:10" s="81" customFormat="1" ht="39.950000000000003" customHeight="1" x14ac:dyDescent="0.2">
      <c r="A1502" s="1189" t="s">
        <v>12469</v>
      </c>
      <c r="B1502" s="999" t="s">
        <v>1928</v>
      </c>
      <c r="C1502" s="1000" t="s">
        <v>1219</v>
      </c>
      <c r="D1502" s="1000" t="s">
        <v>12470</v>
      </c>
      <c r="E1502" s="1007">
        <v>12506.74</v>
      </c>
      <c r="F1502" s="508" t="s">
        <v>12304</v>
      </c>
      <c r="G1502" s="508" t="s">
        <v>1691</v>
      </c>
      <c r="H1502" s="1005">
        <v>43760</v>
      </c>
      <c r="I1502" s="1002">
        <v>43765</v>
      </c>
      <c r="J1502" s="1199"/>
    </row>
    <row r="1503" spans="1:10" s="81" customFormat="1" ht="39.950000000000003" customHeight="1" x14ac:dyDescent="0.2">
      <c r="A1503" s="1189" t="s">
        <v>12471</v>
      </c>
      <c r="B1503" s="999" t="s">
        <v>1928</v>
      </c>
      <c r="C1503" s="1000" t="s">
        <v>1219</v>
      </c>
      <c r="D1503" s="1000" t="s">
        <v>12472</v>
      </c>
      <c r="E1503" s="1007">
        <v>260</v>
      </c>
      <c r="F1503" s="508" t="s">
        <v>12270</v>
      </c>
      <c r="G1503" s="508" t="s">
        <v>1691</v>
      </c>
      <c r="H1503" s="1005">
        <v>43762</v>
      </c>
      <c r="I1503" s="1002">
        <v>43767</v>
      </c>
      <c r="J1503" s="1199"/>
    </row>
    <row r="1504" spans="1:10" s="81" customFormat="1" ht="39.950000000000003" customHeight="1" x14ac:dyDescent="0.2">
      <c r="A1504" s="1189" t="s">
        <v>12473</v>
      </c>
      <c r="B1504" s="999" t="s">
        <v>1928</v>
      </c>
      <c r="C1504" s="1000" t="s">
        <v>1219</v>
      </c>
      <c r="D1504" s="1000" t="s">
        <v>12474</v>
      </c>
      <c r="E1504" s="1007">
        <v>2000</v>
      </c>
      <c r="F1504" s="508" t="s">
        <v>12475</v>
      </c>
      <c r="G1504" s="508" t="s">
        <v>1691</v>
      </c>
      <c r="H1504" s="1005">
        <v>43762</v>
      </c>
      <c r="I1504" s="1002">
        <v>43767</v>
      </c>
      <c r="J1504" s="1199"/>
    </row>
    <row r="1505" spans="1:10" s="81" customFormat="1" ht="39.950000000000003" customHeight="1" x14ac:dyDescent="0.2">
      <c r="A1505" s="1189" t="s">
        <v>12476</v>
      </c>
      <c r="B1505" s="999" t="s">
        <v>1928</v>
      </c>
      <c r="C1505" s="1000" t="s">
        <v>1219</v>
      </c>
      <c r="D1505" s="1000" t="s">
        <v>12477</v>
      </c>
      <c r="E1505" s="1007">
        <v>12354.1</v>
      </c>
      <c r="F1505" s="508" t="s">
        <v>12226</v>
      </c>
      <c r="G1505" s="508" t="s">
        <v>1691</v>
      </c>
      <c r="H1505" s="1005">
        <v>43767</v>
      </c>
      <c r="I1505" s="1002">
        <v>43767</v>
      </c>
      <c r="J1505" s="1199"/>
    </row>
    <row r="1506" spans="1:10" s="81" customFormat="1" ht="39.950000000000003" customHeight="1" x14ac:dyDescent="0.2">
      <c r="A1506" s="1189" t="s">
        <v>12478</v>
      </c>
      <c r="B1506" s="999" t="s">
        <v>1928</v>
      </c>
      <c r="C1506" s="1000" t="s">
        <v>1219</v>
      </c>
      <c r="D1506" s="1000" t="s">
        <v>12479</v>
      </c>
      <c r="E1506" s="1007">
        <v>1819.6</v>
      </c>
      <c r="F1506" s="508" t="s">
        <v>12226</v>
      </c>
      <c r="G1506" s="508" t="s">
        <v>1691</v>
      </c>
      <c r="H1506" s="1005">
        <v>43767</v>
      </c>
      <c r="I1506" s="1002">
        <v>43767</v>
      </c>
      <c r="J1506" s="1199"/>
    </row>
    <row r="1507" spans="1:10" s="81" customFormat="1" ht="39.950000000000003" customHeight="1" x14ac:dyDescent="0.2">
      <c r="A1507" s="1189" t="s">
        <v>12480</v>
      </c>
      <c r="B1507" s="999" t="s">
        <v>1928</v>
      </c>
      <c r="C1507" s="1000" t="s">
        <v>1219</v>
      </c>
      <c r="D1507" s="1000" t="s">
        <v>12481</v>
      </c>
      <c r="E1507" s="1007">
        <v>475</v>
      </c>
      <c r="F1507" s="508" t="s">
        <v>12375</v>
      </c>
      <c r="G1507" s="508" t="s">
        <v>1691</v>
      </c>
      <c r="H1507" s="1005">
        <v>43767</v>
      </c>
      <c r="I1507" s="1002">
        <v>43772</v>
      </c>
      <c r="J1507" s="1199"/>
    </row>
    <row r="1508" spans="1:10" s="81" customFormat="1" ht="39.950000000000003" customHeight="1" x14ac:dyDescent="0.2">
      <c r="A1508" s="1189" t="s">
        <v>12482</v>
      </c>
      <c r="B1508" s="999" t="s">
        <v>1928</v>
      </c>
      <c r="C1508" s="1000" t="s">
        <v>1219</v>
      </c>
      <c r="D1508" s="1000" t="s">
        <v>12483</v>
      </c>
      <c r="E1508" s="1007">
        <v>2798.72</v>
      </c>
      <c r="F1508" s="508" t="s">
        <v>12270</v>
      </c>
      <c r="G1508" s="508" t="s">
        <v>1691</v>
      </c>
      <c r="H1508" s="1005">
        <v>43767</v>
      </c>
      <c r="I1508" s="1002">
        <v>43772</v>
      </c>
      <c r="J1508" s="1199"/>
    </row>
    <row r="1509" spans="1:10" s="81" customFormat="1" ht="39.950000000000003" customHeight="1" x14ac:dyDescent="0.2">
      <c r="A1509" s="1189" t="s">
        <v>12484</v>
      </c>
      <c r="B1509" s="999" t="s">
        <v>1928</v>
      </c>
      <c r="C1509" s="1000" t="s">
        <v>1219</v>
      </c>
      <c r="D1509" s="1000" t="s">
        <v>12485</v>
      </c>
      <c r="E1509" s="1007">
        <v>1800</v>
      </c>
      <c r="F1509" s="508" t="s">
        <v>12254</v>
      </c>
      <c r="G1509" s="508" t="s">
        <v>1691</v>
      </c>
      <c r="H1509" s="1005">
        <v>43773</v>
      </c>
      <c r="I1509" s="1002">
        <v>43778</v>
      </c>
      <c r="J1509" s="1199"/>
    </row>
    <row r="1510" spans="1:10" s="81" customFormat="1" ht="39.950000000000003" customHeight="1" x14ac:dyDescent="0.2">
      <c r="A1510" s="1189" t="s">
        <v>12486</v>
      </c>
      <c r="B1510" s="999" t="s">
        <v>1928</v>
      </c>
      <c r="C1510" s="1000" t="s">
        <v>1219</v>
      </c>
      <c r="D1510" s="1000" t="s">
        <v>12487</v>
      </c>
      <c r="E1510" s="1007">
        <v>900</v>
      </c>
      <c r="F1510" s="508" t="s">
        <v>12268</v>
      </c>
      <c r="G1510" s="508" t="s">
        <v>1691</v>
      </c>
      <c r="H1510" s="1005">
        <v>43773</v>
      </c>
      <c r="I1510" s="1002">
        <v>43778</v>
      </c>
      <c r="J1510" s="1199"/>
    </row>
    <row r="1511" spans="1:10" s="81" customFormat="1" ht="39.950000000000003" customHeight="1" x14ac:dyDescent="0.2">
      <c r="A1511" s="1189" t="s">
        <v>12488</v>
      </c>
      <c r="B1511" s="999" t="s">
        <v>1928</v>
      </c>
      <c r="C1511" s="1000" t="s">
        <v>1219</v>
      </c>
      <c r="D1511" s="1000" t="s">
        <v>12489</v>
      </c>
      <c r="E1511" s="1007">
        <v>1200</v>
      </c>
      <c r="F1511" s="508" t="s">
        <v>12317</v>
      </c>
      <c r="G1511" s="508" t="s">
        <v>1691</v>
      </c>
      <c r="H1511" s="1005">
        <v>43773</v>
      </c>
      <c r="I1511" s="1002">
        <v>43778</v>
      </c>
      <c r="J1511" s="1199"/>
    </row>
    <row r="1512" spans="1:10" s="81" customFormat="1" ht="39.950000000000003" customHeight="1" x14ac:dyDescent="0.2">
      <c r="A1512" s="1189" t="s">
        <v>12490</v>
      </c>
      <c r="B1512" s="999" t="s">
        <v>1928</v>
      </c>
      <c r="C1512" s="1000" t="s">
        <v>1219</v>
      </c>
      <c r="D1512" s="1000" t="s">
        <v>12491</v>
      </c>
      <c r="E1512" s="1007">
        <v>14500</v>
      </c>
      <c r="F1512" s="508" t="s">
        <v>12492</v>
      </c>
      <c r="G1512" s="508" t="s">
        <v>1691</v>
      </c>
      <c r="H1512" s="1005">
        <v>43773</v>
      </c>
      <c r="I1512" s="1002">
        <v>43778</v>
      </c>
      <c r="J1512" s="1199"/>
    </row>
    <row r="1513" spans="1:10" s="81" customFormat="1" ht="39.950000000000003" customHeight="1" x14ac:dyDescent="0.2">
      <c r="A1513" s="1189" t="s">
        <v>12493</v>
      </c>
      <c r="B1513" s="999" t="s">
        <v>1928</v>
      </c>
      <c r="C1513" s="1000" t="s">
        <v>1219</v>
      </c>
      <c r="D1513" s="1000" t="s">
        <v>12494</v>
      </c>
      <c r="E1513" s="1007">
        <v>148.69999999999999</v>
      </c>
      <c r="F1513" s="508" t="s">
        <v>12226</v>
      </c>
      <c r="G1513" s="508" t="s">
        <v>1691</v>
      </c>
      <c r="H1513" s="1005">
        <v>43775</v>
      </c>
      <c r="I1513" s="1002">
        <v>43775</v>
      </c>
      <c r="J1513" s="1199"/>
    </row>
    <row r="1514" spans="1:10" s="81" customFormat="1" ht="39.950000000000003" customHeight="1" x14ac:dyDescent="0.2">
      <c r="A1514" s="1189" t="s">
        <v>12495</v>
      </c>
      <c r="B1514" s="999" t="s">
        <v>1928</v>
      </c>
      <c r="C1514" s="1000" t="s">
        <v>1219</v>
      </c>
      <c r="D1514" s="1000" t="s">
        <v>12496</v>
      </c>
      <c r="E1514" s="1007">
        <v>2600</v>
      </c>
      <c r="F1514" s="508" t="s">
        <v>12409</v>
      </c>
      <c r="G1514" s="508" t="s">
        <v>1691</v>
      </c>
      <c r="H1514" s="1005">
        <v>43775</v>
      </c>
      <c r="I1514" s="1002">
        <v>43780</v>
      </c>
      <c r="J1514" s="1199"/>
    </row>
    <row r="1515" spans="1:10" s="81" customFormat="1" ht="39.950000000000003" customHeight="1" x14ac:dyDescent="0.2">
      <c r="A1515" s="1189" t="s">
        <v>12497</v>
      </c>
      <c r="B1515" s="999" t="s">
        <v>1928</v>
      </c>
      <c r="C1515" s="1000" t="s">
        <v>1219</v>
      </c>
      <c r="D1515" s="1000" t="s">
        <v>12498</v>
      </c>
      <c r="E1515" s="1007">
        <v>1506.74</v>
      </c>
      <c r="F1515" s="508" t="s">
        <v>12304</v>
      </c>
      <c r="G1515" s="508" t="s">
        <v>1691</v>
      </c>
      <c r="H1515" s="1005">
        <v>43784</v>
      </c>
      <c r="I1515" s="1002">
        <v>43789</v>
      </c>
      <c r="J1515" s="1199"/>
    </row>
    <row r="1516" spans="1:10" s="81" customFormat="1" ht="39.950000000000003" customHeight="1" x14ac:dyDescent="0.2">
      <c r="A1516" s="1189" t="s">
        <v>12499</v>
      </c>
      <c r="B1516" s="999" t="s">
        <v>1928</v>
      </c>
      <c r="C1516" s="1000" t="s">
        <v>1219</v>
      </c>
      <c r="D1516" s="1000" t="s">
        <v>12500</v>
      </c>
      <c r="E1516" s="1007">
        <v>4688.96</v>
      </c>
      <c r="F1516" s="508" t="s">
        <v>12304</v>
      </c>
      <c r="G1516" s="508" t="s">
        <v>1691</v>
      </c>
      <c r="H1516" s="1005">
        <v>43784</v>
      </c>
      <c r="I1516" s="1002">
        <v>43789</v>
      </c>
      <c r="J1516" s="1199"/>
    </row>
    <row r="1517" spans="1:10" s="81" customFormat="1" ht="39.950000000000003" customHeight="1" x14ac:dyDescent="0.2">
      <c r="A1517" s="1189" t="s">
        <v>12501</v>
      </c>
      <c r="B1517" s="999" t="s">
        <v>1928</v>
      </c>
      <c r="C1517" s="1000" t="s">
        <v>1219</v>
      </c>
      <c r="D1517" s="1000" t="s">
        <v>12502</v>
      </c>
      <c r="E1517" s="1007">
        <v>80</v>
      </c>
      <c r="F1517" s="508" t="s">
        <v>12343</v>
      </c>
      <c r="G1517" s="508" t="s">
        <v>1691</v>
      </c>
      <c r="H1517" s="1005">
        <v>43784</v>
      </c>
      <c r="I1517" s="1002">
        <v>43789</v>
      </c>
      <c r="J1517" s="1199"/>
    </row>
    <row r="1518" spans="1:10" s="81" customFormat="1" ht="39.950000000000003" customHeight="1" x14ac:dyDescent="0.2">
      <c r="A1518" s="1189" t="s">
        <v>12503</v>
      </c>
      <c r="B1518" s="999" t="s">
        <v>1928</v>
      </c>
      <c r="C1518" s="1000" t="s">
        <v>1219</v>
      </c>
      <c r="D1518" s="1000" t="s">
        <v>12504</v>
      </c>
      <c r="E1518" s="1007">
        <v>1800</v>
      </c>
      <c r="F1518" s="508" t="s">
        <v>12254</v>
      </c>
      <c r="G1518" s="508" t="s">
        <v>1691</v>
      </c>
      <c r="H1518" s="1005">
        <v>43784</v>
      </c>
      <c r="I1518" s="1002">
        <v>43789</v>
      </c>
      <c r="J1518" s="1199"/>
    </row>
    <row r="1519" spans="1:10" s="81" customFormat="1" ht="39.950000000000003" customHeight="1" x14ac:dyDescent="0.2">
      <c r="A1519" s="1189" t="s">
        <v>12505</v>
      </c>
      <c r="B1519" s="999" t="s">
        <v>1928</v>
      </c>
      <c r="C1519" s="1000" t="s">
        <v>1219</v>
      </c>
      <c r="D1519" s="1000" t="s">
        <v>12506</v>
      </c>
      <c r="E1519" s="1007">
        <v>900</v>
      </c>
      <c r="F1519" s="508" t="s">
        <v>12268</v>
      </c>
      <c r="G1519" s="508" t="s">
        <v>1691</v>
      </c>
      <c r="H1519" s="1005">
        <v>43784</v>
      </c>
      <c r="I1519" s="1002">
        <v>43789</v>
      </c>
      <c r="J1519" s="1199"/>
    </row>
    <row r="1520" spans="1:10" s="81" customFormat="1" ht="39.950000000000003" customHeight="1" x14ac:dyDescent="0.2">
      <c r="A1520" s="1189" t="s">
        <v>12507</v>
      </c>
      <c r="B1520" s="999" t="s">
        <v>1928</v>
      </c>
      <c r="C1520" s="1000" t="s">
        <v>1219</v>
      </c>
      <c r="D1520" s="1000" t="s">
        <v>12508</v>
      </c>
      <c r="E1520" s="1007">
        <v>2000</v>
      </c>
      <c r="F1520" s="508" t="s">
        <v>12509</v>
      </c>
      <c r="G1520" s="508" t="s">
        <v>1691</v>
      </c>
      <c r="H1520" s="1005">
        <v>43784</v>
      </c>
      <c r="I1520" s="1002">
        <v>43789</v>
      </c>
      <c r="J1520" s="1199"/>
    </row>
    <row r="1521" spans="1:10" s="81" customFormat="1" ht="39.950000000000003" customHeight="1" x14ac:dyDescent="0.2">
      <c r="A1521" s="1189" t="s">
        <v>12510</v>
      </c>
      <c r="B1521" s="999" t="s">
        <v>1928</v>
      </c>
      <c r="C1521" s="1000" t="s">
        <v>1219</v>
      </c>
      <c r="D1521" s="1000" t="s">
        <v>12511</v>
      </c>
      <c r="E1521" s="1007">
        <v>2000</v>
      </c>
      <c r="F1521" s="508" t="s">
        <v>12076</v>
      </c>
      <c r="G1521" s="508" t="s">
        <v>1691</v>
      </c>
      <c r="H1521" s="1005">
        <v>43784</v>
      </c>
      <c r="I1521" s="1002">
        <v>43789</v>
      </c>
      <c r="J1521" s="1199"/>
    </row>
    <row r="1522" spans="1:10" s="81" customFormat="1" ht="39.950000000000003" customHeight="1" x14ac:dyDescent="0.2">
      <c r="A1522" s="1189" t="s">
        <v>12512</v>
      </c>
      <c r="B1522" s="999" t="s">
        <v>1928</v>
      </c>
      <c r="C1522" s="1000" t="s">
        <v>1219</v>
      </c>
      <c r="D1522" s="1000" t="s">
        <v>12513</v>
      </c>
      <c r="E1522" s="1007">
        <v>448</v>
      </c>
      <c r="F1522" s="508" t="s">
        <v>12270</v>
      </c>
      <c r="G1522" s="508" t="s">
        <v>1691</v>
      </c>
      <c r="H1522" s="1005">
        <v>43784</v>
      </c>
      <c r="I1522" s="1002">
        <v>43789</v>
      </c>
      <c r="J1522" s="1199"/>
    </row>
    <row r="1523" spans="1:10" s="81" customFormat="1" ht="39.950000000000003" customHeight="1" x14ac:dyDescent="0.2">
      <c r="A1523" s="1189" t="s">
        <v>12514</v>
      </c>
      <c r="B1523" s="999" t="s">
        <v>1928</v>
      </c>
      <c r="C1523" s="1000" t="s">
        <v>1219</v>
      </c>
      <c r="D1523" s="1000" t="s">
        <v>12515</v>
      </c>
      <c r="E1523" s="1007">
        <v>2420</v>
      </c>
      <c r="F1523" s="508" t="s">
        <v>12509</v>
      </c>
      <c r="G1523" s="508" t="s">
        <v>1691</v>
      </c>
      <c r="H1523" s="1005">
        <v>43791</v>
      </c>
      <c r="I1523" s="1002">
        <v>43796</v>
      </c>
      <c r="J1523" s="1199"/>
    </row>
    <row r="1524" spans="1:10" s="81" customFormat="1" ht="39.950000000000003" customHeight="1" x14ac:dyDescent="0.2">
      <c r="A1524" s="1189" t="s">
        <v>12516</v>
      </c>
      <c r="B1524" s="999" t="s">
        <v>1928</v>
      </c>
      <c r="C1524" s="1000" t="s">
        <v>1219</v>
      </c>
      <c r="D1524" s="1000" t="s">
        <v>12517</v>
      </c>
      <c r="E1524" s="1007">
        <v>1400</v>
      </c>
      <c r="F1524" s="508" t="s">
        <v>12372</v>
      </c>
      <c r="G1524" s="508" t="s">
        <v>1691</v>
      </c>
      <c r="H1524" s="1005">
        <v>43794</v>
      </c>
      <c r="I1524" s="1002">
        <v>43799</v>
      </c>
      <c r="J1524" s="1199"/>
    </row>
    <row r="1525" spans="1:10" s="81" customFormat="1" ht="39.950000000000003" customHeight="1" x14ac:dyDescent="0.2">
      <c r="A1525" s="1189" t="s">
        <v>12518</v>
      </c>
      <c r="B1525" s="999" t="s">
        <v>1928</v>
      </c>
      <c r="C1525" s="1000" t="s">
        <v>1219</v>
      </c>
      <c r="D1525" s="1000" t="s">
        <v>12519</v>
      </c>
      <c r="E1525" s="1007">
        <v>11006.1</v>
      </c>
      <c r="F1525" s="508" t="s">
        <v>12226</v>
      </c>
      <c r="G1525" s="508" t="s">
        <v>1691</v>
      </c>
      <c r="H1525" s="1005">
        <v>43795</v>
      </c>
      <c r="I1525" s="1002">
        <v>43795</v>
      </c>
      <c r="J1525" s="1199"/>
    </row>
    <row r="1526" spans="1:10" s="81" customFormat="1" ht="39.950000000000003" customHeight="1" x14ac:dyDescent="0.2">
      <c r="A1526" s="1189" t="s">
        <v>12520</v>
      </c>
      <c r="B1526" s="999" t="s">
        <v>1928</v>
      </c>
      <c r="C1526" s="1000" t="s">
        <v>1219</v>
      </c>
      <c r="D1526" s="1000" t="s">
        <v>12521</v>
      </c>
      <c r="E1526" s="1007">
        <v>1485.1</v>
      </c>
      <c r="F1526" s="508" t="s">
        <v>12226</v>
      </c>
      <c r="G1526" s="508" t="s">
        <v>1691</v>
      </c>
      <c r="H1526" s="1005">
        <v>43795</v>
      </c>
      <c r="I1526" s="1002">
        <v>43795</v>
      </c>
      <c r="J1526" s="1199"/>
    </row>
    <row r="1527" spans="1:10" s="81" customFormat="1" ht="39.950000000000003" customHeight="1" x14ac:dyDescent="0.2">
      <c r="A1527" s="1189" t="s">
        <v>12522</v>
      </c>
      <c r="B1527" s="999" t="s">
        <v>1928</v>
      </c>
      <c r="C1527" s="1000" t="s">
        <v>1219</v>
      </c>
      <c r="D1527" s="1000" t="s">
        <v>12523</v>
      </c>
      <c r="E1527" s="1007">
        <v>5200</v>
      </c>
      <c r="F1527" s="508" t="s">
        <v>12396</v>
      </c>
      <c r="G1527" s="508" t="s">
        <v>1691</v>
      </c>
      <c r="H1527" s="1005">
        <v>43796</v>
      </c>
      <c r="I1527" s="1002">
        <v>43801</v>
      </c>
      <c r="J1527" s="1199"/>
    </row>
    <row r="1528" spans="1:10" s="81" customFormat="1" ht="39.950000000000003" customHeight="1" x14ac:dyDescent="0.2">
      <c r="A1528" s="1189" t="s">
        <v>12524</v>
      </c>
      <c r="B1528" s="999" t="s">
        <v>1928</v>
      </c>
      <c r="C1528" s="1000" t="s">
        <v>1219</v>
      </c>
      <c r="D1528" s="1000" t="s">
        <v>12525</v>
      </c>
      <c r="E1528" s="1007">
        <v>7200</v>
      </c>
      <c r="F1528" s="508" t="s">
        <v>12526</v>
      </c>
      <c r="G1528" s="508" t="s">
        <v>1691</v>
      </c>
      <c r="H1528" s="1005">
        <v>43796</v>
      </c>
      <c r="I1528" s="1002">
        <v>43801</v>
      </c>
      <c r="J1528" s="1199"/>
    </row>
    <row r="1529" spans="1:10" s="81" customFormat="1" ht="39.950000000000003" customHeight="1" x14ac:dyDescent="0.2">
      <c r="A1529" s="1189" t="s">
        <v>12527</v>
      </c>
      <c r="B1529" s="999" t="s">
        <v>1928</v>
      </c>
      <c r="C1529" s="1000" t="s">
        <v>1219</v>
      </c>
      <c r="D1529" s="1000" t="s">
        <v>12528</v>
      </c>
      <c r="E1529" s="1007">
        <v>1800</v>
      </c>
      <c r="F1529" s="508" t="s">
        <v>12254</v>
      </c>
      <c r="G1529" s="508" t="s">
        <v>1691</v>
      </c>
      <c r="H1529" s="1005">
        <v>43801</v>
      </c>
      <c r="I1529" s="1002">
        <v>43806</v>
      </c>
      <c r="J1529" s="1199"/>
    </row>
    <row r="1530" spans="1:10" s="81" customFormat="1" ht="39.950000000000003" customHeight="1" x14ac:dyDescent="0.2">
      <c r="A1530" s="1189" t="s">
        <v>12529</v>
      </c>
      <c r="B1530" s="999" t="s">
        <v>1928</v>
      </c>
      <c r="C1530" s="1000" t="s">
        <v>1219</v>
      </c>
      <c r="D1530" s="1000" t="s">
        <v>12530</v>
      </c>
      <c r="E1530" s="1007">
        <v>900</v>
      </c>
      <c r="F1530" s="508" t="s">
        <v>12268</v>
      </c>
      <c r="G1530" s="508" t="s">
        <v>1691</v>
      </c>
      <c r="H1530" s="1005">
        <v>43801</v>
      </c>
      <c r="I1530" s="1002">
        <v>43806</v>
      </c>
      <c r="J1530" s="1199"/>
    </row>
    <row r="1531" spans="1:10" s="81" customFormat="1" ht="39.950000000000003" customHeight="1" x14ac:dyDescent="0.2">
      <c r="A1531" s="1189" t="s">
        <v>12531</v>
      </c>
      <c r="B1531" s="999" t="s">
        <v>1928</v>
      </c>
      <c r="C1531" s="1000" t="s">
        <v>1219</v>
      </c>
      <c r="D1531" s="1000" t="s">
        <v>12532</v>
      </c>
      <c r="E1531" s="1007">
        <v>1200</v>
      </c>
      <c r="F1531" s="508" t="s">
        <v>12317</v>
      </c>
      <c r="G1531" s="508" t="s">
        <v>1691</v>
      </c>
      <c r="H1531" s="1005">
        <v>43801</v>
      </c>
      <c r="I1531" s="1002">
        <v>43806</v>
      </c>
      <c r="J1531" s="1199"/>
    </row>
    <row r="1532" spans="1:10" s="81" customFormat="1" ht="39.950000000000003" customHeight="1" x14ac:dyDescent="0.2">
      <c r="A1532" s="1189" t="s">
        <v>12533</v>
      </c>
      <c r="B1532" s="999" t="s">
        <v>1928</v>
      </c>
      <c r="C1532" s="1000" t="s">
        <v>1219</v>
      </c>
      <c r="D1532" s="1000" t="s">
        <v>12534</v>
      </c>
      <c r="E1532" s="1007">
        <v>132.69999999999999</v>
      </c>
      <c r="F1532" s="508" t="s">
        <v>12226</v>
      </c>
      <c r="G1532" s="508" t="s">
        <v>1691</v>
      </c>
      <c r="H1532" s="1005">
        <v>43804</v>
      </c>
      <c r="I1532" s="1002">
        <v>43804</v>
      </c>
      <c r="J1532" s="1199"/>
    </row>
    <row r="1533" spans="1:10" s="81" customFormat="1" ht="39.950000000000003" customHeight="1" x14ac:dyDescent="0.2">
      <c r="A1533" s="1189" t="s">
        <v>12535</v>
      </c>
      <c r="B1533" s="999" t="s">
        <v>1928</v>
      </c>
      <c r="C1533" s="1000" t="s">
        <v>1219</v>
      </c>
      <c r="D1533" s="1000" t="s">
        <v>12536</v>
      </c>
      <c r="E1533" s="1007">
        <v>5600</v>
      </c>
      <c r="F1533" s="508" t="s">
        <v>12509</v>
      </c>
      <c r="G1533" s="508" t="s">
        <v>1691</v>
      </c>
      <c r="H1533" s="1005">
        <v>43804</v>
      </c>
      <c r="I1533" s="1002">
        <v>43809</v>
      </c>
      <c r="J1533" s="1199"/>
    </row>
    <row r="1534" spans="1:10" s="81" customFormat="1" ht="39.950000000000003" customHeight="1" x14ac:dyDescent="0.2">
      <c r="A1534" s="1189" t="s">
        <v>12537</v>
      </c>
      <c r="B1534" s="999" t="s">
        <v>1928</v>
      </c>
      <c r="C1534" s="1000" t="s">
        <v>1219</v>
      </c>
      <c r="D1534" s="1000" t="s">
        <v>12538</v>
      </c>
      <c r="E1534" s="1007">
        <v>3416.8</v>
      </c>
      <c r="F1534" s="508" t="s">
        <v>12270</v>
      </c>
      <c r="G1534" s="508" t="s">
        <v>1691</v>
      </c>
      <c r="H1534" s="1005">
        <v>43804</v>
      </c>
      <c r="I1534" s="1002">
        <v>43809</v>
      </c>
      <c r="J1534" s="1199"/>
    </row>
    <row r="1535" spans="1:10" s="81" customFormat="1" ht="39.950000000000003" customHeight="1" x14ac:dyDescent="0.2">
      <c r="A1535" s="1189" t="s">
        <v>12539</v>
      </c>
      <c r="B1535" s="999" t="s">
        <v>1928</v>
      </c>
      <c r="C1535" s="1000" t="s">
        <v>1219</v>
      </c>
      <c r="D1535" s="1000" t="s">
        <v>12540</v>
      </c>
      <c r="E1535" s="1007">
        <v>4000</v>
      </c>
      <c r="F1535" s="508" t="s">
        <v>12375</v>
      </c>
      <c r="G1535" s="508" t="s">
        <v>1691</v>
      </c>
      <c r="H1535" s="1005">
        <v>43804</v>
      </c>
      <c r="I1535" s="1002">
        <v>43809</v>
      </c>
      <c r="J1535" s="1199"/>
    </row>
    <row r="1536" spans="1:10" s="81" customFormat="1" ht="39.950000000000003" customHeight="1" x14ac:dyDescent="0.2">
      <c r="A1536" s="1189" t="s">
        <v>12541</v>
      </c>
      <c r="B1536" s="999" t="s">
        <v>1928</v>
      </c>
      <c r="C1536" s="1000" t="s">
        <v>1219</v>
      </c>
      <c r="D1536" s="1000" t="s">
        <v>12542</v>
      </c>
      <c r="E1536" s="1007">
        <v>2728</v>
      </c>
      <c r="F1536" s="508" t="s">
        <v>12375</v>
      </c>
      <c r="G1536" s="508" t="s">
        <v>1691</v>
      </c>
      <c r="H1536" s="1005">
        <v>43804</v>
      </c>
      <c r="I1536" s="1002">
        <v>43809</v>
      </c>
      <c r="J1536" s="1199"/>
    </row>
    <row r="1537" spans="1:10" s="81" customFormat="1" ht="39.950000000000003" customHeight="1" x14ac:dyDescent="0.2">
      <c r="A1537" s="1189" t="s">
        <v>12543</v>
      </c>
      <c r="B1537" s="999" t="s">
        <v>1928</v>
      </c>
      <c r="C1537" s="1000" t="s">
        <v>12246</v>
      </c>
      <c r="D1537" s="1000" t="s">
        <v>12544</v>
      </c>
      <c r="E1537" s="1007">
        <v>5400</v>
      </c>
      <c r="F1537" s="508" t="s">
        <v>12310</v>
      </c>
      <c r="G1537" s="508" t="s">
        <v>1691</v>
      </c>
      <c r="H1537" s="1005">
        <v>43808</v>
      </c>
      <c r="I1537" s="1002">
        <v>43813</v>
      </c>
      <c r="J1537" s="1199"/>
    </row>
    <row r="1538" spans="1:10" s="81" customFormat="1" ht="39.950000000000003" customHeight="1" x14ac:dyDescent="0.2">
      <c r="A1538" s="1189" t="s">
        <v>12545</v>
      </c>
      <c r="B1538" s="999" t="s">
        <v>1928</v>
      </c>
      <c r="C1538" s="1000" t="s">
        <v>1219</v>
      </c>
      <c r="D1538" s="1000" t="s">
        <v>12546</v>
      </c>
      <c r="E1538" s="1007">
        <v>1994</v>
      </c>
      <c r="F1538" s="508" t="s">
        <v>12396</v>
      </c>
      <c r="G1538" s="508" t="s">
        <v>1691</v>
      </c>
      <c r="H1538" s="1005">
        <v>43808</v>
      </c>
      <c r="I1538" s="1002">
        <v>43813</v>
      </c>
      <c r="J1538" s="1199"/>
    </row>
    <row r="1539" spans="1:10" s="81" customFormat="1" ht="39.950000000000003" customHeight="1" x14ac:dyDescent="0.2">
      <c r="A1539" s="1189" t="s">
        <v>12547</v>
      </c>
      <c r="B1539" s="999" t="s">
        <v>1928</v>
      </c>
      <c r="C1539" s="1000" t="s">
        <v>1219</v>
      </c>
      <c r="D1539" s="1000" t="s">
        <v>12548</v>
      </c>
      <c r="E1539" s="1007">
        <v>620</v>
      </c>
      <c r="F1539" s="508" t="s">
        <v>12442</v>
      </c>
      <c r="G1539" s="508" t="s">
        <v>1691</v>
      </c>
      <c r="H1539" s="1005">
        <v>43809</v>
      </c>
      <c r="I1539" s="1002">
        <v>43814</v>
      </c>
      <c r="J1539" s="1199"/>
    </row>
    <row r="1540" spans="1:10" s="81" customFormat="1" ht="39.950000000000003" customHeight="1" x14ac:dyDescent="0.2">
      <c r="A1540" s="1189" t="s">
        <v>12549</v>
      </c>
      <c r="B1540" s="999" t="s">
        <v>1928</v>
      </c>
      <c r="C1540" s="1000" t="s">
        <v>1219</v>
      </c>
      <c r="D1540" s="1000" t="s">
        <v>12550</v>
      </c>
      <c r="E1540" s="1007">
        <v>150</v>
      </c>
      <c r="F1540" s="508" t="s">
        <v>12270</v>
      </c>
      <c r="G1540" s="508" t="s">
        <v>1691</v>
      </c>
      <c r="H1540" s="1005">
        <v>43812</v>
      </c>
      <c r="I1540" s="1002">
        <v>43817</v>
      </c>
      <c r="J1540" s="1199"/>
    </row>
    <row r="1541" spans="1:10" s="81" customFormat="1" ht="39.950000000000003" customHeight="1" x14ac:dyDescent="0.2">
      <c r="A1541" s="1189" t="s">
        <v>12551</v>
      </c>
      <c r="B1541" s="999" t="s">
        <v>1928</v>
      </c>
      <c r="C1541" s="1000" t="s">
        <v>1219</v>
      </c>
      <c r="D1541" s="1000" t="s">
        <v>12552</v>
      </c>
      <c r="E1541" s="1007">
        <v>960</v>
      </c>
      <c r="F1541" s="508" t="s">
        <v>12553</v>
      </c>
      <c r="G1541" s="508" t="s">
        <v>1691</v>
      </c>
      <c r="H1541" s="1005">
        <v>43812</v>
      </c>
      <c r="I1541" s="1002">
        <v>43817</v>
      </c>
      <c r="J1541" s="1199"/>
    </row>
    <row r="1542" spans="1:10" s="81" customFormat="1" ht="39.950000000000003" customHeight="1" x14ac:dyDescent="0.2">
      <c r="A1542" s="1189" t="s">
        <v>12554</v>
      </c>
      <c r="B1542" s="999" t="s">
        <v>1928</v>
      </c>
      <c r="C1542" s="1000" t="s">
        <v>1219</v>
      </c>
      <c r="D1542" s="1000" t="s">
        <v>12555</v>
      </c>
      <c r="E1542" s="1007">
        <v>2100</v>
      </c>
      <c r="F1542" s="508" t="s">
        <v>12556</v>
      </c>
      <c r="G1542" s="508" t="s">
        <v>1691</v>
      </c>
      <c r="H1542" s="1005">
        <v>43812</v>
      </c>
      <c r="I1542" s="1002">
        <v>43817</v>
      </c>
      <c r="J1542" s="1199"/>
    </row>
    <row r="1543" spans="1:10" s="81" customFormat="1" ht="39.950000000000003" customHeight="1" x14ac:dyDescent="0.2">
      <c r="A1543" s="1189" t="s">
        <v>12557</v>
      </c>
      <c r="B1543" s="999" t="s">
        <v>1928</v>
      </c>
      <c r="C1543" s="1000" t="s">
        <v>1219</v>
      </c>
      <c r="D1543" s="1000" t="s">
        <v>12558</v>
      </c>
      <c r="E1543" s="1007">
        <v>309.95999999999998</v>
      </c>
      <c r="F1543" s="508" t="s">
        <v>12559</v>
      </c>
      <c r="G1543" s="508" t="s">
        <v>1691</v>
      </c>
      <c r="H1543" s="1005">
        <v>43817</v>
      </c>
      <c r="I1543" s="1002">
        <v>43822</v>
      </c>
      <c r="J1543" s="1199"/>
    </row>
    <row r="1544" spans="1:10" s="81" customFormat="1" ht="39.950000000000003" customHeight="1" x14ac:dyDescent="0.2">
      <c r="A1544" s="1189" t="s">
        <v>12560</v>
      </c>
      <c r="B1544" s="999" t="s">
        <v>1928</v>
      </c>
      <c r="C1544" s="1000" t="s">
        <v>1219</v>
      </c>
      <c r="D1544" s="1000" t="s">
        <v>12561</v>
      </c>
      <c r="E1544" s="1007">
        <v>1400</v>
      </c>
      <c r="F1544" s="508" t="s">
        <v>12562</v>
      </c>
      <c r="G1544" s="508" t="s">
        <v>1691</v>
      </c>
      <c r="H1544" s="1005">
        <v>43817</v>
      </c>
      <c r="I1544" s="1002">
        <v>43822</v>
      </c>
      <c r="J1544" s="1199"/>
    </row>
    <row r="1545" spans="1:10" s="81" customFormat="1" ht="39.950000000000003" customHeight="1" x14ac:dyDescent="0.2">
      <c r="A1545" s="1189" t="s">
        <v>12563</v>
      </c>
      <c r="B1545" s="999" t="s">
        <v>1928</v>
      </c>
      <c r="C1545" s="1000" t="s">
        <v>1219</v>
      </c>
      <c r="D1545" s="1000" t="s">
        <v>12564</v>
      </c>
      <c r="E1545" s="1007">
        <v>1129.8</v>
      </c>
      <c r="F1545" s="508" t="s">
        <v>12042</v>
      </c>
      <c r="G1545" s="508" t="s">
        <v>1691</v>
      </c>
      <c r="H1545" s="1005">
        <v>43817</v>
      </c>
      <c r="I1545" s="1002">
        <v>43822</v>
      </c>
      <c r="J1545" s="1199"/>
    </row>
    <row r="1546" spans="1:10" s="81" customFormat="1" ht="39.950000000000003" customHeight="1" x14ac:dyDescent="0.2">
      <c r="A1546" s="1189" t="s">
        <v>12565</v>
      </c>
      <c r="B1546" s="999" t="s">
        <v>1928</v>
      </c>
      <c r="C1546" s="1000" t="s">
        <v>1219</v>
      </c>
      <c r="D1546" s="1000" t="s">
        <v>12566</v>
      </c>
      <c r="E1546" s="1007">
        <v>967.03</v>
      </c>
      <c r="F1546" s="508" t="s">
        <v>12380</v>
      </c>
      <c r="G1546" s="508" t="s">
        <v>1691</v>
      </c>
      <c r="H1546" s="1005">
        <v>43817</v>
      </c>
      <c r="I1546" s="1002">
        <v>43822</v>
      </c>
      <c r="J1546" s="1199"/>
    </row>
    <row r="1547" spans="1:10" s="81" customFormat="1" ht="39.950000000000003" customHeight="1" x14ac:dyDescent="0.2">
      <c r="A1547" s="1189" t="s">
        <v>12567</v>
      </c>
      <c r="B1547" s="999" t="s">
        <v>1928</v>
      </c>
      <c r="C1547" s="1000" t="s">
        <v>1219</v>
      </c>
      <c r="D1547" s="1000" t="s">
        <v>12568</v>
      </c>
      <c r="E1547" s="1007">
        <v>5200</v>
      </c>
      <c r="F1547" s="508" t="s">
        <v>12409</v>
      </c>
      <c r="G1547" s="508" t="s">
        <v>1691</v>
      </c>
      <c r="H1547" s="1005">
        <v>43818</v>
      </c>
      <c r="I1547" s="1002">
        <v>43823</v>
      </c>
      <c r="J1547" s="1199"/>
    </row>
    <row r="1548" spans="1:10" s="81" customFormat="1" ht="39.950000000000003" customHeight="1" x14ac:dyDescent="0.2">
      <c r="A1548" s="1189" t="s">
        <v>12569</v>
      </c>
      <c r="B1548" s="999" t="s">
        <v>1928</v>
      </c>
      <c r="C1548" s="1000" t="s">
        <v>1219</v>
      </c>
      <c r="D1548" s="1000" t="s">
        <v>12570</v>
      </c>
      <c r="E1548" s="1007">
        <v>20551.259999999998</v>
      </c>
      <c r="F1548" s="508" t="s">
        <v>12571</v>
      </c>
      <c r="G1548" s="508" t="s">
        <v>1691</v>
      </c>
      <c r="H1548" s="1005">
        <v>43822</v>
      </c>
      <c r="I1548" s="1002">
        <v>43827</v>
      </c>
      <c r="J1548" s="1199"/>
    </row>
    <row r="1549" spans="1:10" s="81" customFormat="1" ht="39.950000000000003" customHeight="1" x14ac:dyDescent="0.2">
      <c r="A1549" s="1189" t="s">
        <v>12572</v>
      </c>
      <c r="B1549" s="999" t="s">
        <v>1928</v>
      </c>
      <c r="C1549" s="1000" t="s">
        <v>1219</v>
      </c>
      <c r="D1549" s="1000" t="s">
        <v>12573</v>
      </c>
      <c r="E1549" s="1007">
        <v>1130</v>
      </c>
      <c r="F1549" s="508" t="s">
        <v>12574</v>
      </c>
      <c r="G1549" s="508" t="s">
        <v>1691</v>
      </c>
      <c r="H1549" s="1005">
        <v>43822</v>
      </c>
      <c r="I1549" s="1002">
        <v>43827</v>
      </c>
      <c r="J1549" s="1199"/>
    </row>
    <row r="1550" spans="1:10" s="81" customFormat="1" ht="39.950000000000003" customHeight="1" x14ac:dyDescent="0.2">
      <c r="A1550" s="1189" t="s">
        <v>12575</v>
      </c>
      <c r="B1550" s="999" t="s">
        <v>1928</v>
      </c>
      <c r="C1550" s="1000" t="s">
        <v>1219</v>
      </c>
      <c r="D1550" s="1000" t="s">
        <v>12576</v>
      </c>
      <c r="E1550" s="1007">
        <v>10532</v>
      </c>
      <c r="F1550" s="508" t="s">
        <v>12226</v>
      </c>
      <c r="G1550" s="508" t="s">
        <v>1691</v>
      </c>
      <c r="H1550" s="1005">
        <v>43826</v>
      </c>
      <c r="I1550" s="1002">
        <v>43826</v>
      </c>
      <c r="J1550" s="1199"/>
    </row>
    <row r="1551" spans="1:10" s="81" customFormat="1" ht="39.950000000000003" customHeight="1" x14ac:dyDescent="0.2">
      <c r="A1551" s="1189" t="s">
        <v>12577</v>
      </c>
      <c r="B1551" s="999" t="s">
        <v>1928</v>
      </c>
      <c r="C1551" s="1000" t="s">
        <v>1219</v>
      </c>
      <c r="D1551" s="1000" t="s">
        <v>12578</v>
      </c>
      <c r="E1551" s="1007">
        <v>200</v>
      </c>
      <c r="F1551" s="508" t="s">
        <v>12346</v>
      </c>
      <c r="G1551" s="508" t="s">
        <v>1691</v>
      </c>
      <c r="H1551" s="1005">
        <v>43829</v>
      </c>
      <c r="I1551" s="1002">
        <v>43834</v>
      </c>
      <c r="J1551" s="1199"/>
    </row>
    <row r="1552" spans="1:10" s="81" customFormat="1" ht="39.950000000000003" customHeight="1" x14ac:dyDescent="0.2">
      <c r="A1552" s="1189" t="s">
        <v>12579</v>
      </c>
      <c r="B1552" s="999" t="s">
        <v>12007</v>
      </c>
      <c r="C1552" s="1000" t="s">
        <v>1219</v>
      </c>
      <c r="D1552" s="1000" t="s">
        <v>12580</v>
      </c>
      <c r="E1552" s="1007">
        <v>2600.25</v>
      </c>
      <c r="F1552" s="508" t="s">
        <v>12121</v>
      </c>
      <c r="G1552" s="508" t="s">
        <v>1842</v>
      </c>
      <c r="H1552" s="1005">
        <v>43859</v>
      </c>
      <c r="I1552" s="1002">
        <v>43864</v>
      </c>
      <c r="J1552" s="1201"/>
    </row>
    <row r="1553" spans="1:10" s="81" customFormat="1" ht="39.950000000000003" customHeight="1" x14ac:dyDescent="0.2">
      <c r="A1553" s="1189" t="s">
        <v>12581</v>
      </c>
      <c r="B1553" s="999" t="s">
        <v>12007</v>
      </c>
      <c r="C1553" s="1000" t="s">
        <v>1219</v>
      </c>
      <c r="D1553" s="1000" t="s">
        <v>12582</v>
      </c>
      <c r="E1553" s="1007">
        <v>7772.88</v>
      </c>
      <c r="F1553" s="508" t="s">
        <v>2181</v>
      </c>
      <c r="G1553" s="508" t="s">
        <v>1842</v>
      </c>
      <c r="H1553" s="1005">
        <v>43859</v>
      </c>
      <c r="I1553" s="1002">
        <v>43864</v>
      </c>
      <c r="J1553" s="1201"/>
    </row>
    <row r="1554" spans="1:10" s="81" customFormat="1" ht="39.950000000000003" customHeight="1" x14ac:dyDescent="0.2">
      <c r="A1554" s="1189" t="s">
        <v>12583</v>
      </c>
      <c r="B1554" s="999" t="s">
        <v>12007</v>
      </c>
      <c r="C1554" s="1000" t="s">
        <v>1219</v>
      </c>
      <c r="D1554" s="1000" t="s">
        <v>12584</v>
      </c>
      <c r="E1554" s="1007">
        <v>423.38</v>
      </c>
      <c r="F1554" s="508" t="s">
        <v>2172</v>
      </c>
      <c r="G1554" s="508" t="s">
        <v>1842</v>
      </c>
      <c r="H1554" s="1005">
        <v>43859</v>
      </c>
      <c r="I1554" s="1002">
        <v>43864</v>
      </c>
      <c r="J1554" s="1201"/>
    </row>
    <row r="1555" spans="1:10" s="81" customFormat="1" ht="39.950000000000003" customHeight="1" x14ac:dyDescent="0.2">
      <c r="A1555" s="1189" t="s">
        <v>12585</v>
      </c>
      <c r="B1555" s="999" t="s">
        <v>12007</v>
      </c>
      <c r="C1555" s="1000" t="s">
        <v>1219</v>
      </c>
      <c r="D1555" s="1000" t="s">
        <v>12586</v>
      </c>
      <c r="E1555" s="1007">
        <v>6203.97</v>
      </c>
      <c r="F1555" s="508" t="s">
        <v>2156</v>
      </c>
      <c r="G1555" s="508" t="s">
        <v>1842</v>
      </c>
      <c r="H1555" s="1005">
        <v>43859</v>
      </c>
      <c r="I1555" s="1002">
        <v>43864</v>
      </c>
      <c r="J1555" s="1201"/>
    </row>
    <row r="1556" spans="1:10" s="81" customFormat="1" ht="39.950000000000003" customHeight="1" x14ac:dyDescent="0.2">
      <c r="A1556" s="1189" t="s">
        <v>12587</v>
      </c>
      <c r="B1556" s="999" t="s">
        <v>12007</v>
      </c>
      <c r="C1556" s="1000" t="s">
        <v>1219</v>
      </c>
      <c r="D1556" s="1000" t="s">
        <v>12588</v>
      </c>
      <c r="E1556" s="1007">
        <v>421.08</v>
      </c>
      <c r="F1556" s="508" t="s">
        <v>12042</v>
      </c>
      <c r="G1556" s="508" t="s">
        <v>1842</v>
      </c>
      <c r="H1556" s="1005">
        <v>43864</v>
      </c>
      <c r="I1556" s="1002">
        <v>43869</v>
      </c>
      <c r="J1556" s="1201"/>
    </row>
    <row r="1557" spans="1:10" s="81" customFormat="1" ht="39.950000000000003" customHeight="1" x14ac:dyDescent="0.2">
      <c r="A1557" s="1189" t="s">
        <v>12589</v>
      </c>
      <c r="B1557" s="999" t="s">
        <v>1928</v>
      </c>
      <c r="C1557" s="1000" t="s">
        <v>1219</v>
      </c>
      <c r="D1557" s="1000" t="s">
        <v>12590</v>
      </c>
      <c r="E1557" s="1007">
        <v>250</v>
      </c>
      <c r="F1557" s="508" t="s">
        <v>12161</v>
      </c>
      <c r="G1557" s="508" t="s">
        <v>1842</v>
      </c>
      <c r="H1557" s="1005">
        <v>43888</v>
      </c>
      <c r="I1557" s="1002">
        <v>43893</v>
      </c>
      <c r="J1557" s="1201"/>
    </row>
    <row r="1558" spans="1:10" s="81" customFormat="1" ht="39.950000000000003" customHeight="1" x14ac:dyDescent="0.2">
      <c r="A1558" s="1189" t="s">
        <v>12591</v>
      </c>
      <c r="B1558" s="999" t="s">
        <v>1758</v>
      </c>
      <c r="C1558" s="1000" t="s">
        <v>1219</v>
      </c>
      <c r="D1558" s="1000" t="s">
        <v>12592</v>
      </c>
      <c r="E1558" s="1007">
        <v>63360</v>
      </c>
      <c r="F1558" s="508" t="s">
        <v>12202</v>
      </c>
      <c r="G1558" s="508" t="s">
        <v>1842</v>
      </c>
      <c r="H1558" s="1005">
        <v>43907</v>
      </c>
      <c r="I1558" s="1002">
        <v>43912</v>
      </c>
      <c r="J1558" s="1201"/>
    </row>
    <row r="1559" spans="1:10" s="81" customFormat="1" ht="39.950000000000003" customHeight="1" x14ac:dyDescent="0.2">
      <c r="A1559" s="1189" t="s">
        <v>12593</v>
      </c>
      <c r="B1559" s="999" t="s">
        <v>1928</v>
      </c>
      <c r="C1559" s="1000" t="s">
        <v>1219</v>
      </c>
      <c r="D1559" s="1000" t="s">
        <v>12590</v>
      </c>
      <c r="E1559" s="1007">
        <v>17478.2</v>
      </c>
      <c r="F1559" s="508" t="s">
        <v>2270</v>
      </c>
      <c r="G1559" s="508" t="s">
        <v>1842</v>
      </c>
      <c r="H1559" s="1005">
        <v>43979</v>
      </c>
      <c r="I1559" s="1002">
        <v>43984</v>
      </c>
      <c r="J1559" s="1201"/>
    </row>
    <row r="1560" spans="1:10" s="81" customFormat="1" ht="39.950000000000003" customHeight="1" x14ac:dyDescent="0.2">
      <c r="A1560" s="1189" t="s">
        <v>12594</v>
      </c>
      <c r="B1560" s="999" t="s">
        <v>1928</v>
      </c>
      <c r="C1560" s="1000" t="s">
        <v>1219</v>
      </c>
      <c r="D1560" s="1000" t="s">
        <v>12595</v>
      </c>
      <c r="E1560" s="1007">
        <v>779.5</v>
      </c>
      <c r="F1560" s="508" t="s">
        <v>12213</v>
      </c>
      <c r="G1560" s="508" t="s">
        <v>1842</v>
      </c>
      <c r="H1560" s="1005">
        <v>44018</v>
      </c>
      <c r="I1560" s="1002">
        <v>44023</v>
      </c>
      <c r="J1560" s="1201"/>
    </row>
    <row r="1561" spans="1:10" s="81" customFormat="1" ht="39.950000000000003" customHeight="1" x14ac:dyDescent="0.2">
      <c r="A1561" s="1189" t="s">
        <v>12596</v>
      </c>
      <c r="B1561" s="999" t="s">
        <v>1928</v>
      </c>
      <c r="C1561" s="1000" t="s">
        <v>1219</v>
      </c>
      <c r="D1561" s="1000" t="s">
        <v>12597</v>
      </c>
      <c r="E1561" s="1007">
        <v>2912</v>
      </c>
      <c r="F1561" s="508" t="s">
        <v>12598</v>
      </c>
      <c r="G1561" s="508" t="s">
        <v>1842</v>
      </c>
      <c r="H1561" s="1005">
        <v>44018</v>
      </c>
      <c r="I1561" s="1002">
        <v>44023</v>
      </c>
      <c r="J1561" s="1201"/>
    </row>
    <row r="1562" spans="1:10" s="81" customFormat="1" ht="39.950000000000003" customHeight="1" x14ac:dyDescent="0.2">
      <c r="A1562" s="1189" t="s">
        <v>12599</v>
      </c>
      <c r="B1562" s="999" t="s">
        <v>1928</v>
      </c>
      <c r="C1562" s="1000" t="s">
        <v>1219</v>
      </c>
      <c r="D1562" s="1000" t="s">
        <v>12600</v>
      </c>
      <c r="E1562" s="1007">
        <v>8133.42</v>
      </c>
      <c r="F1562" s="508" t="s">
        <v>12191</v>
      </c>
      <c r="G1562" s="508" t="s">
        <v>1842</v>
      </c>
      <c r="H1562" s="1005">
        <v>44047</v>
      </c>
      <c r="I1562" s="1002">
        <v>44052</v>
      </c>
      <c r="J1562" s="1201"/>
    </row>
    <row r="1563" spans="1:10" s="81" customFormat="1" ht="39.950000000000003" customHeight="1" x14ac:dyDescent="0.2">
      <c r="A1563" s="1189" t="s">
        <v>12601</v>
      </c>
      <c r="B1563" s="999" t="s">
        <v>12007</v>
      </c>
      <c r="C1563" s="1000" t="s">
        <v>1219</v>
      </c>
      <c r="D1563" s="1000" t="s">
        <v>12602</v>
      </c>
      <c r="E1563" s="1007">
        <v>2967.93</v>
      </c>
      <c r="F1563" s="508" t="s">
        <v>12603</v>
      </c>
      <c r="G1563" s="508" t="s">
        <v>1842</v>
      </c>
      <c r="H1563" s="1005">
        <v>44047</v>
      </c>
      <c r="I1563" s="1002">
        <v>44052</v>
      </c>
      <c r="J1563" s="1201"/>
    </row>
    <row r="1564" spans="1:10" s="81" customFormat="1" ht="39.950000000000003" customHeight="1" x14ac:dyDescent="0.2">
      <c r="A1564" s="1189" t="s">
        <v>12604</v>
      </c>
      <c r="B1564" s="999" t="s">
        <v>12007</v>
      </c>
      <c r="C1564" s="1000" t="s">
        <v>1219</v>
      </c>
      <c r="D1564" s="1000" t="s">
        <v>12605</v>
      </c>
      <c r="E1564" s="1007">
        <v>3022.56</v>
      </c>
      <c r="F1564" s="508" t="s">
        <v>12606</v>
      </c>
      <c r="G1564" s="508" t="s">
        <v>1842</v>
      </c>
      <c r="H1564" s="1005">
        <v>44047</v>
      </c>
      <c r="I1564" s="1002">
        <v>44052</v>
      </c>
      <c r="J1564" s="1201"/>
    </row>
    <row r="1565" spans="1:10" s="81" customFormat="1" ht="39.950000000000003" customHeight="1" x14ac:dyDescent="0.2">
      <c r="A1565" s="1189" t="s">
        <v>12604</v>
      </c>
      <c r="B1565" s="999" t="s">
        <v>12007</v>
      </c>
      <c r="C1565" s="1000" t="s">
        <v>1219</v>
      </c>
      <c r="D1565" s="1000" t="s">
        <v>12607</v>
      </c>
      <c r="E1565" s="1007">
        <v>1143.07</v>
      </c>
      <c r="F1565" s="508" t="s">
        <v>12608</v>
      </c>
      <c r="G1565" s="508" t="s">
        <v>1842</v>
      </c>
      <c r="H1565" s="1005">
        <v>44047</v>
      </c>
      <c r="I1565" s="1002">
        <v>44052</v>
      </c>
      <c r="J1565" s="1201"/>
    </row>
    <row r="1566" spans="1:10" s="81" customFormat="1" ht="39.950000000000003" customHeight="1" x14ac:dyDescent="0.2">
      <c r="A1566" s="1189" t="s">
        <v>12604</v>
      </c>
      <c r="B1566" s="999" t="s">
        <v>12007</v>
      </c>
      <c r="C1566" s="1000" t="s">
        <v>1219</v>
      </c>
      <c r="D1566" s="1000" t="s">
        <v>12609</v>
      </c>
      <c r="E1566" s="1007">
        <v>728.53</v>
      </c>
      <c r="F1566" s="508" t="s">
        <v>12610</v>
      </c>
      <c r="G1566" s="508" t="s">
        <v>1842</v>
      </c>
      <c r="H1566" s="1005">
        <v>44047</v>
      </c>
      <c r="I1566" s="1002">
        <v>44052</v>
      </c>
      <c r="J1566" s="1201"/>
    </row>
    <row r="1567" spans="1:10" s="81" customFormat="1" ht="39.950000000000003" customHeight="1" x14ac:dyDescent="0.2">
      <c r="A1567" s="1189" t="s">
        <v>12611</v>
      </c>
      <c r="B1567" s="999" t="s">
        <v>12007</v>
      </c>
      <c r="C1567" s="1000" t="s">
        <v>1219</v>
      </c>
      <c r="D1567" s="1000" t="s">
        <v>12612</v>
      </c>
      <c r="E1567" s="1007">
        <v>1041.06</v>
      </c>
      <c r="F1567" s="508" t="s">
        <v>12613</v>
      </c>
      <c r="G1567" s="508" t="s">
        <v>1842</v>
      </c>
      <c r="H1567" s="1005">
        <v>44047</v>
      </c>
      <c r="I1567" s="1002">
        <v>44052</v>
      </c>
      <c r="J1567" s="1201"/>
    </row>
    <row r="1568" spans="1:10" s="81" customFormat="1" ht="39.950000000000003" customHeight="1" x14ac:dyDescent="0.2">
      <c r="A1568" s="1189" t="s">
        <v>12611</v>
      </c>
      <c r="B1568" s="999" t="s">
        <v>12007</v>
      </c>
      <c r="C1568" s="1000" t="s">
        <v>1219</v>
      </c>
      <c r="D1568" s="1000" t="s">
        <v>12614</v>
      </c>
      <c r="E1568" s="1007">
        <v>2144.5300000000002</v>
      </c>
      <c r="F1568" s="508" t="s">
        <v>12615</v>
      </c>
      <c r="G1568" s="508" t="s">
        <v>1842</v>
      </c>
      <c r="H1568" s="1005">
        <v>44047</v>
      </c>
      <c r="I1568" s="1002">
        <v>44052</v>
      </c>
      <c r="J1568" s="1201"/>
    </row>
    <row r="1569" spans="1:10" s="81" customFormat="1" ht="39.950000000000003" customHeight="1" x14ac:dyDescent="0.2">
      <c r="A1569" s="1189" t="s">
        <v>12616</v>
      </c>
      <c r="B1569" s="999" t="s">
        <v>1928</v>
      </c>
      <c r="C1569" s="1000" t="s">
        <v>1219</v>
      </c>
      <c r="D1569" s="1000" t="s">
        <v>12617</v>
      </c>
      <c r="E1569" s="1007">
        <v>10561</v>
      </c>
      <c r="F1569" s="508" t="s">
        <v>12618</v>
      </c>
      <c r="G1569" s="508" t="s">
        <v>1842</v>
      </c>
      <c r="H1569" s="1005">
        <v>44070</v>
      </c>
      <c r="I1569" s="1002">
        <v>44075</v>
      </c>
      <c r="J1569" s="1201"/>
    </row>
    <row r="1570" spans="1:10" s="81" customFormat="1" ht="39.950000000000003" customHeight="1" x14ac:dyDescent="0.2">
      <c r="A1570" s="1189" t="s">
        <v>12619</v>
      </c>
      <c r="B1570" s="999" t="s">
        <v>1928</v>
      </c>
      <c r="C1570" s="1000" t="s">
        <v>1219</v>
      </c>
      <c r="D1570" s="1000" t="s">
        <v>12620</v>
      </c>
      <c r="E1570" s="1007">
        <v>28800</v>
      </c>
      <c r="F1570" s="508" t="s">
        <v>12202</v>
      </c>
      <c r="G1570" s="508" t="s">
        <v>1842</v>
      </c>
      <c r="H1570" s="1005">
        <v>44083</v>
      </c>
      <c r="I1570" s="1002">
        <v>44109</v>
      </c>
      <c r="J1570" s="1199"/>
    </row>
    <row r="1571" spans="1:10" s="81" customFormat="1" ht="39.950000000000003" customHeight="1" x14ac:dyDescent="0.2">
      <c r="A1571" s="1189" t="s">
        <v>12621</v>
      </c>
      <c r="B1571" s="999" t="s">
        <v>1928</v>
      </c>
      <c r="C1571" s="1000" t="s">
        <v>1219</v>
      </c>
      <c r="D1571" s="1000" t="s">
        <v>12622</v>
      </c>
      <c r="E1571" s="1007">
        <v>30990.43</v>
      </c>
      <c r="F1571" s="508" t="s">
        <v>2136</v>
      </c>
      <c r="G1571" s="508" t="s">
        <v>1842</v>
      </c>
      <c r="H1571" s="1005">
        <v>44083</v>
      </c>
      <c r="I1571" s="1002">
        <v>44088</v>
      </c>
      <c r="J1571" s="1201"/>
    </row>
    <row r="1572" spans="1:10" s="81" customFormat="1" ht="39.950000000000003" customHeight="1" x14ac:dyDescent="0.2">
      <c r="A1572" s="1189" t="s">
        <v>12623</v>
      </c>
      <c r="B1572" s="999" t="s">
        <v>1928</v>
      </c>
      <c r="C1572" s="1000" t="s">
        <v>1219</v>
      </c>
      <c r="D1572" s="1000" t="s">
        <v>12624</v>
      </c>
      <c r="E1572" s="1007">
        <v>2933.4</v>
      </c>
      <c r="F1572" s="508" t="s">
        <v>12030</v>
      </c>
      <c r="G1572" s="508" t="s">
        <v>1842</v>
      </c>
      <c r="H1572" s="1005">
        <v>44098</v>
      </c>
      <c r="I1572" s="1002">
        <v>44116</v>
      </c>
      <c r="J1572" s="1199"/>
    </row>
    <row r="1573" spans="1:10" s="81" customFormat="1" ht="39.950000000000003" customHeight="1" x14ac:dyDescent="0.2">
      <c r="A1573" s="1189" t="s">
        <v>12625</v>
      </c>
      <c r="B1573" s="999" t="s">
        <v>1928</v>
      </c>
      <c r="C1573" s="1000" t="s">
        <v>1219</v>
      </c>
      <c r="D1573" s="1000" t="s">
        <v>12626</v>
      </c>
      <c r="E1573" s="1007">
        <v>121.6</v>
      </c>
      <c r="F1573" s="508" t="s">
        <v>12226</v>
      </c>
      <c r="G1573" s="508" t="s">
        <v>1842</v>
      </c>
      <c r="H1573" s="1005">
        <v>43843</v>
      </c>
      <c r="I1573" s="1002">
        <v>43843</v>
      </c>
      <c r="J1573" s="1199"/>
    </row>
    <row r="1574" spans="1:10" s="81" customFormat="1" ht="39.950000000000003" customHeight="1" x14ac:dyDescent="0.2">
      <c r="A1574" s="1189" t="s">
        <v>12627</v>
      </c>
      <c r="B1574" s="999" t="s">
        <v>1928</v>
      </c>
      <c r="C1574" s="1000" t="s">
        <v>1219</v>
      </c>
      <c r="D1574" s="1000" t="s">
        <v>12628</v>
      </c>
      <c r="E1574" s="1007">
        <v>814</v>
      </c>
      <c r="F1574" s="508" t="s">
        <v>12375</v>
      </c>
      <c r="G1574" s="508" t="s">
        <v>1842</v>
      </c>
      <c r="H1574" s="1005">
        <v>43851</v>
      </c>
      <c r="I1574" s="1002">
        <v>43856</v>
      </c>
      <c r="J1574" s="1199"/>
    </row>
    <row r="1575" spans="1:10" s="81" customFormat="1" ht="39.950000000000003" customHeight="1" x14ac:dyDescent="0.2">
      <c r="A1575" s="1189" t="s">
        <v>12629</v>
      </c>
      <c r="B1575" s="999" t="s">
        <v>1928</v>
      </c>
      <c r="C1575" s="1000" t="s">
        <v>1219</v>
      </c>
      <c r="D1575" s="1000" t="s">
        <v>12630</v>
      </c>
      <c r="E1575" s="1007">
        <v>8449.7000000000007</v>
      </c>
      <c r="F1575" s="508" t="s">
        <v>12226</v>
      </c>
      <c r="G1575" s="508" t="s">
        <v>1842</v>
      </c>
      <c r="H1575" s="1005">
        <v>43859</v>
      </c>
      <c r="I1575" s="1002">
        <v>43859</v>
      </c>
      <c r="J1575" s="1199"/>
    </row>
    <row r="1576" spans="1:10" s="81" customFormat="1" ht="39.950000000000003" customHeight="1" x14ac:dyDescent="0.2">
      <c r="A1576" s="1189" t="s">
        <v>12631</v>
      </c>
      <c r="B1576" s="999" t="s">
        <v>1928</v>
      </c>
      <c r="C1576" s="1000" t="s">
        <v>1219</v>
      </c>
      <c r="D1576" s="1000" t="s">
        <v>12632</v>
      </c>
      <c r="E1576" s="1007">
        <v>940.79</v>
      </c>
      <c r="F1576" s="508" t="s">
        <v>12633</v>
      </c>
      <c r="G1576" s="508" t="s">
        <v>1842</v>
      </c>
      <c r="H1576" s="1005">
        <v>43859</v>
      </c>
      <c r="I1576" s="1002">
        <v>43864</v>
      </c>
      <c r="J1576" s="1199"/>
    </row>
    <row r="1577" spans="1:10" s="81" customFormat="1" ht="39.950000000000003" customHeight="1" x14ac:dyDescent="0.2">
      <c r="A1577" s="1189" t="s">
        <v>12634</v>
      </c>
      <c r="B1577" s="999" t="s">
        <v>1928</v>
      </c>
      <c r="C1577" s="1000" t="s">
        <v>1219</v>
      </c>
      <c r="D1577" s="1000" t="s">
        <v>12635</v>
      </c>
      <c r="E1577" s="1007">
        <v>2903.9</v>
      </c>
      <c r="F1577" s="508" t="s">
        <v>12226</v>
      </c>
      <c r="G1577" s="508" t="s">
        <v>1842</v>
      </c>
      <c r="H1577" s="1005">
        <v>43864</v>
      </c>
      <c r="I1577" s="1002">
        <v>43864</v>
      </c>
      <c r="J1577" s="1199"/>
    </row>
    <row r="1578" spans="1:10" s="81" customFormat="1" ht="39.950000000000003" customHeight="1" x14ac:dyDescent="0.2">
      <c r="A1578" s="1189" t="s">
        <v>12636</v>
      </c>
      <c r="B1578" s="999" t="s">
        <v>1928</v>
      </c>
      <c r="C1578" s="1000" t="s">
        <v>1219</v>
      </c>
      <c r="D1578" s="1000" t="s">
        <v>12637</v>
      </c>
      <c r="E1578" s="1007">
        <v>44.3</v>
      </c>
      <c r="F1578" s="508" t="s">
        <v>12226</v>
      </c>
      <c r="G1578" s="508" t="s">
        <v>1842</v>
      </c>
      <c r="H1578" s="1005">
        <v>43865</v>
      </c>
      <c r="I1578" s="1002">
        <v>43865</v>
      </c>
      <c r="J1578" s="1199"/>
    </row>
    <row r="1579" spans="1:10" s="81" customFormat="1" ht="39.950000000000003" customHeight="1" x14ac:dyDescent="0.2">
      <c r="A1579" s="1189" t="s">
        <v>12638</v>
      </c>
      <c r="B1579" s="999" t="s">
        <v>1928</v>
      </c>
      <c r="C1579" s="1000" t="s">
        <v>1219</v>
      </c>
      <c r="D1579" s="1000" t="s">
        <v>12639</v>
      </c>
      <c r="E1579" s="1007">
        <v>1200</v>
      </c>
      <c r="F1579" s="508" t="s">
        <v>12317</v>
      </c>
      <c r="G1579" s="508" t="s">
        <v>1842</v>
      </c>
      <c r="H1579" s="1005">
        <v>43866</v>
      </c>
      <c r="I1579" s="1002">
        <v>43871</v>
      </c>
      <c r="J1579" s="1199"/>
    </row>
    <row r="1580" spans="1:10" s="81" customFormat="1" ht="39.950000000000003" customHeight="1" x14ac:dyDescent="0.2">
      <c r="A1580" s="1189" t="s">
        <v>12640</v>
      </c>
      <c r="B1580" s="999" t="s">
        <v>1928</v>
      </c>
      <c r="C1580" s="1000" t="s">
        <v>1219</v>
      </c>
      <c r="D1580" s="1000" t="s">
        <v>12641</v>
      </c>
      <c r="E1580" s="1007">
        <v>1400</v>
      </c>
      <c r="F1580" s="508" t="s">
        <v>12268</v>
      </c>
      <c r="G1580" s="508" t="s">
        <v>1842</v>
      </c>
      <c r="H1580" s="1005">
        <v>43868</v>
      </c>
      <c r="I1580" s="1002">
        <v>43873</v>
      </c>
      <c r="J1580" s="1199"/>
    </row>
    <row r="1581" spans="1:10" s="81" customFormat="1" ht="39.950000000000003" customHeight="1" x14ac:dyDescent="0.2">
      <c r="A1581" s="1189" t="s">
        <v>12642</v>
      </c>
      <c r="B1581" s="999" t="s">
        <v>1928</v>
      </c>
      <c r="C1581" s="1000" t="s">
        <v>1219</v>
      </c>
      <c r="D1581" s="1000" t="s">
        <v>12643</v>
      </c>
      <c r="E1581" s="1007">
        <v>900</v>
      </c>
      <c r="F1581" s="508" t="s">
        <v>12268</v>
      </c>
      <c r="G1581" s="508" t="s">
        <v>1842</v>
      </c>
      <c r="H1581" s="1005">
        <v>43868</v>
      </c>
      <c r="I1581" s="1002">
        <v>43873</v>
      </c>
      <c r="J1581" s="1199"/>
    </row>
    <row r="1582" spans="1:10" s="81" customFormat="1" ht="39.950000000000003" customHeight="1" x14ac:dyDescent="0.2">
      <c r="A1582" s="1189" t="s">
        <v>12644</v>
      </c>
      <c r="B1582" s="999" t="s">
        <v>1928</v>
      </c>
      <c r="C1582" s="1000" t="s">
        <v>1219</v>
      </c>
      <c r="D1582" s="1000" t="s">
        <v>12645</v>
      </c>
      <c r="E1582" s="1007">
        <v>1200</v>
      </c>
      <c r="F1582" s="508" t="s">
        <v>12317</v>
      </c>
      <c r="G1582" s="508" t="s">
        <v>1842</v>
      </c>
      <c r="H1582" s="1005">
        <v>43868</v>
      </c>
      <c r="I1582" s="1002">
        <v>43873</v>
      </c>
      <c r="J1582" s="1199"/>
    </row>
    <row r="1583" spans="1:10" s="81" customFormat="1" ht="39.950000000000003" customHeight="1" x14ac:dyDescent="0.2">
      <c r="A1583" s="1189" t="s">
        <v>12646</v>
      </c>
      <c r="B1583" s="999" t="s">
        <v>1928</v>
      </c>
      <c r="C1583" s="1000" t="s">
        <v>12246</v>
      </c>
      <c r="D1583" s="1000" t="s">
        <v>12647</v>
      </c>
      <c r="E1583" s="1007">
        <v>13500</v>
      </c>
      <c r="F1583" s="508" t="s">
        <v>12648</v>
      </c>
      <c r="G1583" s="508" t="s">
        <v>1842</v>
      </c>
      <c r="H1583" s="1005">
        <v>43871</v>
      </c>
      <c r="I1583" s="1002">
        <v>43876</v>
      </c>
      <c r="J1583" s="1199"/>
    </row>
    <row r="1584" spans="1:10" s="81" customFormat="1" ht="39.950000000000003" customHeight="1" x14ac:dyDescent="0.2">
      <c r="A1584" s="1189" t="s">
        <v>12649</v>
      </c>
      <c r="B1584" s="999" t="s">
        <v>1928</v>
      </c>
      <c r="C1584" s="1000" t="s">
        <v>1219</v>
      </c>
      <c r="D1584" s="1000" t="s">
        <v>12650</v>
      </c>
      <c r="E1584" s="1007">
        <v>9891.0300000000007</v>
      </c>
      <c r="F1584" s="508" t="s">
        <v>12310</v>
      </c>
      <c r="G1584" s="508" t="s">
        <v>1842</v>
      </c>
      <c r="H1584" s="1005">
        <v>43871</v>
      </c>
      <c r="I1584" s="1002">
        <v>43876</v>
      </c>
      <c r="J1584" s="1199"/>
    </row>
    <row r="1585" spans="1:10" s="81" customFormat="1" ht="39.950000000000003" customHeight="1" x14ac:dyDescent="0.2">
      <c r="A1585" s="1189" t="s">
        <v>12651</v>
      </c>
      <c r="B1585" s="999" t="s">
        <v>1928</v>
      </c>
      <c r="C1585" s="1000" t="s">
        <v>1219</v>
      </c>
      <c r="D1585" s="1000" t="s">
        <v>12652</v>
      </c>
      <c r="E1585" s="1007">
        <v>7063.8</v>
      </c>
      <c r="F1585" s="508" t="s">
        <v>12226</v>
      </c>
      <c r="G1585" s="508" t="s">
        <v>1842</v>
      </c>
      <c r="H1585" s="1005">
        <v>43888</v>
      </c>
      <c r="I1585" s="1002">
        <v>43888</v>
      </c>
      <c r="J1585" s="1199"/>
    </row>
    <row r="1586" spans="1:10" s="81" customFormat="1" ht="39.950000000000003" customHeight="1" x14ac:dyDescent="0.2">
      <c r="A1586" s="1189" t="s">
        <v>12653</v>
      </c>
      <c r="B1586" s="999" t="s">
        <v>1928</v>
      </c>
      <c r="C1586" s="1000" t="s">
        <v>1219</v>
      </c>
      <c r="D1586" s="1000" t="s">
        <v>12654</v>
      </c>
      <c r="E1586" s="1007">
        <v>1188.7</v>
      </c>
      <c r="F1586" s="508" t="s">
        <v>12226</v>
      </c>
      <c r="G1586" s="508" t="s">
        <v>1842</v>
      </c>
      <c r="H1586" s="1005">
        <v>43888</v>
      </c>
      <c r="I1586" s="1002">
        <v>43888</v>
      </c>
      <c r="J1586" s="1199"/>
    </row>
    <row r="1587" spans="1:10" s="81" customFormat="1" ht="39.950000000000003" customHeight="1" x14ac:dyDescent="0.2">
      <c r="A1587" s="1189" t="s">
        <v>12655</v>
      </c>
      <c r="B1587" s="999" t="s">
        <v>1928</v>
      </c>
      <c r="C1587" s="1000" t="s">
        <v>1219</v>
      </c>
      <c r="D1587" s="1000" t="s">
        <v>12656</v>
      </c>
      <c r="E1587" s="1007">
        <v>14322</v>
      </c>
      <c r="F1587" s="508" t="s">
        <v>12244</v>
      </c>
      <c r="G1587" s="508" t="s">
        <v>1842</v>
      </c>
      <c r="H1587" s="1005">
        <v>43888</v>
      </c>
      <c r="I1587" s="1002">
        <v>43893</v>
      </c>
      <c r="J1587" s="1199"/>
    </row>
    <row r="1588" spans="1:10" s="81" customFormat="1" ht="39.950000000000003" customHeight="1" x14ac:dyDescent="0.2">
      <c r="A1588" s="1189" t="s">
        <v>12657</v>
      </c>
      <c r="B1588" s="999" t="s">
        <v>1928</v>
      </c>
      <c r="C1588" s="1000" t="s">
        <v>1219</v>
      </c>
      <c r="D1588" s="1000" t="s">
        <v>12658</v>
      </c>
      <c r="E1588" s="1007">
        <v>5531.52</v>
      </c>
      <c r="F1588" s="508" t="s">
        <v>12270</v>
      </c>
      <c r="G1588" s="508" t="s">
        <v>1842</v>
      </c>
      <c r="H1588" s="1005">
        <v>43888</v>
      </c>
      <c r="I1588" s="1002">
        <v>43893</v>
      </c>
      <c r="J1588" s="1199"/>
    </row>
    <row r="1589" spans="1:10" s="81" customFormat="1" ht="39.950000000000003" customHeight="1" x14ac:dyDescent="0.2">
      <c r="A1589" s="1189" t="s">
        <v>12659</v>
      </c>
      <c r="B1589" s="999" t="s">
        <v>1928</v>
      </c>
      <c r="C1589" s="1000" t="s">
        <v>1219</v>
      </c>
      <c r="D1589" s="1000" t="s">
        <v>12660</v>
      </c>
      <c r="E1589" s="1007">
        <v>7200</v>
      </c>
      <c r="F1589" s="508" t="s">
        <v>12409</v>
      </c>
      <c r="G1589" s="508" t="s">
        <v>1842</v>
      </c>
      <c r="H1589" s="1005">
        <v>43892</v>
      </c>
      <c r="I1589" s="1002">
        <v>43897</v>
      </c>
      <c r="J1589" s="1199"/>
    </row>
    <row r="1590" spans="1:10" s="81" customFormat="1" ht="39.950000000000003" customHeight="1" x14ac:dyDescent="0.2">
      <c r="A1590" s="1189" t="s">
        <v>12661</v>
      </c>
      <c r="B1590" s="999" t="s">
        <v>1928</v>
      </c>
      <c r="C1590" s="1000" t="s">
        <v>1219</v>
      </c>
      <c r="D1590" s="1000" t="s">
        <v>12662</v>
      </c>
      <c r="E1590" s="1007">
        <v>23.3</v>
      </c>
      <c r="F1590" s="508" t="s">
        <v>12226</v>
      </c>
      <c r="G1590" s="508" t="s">
        <v>1842</v>
      </c>
      <c r="H1590" s="1005">
        <v>43895</v>
      </c>
      <c r="I1590" s="1002">
        <v>43895</v>
      </c>
      <c r="J1590" s="1199"/>
    </row>
    <row r="1591" spans="1:10" s="81" customFormat="1" ht="39.950000000000003" customHeight="1" x14ac:dyDescent="0.2">
      <c r="A1591" s="1189" t="s">
        <v>12663</v>
      </c>
      <c r="B1591" s="999" t="s">
        <v>1928</v>
      </c>
      <c r="C1591" s="1000" t="s">
        <v>1219</v>
      </c>
      <c r="D1591" s="1000" t="s">
        <v>12664</v>
      </c>
      <c r="E1591" s="1007">
        <v>1660</v>
      </c>
      <c r="F1591" s="508" t="s">
        <v>2136</v>
      </c>
      <c r="G1591" s="508" t="s">
        <v>1842</v>
      </c>
      <c r="H1591" s="1005">
        <v>43896</v>
      </c>
      <c r="I1591" s="1002">
        <v>43901</v>
      </c>
      <c r="J1591" s="1199"/>
    </row>
    <row r="1592" spans="1:10" s="81" customFormat="1" ht="39.950000000000003" customHeight="1" x14ac:dyDescent="0.2">
      <c r="A1592" s="1189" t="s">
        <v>12665</v>
      </c>
      <c r="B1592" s="999" t="s">
        <v>1928</v>
      </c>
      <c r="C1592" s="1000" t="s">
        <v>1219</v>
      </c>
      <c r="D1592" s="1000" t="s">
        <v>12666</v>
      </c>
      <c r="E1592" s="1007">
        <v>2064</v>
      </c>
      <c r="F1592" s="508" t="s">
        <v>12270</v>
      </c>
      <c r="G1592" s="508" t="s">
        <v>1842</v>
      </c>
      <c r="H1592" s="1005">
        <v>43946</v>
      </c>
      <c r="I1592" s="1002">
        <v>43951</v>
      </c>
      <c r="J1592" s="1199"/>
    </row>
    <row r="1593" spans="1:10" s="81" customFormat="1" ht="39.950000000000003" customHeight="1" x14ac:dyDescent="0.2">
      <c r="A1593" s="1189" t="s">
        <v>12667</v>
      </c>
      <c r="B1593" s="999" t="s">
        <v>1928</v>
      </c>
      <c r="C1593" s="1000" t="s">
        <v>1219</v>
      </c>
      <c r="D1593" s="1000" t="s">
        <v>12668</v>
      </c>
      <c r="E1593" s="1007">
        <v>3625</v>
      </c>
      <c r="F1593" s="508" t="s">
        <v>12509</v>
      </c>
      <c r="G1593" s="508" t="s">
        <v>1842</v>
      </c>
      <c r="H1593" s="1005">
        <v>43946</v>
      </c>
      <c r="I1593" s="1002">
        <v>43951</v>
      </c>
      <c r="J1593" s="1199"/>
    </row>
    <row r="1594" spans="1:10" s="81" customFormat="1" ht="39.950000000000003" customHeight="1" x14ac:dyDescent="0.2">
      <c r="A1594" s="1189" t="s">
        <v>12669</v>
      </c>
      <c r="B1594" s="999" t="s">
        <v>1928</v>
      </c>
      <c r="C1594" s="1000" t="s">
        <v>1219</v>
      </c>
      <c r="D1594" s="1000" t="s">
        <v>12670</v>
      </c>
      <c r="E1594" s="1007">
        <v>1200</v>
      </c>
      <c r="F1594" s="508" t="s">
        <v>12412</v>
      </c>
      <c r="G1594" s="508" t="s">
        <v>1842</v>
      </c>
      <c r="H1594" s="1005">
        <v>43946</v>
      </c>
      <c r="I1594" s="1002">
        <v>43951</v>
      </c>
      <c r="J1594" s="1199"/>
    </row>
    <row r="1595" spans="1:10" s="81" customFormat="1" ht="39.950000000000003" customHeight="1" x14ac:dyDescent="0.2">
      <c r="A1595" s="1189" t="s">
        <v>12671</v>
      </c>
      <c r="B1595" s="999" t="s">
        <v>1928</v>
      </c>
      <c r="C1595" s="1000" t="s">
        <v>1219</v>
      </c>
      <c r="D1595" s="1000" t="s">
        <v>12672</v>
      </c>
      <c r="E1595" s="1007">
        <v>180</v>
      </c>
      <c r="F1595" s="508" t="s">
        <v>12673</v>
      </c>
      <c r="G1595" s="508" t="s">
        <v>1842</v>
      </c>
      <c r="H1595" s="1005">
        <v>43946</v>
      </c>
      <c r="I1595" s="1002">
        <v>43951</v>
      </c>
      <c r="J1595" s="1199"/>
    </row>
    <row r="1596" spans="1:10" s="81" customFormat="1" ht="39.950000000000003" customHeight="1" x14ac:dyDescent="0.2">
      <c r="A1596" s="1189" t="s">
        <v>12674</v>
      </c>
      <c r="B1596" s="999" t="s">
        <v>1928</v>
      </c>
      <c r="C1596" s="1000" t="s">
        <v>1219</v>
      </c>
      <c r="D1596" s="1000" t="s">
        <v>12675</v>
      </c>
      <c r="E1596" s="1007">
        <v>1200</v>
      </c>
      <c r="F1596" s="508" t="s">
        <v>12317</v>
      </c>
      <c r="G1596" s="508" t="s">
        <v>1842</v>
      </c>
      <c r="H1596" s="1005">
        <v>43948</v>
      </c>
      <c r="I1596" s="1002">
        <v>43953</v>
      </c>
      <c r="J1596" s="1199"/>
    </row>
    <row r="1597" spans="1:10" s="81" customFormat="1" ht="39.950000000000003" customHeight="1" x14ac:dyDescent="0.2">
      <c r="A1597" s="1189" t="s">
        <v>12676</v>
      </c>
      <c r="B1597" s="999" t="s">
        <v>1928</v>
      </c>
      <c r="C1597" s="1000" t="s">
        <v>1219</v>
      </c>
      <c r="D1597" s="1000" t="s">
        <v>12677</v>
      </c>
      <c r="E1597" s="1007">
        <v>1400</v>
      </c>
      <c r="F1597" s="508" t="s">
        <v>12268</v>
      </c>
      <c r="G1597" s="508" t="s">
        <v>1842</v>
      </c>
      <c r="H1597" s="1005">
        <v>43948</v>
      </c>
      <c r="I1597" s="1002">
        <v>43953</v>
      </c>
      <c r="J1597" s="1199"/>
    </row>
    <row r="1598" spans="1:10" s="81" customFormat="1" ht="39.950000000000003" customHeight="1" x14ac:dyDescent="0.2">
      <c r="A1598" s="1189" t="s">
        <v>12678</v>
      </c>
      <c r="B1598" s="999" t="s">
        <v>1928</v>
      </c>
      <c r="C1598" s="1000" t="s">
        <v>1219</v>
      </c>
      <c r="D1598" s="1000" t="s">
        <v>12679</v>
      </c>
      <c r="E1598" s="1007">
        <v>900</v>
      </c>
      <c r="F1598" s="508" t="s">
        <v>12268</v>
      </c>
      <c r="G1598" s="508" t="s">
        <v>1842</v>
      </c>
      <c r="H1598" s="1005">
        <v>43948</v>
      </c>
      <c r="I1598" s="1002">
        <v>43953</v>
      </c>
      <c r="J1598" s="1199"/>
    </row>
    <row r="1599" spans="1:10" s="81" customFormat="1" ht="39.950000000000003" customHeight="1" x14ac:dyDescent="0.2">
      <c r="A1599" s="1189" t="s">
        <v>12680</v>
      </c>
      <c r="B1599" s="999" t="s">
        <v>1928</v>
      </c>
      <c r="C1599" s="1000" t="s">
        <v>1219</v>
      </c>
      <c r="D1599" s="1000" t="s">
        <v>12681</v>
      </c>
      <c r="E1599" s="1007">
        <v>2283</v>
      </c>
      <c r="F1599" s="508" t="s">
        <v>12226</v>
      </c>
      <c r="G1599" s="508" t="s">
        <v>1842</v>
      </c>
      <c r="H1599" s="1005">
        <v>43950</v>
      </c>
      <c r="I1599" s="1002">
        <v>43950</v>
      </c>
      <c r="J1599" s="1199"/>
    </row>
    <row r="1600" spans="1:10" s="81" customFormat="1" ht="39.950000000000003" customHeight="1" x14ac:dyDescent="0.2">
      <c r="A1600" s="1189" t="s">
        <v>12682</v>
      </c>
      <c r="B1600" s="999" t="s">
        <v>1928</v>
      </c>
      <c r="C1600" s="1000" t="s">
        <v>1219</v>
      </c>
      <c r="D1600" s="1000" t="s">
        <v>12683</v>
      </c>
      <c r="E1600" s="1007">
        <v>11861.2</v>
      </c>
      <c r="F1600" s="508" t="s">
        <v>12226</v>
      </c>
      <c r="G1600" s="508" t="s">
        <v>1842</v>
      </c>
      <c r="H1600" s="1005">
        <v>43955</v>
      </c>
      <c r="I1600" s="1002">
        <v>43955</v>
      </c>
      <c r="J1600" s="1199"/>
    </row>
    <row r="1601" spans="1:10" s="81" customFormat="1" ht="39.950000000000003" customHeight="1" x14ac:dyDescent="0.2">
      <c r="A1601" s="1189" t="s">
        <v>12684</v>
      </c>
      <c r="B1601" s="999" t="s">
        <v>1928</v>
      </c>
      <c r="C1601" s="1000" t="s">
        <v>1219</v>
      </c>
      <c r="D1601" s="1000" t="s">
        <v>12685</v>
      </c>
      <c r="E1601" s="1007">
        <v>510.2</v>
      </c>
      <c r="F1601" s="508" t="s">
        <v>12226</v>
      </c>
      <c r="G1601" s="508" t="s">
        <v>1842</v>
      </c>
      <c r="H1601" s="1005">
        <v>43963</v>
      </c>
      <c r="I1601" s="1002">
        <v>43963</v>
      </c>
      <c r="J1601" s="1199"/>
    </row>
    <row r="1602" spans="1:10" s="81" customFormat="1" ht="39.950000000000003" customHeight="1" x14ac:dyDescent="0.2">
      <c r="A1602" s="1189" t="s">
        <v>12686</v>
      </c>
      <c r="B1602" s="999" t="s">
        <v>1928</v>
      </c>
      <c r="C1602" s="1000" t="s">
        <v>1219</v>
      </c>
      <c r="D1602" s="1000" t="s">
        <v>12687</v>
      </c>
      <c r="E1602" s="1007">
        <v>1400</v>
      </c>
      <c r="F1602" s="508" t="s">
        <v>12268</v>
      </c>
      <c r="G1602" s="508" t="s">
        <v>1842</v>
      </c>
      <c r="H1602" s="1005">
        <v>43963</v>
      </c>
      <c r="I1602" s="1002">
        <v>43968</v>
      </c>
      <c r="J1602" s="1199"/>
    </row>
    <row r="1603" spans="1:10" s="81" customFormat="1" ht="39.950000000000003" customHeight="1" x14ac:dyDescent="0.2">
      <c r="A1603" s="1189" t="s">
        <v>12688</v>
      </c>
      <c r="B1603" s="999" t="s">
        <v>1928</v>
      </c>
      <c r="C1603" s="1000" t="s">
        <v>1219</v>
      </c>
      <c r="D1603" s="1000" t="s">
        <v>12689</v>
      </c>
      <c r="E1603" s="1007">
        <v>900</v>
      </c>
      <c r="F1603" s="508" t="s">
        <v>12268</v>
      </c>
      <c r="G1603" s="508" t="s">
        <v>1842</v>
      </c>
      <c r="H1603" s="1005">
        <v>43963</v>
      </c>
      <c r="I1603" s="1002">
        <v>43968</v>
      </c>
      <c r="J1603" s="1199"/>
    </row>
    <row r="1604" spans="1:10" s="81" customFormat="1" ht="39.950000000000003" customHeight="1" x14ac:dyDescent="0.2">
      <c r="A1604" s="1189" t="s">
        <v>12690</v>
      </c>
      <c r="B1604" s="999" t="s">
        <v>1928</v>
      </c>
      <c r="C1604" s="1000" t="s">
        <v>1219</v>
      </c>
      <c r="D1604" s="1000" t="s">
        <v>12691</v>
      </c>
      <c r="E1604" s="1007">
        <v>821.25</v>
      </c>
      <c r="F1604" s="508" t="s">
        <v>12692</v>
      </c>
      <c r="G1604" s="508" t="s">
        <v>1842</v>
      </c>
      <c r="H1604" s="1005">
        <v>43970</v>
      </c>
      <c r="I1604" s="1002">
        <v>43975</v>
      </c>
      <c r="J1604" s="1199"/>
    </row>
    <row r="1605" spans="1:10" s="81" customFormat="1" ht="39.950000000000003" customHeight="1" x14ac:dyDescent="0.2">
      <c r="A1605" s="1189" t="s">
        <v>12693</v>
      </c>
      <c r="B1605" s="999" t="s">
        <v>1928</v>
      </c>
      <c r="C1605" s="1000" t="s">
        <v>1219</v>
      </c>
      <c r="D1605" s="1000" t="s">
        <v>12694</v>
      </c>
      <c r="E1605" s="1007">
        <v>985.5</v>
      </c>
      <c r="F1605" s="508" t="s">
        <v>12695</v>
      </c>
      <c r="G1605" s="508" t="s">
        <v>1842</v>
      </c>
      <c r="H1605" s="1005">
        <v>43970</v>
      </c>
      <c r="I1605" s="1002">
        <v>43975</v>
      </c>
      <c r="J1605" s="1199"/>
    </row>
    <row r="1606" spans="1:10" s="81" customFormat="1" ht="39.950000000000003" customHeight="1" x14ac:dyDescent="0.2">
      <c r="A1606" s="1189" t="s">
        <v>12696</v>
      </c>
      <c r="B1606" s="999" t="s">
        <v>1928</v>
      </c>
      <c r="C1606" s="1000" t="s">
        <v>1219</v>
      </c>
      <c r="D1606" s="1000" t="s">
        <v>12697</v>
      </c>
      <c r="E1606" s="1007">
        <v>150</v>
      </c>
      <c r="F1606" s="508" t="s">
        <v>2270</v>
      </c>
      <c r="G1606" s="508" t="s">
        <v>1842</v>
      </c>
      <c r="H1606" s="1005">
        <v>43971</v>
      </c>
      <c r="I1606" s="1002">
        <v>43976</v>
      </c>
      <c r="J1606" s="1199"/>
    </row>
    <row r="1607" spans="1:10" s="81" customFormat="1" ht="39.950000000000003" customHeight="1" x14ac:dyDescent="0.2">
      <c r="A1607" s="1189" t="s">
        <v>12698</v>
      </c>
      <c r="B1607" s="999" t="s">
        <v>1928</v>
      </c>
      <c r="C1607" s="1000" t="s">
        <v>1219</v>
      </c>
      <c r="D1607" s="1000" t="s">
        <v>12699</v>
      </c>
      <c r="E1607" s="1007">
        <v>1200</v>
      </c>
      <c r="F1607" s="508" t="s">
        <v>12700</v>
      </c>
      <c r="G1607" s="508" t="s">
        <v>1842</v>
      </c>
      <c r="H1607" s="1005">
        <v>43971</v>
      </c>
      <c r="I1607" s="1002">
        <v>43976</v>
      </c>
      <c r="J1607" s="1199"/>
    </row>
    <row r="1608" spans="1:10" s="81" customFormat="1" ht="39.950000000000003" customHeight="1" x14ac:dyDescent="0.2">
      <c r="A1608" s="1189" t="s">
        <v>12701</v>
      </c>
      <c r="B1608" s="999" t="s">
        <v>1928</v>
      </c>
      <c r="C1608" s="1000" t="s">
        <v>1219</v>
      </c>
      <c r="D1608" s="1000" t="s">
        <v>12702</v>
      </c>
      <c r="E1608" s="1007">
        <v>1400</v>
      </c>
      <c r="F1608" s="508" t="s">
        <v>12268</v>
      </c>
      <c r="G1608" s="508" t="s">
        <v>1842</v>
      </c>
      <c r="H1608" s="1005">
        <v>43983</v>
      </c>
      <c r="I1608" s="1002">
        <v>43988</v>
      </c>
      <c r="J1608" s="1199"/>
    </row>
    <row r="1609" spans="1:10" s="81" customFormat="1" ht="39.950000000000003" customHeight="1" x14ac:dyDescent="0.2">
      <c r="A1609" s="1189" t="s">
        <v>12703</v>
      </c>
      <c r="B1609" s="999" t="s">
        <v>1928</v>
      </c>
      <c r="C1609" s="1000" t="s">
        <v>1219</v>
      </c>
      <c r="D1609" s="1000" t="s">
        <v>12704</v>
      </c>
      <c r="E1609" s="1007">
        <v>900</v>
      </c>
      <c r="F1609" s="508" t="s">
        <v>12268</v>
      </c>
      <c r="G1609" s="508" t="s">
        <v>1842</v>
      </c>
      <c r="H1609" s="1005">
        <v>43983</v>
      </c>
      <c r="I1609" s="1002">
        <v>43988</v>
      </c>
      <c r="J1609" s="1199"/>
    </row>
    <row r="1610" spans="1:10" s="81" customFormat="1" ht="39.950000000000003" customHeight="1" x14ac:dyDescent="0.2">
      <c r="A1610" s="1189" t="s">
        <v>12705</v>
      </c>
      <c r="B1610" s="999" t="s">
        <v>1928</v>
      </c>
      <c r="C1610" s="1000" t="s">
        <v>1219</v>
      </c>
      <c r="D1610" s="1000" t="s">
        <v>12706</v>
      </c>
      <c r="E1610" s="1007">
        <v>3000</v>
      </c>
      <c r="F1610" s="508" t="s">
        <v>12317</v>
      </c>
      <c r="G1610" s="508" t="s">
        <v>1842</v>
      </c>
      <c r="H1610" s="1005">
        <v>43987</v>
      </c>
      <c r="I1610" s="1002">
        <v>43992</v>
      </c>
      <c r="J1610" s="1199"/>
    </row>
    <row r="1611" spans="1:10" s="81" customFormat="1" ht="39.950000000000003" customHeight="1" x14ac:dyDescent="0.2">
      <c r="A1611" s="1189" t="s">
        <v>12707</v>
      </c>
      <c r="B1611" s="999" t="s">
        <v>1928</v>
      </c>
      <c r="C1611" s="1000" t="s">
        <v>1219</v>
      </c>
      <c r="D1611" s="1000" t="s">
        <v>12708</v>
      </c>
      <c r="E1611" s="1007">
        <v>5000</v>
      </c>
      <c r="F1611" s="508" t="s">
        <v>12409</v>
      </c>
      <c r="G1611" s="508" t="s">
        <v>1842</v>
      </c>
      <c r="H1611" s="1005">
        <v>43987</v>
      </c>
      <c r="I1611" s="1002">
        <v>43992</v>
      </c>
      <c r="J1611" s="1199"/>
    </row>
    <row r="1612" spans="1:10" s="81" customFormat="1" ht="39.950000000000003" customHeight="1" x14ac:dyDescent="0.2">
      <c r="A1612" s="1189" t="s">
        <v>12709</v>
      </c>
      <c r="B1612" s="999" t="s">
        <v>1928</v>
      </c>
      <c r="C1612" s="1000" t="s">
        <v>1219</v>
      </c>
      <c r="D1612" s="1000" t="s">
        <v>12710</v>
      </c>
      <c r="E1612" s="1007">
        <v>470</v>
      </c>
      <c r="F1612" s="508" t="s">
        <v>12307</v>
      </c>
      <c r="G1612" s="508" t="s">
        <v>1842</v>
      </c>
      <c r="H1612" s="1005">
        <v>43990</v>
      </c>
      <c r="I1612" s="1002">
        <v>43995</v>
      </c>
      <c r="J1612" s="1199"/>
    </row>
    <row r="1613" spans="1:10" s="81" customFormat="1" ht="39.950000000000003" customHeight="1" x14ac:dyDescent="0.2">
      <c r="A1613" s="1189" t="s">
        <v>12711</v>
      </c>
      <c r="B1613" s="999" t="s">
        <v>1928</v>
      </c>
      <c r="C1613" s="1000" t="s">
        <v>1219</v>
      </c>
      <c r="D1613" s="1000" t="s">
        <v>12712</v>
      </c>
      <c r="E1613" s="1007">
        <v>1305</v>
      </c>
      <c r="F1613" s="508" t="s">
        <v>12692</v>
      </c>
      <c r="G1613" s="508" t="s">
        <v>1842</v>
      </c>
      <c r="H1613" s="1005">
        <v>43991</v>
      </c>
      <c r="I1613" s="1002">
        <v>43996</v>
      </c>
      <c r="J1613" s="1199"/>
    </row>
    <row r="1614" spans="1:10" s="81" customFormat="1" ht="39.950000000000003" customHeight="1" x14ac:dyDescent="0.2">
      <c r="A1614" s="1189" t="s">
        <v>12713</v>
      </c>
      <c r="B1614" s="999" t="s">
        <v>1928</v>
      </c>
      <c r="C1614" s="1000" t="s">
        <v>1219</v>
      </c>
      <c r="D1614" s="1000" t="s">
        <v>12714</v>
      </c>
      <c r="E1614" s="1007">
        <v>1792.19</v>
      </c>
      <c r="F1614" s="508" t="s">
        <v>12695</v>
      </c>
      <c r="G1614" s="508" t="s">
        <v>1842</v>
      </c>
      <c r="H1614" s="1005">
        <v>43991</v>
      </c>
      <c r="I1614" s="1002">
        <v>43996</v>
      </c>
      <c r="J1614" s="1199"/>
    </row>
    <row r="1615" spans="1:10" s="81" customFormat="1" ht="39.950000000000003" customHeight="1" x14ac:dyDescent="0.2">
      <c r="A1615" s="1189" t="s">
        <v>12715</v>
      </c>
      <c r="B1615" s="999" t="s">
        <v>1928</v>
      </c>
      <c r="C1615" s="1000" t="s">
        <v>1219</v>
      </c>
      <c r="D1615" s="1000" t="s">
        <v>12716</v>
      </c>
      <c r="E1615" s="1007">
        <v>7347.2</v>
      </c>
      <c r="F1615" s="508" t="s">
        <v>12226</v>
      </c>
      <c r="G1615" s="508" t="s">
        <v>1842</v>
      </c>
      <c r="H1615" s="1005">
        <v>43994</v>
      </c>
      <c r="I1615" s="1002">
        <v>43994</v>
      </c>
      <c r="J1615" s="1199"/>
    </row>
    <row r="1616" spans="1:10" s="81" customFormat="1" ht="39.950000000000003" customHeight="1" x14ac:dyDescent="0.2">
      <c r="A1616" s="1189" t="s">
        <v>12717</v>
      </c>
      <c r="B1616" s="999" t="s">
        <v>1928</v>
      </c>
      <c r="C1616" s="1000" t="s">
        <v>1219</v>
      </c>
      <c r="D1616" s="1000" t="s">
        <v>12718</v>
      </c>
      <c r="E1616" s="1007">
        <v>1500</v>
      </c>
      <c r="F1616" s="508" t="s">
        <v>12317</v>
      </c>
      <c r="G1616" s="508" t="s">
        <v>1842</v>
      </c>
      <c r="H1616" s="1005">
        <v>44007</v>
      </c>
      <c r="I1616" s="1002">
        <v>44012</v>
      </c>
      <c r="J1616" s="1199"/>
    </row>
    <row r="1617" spans="1:10" s="81" customFormat="1" ht="39.950000000000003" customHeight="1" x14ac:dyDescent="0.2">
      <c r="A1617" s="1189" t="s">
        <v>12719</v>
      </c>
      <c r="B1617" s="999" t="s">
        <v>1928</v>
      </c>
      <c r="C1617" s="1000" t="s">
        <v>1219</v>
      </c>
      <c r="D1617" s="1000" t="s">
        <v>12720</v>
      </c>
      <c r="E1617" s="1007">
        <v>2500</v>
      </c>
      <c r="F1617" s="508" t="s">
        <v>12409</v>
      </c>
      <c r="G1617" s="508" t="s">
        <v>1842</v>
      </c>
      <c r="H1617" s="1005">
        <v>44007</v>
      </c>
      <c r="I1617" s="1002">
        <v>44012</v>
      </c>
      <c r="J1617" s="1199"/>
    </row>
    <row r="1618" spans="1:10" s="81" customFormat="1" ht="39.950000000000003" customHeight="1" x14ac:dyDescent="0.2">
      <c r="A1618" s="1189" t="s">
        <v>12721</v>
      </c>
      <c r="B1618" s="999" t="s">
        <v>1928</v>
      </c>
      <c r="C1618" s="1000" t="s">
        <v>1219</v>
      </c>
      <c r="D1618" s="1000" t="s">
        <v>12722</v>
      </c>
      <c r="E1618" s="1007">
        <v>1400</v>
      </c>
      <c r="F1618" s="508" t="s">
        <v>12268</v>
      </c>
      <c r="G1618" s="508" t="s">
        <v>1842</v>
      </c>
      <c r="H1618" s="1005">
        <v>44014</v>
      </c>
      <c r="I1618" s="1002">
        <v>44019</v>
      </c>
      <c r="J1618" s="1199"/>
    </row>
    <row r="1619" spans="1:10" s="81" customFormat="1" ht="39.950000000000003" customHeight="1" x14ac:dyDescent="0.2">
      <c r="A1619" s="1189" t="s">
        <v>12723</v>
      </c>
      <c r="B1619" s="999" t="s">
        <v>1928</v>
      </c>
      <c r="C1619" s="1000" t="s">
        <v>1219</v>
      </c>
      <c r="D1619" s="1000" t="s">
        <v>12724</v>
      </c>
      <c r="E1619" s="1007">
        <v>900</v>
      </c>
      <c r="F1619" s="508" t="s">
        <v>12268</v>
      </c>
      <c r="G1619" s="508" t="s">
        <v>1842</v>
      </c>
      <c r="H1619" s="1005">
        <v>44014</v>
      </c>
      <c r="I1619" s="1002">
        <v>44019</v>
      </c>
      <c r="J1619" s="1199"/>
    </row>
    <row r="1620" spans="1:10" s="81" customFormat="1" ht="39.950000000000003" customHeight="1" x14ac:dyDescent="0.2">
      <c r="A1620" s="1189" t="s">
        <v>12725</v>
      </c>
      <c r="B1620" s="999" t="s">
        <v>1928</v>
      </c>
      <c r="C1620" s="1000" t="s">
        <v>1219</v>
      </c>
      <c r="D1620" s="1000" t="s">
        <v>12726</v>
      </c>
      <c r="E1620" s="1007">
        <v>6308.1</v>
      </c>
      <c r="F1620" s="508" t="s">
        <v>12226</v>
      </c>
      <c r="G1620" s="508" t="s">
        <v>1842</v>
      </c>
      <c r="H1620" s="1005">
        <v>44019</v>
      </c>
      <c r="I1620" s="1002">
        <v>44019</v>
      </c>
      <c r="J1620" s="1199"/>
    </row>
    <row r="1621" spans="1:10" s="81" customFormat="1" ht="39.950000000000003" customHeight="1" x14ac:dyDescent="0.2">
      <c r="A1621" s="1189" t="s">
        <v>12727</v>
      </c>
      <c r="B1621" s="999" t="s">
        <v>1928</v>
      </c>
      <c r="C1621" s="1000" t="s">
        <v>1219</v>
      </c>
      <c r="D1621" s="1000" t="s">
        <v>12728</v>
      </c>
      <c r="E1621" s="1007">
        <v>2506</v>
      </c>
      <c r="F1621" s="508" t="s">
        <v>12226</v>
      </c>
      <c r="G1621" s="508" t="s">
        <v>1842</v>
      </c>
      <c r="H1621" s="1005">
        <v>44021</v>
      </c>
      <c r="I1621" s="1002">
        <v>44021</v>
      </c>
      <c r="J1621" s="1199"/>
    </row>
    <row r="1622" spans="1:10" s="81" customFormat="1" ht="39.950000000000003" customHeight="1" x14ac:dyDescent="0.2">
      <c r="A1622" s="1189" t="s">
        <v>12729</v>
      </c>
      <c r="B1622" s="999" t="s">
        <v>1928</v>
      </c>
      <c r="C1622" s="1000" t="s">
        <v>1219</v>
      </c>
      <c r="D1622" s="1000" t="s">
        <v>12730</v>
      </c>
      <c r="E1622" s="1007">
        <v>1816</v>
      </c>
      <c r="F1622" s="508" t="s">
        <v>12695</v>
      </c>
      <c r="G1622" s="508" t="s">
        <v>1842</v>
      </c>
      <c r="H1622" s="1005">
        <v>44021</v>
      </c>
      <c r="I1622" s="1002">
        <v>44026</v>
      </c>
      <c r="J1622" s="1199"/>
    </row>
    <row r="1623" spans="1:10" s="81" customFormat="1" ht="39.950000000000003" customHeight="1" x14ac:dyDescent="0.2">
      <c r="A1623" s="1189" t="s">
        <v>12731</v>
      </c>
      <c r="B1623" s="999" t="s">
        <v>1928</v>
      </c>
      <c r="C1623" s="1000" t="s">
        <v>1219</v>
      </c>
      <c r="D1623" s="1000" t="s">
        <v>12732</v>
      </c>
      <c r="E1623" s="1007">
        <v>1455</v>
      </c>
      <c r="F1623" s="508" t="s">
        <v>12692</v>
      </c>
      <c r="G1623" s="508" t="s">
        <v>1842</v>
      </c>
      <c r="H1623" s="1005">
        <v>44025</v>
      </c>
      <c r="I1623" s="1002">
        <v>44030</v>
      </c>
      <c r="J1623" s="1199"/>
    </row>
    <row r="1624" spans="1:10" s="81" customFormat="1" ht="39.950000000000003" customHeight="1" x14ac:dyDescent="0.2">
      <c r="A1624" s="1189" t="s">
        <v>12733</v>
      </c>
      <c r="B1624" s="999" t="s">
        <v>1928</v>
      </c>
      <c r="C1624" s="1000" t="s">
        <v>1219</v>
      </c>
      <c r="D1624" s="1000" t="s">
        <v>12734</v>
      </c>
      <c r="E1624" s="1007">
        <v>1800</v>
      </c>
      <c r="F1624" s="508" t="s">
        <v>12254</v>
      </c>
      <c r="G1624" s="508" t="s">
        <v>1842</v>
      </c>
      <c r="H1624" s="1005">
        <v>44041</v>
      </c>
      <c r="I1624" s="1002">
        <v>44046</v>
      </c>
      <c r="J1624" s="1199"/>
    </row>
    <row r="1625" spans="1:10" s="81" customFormat="1" ht="39.950000000000003" customHeight="1" x14ac:dyDescent="0.2">
      <c r="A1625" s="1189" t="s">
        <v>12735</v>
      </c>
      <c r="B1625" s="999" t="s">
        <v>1928</v>
      </c>
      <c r="C1625" s="1000" t="s">
        <v>1219</v>
      </c>
      <c r="D1625" s="1000" t="s">
        <v>12736</v>
      </c>
      <c r="E1625" s="1007">
        <v>900</v>
      </c>
      <c r="F1625" s="508" t="s">
        <v>12268</v>
      </c>
      <c r="G1625" s="508" t="s">
        <v>1842</v>
      </c>
      <c r="H1625" s="1005">
        <v>44041</v>
      </c>
      <c r="I1625" s="1002">
        <v>44046</v>
      </c>
      <c r="J1625" s="1199"/>
    </row>
    <row r="1626" spans="1:10" s="81" customFormat="1" ht="39.950000000000003" customHeight="1" x14ac:dyDescent="0.2">
      <c r="A1626" s="1189" t="s">
        <v>12737</v>
      </c>
      <c r="B1626" s="999" t="s">
        <v>1928</v>
      </c>
      <c r="C1626" s="1000" t="s">
        <v>1219</v>
      </c>
      <c r="D1626" s="1000" t="s">
        <v>12738</v>
      </c>
      <c r="E1626" s="1007">
        <v>1400</v>
      </c>
      <c r="F1626" s="508" t="s">
        <v>12268</v>
      </c>
      <c r="G1626" s="508" t="s">
        <v>1842</v>
      </c>
      <c r="H1626" s="1005">
        <v>44041</v>
      </c>
      <c r="I1626" s="1002">
        <v>44046</v>
      </c>
      <c r="J1626" s="1199"/>
    </row>
    <row r="1627" spans="1:10" s="81" customFormat="1" ht="39.950000000000003" customHeight="1" x14ac:dyDescent="0.2">
      <c r="A1627" s="1189" t="s">
        <v>12739</v>
      </c>
      <c r="B1627" s="999" t="s">
        <v>1928</v>
      </c>
      <c r="C1627" s="1000" t="s">
        <v>1219</v>
      </c>
      <c r="D1627" s="1000" t="s">
        <v>12740</v>
      </c>
      <c r="E1627" s="1007">
        <v>900</v>
      </c>
      <c r="F1627" s="508" t="s">
        <v>12268</v>
      </c>
      <c r="G1627" s="508" t="s">
        <v>1842</v>
      </c>
      <c r="H1627" s="1005">
        <v>44041</v>
      </c>
      <c r="I1627" s="1002">
        <v>44046</v>
      </c>
      <c r="J1627" s="1199"/>
    </row>
    <row r="1628" spans="1:10" s="81" customFormat="1" ht="39.950000000000003" customHeight="1" x14ac:dyDescent="0.2">
      <c r="A1628" s="1189" t="s">
        <v>12741</v>
      </c>
      <c r="B1628" s="999" t="s">
        <v>1928</v>
      </c>
      <c r="C1628" s="1000" t="s">
        <v>1219</v>
      </c>
      <c r="D1628" s="1000" t="s">
        <v>12742</v>
      </c>
      <c r="E1628" s="1007">
        <v>1500</v>
      </c>
      <c r="F1628" s="508" t="s">
        <v>12317</v>
      </c>
      <c r="G1628" s="508" t="s">
        <v>1842</v>
      </c>
      <c r="H1628" s="1005">
        <v>44041</v>
      </c>
      <c r="I1628" s="1002">
        <v>44046</v>
      </c>
      <c r="J1628" s="1199"/>
    </row>
    <row r="1629" spans="1:10" s="81" customFormat="1" ht="39.950000000000003" customHeight="1" x14ac:dyDescent="0.2">
      <c r="A1629" s="1189" t="s">
        <v>12743</v>
      </c>
      <c r="B1629" s="999" t="s">
        <v>1928</v>
      </c>
      <c r="C1629" s="1000" t="s">
        <v>1219</v>
      </c>
      <c r="D1629" s="1000" t="s">
        <v>12744</v>
      </c>
      <c r="E1629" s="1007">
        <v>2500</v>
      </c>
      <c r="F1629" s="508" t="s">
        <v>12409</v>
      </c>
      <c r="G1629" s="508" t="s">
        <v>1842</v>
      </c>
      <c r="H1629" s="1005">
        <v>44041</v>
      </c>
      <c r="I1629" s="1002">
        <v>44046</v>
      </c>
      <c r="J1629" s="1199"/>
    </row>
    <row r="1630" spans="1:10" s="81" customFormat="1" ht="39.950000000000003" customHeight="1" x14ac:dyDescent="0.2">
      <c r="A1630" s="1189" t="s">
        <v>12745</v>
      </c>
      <c r="B1630" s="999" t="s">
        <v>1928</v>
      </c>
      <c r="C1630" s="1000" t="s">
        <v>1219</v>
      </c>
      <c r="D1630" s="1000" t="s">
        <v>12746</v>
      </c>
      <c r="E1630" s="1007">
        <v>750</v>
      </c>
      <c r="F1630" s="508" t="s">
        <v>12747</v>
      </c>
      <c r="G1630" s="508" t="s">
        <v>1842</v>
      </c>
      <c r="H1630" s="1005">
        <v>44047</v>
      </c>
      <c r="I1630" s="1002">
        <v>44052</v>
      </c>
      <c r="J1630" s="1199"/>
    </row>
    <row r="1631" spans="1:10" s="81" customFormat="1" ht="39.950000000000003" customHeight="1" x14ac:dyDescent="0.2">
      <c r="A1631" s="1189" t="s">
        <v>12748</v>
      </c>
      <c r="B1631" s="999" t="s">
        <v>1928</v>
      </c>
      <c r="C1631" s="1000" t="s">
        <v>1219</v>
      </c>
      <c r="D1631" s="1000" t="s">
        <v>12749</v>
      </c>
      <c r="E1631" s="1007">
        <v>6571</v>
      </c>
      <c r="F1631" s="508" t="s">
        <v>12226</v>
      </c>
      <c r="G1631" s="508" t="s">
        <v>1842</v>
      </c>
      <c r="H1631" s="1005">
        <v>44047</v>
      </c>
      <c r="I1631" s="1002">
        <v>44047</v>
      </c>
      <c r="J1631" s="1199"/>
    </row>
    <row r="1632" spans="1:10" s="81" customFormat="1" ht="39.950000000000003" customHeight="1" x14ac:dyDescent="0.2">
      <c r="A1632" s="1189" t="s">
        <v>12750</v>
      </c>
      <c r="B1632" s="999" t="s">
        <v>1928</v>
      </c>
      <c r="C1632" s="1000" t="s">
        <v>1219</v>
      </c>
      <c r="D1632" s="1000" t="s">
        <v>12751</v>
      </c>
      <c r="E1632" s="1007">
        <v>1063.4000000000001</v>
      </c>
      <c r="F1632" s="508" t="s">
        <v>12226</v>
      </c>
      <c r="G1632" s="508" t="s">
        <v>1842</v>
      </c>
      <c r="H1632" s="1005">
        <v>44049</v>
      </c>
      <c r="I1632" s="1002">
        <v>44049</v>
      </c>
      <c r="J1632" s="1199"/>
    </row>
    <row r="1633" spans="1:10" s="81" customFormat="1" ht="39.950000000000003" customHeight="1" x14ac:dyDescent="0.2">
      <c r="A1633" s="1189" t="s">
        <v>12752</v>
      </c>
      <c r="B1633" s="999" t="s">
        <v>1928</v>
      </c>
      <c r="C1633" s="1000" t="s">
        <v>1219</v>
      </c>
      <c r="D1633" s="1000" t="s">
        <v>12753</v>
      </c>
      <c r="E1633" s="1007">
        <v>40.1</v>
      </c>
      <c r="F1633" s="508" t="s">
        <v>12226</v>
      </c>
      <c r="G1633" s="508" t="s">
        <v>1842</v>
      </c>
      <c r="H1633" s="1005">
        <v>44055</v>
      </c>
      <c r="I1633" s="1002">
        <v>44055</v>
      </c>
      <c r="J1633" s="1199"/>
    </row>
    <row r="1634" spans="1:10" s="81" customFormat="1" ht="39.950000000000003" customHeight="1" x14ac:dyDescent="0.2">
      <c r="A1634" s="1189" t="s">
        <v>12754</v>
      </c>
      <c r="B1634" s="999" t="s">
        <v>1928</v>
      </c>
      <c r="C1634" s="1000" t="s">
        <v>1219</v>
      </c>
      <c r="D1634" s="1000" t="s">
        <v>12755</v>
      </c>
      <c r="E1634" s="1007">
        <v>4375</v>
      </c>
      <c r="F1634" s="508" t="s">
        <v>12756</v>
      </c>
      <c r="G1634" s="508" t="s">
        <v>1842</v>
      </c>
      <c r="H1634" s="1005">
        <v>44057</v>
      </c>
      <c r="I1634" s="1002">
        <v>44062</v>
      </c>
      <c r="J1634" s="1199"/>
    </row>
    <row r="1635" spans="1:10" s="81" customFormat="1" ht="39.950000000000003" customHeight="1" x14ac:dyDescent="0.2">
      <c r="A1635" s="1189" t="s">
        <v>12757</v>
      </c>
      <c r="B1635" s="999" t="s">
        <v>1928</v>
      </c>
      <c r="C1635" s="1000" t="s">
        <v>1219</v>
      </c>
      <c r="D1635" s="1000" t="s">
        <v>12758</v>
      </c>
      <c r="E1635" s="1007">
        <v>1902.56</v>
      </c>
      <c r="F1635" s="508" t="s">
        <v>12695</v>
      </c>
      <c r="G1635" s="508" t="s">
        <v>1842</v>
      </c>
      <c r="H1635" s="1005">
        <v>44064</v>
      </c>
      <c r="I1635" s="1002">
        <v>44069</v>
      </c>
      <c r="J1635" s="1199"/>
    </row>
    <row r="1636" spans="1:10" s="81" customFormat="1" ht="39.950000000000003" customHeight="1" x14ac:dyDescent="0.2">
      <c r="A1636" s="1189" t="s">
        <v>12759</v>
      </c>
      <c r="B1636" s="999" t="s">
        <v>1928</v>
      </c>
      <c r="C1636" s="1000" t="s">
        <v>1219</v>
      </c>
      <c r="D1636" s="1000" t="s">
        <v>12760</v>
      </c>
      <c r="E1636" s="1007">
        <v>1200</v>
      </c>
      <c r="F1636" s="508" t="s">
        <v>12692</v>
      </c>
      <c r="G1636" s="508" t="s">
        <v>1842</v>
      </c>
      <c r="H1636" s="1005">
        <v>44064</v>
      </c>
      <c r="I1636" s="1002">
        <v>44069</v>
      </c>
      <c r="J1636" s="1199"/>
    </row>
    <row r="1637" spans="1:10" s="81" customFormat="1" ht="39.950000000000003" customHeight="1" x14ac:dyDescent="0.2">
      <c r="A1637" s="1189" t="s">
        <v>12761</v>
      </c>
      <c r="B1637" s="999" t="s">
        <v>1928</v>
      </c>
      <c r="C1637" s="1000" t="s">
        <v>1219</v>
      </c>
      <c r="D1637" s="1000" t="s">
        <v>12762</v>
      </c>
      <c r="E1637" s="1007">
        <v>1400</v>
      </c>
      <c r="F1637" s="508" t="s">
        <v>12268</v>
      </c>
      <c r="G1637" s="508" t="s">
        <v>1842</v>
      </c>
      <c r="H1637" s="1005">
        <v>44070</v>
      </c>
      <c r="I1637" s="1002">
        <v>44075</v>
      </c>
      <c r="J1637" s="1199"/>
    </row>
    <row r="1638" spans="1:10" s="81" customFormat="1" ht="39.950000000000003" customHeight="1" x14ac:dyDescent="0.2">
      <c r="A1638" s="1189" t="s">
        <v>12763</v>
      </c>
      <c r="B1638" s="999" t="s">
        <v>1928</v>
      </c>
      <c r="C1638" s="1000" t="s">
        <v>1219</v>
      </c>
      <c r="D1638" s="1000" t="s">
        <v>12764</v>
      </c>
      <c r="E1638" s="1007">
        <v>900</v>
      </c>
      <c r="F1638" s="508" t="s">
        <v>12268</v>
      </c>
      <c r="G1638" s="508" t="s">
        <v>1842</v>
      </c>
      <c r="H1638" s="1005">
        <v>44070</v>
      </c>
      <c r="I1638" s="1002">
        <v>44075</v>
      </c>
      <c r="J1638" s="1199"/>
    </row>
    <row r="1639" spans="1:10" s="81" customFormat="1" ht="39.950000000000003" customHeight="1" x14ac:dyDescent="0.2">
      <c r="A1639" s="1189" t="s">
        <v>12765</v>
      </c>
      <c r="B1639" s="999" t="s">
        <v>1928</v>
      </c>
      <c r="C1639" s="1000" t="s">
        <v>1219</v>
      </c>
      <c r="D1639" s="1000" t="s">
        <v>12766</v>
      </c>
      <c r="E1639" s="1007">
        <v>1500</v>
      </c>
      <c r="F1639" s="508" t="s">
        <v>12317</v>
      </c>
      <c r="G1639" s="508" t="s">
        <v>1842</v>
      </c>
      <c r="H1639" s="1005">
        <v>44070</v>
      </c>
      <c r="I1639" s="1002">
        <v>44075</v>
      </c>
      <c r="J1639" s="1199"/>
    </row>
    <row r="1640" spans="1:10" s="81" customFormat="1" ht="39.950000000000003" customHeight="1" x14ac:dyDescent="0.2">
      <c r="A1640" s="1189" t="s">
        <v>12767</v>
      </c>
      <c r="B1640" s="999" t="s">
        <v>1928</v>
      </c>
      <c r="C1640" s="1000" t="s">
        <v>1219</v>
      </c>
      <c r="D1640" s="1000" t="s">
        <v>12768</v>
      </c>
      <c r="E1640" s="1007">
        <v>2500</v>
      </c>
      <c r="F1640" s="508" t="s">
        <v>12409</v>
      </c>
      <c r="G1640" s="508" t="s">
        <v>1842</v>
      </c>
      <c r="H1640" s="1005">
        <v>44070</v>
      </c>
      <c r="I1640" s="1002">
        <v>44075</v>
      </c>
      <c r="J1640" s="1199"/>
    </row>
    <row r="1641" spans="1:10" s="81" customFormat="1" ht="39.950000000000003" customHeight="1" x14ac:dyDescent="0.2">
      <c r="A1641" s="1189" t="s">
        <v>12769</v>
      </c>
      <c r="B1641" s="999" t="s">
        <v>1928</v>
      </c>
      <c r="C1641" s="1000" t="s">
        <v>1219</v>
      </c>
      <c r="D1641" s="1000" t="s">
        <v>12770</v>
      </c>
      <c r="E1641" s="1007">
        <v>7227.5</v>
      </c>
      <c r="F1641" s="508" t="s">
        <v>12226</v>
      </c>
      <c r="G1641" s="508" t="s">
        <v>1842</v>
      </c>
      <c r="H1641" s="1005">
        <v>44085</v>
      </c>
      <c r="I1641" s="1002">
        <v>44085</v>
      </c>
      <c r="J1641" s="1199"/>
    </row>
    <row r="1642" spans="1:10" s="81" customFormat="1" ht="39.950000000000003" customHeight="1" x14ac:dyDescent="0.2">
      <c r="A1642" s="1189" t="s">
        <v>12771</v>
      </c>
      <c r="B1642" s="999" t="s">
        <v>1928</v>
      </c>
      <c r="C1642" s="1000" t="s">
        <v>1219</v>
      </c>
      <c r="D1642" s="1000" t="s">
        <v>12772</v>
      </c>
      <c r="E1642" s="1007">
        <v>1902</v>
      </c>
      <c r="F1642" s="508" t="s">
        <v>12226</v>
      </c>
      <c r="G1642" s="508" t="s">
        <v>1842</v>
      </c>
      <c r="H1642" s="1005">
        <v>44088</v>
      </c>
      <c r="I1642" s="1002">
        <v>44088</v>
      </c>
      <c r="J1642" s="1199"/>
    </row>
    <row r="1643" spans="1:10" s="81" customFormat="1" ht="39.950000000000003" customHeight="1" x14ac:dyDescent="0.2">
      <c r="A1643" s="1189" t="s">
        <v>12773</v>
      </c>
      <c r="B1643" s="999" t="s">
        <v>1928</v>
      </c>
      <c r="C1643" s="1000" t="s">
        <v>1219</v>
      </c>
      <c r="D1643" s="1000" t="s">
        <v>12774</v>
      </c>
      <c r="E1643" s="1007">
        <v>1440</v>
      </c>
      <c r="F1643" s="508" t="s">
        <v>12775</v>
      </c>
      <c r="G1643" s="508" t="s">
        <v>1842</v>
      </c>
      <c r="H1643" s="1005">
        <v>44088</v>
      </c>
      <c r="I1643" s="1002">
        <v>44093</v>
      </c>
      <c r="J1643" s="1199"/>
    </row>
    <row r="1644" spans="1:10" s="81" customFormat="1" ht="39.950000000000003" customHeight="1" x14ac:dyDescent="0.2">
      <c r="A1644" s="1189" t="s">
        <v>12776</v>
      </c>
      <c r="B1644" s="999" t="s">
        <v>1928</v>
      </c>
      <c r="C1644" s="1000" t="s">
        <v>1219</v>
      </c>
      <c r="D1644" s="1000" t="s">
        <v>12777</v>
      </c>
      <c r="E1644" s="1007">
        <v>1416.67</v>
      </c>
      <c r="F1644" s="508" t="s">
        <v>12778</v>
      </c>
      <c r="G1644" s="508" t="s">
        <v>1842</v>
      </c>
      <c r="H1644" s="1005">
        <v>44088</v>
      </c>
      <c r="I1644" s="1002">
        <v>44093</v>
      </c>
      <c r="J1644" s="1199"/>
    </row>
    <row r="1645" spans="1:10" s="81" customFormat="1" ht="39.950000000000003" customHeight="1" x14ac:dyDescent="0.2">
      <c r="A1645" s="1189" t="s">
        <v>12779</v>
      </c>
      <c r="B1645" s="999" t="s">
        <v>1928</v>
      </c>
      <c r="C1645" s="1000" t="s">
        <v>1219</v>
      </c>
      <c r="D1645" s="1000" t="s">
        <v>12780</v>
      </c>
      <c r="E1645" s="1007">
        <v>7151</v>
      </c>
      <c r="F1645" s="508" t="s">
        <v>12030</v>
      </c>
      <c r="G1645" s="508" t="s">
        <v>1842</v>
      </c>
      <c r="H1645" s="1005">
        <v>44089</v>
      </c>
      <c r="I1645" s="1002">
        <v>44094</v>
      </c>
      <c r="J1645" s="1199"/>
    </row>
    <row r="1646" spans="1:10" s="81" customFormat="1" ht="39.950000000000003" customHeight="1" x14ac:dyDescent="0.2">
      <c r="A1646" s="1189" t="s">
        <v>12781</v>
      </c>
      <c r="B1646" s="999" t="s">
        <v>1928</v>
      </c>
      <c r="C1646" s="1000" t="s">
        <v>1219</v>
      </c>
      <c r="D1646" s="1000" t="s">
        <v>12782</v>
      </c>
      <c r="E1646" s="1007">
        <v>1738.44</v>
      </c>
      <c r="F1646" s="508" t="s">
        <v>12695</v>
      </c>
      <c r="G1646" s="508" t="s">
        <v>1842</v>
      </c>
      <c r="H1646" s="1005">
        <v>44089</v>
      </c>
      <c r="I1646" s="1002">
        <v>44094</v>
      </c>
      <c r="J1646" s="1199"/>
    </row>
    <row r="1647" spans="1:10" s="81" customFormat="1" ht="39.950000000000003" customHeight="1" x14ac:dyDescent="0.2">
      <c r="A1647" s="1189" t="s">
        <v>12783</v>
      </c>
      <c r="B1647" s="999" t="s">
        <v>1928</v>
      </c>
      <c r="C1647" s="1000" t="s">
        <v>1219</v>
      </c>
      <c r="D1647" s="1000" t="s">
        <v>12784</v>
      </c>
      <c r="E1647" s="1007">
        <v>2291</v>
      </c>
      <c r="F1647" s="508" t="s">
        <v>12756</v>
      </c>
      <c r="G1647" s="508" t="s">
        <v>1842</v>
      </c>
      <c r="H1647" s="1005">
        <v>44089</v>
      </c>
      <c r="I1647" s="1002">
        <v>44094</v>
      </c>
      <c r="J1647" s="1199"/>
    </row>
    <row r="1648" spans="1:10" s="81" customFormat="1" ht="39.950000000000003" customHeight="1" x14ac:dyDescent="0.2">
      <c r="A1648" s="1189" t="s">
        <v>12785</v>
      </c>
      <c r="B1648" s="999" t="s">
        <v>1928</v>
      </c>
      <c r="C1648" s="1000" t="s">
        <v>1219</v>
      </c>
      <c r="D1648" s="1000" t="s">
        <v>12786</v>
      </c>
      <c r="E1648" s="1007">
        <v>1751.5</v>
      </c>
      <c r="F1648" s="508" t="s">
        <v>12692</v>
      </c>
      <c r="G1648" s="508" t="s">
        <v>1842</v>
      </c>
      <c r="H1648" s="1005">
        <v>44089</v>
      </c>
      <c r="I1648" s="1002">
        <v>44094</v>
      </c>
      <c r="J1648" s="1199"/>
    </row>
    <row r="1649" spans="1:10" s="81" customFormat="1" ht="39.950000000000003" customHeight="1" x14ac:dyDescent="0.2">
      <c r="A1649" s="1189" t="s">
        <v>12787</v>
      </c>
      <c r="B1649" s="999" t="s">
        <v>1928</v>
      </c>
      <c r="C1649" s="1000" t="s">
        <v>1219</v>
      </c>
      <c r="D1649" s="1000" t="s">
        <v>12788</v>
      </c>
      <c r="E1649" s="1007">
        <v>2000</v>
      </c>
      <c r="F1649" s="508" t="s">
        <v>12789</v>
      </c>
      <c r="G1649" s="508" t="s">
        <v>1842</v>
      </c>
      <c r="H1649" s="1005">
        <v>44095</v>
      </c>
      <c r="I1649" s="1002">
        <v>44100</v>
      </c>
      <c r="J1649" s="1199"/>
    </row>
    <row r="1650" spans="1:10" s="81" customFormat="1" ht="39.950000000000003" customHeight="1" x14ac:dyDescent="0.2">
      <c r="A1650" s="1189" t="s">
        <v>12790</v>
      </c>
      <c r="B1650" s="999" t="s">
        <v>1928</v>
      </c>
      <c r="C1650" s="1000" t="s">
        <v>1219</v>
      </c>
      <c r="D1650" s="1000" t="s">
        <v>12791</v>
      </c>
      <c r="E1650" s="1007">
        <v>190</v>
      </c>
      <c r="F1650" s="508" t="s">
        <v>12307</v>
      </c>
      <c r="G1650" s="508" t="s">
        <v>1842</v>
      </c>
      <c r="H1650" s="1005">
        <v>44095</v>
      </c>
      <c r="I1650" s="1002">
        <v>44100</v>
      </c>
      <c r="J1650" s="1199"/>
    </row>
    <row r="1651" spans="1:10" s="81" customFormat="1" ht="39.950000000000003" customHeight="1" x14ac:dyDescent="0.2">
      <c r="A1651" s="1189" t="s">
        <v>12792</v>
      </c>
      <c r="B1651" s="999" t="s">
        <v>1928</v>
      </c>
      <c r="C1651" s="1000" t="s">
        <v>1219</v>
      </c>
      <c r="D1651" s="1000" t="s">
        <v>12793</v>
      </c>
      <c r="E1651" s="1007">
        <v>2833.33</v>
      </c>
      <c r="F1651" s="508" t="s">
        <v>12794</v>
      </c>
      <c r="G1651" s="508" t="s">
        <v>1842</v>
      </c>
      <c r="H1651" s="1005">
        <v>44102</v>
      </c>
      <c r="I1651" s="1002">
        <v>44107</v>
      </c>
      <c r="J1651" s="1199"/>
    </row>
    <row r="1652" spans="1:10" s="81" customFormat="1" ht="39.950000000000003" customHeight="1" x14ac:dyDescent="0.2">
      <c r="A1652" s="1189" t="s">
        <v>12795</v>
      </c>
      <c r="B1652" s="999" t="s">
        <v>1928</v>
      </c>
      <c r="C1652" s="1000" t="s">
        <v>1219</v>
      </c>
      <c r="D1652" s="1000" t="s">
        <v>12796</v>
      </c>
      <c r="E1652" s="1007">
        <v>1400</v>
      </c>
      <c r="F1652" s="508" t="s">
        <v>12268</v>
      </c>
      <c r="G1652" s="508" t="s">
        <v>1842</v>
      </c>
      <c r="H1652" s="1005">
        <v>44102</v>
      </c>
      <c r="I1652" s="1002">
        <v>44107</v>
      </c>
      <c r="J1652" s="1199"/>
    </row>
    <row r="1653" spans="1:10" s="81" customFormat="1" ht="39.950000000000003" customHeight="1" x14ac:dyDescent="0.2">
      <c r="A1653" s="1189" t="s">
        <v>12797</v>
      </c>
      <c r="B1653" s="999" t="s">
        <v>1928</v>
      </c>
      <c r="C1653" s="1000" t="s">
        <v>1219</v>
      </c>
      <c r="D1653" s="1000" t="s">
        <v>12798</v>
      </c>
      <c r="E1653" s="1007">
        <v>900</v>
      </c>
      <c r="F1653" s="508" t="s">
        <v>12268</v>
      </c>
      <c r="G1653" s="508" t="s">
        <v>1842</v>
      </c>
      <c r="H1653" s="1005">
        <v>44102</v>
      </c>
      <c r="I1653" s="1002">
        <v>44107</v>
      </c>
      <c r="J1653" s="1199"/>
    </row>
    <row r="1654" spans="1:10" s="81" customFormat="1" ht="39.950000000000003" customHeight="1" x14ac:dyDescent="0.2">
      <c r="A1654" s="1189" t="s">
        <v>12799</v>
      </c>
      <c r="B1654" s="999" t="s">
        <v>1928</v>
      </c>
      <c r="C1654" s="1000" t="s">
        <v>1219</v>
      </c>
      <c r="D1654" s="1000" t="s">
        <v>12800</v>
      </c>
      <c r="E1654" s="1007">
        <v>1292.2</v>
      </c>
      <c r="F1654" s="508" t="s">
        <v>12226</v>
      </c>
      <c r="G1654" s="508" t="s">
        <v>1842</v>
      </c>
      <c r="H1654" s="1005">
        <v>44107</v>
      </c>
      <c r="I1654" s="1002">
        <v>44107</v>
      </c>
      <c r="J1654" s="1199"/>
    </row>
    <row r="1655" spans="1:10" s="81" customFormat="1" ht="39.950000000000003" customHeight="1" x14ac:dyDescent="0.2">
      <c r="A1655" s="1189" t="s">
        <v>12801</v>
      </c>
      <c r="B1655" s="999" t="s">
        <v>1928</v>
      </c>
      <c r="C1655" s="1000" t="s">
        <v>1219</v>
      </c>
      <c r="D1655" s="1000" t="s">
        <v>12802</v>
      </c>
      <c r="E1655" s="1007">
        <v>16150</v>
      </c>
      <c r="F1655" s="508" t="s">
        <v>12803</v>
      </c>
      <c r="G1655" s="508" t="s">
        <v>1842</v>
      </c>
      <c r="H1655" s="1005">
        <v>44107</v>
      </c>
      <c r="I1655" s="1002">
        <v>44107</v>
      </c>
      <c r="J1655" s="1199"/>
    </row>
    <row r="1656" spans="1:10" s="81" customFormat="1" ht="39.950000000000003" customHeight="1" x14ac:dyDescent="0.2">
      <c r="A1656" s="1189" t="s">
        <v>12804</v>
      </c>
      <c r="B1656" s="999" t="s">
        <v>1928</v>
      </c>
      <c r="C1656" s="1000" t="s">
        <v>1219</v>
      </c>
      <c r="D1656" s="1000" t="s">
        <v>12805</v>
      </c>
      <c r="E1656" s="1007">
        <v>150000</v>
      </c>
      <c r="F1656" s="508" t="s">
        <v>12226</v>
      </c>
      <c r="G1656" s="508"/>
      <c r="H1656" s="1008" t="s">
        <v>12806</v>
      </c>
      <c r="I1656" s="1009"/>
      <c r="J1656" s="1145" t="s">
        <v>1835</v>
      </c>
    </row>
    <row r="1657" spans="1:10" s="81" customFormat="1" ht="39.950000000000003" customHeight="1" x14ac:dyDescent="0.2">
      <c r="A1657" s="1189" t="s">
        <v>12807</v>
      </c>
      <c r="B1657" s="999" t="s">
        <v>1928</v>
      </c>
      <c r="C1657" s="1000" t="s">
        <v>12246</v>
      </c>
      <c r="D1657" s="1000" t="s">
        <v>12808</v>
      </c>
      <c r="E1657" s="1007">
        <v>34000</v>
      </c>
      <c r="F1657" s="508"/>
      <c r="G1657" s="508"/>
      <c r="H1657" s="1008">
        <v>44242</v>
      </c>
      <c r="I1657" s="1009"/>
      <c r="J1657" s="1145" t="s">
        <v>1835</v>
      </c>
    </row>
    <row r="1658" spans="1:10" s="81" customFormat="1" ht="39.950000000000003" customHeight="1" x14ac:dyDescent="0.2">
      <c r="A1658" s="1189" t="s">
        <v>12809</v>
      </c>
      <c r="B1658" s="999" t="s">
        <v>12007</v>
      </c>
      <c r="C1658" s="1000" t="s">
        <v>1219</v>
      </c>
      <c r="D1658" s="1000" t="s">
        <v>12810</v>
      </c>
      <c r="E1658" s="1007">
        <v>160000</v>
      </c>
      <c r="F1658" s="508"/>
      <c r="G1658" s="508"/>
      <c r="H1658" s="1008">
        <v>44242</v>
      </c>
      <c r="I1658" s="1009"/>
      <c r="J1658" s="1145" t="s">
        <v>1835</v>
      </c>
    </row>
    <row r="1659" spans="1:10" s="81" customFormat="1" ht="39.950000000000003" customHeight="1" x14ac:dyDescent="0.2">
      <c r="A1659" s="1189" t="s">
        <v>12811</v>
      </c>
      <c r="B1659" s="999" t="s">
        <v>12812</v>
      </c>
      <c r="C1659" s="1000" t="s">
        <v>1219</v>
      </c>
      <c r="D1659" s="1000" t="s">
        <v>12813</v>
      </c>
      <c r="E1659" s="1007">
        <v>11000</v>
      </c>
      <c r="F1659" s="508"/>
      <c r="G1659" s="508"/>
      <c r="H1659" s="1008">
        <v>44242</v>
      </c>
      <c r="I1659" s="1009"/>
      <c r="J1659" s="1145" t="s">
        <v>1835</v>
      </c>
    </row>
    <row r="1660" spans="1:10" s="81" customFormat="1" ht="39.950000000000003" customHeight="1" x14ac:dyDescent="0.2">
      <c r="A1660" s="1189" t="s">
        <v>12814</v>
      </c>
      <c r="B1660" s="999" t="s">
        <v>12007</v>
      </c>
      <c r="C1660" s="1000" t="s">
        <v>1219</v>
      </c>
      <c r="D1660" s="1000" t="s">
        <v>12815</v>
      </c>
      <c r="E1660" s="1007">
        <v>70000</v>
      </c>
      <c r="F1660" s="508"/>
      <c r="G1660" s="508"/>
      <c r="H1660" s="1008">
        <v>44242</v>
      </c>
      <c r="I1660" s="508"/>
      <c r="J1660" s="1145" t="s">
        <v>1835</v>
      </c>
    </row>
    <row r="1661" spans="1:10" s="81" customFormat="1" ht="39.950000000000003" customHeight="1" x14ac:dyDescent="0.2">
      <c r="A1661" s="1189" t="s">
        <v>12814</v>
      </c>
      <c r="B1661" s="999" t="s">
        <v>1928</v>
      </c>
      <c r="C1661" s="1000" t="s">
        <v>1219</v>
      </c>
      <c r="D1661" s="1000" t="s">
        <v>12816</v>
      </c>
      <c r="E1661" s="1007">
        <v>30000</v>
      </c>
      <c r="F1661" s="508"/>
      <c r="G1661" s="508"/>
      <c r="H1661" s="1008">
        <v>44242</v>
      </c>
      <c r="I1661" s="508"/>
      <c r="J1661" s="1145" t="s">
        <v>1835</v>
      </c>
    </row>
    <row r="1662" spans="1:10" ht="27.75" customHeight="1" x14ac:dyDescent="0.2">
      <c r="A1662" s="1159"/>
      <c r="B1662" s="523"/>
      <c r="C1662" s="523"/>
      <c r="D1662" s="523"/>
      <c r="E1662" s="523"/>
      <c r="F1662" s="523"/>
      <c r="G1662" s="523"/>
      <c r="H1662" s="523"/>
      <c r="I1662" s="523"/>
      <c r="J1662" s="1160"/>
    </row>
    <row r="1663" spans="1:10" ht="24.95" customHeight="1" x14ac:dyDescent="0.2">
      <c r="A1663" s="1156" t="s">
        <v>2463</v>
      </c>
      <c r="B1663" s="1015" t="s">
        <v>2464</v>
      </c>
      <c r="C1663" s="1015" t="s">
        <v>1776</v>
      </c>
      <c r="D1663" s="518">
        <v>1</v>
      </c>
      <c r="E1663" s="684">
        <v>34046.519999999997</v>
      </c>
      <c r="F1663" s="685" t="s">
        <v>2465</v>
      </c>
      <c r="G1663" s="1017" t="s">
        <v>1842</v>
      </c>
      <c r="H1663" s="686">
        <v>43507</v>
      </c>
      <c r="I1663" s="686">
        <v>43514</v>
      </c>
      <c r="J1663" s="1149" t="s">
        <v>2628</v>
      </c>
    </row>
    <row r="1664" spans="1:10" ht="24.95" customHeight="1" x14ac:dyDescent="0.2">
      <c r="A1664" s="1156" t="s">
        <v>2463</v>
      </c>
      <c r="B1664" s="1015" t="s">
        <v>2464</v>
      </c>
      <c r="C1664" s="1015" t="s">
        <v>1776</v>
      </c>
      <c r="D1664" s="518">
        <v>67</v>
      </c>
      <c r="E1664" s="684">
        <v>21013.34</v>
      </c>
      <c r="F1664" s="685" t="s">
        <v>1780</v>
      </c>
      <c r="G1664" s="1017" t="s">
        <v>1842</v>
      </c>
      <c r="H1664" s="686">
        <v>43700</v>
      </c>
      <c r="I1664" s="1019">
        <v>43735</v>
      </c>
      <c r="J1664" s="1149" t="s">
        <v>2628</v>
      </c>
    </row>
    <row r="1665" spans="1:10" ht="24.95" customHeight="1" x14ac:dyDescent="0.2">
      <c r="A1665" s="1156" t="s">
        <v>2463</v>
      </c>
      <c r="B1665" s="1015" t="s">
        <v>2464</v>
      </c>
      <c r="C1665" s="1015" t="s">
        <v>1776</v>
      </c>
      <c r="D1665" s="518">
        <v>68</v>
      </c>
      <c r="E1665" s="684">
        <v>9886.43</v>
      </c>
      <c r="F1665" s="685" t="s">
        <v>2465</v>
      </c>
      <c r="G1665" s="1017" t="s">
        <v>1842</v>
      </c>
      <c r="H1665" s="686">
        <v>43700</v>
      </c>
      <c r="I1665" s="1019">
        <v>43766</v>
      </c>
      <c r="J1665" s="1149" t="s">
        <v>2628</v>
      </c>
    </row>
    <row r="1666" spans="1:10" ht="24.95" customHeight="1" x14ac:dyDescent="0.2">
      <c r="A1666" s="1156" t="s">
        <v>2463</v>
      </c>
      <c r="B1666" s="1015" t="s">
        <v>2464</v>
      </c>
      <c r="C1666" s="1015" t="s">
        <v>1776</v>
      </c>
      <c r="D1666" s="518">
        <v>70</v>
      </c>
      <c r="E1666" s="684">
        <v>11462.48</v>
      </c>
      <c r="F1666" s="685" t="s">
        <v>1873</v>
      </c>
      <c r="G1666" s="1017" t="s">
        <v>1842</v>
      </c>
      <c r="H1666" s="686">
        <v>43700</v>
      </c>
      <c r="I1666" s="1019">
        <v>43735</v>
      </c>
      <c r="J1666" s="1149" t="s">
        <v>2628</v>
      </c>
    </row>
    <row r="1667" spans="1:10" ht="24.95" customHeight="1" x14ac:dyDescent="0.2">
      <c r="A1667" s="1156" t="s">
        <v>2463</v>
      </c>
      <c r="B1667" s="1015" t="s">
        <v>2464</v>
      </c>
      <c r="C1667" s="1015" t="s">
        <v>1776</v>
      </c>
      <c r="D1667" s="518">
        <v>75</v>
      </c>
      <c r="E1667" s="684">
        <v>29017.71</v>
      </c>
      <c r="F1667" s="685" t="s">
        <v>2466</v>
      </c>
      <c r="G1667" s="1017" t="s">
        <v>1842</v>
      </c>
      <c r="H1667" s="686">
        <v>43705</v>
      </c>
      <c r="I1667" s="1019">
        <v>43719</v>
      </c>
      <c r="J1667" s="1149" t="s">
        <v>2628</v>
      </c>
    </row>
    <row r="1668" spans="1:10" ht="24.95" customHeight="1" x14ac:dyDescent="0.2">
      <c r="A1668" s="1156" t="s">
        <v>2463</v>
      </c>
      <c r="B1668" s="1015" t="s">
        <v>2464</v>
      </c>
      <c r="C1668" s="1015" t="s">
        <v>1776</v>
      </c>
      <c r="D1668" s="518">
        <v>89</v>
      </c>
      <c r="E1668" s="684">
        <v>6694.13</v>
      </c>
      <c r="F1668" s="685" t="s">
        <v>1873</v>
      </c>
      <c r="G1668" s="1017" t="s">
        <v>1842</v>
      </c>
      <c r="H1668" s="686">
        <v>43735</v>
      </c>
      <c r="I1668" s="1019">
        <v>43747</v>
      </c>
      <c r="J1668" s="1149" t="s">
        <v>2628</v>
      </c>
    </row>
    <row r="1669" spans="1:10" ht="24.95" customHeight="1" x14ac:dyDescent="0.2">
      <c r="A1669" s="1156" t="s">
        <v>2463</v>
      </c>
      <c r="B1669" s="1015" t="s">
        <v>2464</v>
      </c>
      <c r="C1669" s="1015" t="s">
        <v>1776</v>
      </c>
      <c r="D1669" s="518">
        <v>119</v>
      </c>
      <c r="E1669" s="684">
        <v>13309.57</v>
      </c>
      <c r="F1669" s="685" t="s">
        <v>1844</v>
      </c>
      <c r="G1669" s="1017" t="s">
        <v>1842</v>
      </c>
      <c r="H1669" s="686">
        <v>43801</v>
      </c>
      <c r="I1669" s="1019">
        <v>43809</v>
      </c>
      <c r="J1669" s="1149" t="s">
        <v>2628</v>
      </c>
    </row>
    <row r="1670" spans="1:10" ht="24.95" customHeight="1" x14ac:dyDescent="0.2">
      <c r="A1670" s="1156" t="s">
        <v>2463</v>
      </c>
      <c r="B1670" s="1015" t="s">
        <v>2464</v>
      </c>
      <c r="C1670" s="1015" t="s">
        <v>1776</v>
      </c>
      <c r="D1670" s="518">
        <v>128</v>
      </c>
      <c r="E1670" s="684">
        <v>9553.84</v>
      </c>
      <c r="F1670" s="685" t="s">
        <v>2467</v>
      </c>
      <c r="G1670" s="1017" t="s">
        <v>1842</v>
      </c>
      <c r="H1670" s="686">
        <v>43812</v>
      </c>
      <c r="I1670" s="1019">
        <v>43822</v>
      </c>
      <c r="J1670" s="1149" t="s">
        <v>2628</v>
      </c>
    </row>
    <row r="1671" spans="1:10" ht="24.95" customHeight="1" x14ac:dyDescent="0.2">
      <c r="A1671" s="1156" t="s">
        <v>2463</v>
      </c>
      <c r="B1671" s="1015" t="s">
        <v>2464</v>
      </c>
      <c r="C1671" s="1015" t="s">
        <v>1776</v>
      </c>
      <c r="D1671" s="518">
        <v>130</v>
      </c>
      <c r="E1671" s="684">
        <v>13452.65</v>
      </c>
      <c r="F1671" s="685" t="s">
        <v>2465</v>
      </c>
      <c r="G1671" s="1017" t="s">
        <v>1842</v>
      </c>
      <c r="H1671" s="686">
        <v>43812</v>
      </c>
      <c r="I1671" s="1019">
        <v>43829</v>
      </c>
      <c r="J1671" s="1149" t="s">
        <v>2628</v>
      </c>
    </row>
    <row r="1672" spans="1:10" ht="24.95" customHeight="1" x14ac:dyDescent="0.2">
      <c r="A1672" s="1156" t="s">
        <v>2463</v>
      </c>
      <c r="B1672" s="1015" t="s">
        <v>2464</v>
      </c>
      <c r="C1672" s="1015" t="s">
        <v>1776</v>
      </c>
      <c r="D1672" s="518">
        <v>134</v>
      </c>
      <c r="E1672" s="684">
        <v>31584.63</v>
      </c>
      <c r="F1672" s="685" t="s">
        <v>2467</v>
      </c>
      <c r="G1672" s="1017" t="s">
        <v>1842</v>
      </c>
      <c r="H1672" s="686">
        <v>43815</v>
      </c>
      <c r="I1672" s="1019">
        <v>43822</v>
      </c>
      <c r="J1672" s="1149" t="s">
        <v>2628</v>
      </c>
    </row>
    <row r="1673" spans="1:10" ht="24.95" customHeight="1" x14ac:dyDescent="0.2">
      <c r="A1673" s="1156" t="s">
        <v>2463</v>
      </c>
      <c r="B1673" s="1015" t="s">
        <v>2464</v>
      </c>
      <c r="C1673" s="1015" t="s">
        <v>1776</v>
      </c>
      <c r="D1673" s="518">
        <v>135</v>
      </c>
      <c r="E1673" s="684">
        <v>5267.52</v>
      </c>
      <c r="F1673" s="685" t="s">
        <v>1981</v>
      </c>
      <c r="G1673" s="1017" t="s">
        <v>1842</v>
      </c>
      <c r="H1673" s="686">
        <v>43815</v>
      </c>
      <c r="I1673" s="1019">
        <v>43822</v>
      </c>
      <c r="J1673" s="1149" t="s">
        <v>2628</v>
      </c>
    </row>
    <row r="1674" spans="1:10" ht="24.95" customHeight="1" x14ac:dyDescent="0.2">
      <c r="A1674" s="1156" t="s">
        <v>2463</v>
      </c>
      <c r="B1674" s="1015" t="s">
        <v>2464</v>
      </c>
      <c r="C1674" s="1015" t="s">
        <v>1776</v>
      </c>
      <c r="D1674" s="518">
        <v>136</v>
      </c>
      <c r="E1674" s="684">
        <v>5407.98</v>
      </c>
      <c r="F1674" s="685" t="s">
        <v>1987</v>
      </c>
      <c r="G1674" s="1017" t="s">
        <v>1842</v>
      </c>
      <c r="H1674" s="686">
        <v>43815</v>
      </c>
      <c r="I1674" s="1019">
        <v>43822</v>
      </c>
      <c r="J1674" s="1149" t="s">
        <v>2628</v>
      </c>
    </row>
    <row r="1675" spans="1:10" ht="24.95" customHeight="1" x14ac:dyDescent="0.2">
      <c r="A1675" s="1156" t="s">
        <v>2463</v>
      </c>
      <c r="B1675" s="1015" t="s">
        <v>2464</v>
      </c>
      <c r="C1675" s="1015" t="s">
        <v>1776</v>
      </c>
      <c r="D1675" s="518">
        <v>139</v>
      </c>
      <c r="E1675" s="684">
        <v>18480.93</v>
      </c>
      <c r="F1675" s="685" t="s">
        <v>2467</v>
      </c>
      <c r="G1675" s="1017" t="s">
        <v>1842</v>
      </c>
      <c r="H1675" s="686">
        <v>43817</v>
      </c>
      <c r="I1675" s="1019">
        <v>43822</v>
      </c>
      <c r="J1675" s="1149" t="s">
        <v>2628</v>
      </c>
    </row>
    <row r="1676" spans="1:10" ht="24.95" customHeight="1" x14ac:dyDescent="0.2">
      <c r="A1676" s="1156" t="s">
        <v>2463</v>
      </c>
      <c r="B1676" s="1015" t="s">
        <v>2464</v>
      </c>
      <c r="C1676" s="1015" t="s">
        <v>1776</v>
      </c>
      <c r="D1676" s="518">
        <v>142</v>
      </c>
      <c r="E1676" s="684">
        <v>6832.03</v>
      </c>
      <c r="F1676" s="685" t="s">
        <v>2465</v>
      </c>
      <c r="G1676" s="1017" t="s">
        <v>1842</v>
      </c>
      <c r="H1676" s="686">
        <v>43817</v>
      </c>
      <c r="I1676" s="1019">
        <v>43822</v>
      </c>
      <c r="J1676" s="1149" t="s">
        <v>2628</v>
      </c>
    </row>
    <row r="1677" spans="1:10" ht="24.95" customHeight="1" x14ac:dyDescent="0.2">
      <c r="A1677" s="1156" t="s">
        <v>2463</v>
      </c>
      <c r="B1677" s="1015" t="s">
        <v>2464</v>
      </c>
      <c r="C1677" s="1015" t="s">
        <v>1776</v>
      </c>
      <c r="D1677" s="518">
        <v>143</v>
      </c>
      <c r="E1677" s="684">
        <v>3270.96</v>
      </c>
      <c r="F1677" s="685" t="s">
        <v>1873</v>
      </c>
      <c r="G1677" s="1017" t="s">
        <v>1842</v>
      </c>
      <c r="H1677" s="686">
        <v>43817</v>
      </c>
      <c r="I1677" s="1019">
        <v>43823</v>
      </c>
      <c r="J1677" s="1149" t="s">
        <v>2628</v>
      </c>
    </row>
    <row r="1678" spans="1:10" ht="24.95" customHeight="1" x14ac:dyDescent="0.2">
      <c r="A1678" s="1156" t="s">
        <v>2468</v>
      </c>
      <c r="B1678" s="1015" t="s">
        <v>2464</v>
      </c>
      <c r="C1678" s="1015" t="s">
        <v>1776</v>
      </c>
      <c r="D1678" s="518">
        <v>125</v>
      </c>
      <c r="E1678" s="684">
        <v>5750.28</v>
      </c>
      <c r="F1678" s="685" t="s">
        <v>1983</v>
      </c>
      <c r="G1678" s="1017" t="s">
        <v>1842</v>
      </c>
      <c r="H1678" s="686">
        <v>43808</v>
      </c>
      <c r="I1678" s="1019">
        <v>43811</v>
      </c>
      <c r="J1678" s="1149" t="s">
        <v>2628</v>
      </c>
    </row>
    <row r="1679" spans="1:10" ht="24.95" customHeight="1" x14ac:dyDescent="0.2">
      <c r="A1679" s="1156" t="s">
        <v>2469</v>
      </c>
      <c r="B1679" s="1015" t="s">
        <v>2084</v>
      </c>
      <c r="C1679" s="1015" t="s">
        <v>2084</v>
      </c>
      <c r="D1679" s="518">
        <v>2</v>
      </c>
      <c r="E1679" s="684">
        <v>12102.2</v>
      </c>
      <c r="F1679" s="685" t="s">
        <v>2470</v>
      </c>
      <c r="G1679" s="1017" t="s">
        <v>1842</v>
      </c>
      <c r="H1679" s="686">
        <v>43489</v>
      </c>
      <c r="I1679" s="1019">
        <v>43489</v>
      </c>
      <c r="J1679" s="1149" t="s">
        <v>2628</v>
      </c>
    </row>
    <row r="1680" spans="1:10" ht="24.95" customHeight="1" x14ac:dyDescent="0.2">
      <c r="A1680" s="1156" t="s">
        <v>2469</v>
      </c>
      <c r="B1680" s="1015" t="s">
        <v>2084</v>
      </c>
      <c r="C1680" s="1015" t="s">
        <v>2084</v>
      </c>
      <c r="D1680" s="518">
        <v>3</v>
      </c>
      <c r="E1680" s="684">
        <v>1287.55</v>
      </c>
      <c r="F1680" s="685" t="s">
        <v>2470</v>
      </c>
      <c r="G1680" s="1017" t="s">
        <v>1842</v>
      </c>
      <c r="H1680" s="686">
        <v>43489</v>
      </c>
      <c r="I1680" s="1019">
        <v>43489</v>
      </c>
      <c r="J1680" s="1149" t="s">
        <v>2628</v>
      </c>
    </row>
    <row r="1681" spans="1:10" ht="24.95" customHeight="1" x14ac:dyDescent="0.2">
      <c r="A1681" s="1156" t="s">
        <v>2469</v>
      </c>
      <c r="B1681" s="1015" t="s">
        <v>2084</v>
      </c>
      <c r="C1681" s="1015" t="s">
        <v>2084</v>
      </c>
      <c r="D1681" s="518">
        <v>4</v>
      </c>
      <c r="E1681" s="684">
        <v>16258.95</v>
      </c>
      <c r="F1681" s="685" t="s">
        <v>2470</v>
      </c>
      <c r="G1681" s="1017" t="s">
        <v>1842</v>
      </c>
      <c r="H1681" s="686">
        <v>43489</v>
      </c>
      <c r="I1681" s="1019">
        <v>43489</v>
      </c>
      <c r="J1681" s="1149" t="s">
        <v>2628</v>
      </c>
    </row>
    <row r="1682" spans="1:10" ht="24.95" customHeight="1" x14ac:dyDescent="0.2">
      <c r="A1682" s="1156" t="s">
        <v>2471</v>
      </c>
      <c r="B1682" s="1015" t="s">
        <v>2084</v>
      </c>
      <c r="C1682" s="1015" t="s">
        <v>2084</v>
      </c>
      <c r="D1682" s="518">
        <v>19</v>
      </c>
      <c r="E1682" s="684">
        <v>10941.74</v>
      </c>
      <c r="F1682" s="685" t="s">
        <v>2472</v>
      </c>
      <c r="G1682" s="1017" t="s">
        <v>1842</v>
      </c>
      <c r="H1682" s="686">
        <v>43503</v>
      </c>
      <c r="I1682" s="1019">
        <v>43613</v>
      </c>
      <c r="J1682" s="1149" t="s">
        <v>2628</v>
      </c>
    </row>
    <row r="1683" spans="1:10" ht="24.95" customHeight="1" x14ac:dyDescent="0.2">
      <c r="A1683" s="1156" t="s">
        <v>2473</v>
      </c>
      <c r="B1683" s="1015" t="s">
        <v>2084</v>
      </c>
      <c r="C1683" s="1015" t="s">
        <v>2084</v>
      </c>
      <c r="D1683" s="518">
        <v>41</v>
      </c>
      <c r="E1683" s="684">
        <v>11117.94</v>
      </c>
      <c r="F1683" s="685" t="s">
        <v>2474</v>
      </c>
      <c r="G1683" s="1017" t="s">
        <v>1842</v>
      </c>
      <c r="H1683" s="686">
        <v>43528</v>
      </c>
      <c r="I1683" s="1019">
        <v>43665</v>
      </c>
      <c r="J1683" s="1149" t="s">
        <v>2628</v>
      </c>
    </row>
    <row r="1684" spans="1:10" ht="24.95" customHeight="1" x14ac:dyDescent="0.2">
      <c r="A1684" s="1156" t="s">
        <v>2475</v>
      </c>
      <c r="B1684" s="1015" t="s">
        <v>2084</v>
      </c>
      <c r="C1684" s="1015" t="s">
        <v>2084</v>
      </c>
      <c r="D1684" s="518">
        <v>57</v>
      </c>
      <c r="E1684" s="684">
        <v>5237.53</v>
      </c>
      <c r="F1684" s="685" t="s">
        <v>2476</v>
      </c>
      <c r="G1684" s="1017" t="s">
        <v>1842</v>
      </c>
      <c r="H1684" s="686">
        <v>43544</v>
      </c>
      <c r="I1684" s="1019">
        <v>43545</v>
      </c>
      <c r="J1684" s="1149" t="s">
        <v>2628</v>
      </c>
    </row>
    <row r="1685" spans="1:10" ht="24.95" customHeight="1" x14ac:dyDescent="0.2">
      <c r="A1685" s="1156" t="s">
        <v>2469</v>
      </c>
      <c r="B1685" s="1015" t="s">
        <v>2084</v>
      </c>
      <c r="C1685" s="1015" t="s">
        <v>2084</v>
      </c>
      <c r="D1685" s="518">
        <v>52</v>
      </c>
      <c r="E1685" s="684">
        <v>8048.4</v>
      </c>
      <c r="F1685" s="685" t="s">
        <v>2470</v>
      </c>
      <c r="G1685" s="1017" t="s">
        <v>1842</v>
      </c>
      <c r="H1685" s="686">
        <v>43542</v>
      </c>
      <c r="I1685" s="1019">
        <v>43542</v>
      </c>
      <c r="J1685" s="1149" t="s">
        <v>2628</v>
      </c>
    </row>
    <row r="1686" spans="1:10" ht="24.95" customHeight="1" x14ac:dyDescent="0.2">
      <c r="A1686" s="1156" t="s">
        <v>2469</v>
      </c>
      <c r="B1686" s="1015" t="s">
        <v>2084</v>
      </c>
      <c r="C1686" s="1015" t="s">
        <v>2084</v>
      </c>
      <c r="D1686" s="518">
        <v>53</v>
      </c>
      <c r="E1686" s="684">
        <v>2285.4499999999998</v>
      </c>
      <c r="F1686" s="685" t="s">
        <v>2470</v>
      </c>
      <c r="G1686" s="1017" t="s">
        <v>1842</v>
      </c>
      <c r="H1686" s="686">
        <v>43542</v>
      </c>
      <c r="I1686" s="1019">
        <v>43542</v>
      </c>
      <c r="J1686" s="1149" t="s">
        <v>2628</v>
      </c>
    </row>
    <row r="1687" spans="1:10" ht="24.95" customHeight="1" x14ac:dyDescent="0.2">
      <c r="A1687" s="1156" t="s">
        <v>2469</v>
      </c>
      <c r="B1687" s="1015" t="s">
        <v>2084</v>
      </c>
      <c r="C1687" s="1015" t="s">
        <v>2084</v>
      </c>
      <c r="D1687" s="518">
        <v>54</v>
      </c>
      <c r="E1687" s="684">
        <v>8163.7</v>
      </c>
      <c r="F1687" s="685" t="s">
        <v>2470</v>
      </c>
      <c r="G1687" s="1017" t="s">
        <v>1842</v>
      </c>
      <c r="H1687" s="686">
        <v>43542</v>
      </c>
      <c r="I1687" s="1019">
        <v>43542</v>
      </c>
      <c r="J1687" s="1149" t="s">
        <v>2628</v>
      </c>
    </row>
    <row r="1688" spans="1:10" ht="24.95" customHeight="1" x14ac:dyDescent="0.2">
      <c r="A1688" s="1156" t="s">
        <v>2469</v>
      </c>
      <c r="B1688" s="1015" t="s">
        <v>2084</v>
      </c>
      <c r="C1688" s="1015" t="s">
        <v>2084</v>
      </c>
      <c r="D1688" s="518">
        <v>89</v>
      </c>
      <c r="E1688" s="684">
        <v>10722.3</v>
      </c>
      <c r="F1688" s="685" t="s">
        <v>2470</v>
      </c>
      <c r="G1688" s="1017" t="s">
        <v>1842</v>
      </c>
      <c r="H1688" s="686">
        <v>43579</v>
      </c>
      <c r="I1688" s="1019">
        <v>43579</v>
      </c>
      <c r="J1688" s="1149" t="s">
        <v>2628</v>
      </c>
    </row>
    <row r="1689" spans="1:10" ht="24.95" customHeight="1" x14ac:dyDescent="0.2">
      <c r="A1689" s="1156" t="s">
        <v>2469</v>
      </c>
      <c r="B1689" s="1015" t="s">
        <v>2084</v>
      </c>
      <c r="C1689" s="1015" t="s">
        <v>2084</v>
      </c>
      <c r="D1689" s="518">
        <v>90</v>
      </c>
      <c r="E1689" s="684">
        <v>9648.7000000000007</v>
      </c>
      <c r="F1689" s="685" t="s">
        <v>2470</v>
      </c>
      <c r="G1689" s="1017" t="s">
        <v>1842</v>
      </c>
      <c r="H1689" s="686">
        <v>43579</v>
      </c>
      <c r="I1689" s="1019">
        <v>43579</v>
      </c>
      <c r="J1689" s="1149" t="s">
        <v>2628</v>
      </c>
    </row>
    <row r="1690" spans="1:10" ht="24.95" customHeight="1" x14ac:dyDescent="0.2">
      <c r="A1690" s="1156" t="s">
        <v>2469</v>
      </c>
      <c r="B1690" s="1015" t="s">
        <v>2084</v>
      </c>
      <c r="C1690" s="1015" t="s">
        <v>2084</v>
      </c>
      <c r="D1690" s="518">
        <v>91</v>
      </c>
      <c r="E1690" s="684">
        <v>1957.9</v>
      </c>
      <c r="F1690" s="685" t="s">
        <v>2470</v>
      </c>
      <c r="G1690" s="1017" t="s">
        <v>1842</v>
      </c>
      <c r="H1690" s="686">
        <v>43579</v>
      </c>
      <c r="I1690" s="1019">
        <v>43579</v>
      </c>
      <c r="J1690" s="1149" t="s">
        <v>2628</v>
      </c>
    </row>
    <row r="1691" spans="1:10" ht="24.95" customHeight="1" x14ac:dyDescent="0.2">
      <c r="A1691" s="1156" t="s">
        <v>2469</v>
      </c>
      <c r="B1691" s="1015" t="s">
        <v>2084</v>
      </c>
      <c r="C1691" s="1015" t="s">
        <v>2084</v>
      </c>
      <c r="D1691" s="518">
        <v>92</v>
      </c>
      <c r="E1691" s="684">
        <v>3841.8</v>
      </c>
      <c r="F1691" s="685" t="s">
        <v>2470</v>
      </c>
      <c r="G1691" s="1017" t="s">
        <v>1842</v>
      </c>
      <c r="H1691" s="686">
        <v>43579</v>
      </c>
      <c r="I1691" s="1019">
        <v>43579</v>
      </c>
      <c r="J1691" s="1149" t="s">
        <v>2628</v>
      </c>
    </row>
    <row r="1692" spans="1:10" ht="24.95" customHeight="1" x14ac:dyDescent="0.2">
      <c r="A1692" s="1156" t="s">
        <v>2477</v>
      </c>
      <c r="B1692" s="1015" t="s">
        <v>2084</v>
      </c>
      <c r="C1692" s="1015" t="s">
        <v>2084</v>
      </c>
      <c r="D1692" s="518">
        <v>96</v>
      </c>
      <c r="E1692" s="684">
        <v>7080</v>
      </c>
      <c r="F1692" s="685" t="s">
        <v>2478</v>
      </c>
      <c r="G1692" s="1017" t="s">
        <v>1842</v>
      </c>
      <c r="H1692" s="686">
        <v>43584</v>
      </c>
      <c r="I1692" s="1019">
        <v>43626</v>
      </c>
      <c r="J1692" s="1149" t="s">
        <v>2628</v>
      </c>
    </row>
    <row r="1693" spans="1:10" ht="24.95" customHeight="1" x14ac:dyDescent="0.2">
      <c r="A1693" s="1156" t="s">
        <v>2469</v>
      </c>
      <c r="B1693" s="1015" t="s">
        <v>2084</v>
      </c>
      <c r="C1693" s="1015" t="s">
        <v>2084</v>
      </c>
      <c r="D1693" s="518">
        <v>115</v>
      </c>
      <c r="E1693" s="684">
        <v>13030.2</v>
      </c>
      <c r="F1693" s="685" t="s">
        <v>2470</v>
      </c>
      <c r="G1693" s="1017" t="s">
        <v>1842</v>
      </c>
      <c r="H1693" s="686">
        <v>43613</v>
      </c>
      <c r="I1693" s="1019">
        <v>43613</v>
      </c>
      <c r="J1693" s="1149" t="s">
        <v>2628</v>
      </c>
    </row>
    <row r="1694" spans="1:10" ht="24.95" customHeight="1" x14ac:dyDescent="0.2">
      <c r="A1694" s="1156" t="s">
        <v>2469</v>
      </c>
      <c r="B1694" s="1015" t="s">
        <v>2084</v>
      </c>
      <c r="C1694" s="1015" t="s">
        <v>2084</v>
      </c>
      <c r="D1694" s="518">
        <v>116</v>
      </c>
      <c r="E1694" s="684">
        <v>3153.1</v>
      </c>
      <c r="F1694" s="685" t="s">
        <v>2470</v>
      </c>
      <c r="G1694" s="1017" t="s">
        <v>1842</v>
      </c>
      <c r="H1694" s="658" t="s">
        <v>2479</v>
      </c>
      <c r="I1694" s="1019">
        <v>43613</v>
      </c>
      <c r="J1694" s="1149" t="s">
        <v>2628</v>
      </c>
    </row>
    <row r="1695" spans="1:10" ht="24.95" customHeight="1" x14ac:dyDescent="0.2">
      <c r="A1695" s="1156" t="s">
        <v>2469</v>
      </c>
      <c r="B1695" s="1015" t="s">
        <v>2084</v>
      </c>
      <c r="C1695" s="1015" t="s">
        <v>2084</v>
      </c>
      <c r="D1695" s="518">
        <v>117</v>
      </c>
      <c r="E1695" s="684">
        <v>16454.2</v>
      </c>
      <c r="F1695" s="685" t="s">
        <v>2470</v>
      </c>
      <c r="G1695" s="1017" t="s">
        <v>1842</v>
      </c>
      <c r="H1695" s="658" t="s">
        <v>2479</v>
      </c>
      <c r="I1695" s="1019">
        <v>43613</v>
      </c>
      <c r="J1695" s="1149" t="s">
        <v>2628</v>
      </c>
    </row>
    <row r="1696" spans="1:10" ht="24.95" customHeight="1" x14ac:dyDescent="0.2">
      <c r="A1696" s="1156" t="s">
        <v>2469</v>
      </c>
      <c r="B1696" s="1015" t="s">
        <v>2084</v>
      </c>
      <c r="C1696" s="1015" t="s">
        <v>2084</v>
      </c>
      <c r="D1696" s="518">
        <v>118</v>
      </c>
      <c r="E1696" s="684">
        <v>2112.8000000000002</v>
      </c>
      <c r="F1696" s="685" t="s">
        <v>2470</v>
      </c>
      <c r="G1696" s="1017" t="s">
        <v>1842</v>
      </c>
      <c r="H1696" s="658" t="s">
        <v>2479</v>
      </c>
      <c r="I1696" s="1019">
        <v>43613</v>
      </c>
      <c r="J1696" s="1149" t="s">
        <v>2628</v>
      </c>
    </row>
    <row r="1697" spans="1:10" ht="24.95" customHeight="1" x14ac:dyDescent="0.2">
      <c r="A1697" s="1156" t="s">
        <v>2469</v>
      </c>
      <c r="B1697" s="1015" t="s">
        <v>2084</v>
      </c>
      <c r="C1697" s="1015" t="s">
        <v>2084</v>
      </c>
      <c r="D1697" s="518">
        <v>138</v>
      </c>
      <c r="E1697" s="684">
        <v>2630.6</v>
      </c>
      <c r="F1697" s="685" t="s">
        <v>2470</v>
      </c>
      <c r="G1697" s="1017" t="s">
        <v>1842</v>
      </c>
      <c r="H1697" s="658" t="s">
        <v>2480</v>
      </c>
      <c r="I1697" s="1019">
        <v>43636</v>
      </c>
      <c r="J1697" s="1149" t="s">
        <v>2628</v>
      </c>
    </row>
    <row r="1698" spans="1:10" ht="24.95" customHeight="1" x14ac:dyDescent="0.2">
      <c r="A1698" s="1156" t="s">
        <v>2469</v>
      </c>
      <c r="B1698" s="1015" t="s">
        <v>2084</v>
      </c>
      <c r="C1698" s="1015" t="s">
        <v>2084</v>
      </c>
      <c r="D1698" s="518">
        <v>139</v>
      </c>
      <c r="E1698" s="684">
        <v>16267.6</v>
      </c>
      <c r="F1698" s="685" t="s">
        <v>2470</v>
      </c>
      <c r="G1698" s="1017" t="s">
        <v>1842</v>
      </c>
      <c r="H1698" s="658" t="s">
        <v>2480</v>
      </c>
      <c r="I1698" s="1019">
        <v>43636</v>
      </c>
      <c r="J1698" s="1149" t="s">
        <v>2628</v>
      </c>
    </row>
    <row r="1699" spans="1:10" ht="24.95" customHeight="1" x14ac:dyDescent="0.2">
      <c r="A1699" s="1156" t="s">
        <v>2469</v>
      </c>
      <c r="B1699" s="1015" t="s">
        <v>2084</v>
      </c>
      <c r="C1699" s="1015" t="s">
        <v>2084</v>
      </c>
      <c r="D1699" s="518">
        <v>140</v>
      </c>
      <c r="E1699" s="684">
        <v>13081.6</v>
      </c>
      <c r="F1699" s="685" t="s">
        <v>2470</v>
      </c>
      <c r="G1699" s="1017" t="s">
        <v>1842</v>
      </c>
      <c r="H1699" s="658" t="s">
        <v>2480</v>
      </c>
      <c r="I1699" s="1019">
        <v>43636</v>
      </c>
      <c r="J1699" s="1149" t="s">
        <v>2628</v>
      </c>
    </row>
    <row r="1700" spans="1:10" ht="24.95" customHeight="1" x14ac:dyDescent="0.2">
      <c r="A1700" s="1156" t="s">
        <v>2469</v>
      </c>
      <c r="B1700" s="1015" t="s">
        <v>2084</v>
      </c>
      <c r="C1700" s="1015" t="s">
        <v>2084</v>
      </c>
      <c r="D1700" s="518">
        <v>141</v>
      </c>
      <c r="E1700" s="684">
        <v>1826.4</v>
      </c>
      <c r="F1700" s="685" t="s">
        <v>2470</v>
      </c>
      <c r="G1700" s="1017" t="s">
        <v>1842</v>
      </c>
      <c r="H1700" s="658" t="s">
        <v>2481</v>
      </c>
      <c r="I1700" s="1019">
        <v>43636</v>
      </c>
      <c r="J1700" s="1149" t="s">
        <v>2628</v>
      </c>
    </row>
    <row r="1701" spans="1:10" ht="24.95" customHeight="1" x14ac:dyDescent="0.2">
      <c r="A1701" s="1156" t="s">
        <v>2482</v>
      </c>
      <c r="B1701" s="1015" t="s">
        <v>2084</v>
      </c>
      <c r="C1701" s="1015" t="s">
        <v>2084</v>
      </c>
      <c r="D1701" s="518">
        <v>208</v>
      </c>
      <c r="E1701" s="684">
        <v>29963.64</v>
      </c>
      <c r="F1701" s="685" t="s">
        <v>2483</v>
      </c>
      <c r="G1701" s="1017" t="s">
        <v>1842</v>
      </c>
      <c r="H1701" s="658" t="s">
        <v>2246</v>
      </c>
      <c r="I1701" s="1019">
        <v>43734</v>
      </c>
      <c r="J1701" s="1149" t="s">
        <v>2628</v>
      </c>
    </row>
    <row r="1702" spans="1:10" ht="24.95" customHeight="1" x14ac:dyDescent="0.2">
      <c r="A1702" s="1156" t="s">
        <v>2469</v>
      </c>
      <c r="B1702" s="1015" t="s">
        <v>2084</v>
      </c>
      <c r="C1702" s="1015" t="s">
        <v>2084</v>
      </c>
      <c r="D1702" s="518">
        <v>217</v>
      </c>
      <c r="E1702" s="684">
        <v>3155.8</v>
      </c>
      <c r="F1702" s="685" t="s">
        <v>2470</v>
      </c>
      <c r="G1702" s="1017" t="s">
        <v>1842</v>
      </c>
      <c r="H1702" s="658" t="s">
        <v>2250</v>
      </c>
      <c r="I1702" s="1019">
        <v>43704</v>
      </c>
      <c r="J1702" s="1149" t="s">
        <v>2628</v>
      </c>
    </row>
    <row r="1703" spans="1:10" ht="24.95" customHeight="1" x14ac:dyDescent="0.2">
      <c r="A1703" s="1156" t="s">
        <v>2469</v>
      </c>
      <c r="B1703" s="1015" t="s">
        <v>2084</v>
      </c>
      <c r="C1703" s="1015" t="s">
        <v>2084</v>
      </c>
      <c r="D1703" s="518">
        <v>218</v>
      </c>
      <c r="E1703" s="684">
        <v>14868.2</v>
      </c>
      <c r="F1703" s="685" t="s">
        <v>2470</v>
      </c>
      <c r="G1703" s="1017" t="s">
        <v>1842</v>
      </c>
      <c r="H1703" s="658" t="s">
        <v>2250</v>
      </c>
      <c r="I1703" s="1019">
        <v>43704</v>
      </c>
      <c r="J1703" s="1149" t="s">
        <v>2628</v>
      </c>
    </row>
    <row r="1704" spans="1:10" ht="24.95" customHeight="1" x14ac:dyDescent="0.2">
      <c r="A1704" s="1156" t="s">
        <v>2469</v>
      </c>
      <c r="B1704" s="1015" t="s">
        <v>2084</v>
      </c>
      <c r="C1704" s="1015" t="s">
        <v>2084</v>
      </c>
      <c r="D1704" s="518">
        <v>219</v>
      </c>
      <c r="E1704" s="684">
        <v>19003.900000000001</v>
      </c>
      <c r="F1704" s="685" t="s">
        <v>2470</v>
      </c>
      <c r="G1704" s="1017" t="s">
        <v>1842</v>
      </c>
      <c r="H1704" s="658" t="s">
        <v>2250</v>
      </c>
      <c r="I1704" s="1019">
        <v>43704</v>
      </c>
      <c r="J1704" s="1149" t="s">
        <v>2628</v>
      </c>
    </row>
    <row r="1705" spans="1:10" ht="24.95" customHeight="1" x14ac:dyDescent="0.2">
      <c r="A1705" s="1156" t="s">
        <v>2469</v>
      </c>
      <c r="B1705" s="1015" t="s">
        <v>2084</v>
      </c>
      <c r="C1705" s="1015" t="s">
        <v>2084</v>
      </c>
      <c r="D1705" s="518">
        <v>220</v>
      </c>
      <c r="E1705" s="684">
        <v>2646.9</v>
      </c>
      <c r="F1705" s="685" t="s">
        <v>2470</v>
      </c>
      <c r="G1705" s="1017" t="s">
        <v>1842</v>
      </c>
      <c r="H1705" s="658" t="s">
        <v>2250</v>
      </c>
      <c r="I1705" s="1019">
        <v>43704</v>
      </c>
      <c r="J1705" s="1149" t="s">
        <v>2628</v>
      </c>
    </row>
    <row r="1706" spans="1:10" ht="24.95" customHeight="1" x14ac:dyDescent="0.2">
      <c r="A1706" s="1156" t="s">
        <v>2484</v>
      </c>
      <c r="B1706" s="1015" t="s">
        <v>2084</v>
      </c>
      <c r="C1706" s="1015" t="s">
        <v>2084</v>
      </c>
      <c r="D1706" s="518">
        <v>262</v>
      </c>
      <c r="E1706" s="684">
        <v>2500.5</v>
      </c>
      <c r="F1706" s="685" t="s">
        <v>2485</v>
      </c>
      <c r="G1706" s="1017" t="s">
        <v>1842</v>
      </c>
      <c r="H1706" s="658" t="s">
        <v>2486</v>
      </c>
      <c r="I1706" s="1019">
        <v>43803</v>
      </c>
      <c r="J1706" s="1149" t="s">
        <v>2628</v>
      </c>
    </row>
    <row r="1707" spans="1:10" ht="24.95" customHeight="1" x14ac:dyDescent="0.2">
      <c r="A1707" s="1156" t="s">
        <v>2469</v>
      </c>
      <c r="B1707" s="1015" t="s">
        <v>2084</v>
      </c>
      <c r="C1707" s="1015" t="s">
        <v>2084</v>
      </c>
      <c r="D1707" s="518">
        <v>263</v>
      </c>
      <c r="E1707" s="684">
        <v>2449.9</v>
      </c>
      <c r="F1707" s="685" t="s">
        <v>2470</v>
      </c>
      <c r="G1707" s="1017" t="s">
        <v>1842</v>
      </c>
      <c r="H1707" s="658" t="s">
        <v>2487</v>
      </c>
      <c r="I1707" s="1019">
        <v>43735</v>
      </c>
      <c r="J1707" s="1149" t="s">
        <v>2628</v>
      </c>
    </row>
    <row r="1708" spans="1:10" ht="24.95" customHeight="1" x14ac:dyDescent="0.2">
      <c r="A1708" s="1156" t="s">
        <v>2469</v>
      </c>
      <c r="B1708" s="1015" t="s">
        <v>2084</v>
      </c>
      <c r="C1708" s="1015" t="s">
        <v>2084</v>
      </c>
      <c r="D1708" s="518">
        <v>264</v>
      </c>
      <c r="E1708" s="684">
        <v>11918.7</v>
      </c>
      <c r="F1708" s="685" t="s">
        <v>2470</v>
      </c>
      <c r="G1708" s="1017" t="s">
        <v>1842</v>
      </c>
      <c r="H1708" s="658" t="s">
        <v>2487</v>
      </c>
      <c r="I1708" s="1019">
        <v>43735</v>
      </c>
      <c r="J1708" s="1149" t="s">
        <v>2628</v>
      </c>
    </row>
    <row r="1709" spans="1:10" ht="24.95" customHeight="1" x14ac:dyDescent="0.2">
      <c r="A1709" s="1156" t="s">
        <v>2469</v>
      </c>
      <c r="B1709" s="1015" t="s">
        <v>2084</v>
      </c>
      <c r="C1709" s="1015" t="s">
        <v>2084</v>
      </c>
      <c r="D1709" s="518">
        <v>265</v>
      </c>
      <c r="E1709" s="684">
        <v>14035.9</v>
      </c>
      <c r="F1709" s="685" t="s">
        <v>2470</v>
      </c>
      <c r="G1709" s="1017" t="s">
        <v>1842</v>
      </c>
      <c r="H1709" s="658" t="s">
        <v>2487</v>
      </c>
      <c r="I1709" s="1019">
        <v>43735</v>
      </c>
      <c r="J1709" s="1149" t="s">
        <v>2628</v>
      </c>
    </row>
    <row r="1710" spans="1:10" ht="24.95" customHeight="1" x14ac:dyDescent="0.2">
      <c r="A1710" s="1156" t="s">
        <v>2469</v>
      </c>
      <c r="B1710" s="1015" t="s">
        <v>2084</v>
      </c>
      <c r="C1710" s="1015" t="s">
        <v>2084</v>
      </c>
      <c r="D1710" s="518">
        <v>266</v>
      </c>
      <c r="E1710" s="684">
        <v>2226.9</v>
      </c>
      <c r="F1710" s="685" t="s">
        <v>2470</v>
      </c>
      <c r="G1710" s="1017" t="s">
        <v>1842</v>
      </c>
      <c r="H1710" s="658" t="s">
        <v>2487</v>
      </c>
      <c r="I1710" s="1019">
        <v>43735</v>
      </c>
      <c r="J1710" s="1149" t="s">
        <v>2628</v>
      </c>
    </row>
    <row r="1711" spans="1:10" ht="24.95" customHeight="1" x14ac:dyDescent="0.2">
      <c r="A1711" s="1156" t="s">
        <v>2488</v>
      </c>
      <c r="B1711" s="1015" t="s">
        <v>2084</v>
      </c>
      <c r="C1711" s="1015" t="s">
        <v>2084</v>
      </c>
      <c r="D1711" s="518">
        <v>284</v>
      </c>
      <c r="E1711" s="684">
        <v>5100</v>
      </c>
      <c r="F1711" s="685" t="s">
        <v>2489</v>
      </c>
      <c r="G1711" s="1017" t="s">
        <v>1842</v>
      </c>
      <c r="H1711" s="658" t="s">
        <v>2490</v>
      </c>
      <c r="I1711" s="1019">
        <v>43826</v>
      </c>
      <c r="J1711" s="1149" t="s">
        <v>2628</v>
      </c>
    </row>
    <row r="1712" spans="1:10" ht="24.95" customHeight="1" x14ac:dyDescent="0.2">
      <c r="A1712" s="1156" t="s">
        <v>2484</v>
      </c>
      <c r="B1712" s="1015" t="s">
        <v>2084</v>
      </c>
      <c r="C1712" s="1015" t="s">
        <v>2084</v>
      </c>
      <c r="D1712" s="518">
        <v>285</v>
      </c>
      <c r="E1712" s="684">
        <v>6150</v>
      </c>
      <c r="F1712" s="685" t="s">
        <v>2485</v>
      </c>
      <c r="G1712" s="1017" t="s">
        <v>1842</v>
      </c>
      <c r="H1712" s="686">
        <v>43748</v>
      </c>
      <c r="I1712" s="1019">
        <v>43803</v>
      </c>
      <c r="J1712" s="1149" t="s">
        <v>2628</v>
      </c>
    </row>
    <row r="1713" spans="1:10" ht="24.95" customHeight="1" x14ac:dyDescent="0.2">
      <c r="A1713" s="1156" t="s">
        <v>2482</v>
      </c>
      <c r="B1713" s="1015" t="s">
        <v>2084</v>
      </c>
      <c r="C1713" s="1015" t="s">
        <v>2084</v>
      </c>
      <c r="D1713" s="518">
        <v>287</v>
      </c>
      <c r="E1713" s="684">
        <v>1744.6</v>
      </c>
      <c r="F1713" s="685" t="s">
        <v>2474</v>
      </c>
      <c r="G1713" s="1017" t="s">
        <v>1842</v>
      </c>
      <c r="H1713" s="658" t="s">
        <v>1975</v>
      </c>
      <c r="I1713" s="1019">
        <v>43804</v>
      </c>
      <c r="J1713" s="1149" t="s">
        <v>2628</v>
      </c>
    </row>
    <row r="1714" spans="1:10" ht="24.95" customHeight="1" x14ac:dyDescent="0.2">
      <c r="A1714" s="1156" t="s">
        <v>2469</v>
      </c>
      <c r="B1714" s="1015" t="s">
        <v>2084</v>
      </c>
      <c r="C1714" s="1015" t="s">
        <v>2084</v>
      </c>
      <c r="D1714" s="518">
        <v>288</v>
      </c>
      <c r="E1714" s="684">
        <v>2917</v>
      </c>
      <c r="F1714" s="685" t="s">
        <v>2470</v>
      </c>
      <c r="G1714" s="1017" t="s">
        <v>1842</v>
      </c>
      <c r="H1714" s="686">
        <v>43762</v>
      </c>
      <c r="I1714" s="1019">
        <v>43762</v>
      </c>
      <c r="J1714" s="1149" t="s">
        <v>2628</v>
      </c>
    </row>
    <row r="1715" spans="1:10" ht="24.95" customHeight="1" x14ac:dyDescent="0.2">
      <c r="A1715" s="1156" t="s">
        <v>2469</v>
      </c>
      <c r="B1715" s="1015" t="s">
        <v>2084</v>
      </c>
      <c r="C1715" s="1015" t="s">
        <v>2084</v>
      </c>
      <c r="D1715" s="518">
        <v>289</v>
      </c>
      <c r="E1715" s="684">
        <v>14472.4</v>
      </c>
      <c r="F1715" s="685" t="s">
        <v>2470</v>
      </c>
      <c r="G1715" s="1017" t="s">
        <v>1842</v>
      </c>
      <c r="H1715" s="686">
        <v>43762</v>
      </c>
      <c r="I1715" s="1019">
        <v>43762</v>
      </c>
      <c r="J1715" s="1149" t="s">
        <v>2628</v>
      </c>
    </row>
    <row r="1716" spans="1:10" ht="24.95" customHeight="1" x14ac:dyDescent="0.2">
      <c r="A1716" s="1156" t="s">
        <v>2469</v>
      </c>
      <c r="B1716" s="1015" t="s">
        <v>2084</v>
      </c>
      <c r="C1716" s="1015" t="s">
        <v>2084</v>
      </c>
      <c r="D1716" s="518">
        <v>290</v>
      </c>
      <c r="E1716" s="684">
        <v>15988.5</v>
      </c>
      <c r="F1716" s="685" t="s">
        <v>2470</v>
      </c>
      <c r="G1716" s="1017" t="s">
        <v>1842</v>
      </c>
      <c r="H1716" s="686">
        <v>43762</v>
      </c>
      <c r="I1716" s="1019">
        <v>43762</v>
      </c>
      <c r="J1716" s="1149" t="s">
        <v>2628</v>
      </c>
    </row>
    <row r="1717" spans="1:10" ht="24.95" customHeight="1" x14ac:dyDescent="0.2">
      <c r="A1717" s="1156" t="s">
        <v>2469</v>
      </c>
      <c r="B1717" s="1015" t="s">
        <v>2084</v>
      </c>
      <c r="C1717" s="1015" t="s">
        <v>2084</v>
      </c>
      <c r="D1717" s="518">
        <v>291</v>
      </c>
      <c r="E1717" s="684">
        <v>2438.1</v>
      </c>
      <c r="F1717" s="685" t="s">
        <v>2470</v>
      </c>
      <c r="G1717" s="1017" t="s">
        <v>1842</v>
      </c>
      <c r="H1717" s="686">
        <v>43763</v>
      </c>
      <c r="I1717" s="1019">
        <v>43763</v>
      </c>
      <c r="J1717" s="1149" t="s">
        <v>2628</v>
      </c>
    </row>
    <row r="1718" spans="1:10" ht="24.95" customHeight="1" x14ac:dyDescent="0.2">
      <c r="A1718" s="1156" t="s">
        <v>2469</v>
      </c>
      <c r="B1718" s="1015" t="s">
        <v>2084</v>
      </c>
      <c r="C1718" s="1015" t="s">
        <v>2084</v>
      </c>
      <c r="D1718" s="518">
        <v>317</v>
      </c>
      <c r="E1718" s="684">
        <v>14436.4</v>
      </c>
      <c r="F1718" s="685" t="s">
        <v>2470</v>
      </c>
      <c r="G1718" s="1017" t="s">
        <v>1842</v>
      </c>
      <c r="H1718" s="686">
        <v>43783</v>
      </c>
      <c r="I1718" s="1019">
        <v>43783</v>
      </c>
      <c r="J1718" s="1149" t="s">
        <v>2628</v>
      </c>
    </row>
    <row r="1719" spans="1:10" ht="24.95" customHeight="1" x14ac:dyDescent="0.2">
      <c r="A1719" s="1156" t="s">
        <v>2469</v>
      </c>
      <c r="B1719" s="1015" t="s">
        <v>2084</v>
      </c>
      <c r="C1719" s="1015" t="s">
        <v>2084</v>
      </c>
      <c r="D1719" s="518">
        <v>318</v>
      </c>
      <c r="E1719" s="684">
        <v>2012.7</v>
      </c>
      <c r="F1719" s="685" t="s">
        <v>2470</v>
      </c>
      <c r="G1719" s="1017" t="s">
        <v>1842</v>
      </c>
      <c r="H1719" s="686">
        <v>43783</v>
      </c>
      <c r="I1719" s="1019">
        <v>43783</v>
      </c>
      <c r="J1719" s="1149" t="s">
        <v>2628</v>
      </c>
    </row>
    <row r="1720" spans="1:10" ht="24.95" customHeight="1" x14ac:dyDescent="0.2">
      <c r="A1720" s="1156" t="s">
        <v>2469</v>
      </c>
      <c r="B1720" s="1015" t="s">
        <v>2084</v>
      </c>
      <c r="C1720" s="1015" t="s">
        <v>2084</v>
      </c>
      <c r="D1720" s="518">
        <v>319</v>
      </c>
      <c r="E1720" s="684">
        <v>14790</v>
      </c>
      <c r="F1720" s="685" t="s">
        <v>2470</v>
      </c>
      <c r="G1720" s="1017" t="s">
        <v>1842</v>
      </c>
      <c r="H1720" s="686">
        <v>43783</v>
      </c>
      <c r="I1720" s="1019">
        <v>43783</v>
      </c>
      <c r="J1720" s="1149" t="s">
        <v>2628</v>
      </c>
    </row>
    <row r="1721" spans="1:10" ht="24.95" customHeight="1" x14ac:dyDescent="0.2">
      <c r="A1721" s="1156" t="s">
        <v>2469</v>
      </c>
      <c r="B1721" s="1015" t="s">
        <v>2084</v>
      </c>
      <c r="C1721" s="1015" t="s">
        <v>2084</v>
      </c>
      <c r="D1721" s="518">
        <v>320</v>
      </c>
      <c r="E1721" s="684">
        <v>3591.8</v>
      </c>
      <c r="F1721" s="685" t="s">
        <v>2470</v>
      </c>
      <c r="G1721" s="1017" t="s">
        <v>1842</v>
      </c>
      <c r="H1721" s="658" t="s">
        <v>2491</v>
      </c>
      <c r="I1721" s="1019">
        <v>43783</v>
      </c>
      <c r="J1721" s="1149" t="s">
        <v>2628</v>
      </c>
    </row>
    <row r="1722" spans="1:10" ht="24.95" customHeight="1" x14ac:dyDescent="0.2">
      <c r="A1722" s="1156" t="s">
        <v>2471</v>
      </c>
      <c r="B1722" s="1015" t="s">
        <v>2084</v>
      </c>
      <c r="C1722" s="1015" t="s">
        <v>2084</v>
      </c>
      <c r="D1722" s="518">
        <v>331</v>
      </c>
      <c r="E1722" s="684">
        <v>7511.48</v>
      </c>
      <c r="F1722" s="685" t="s">
        <v>2492</v>
      </c>
      <c r="G1722" s="1017" t="s">
        <v>1842</v>
      </c>
      <c r="H1722" s="686">
        <v>43801</v>
      </c>
      <c r="I1722" s="1019">
        <v>43830</v>
      </c>
      <c r="J1722" s="1149" t="s">
        <v>2628</v>
      </c>
    </row>
    <row r="1723" spans="1:10" ht="24.95" customHeight="1" x14ac:dyDescent="0.2">
      <c r="A1723" s="1156" t="s">
        <v>2469</v>
      </c>
      <c r="B1723" s="1015" t="s">
        <v>2084</v>
      </c>
      <c r="C1723" s="1015" t="s">
        <v>2084</v>
      </c>
      <c r="D1723" s="518">
        <v>341</v>
      </c>
      <c r="E1723" s="684">
        <v>2888.1</v>
      </c>
      <c r="F1723" s="685" t="s">
        <v>2470</v>
      </c>
      <c r="G1723" s="1017" t="s">
        <v>1842</v>
      </c>
      <c r="H1723" s="658" t="s">
        <v>2206</v>
      </c>
      <c r="I1723" s="1019">
        <v>43811</v>
      </c>
      <c r="J1723" s="1149" t="s">
        <v>2628</v>
      </c>
    </row>
    <row r="1724" spans="1:10" ht="24.95" customHeight="1" x14ac:dyDescent="0.2">
      <c r="A1724" s="1156" t="s">
        <v>2469</v>
      </c>
      <c r="B1724" s="1015" t="s">
        <v>2084</v>
      </c>
      <c r="C1724" s="1015" t="s">
        <v>2084</v>
      </c>
      <c r="D1724" s="518">
        <v>342</v>
      </c>
      <c r="E1724" s="684">
        <v>12798.8</v>
      </c>
      <c r="F1724" s="685" t="s">
        <v>2470</v>
      </c>
      <c r="G1724" s="1017" t="s">
        <v>1842</v>
      </c>
      <c r="H1724" s="658" t="s">
        <v>2206</v>
      </c>
      <c r="I1724" s="1019">
        <v>43811</v>
      </c>
      <c r="J1724" s="1149" t="s">
        <v>2628</v>
      </c>
    </row>
    <row r="1725" spans="1:10" ht="24.95" customHeight="1" x14ac:dyDescent="0.2">
      <c r="A1725" s="1156" t="s">
        <v>2469</v>
      </c>
      <c r="B1725" s="1015" t="s">
        <v>2084</v>
      </c>
      <c r="C1725" s="1015" t="s">
        <v>2084</v>
      </c>
      <c r="D1725" s="518">
        <v>343</v>
      </c>
      <c r="E1725" s="684">
        <v>12683</v>
      </c>
      <c r="F1725" s="685" t="s">
        <v>2470</v>
      </c>
      <c r="G1725" s="1017" t="s">
        <v>1842</v>
      </c>
      <c r="H1725" s="658" t="s">
        <v>2206</v>
      </c>
      <c r="I1725" s="1019">
        <v>43811</v>
      </c>
      <c r="J1725" s="1149" t="s">
        <v>2628</v>
      </c>
    </row>
    <row r="1726" spans="1:10" ht="24.95" customHeight="1" x14ac:dyDescent="0.2">
      <c r="A1726" s="1156" t="s">
        <v>2469</v>
      </c>
      <c r="B1726" s="1015" t="s">
        <v>2084</v>
      </c>
      <c r="C1726" s="1015" t="s">
        <v>2084</v>
      </c>
      <c r="D1726" s="518">
        <v>344</v>
      </c>
      <c r="E1726" s="684">
        <v>1724.9</v>
      </c>
      <c r="F1726" s="685" t="s">
        <v>2470</v>
      </c>
      <c r="G1726" s="1017" t="s">
        <v>1842</v>
      </c>
      <c r="H1726" s="658" t="s">
        <v>2206</v>
      </c>
      <c r="I1726" s="1019">
        <v>43811</v>
      </c>
      <c r="J1726" s="1149" t="s">
        <v>2628</v>
      </c>
    </row>
    <row r="1727" spans="1:10" ht="24.95" customHeight="1" x14ac:dyDescent="0.2">
      <c r="A1727" s="1156" t="s">
        <v>2488</v>
      </c>
      <c r="B1727" s="1015" t="s">
        <v>2084</v>
      </c>
      <c r="C1727" s="1015" t="s">
        <v>2084</v>
      </c>
      <c r="D1727" s="518">
        <v>370</v>
      </c>
      <c r="E1727" s="684">
        <v>6000</v>
      </c>
      <c r="F1727" s="685" t="s">
        <v>2489</v>
      </c>
      <c r="G1727" s="1017" t="s">
        <v>1842</v>
      </c>
      <c r="H1727" s="658" t="s">
        <v>2151</v>
      </c>
      <c r="I1727" s="1019">
        <v>43826</v>
      </c>
      <c r="J1727" s="1149" t="s">
        <v>2628</v>
      </c>
    </row>
    <row r="1728" spans="1:10" ht="24.95" customHeight="1" x14ac:dyDescent="0.2">
      <c r="A1728" s="1202" t="s">
        <v>2482</v>
      </c>
      <c r="B1728" s="1013" t="s">
        <v>2084</v>
      </c>
      <c r="C1728" s="1013" t="s">
        <v>2084</v>
      </c>
      <c r="D1728" s="519">
        <v>197</v>
      </c>
      <c r="E1728" s="687">
        <v>3006.4</v>
      </c>
      <c r="F1728" s="688" t="s">
        <v>2474</v>
      </c>
      <c r="G1728" s="1017" t="s">
        <v>1842</v>
      </c>
      <c r="H1728" s="658" t="s">
        <v>2493</v>
      </c>
      <c r="I1728" s="1019">
        <v>43717</v>
      </c>
      <c r="J1728" s="1149" t="s">
        <v>2628</v>
      </c>
    </row>
    <row r="1729" spans="1:10" ht="24.95" customHeight="1" x14ac:dyDescent="0.2">
      <c r="A1729" s="1202" t="s">
        <v>2484</v>
      </c>
      <c r="B1729" s="1013" t="s">
        <v>2084</v>
      </c>
      <c r="C1729" s="1013" t="s">
        <v>2084</v>
      </c>
      <c r="D1729" s="519">
        <v>198</v>
      </c>
      <c r="E1729" s="687">
        <v>6460</v>
      </c>
      <c r="F1729" s="688" t="s">
        <v>2485</v>
      </c>
      <c r="G1729" s="1017" t="s">
        <v>1842</v>
      </c>
      <c r="H1729" s="658" t="s">
        <v>2494</v>
      </c>
      <c r="I1729" s="1019">
        <v>43760</v>
      </c>
      <c r="J1729" s="1149" t="s">
        <v>2628</v>
      </c>
    </row>
    <row r="1730" spans="1:10" ht="24.95" customHeight="1" x14ac:dyDescent="0.2">
      <c r="A1730" s="1202" t="s">
        <v>2495</v>
      </c>
      <c r="B1730" s="1013" t="s">
        <v>2084</v>
      </c>
      <c r="C1730" s="1013" t="s">
        <v>2084</v>
      </c>
      <c r="D1730" s="605">
        <v>1</v>
      </c>
      <c r="E1730" s="687">
        <v>10100</v>
      </c>
      <c r="F1730" s="688" t="s">
        <v>2496</v>
      </c>
      <c r="G1730" s="1017" t="s">
        <v>1842</v>
      </c>
      <c r="H1730" s="658" t="s">
        <v>2497</v>
      </c>
      <c r="I1730" s="1019">
        <v>43887</v>
      </c>
      <c r="J1730" s="1149" t="s">
        <v>2628</v>
      </c>
    </row>
    <row r="1731" spans="1:10" ht="24.95" customHeight="1" x14ac:dyDescent="0.2">
      <c r="A1731" s="1202" t="s">
        <v>2498</v>
      </c>
      <c r="B1731" s="1013" t="s">
        <v>2084</v>
      </c>
      <c r="C1731" s="1013" t="s">
        <v>2084</v>
      </c>
      <c r="D1731" s="605">
        <v>2</v>
      </c>
      <c r="E1731" s="687">
        <v>1932</v>
      </c>
      <c r="F1731" s="688" t="s">
        <v>2499</v>
      </c>
      <c r="G1731" s="1017" t="s">
        <v>1842</v>
      </c>
      <c r="H1731" s="658" t="s">
        <v>2500</v>
      </c>
      <c r="I1731" s="1019">
        <v>43888</v>
      </c>
      <c r="J1731" s="1149" t="s">
        <v>2628</v>
      </c>
    </row>
    <row r="1732" spans="1:10" ht="24.95" customHeight="1" x14ac:dyDescent="0.2">
      <c r="A1732" s="1202" t="s">
        <v>2501</v>
      </c>
      <c r="B1732" s="1013" t="s">
        <v>2084</v>
      </c>
      <c r="C1732" s="1013" t="s">
        <v>2084</v>
      </c>
      <c r="D1732" s="605">
        <v>3</v>
      </c>
      <c r="E1732" s="687">
        <v>20230</v>
      </c>
      <c r="F1732" s="688" t="s">
        <v>2502</v>
      </c>
      <c r="G1732" s="1017" t="s">
        <v>1842</v>
      </c>
      <c r="H1732" s="658" t="s">
        <v>2503</v>
      </c>
      <c r="I1732" s="1019">
        <v>44025</v>
      </c>
      <c r="J1732" s="1149" t="s">
        <v>2628</v>
      </c>
    </row>
    <row r="1733" spans="1:10" ht="24.95" customHeight="1" x14ac:dyDescent="0.2">
      <c r="A1733" s="1202" t="s">
        <v>2504</v>
      </c>
      <c r="B1733" s="1013" t="s">
        <v>2464</v>
      </c>
      <c r="C1733" s="1013" t="s">
        <v>1776</v>
      </c>
      <c r="D1733" s="605">
        <v>4</v>
      </c>
      <c r="E1733" s="687">
        <v>485.81</v>
      </c>
      <c r="F1733" s="688" t="s">
        <v>2505</v>
      </c>
      <c r="G1733" s="1017" t="s">
        <v>1842</v>
      </c>
      <c r="H1733" s="658" t="s">
        <v>2506</v>
      </c>
      <c r="I1733" s="1019">
        <v>44091</v>
      </c>
      <c r="J1733" s="1149" t="s">
        <v>2628</v>
      </c>
    </row>
    <row r="1734" spans="1:10" ht="24.95" customHeight="1" x14ac:dyDescent="0.2">
      <c r="A1734" s="1202" t="s">
        <v>2504</v>
      </c>
      <c r="B1734" s="1013" t="s">
        <v>2464</v>
      </c>
      <c r="C1734" s="1013" t="s">
        <v>1776</v>
      </c>
      <c r="D1734" s="605">
        <v>5</v>
      </c>
      <c r="E1734" s="687">
        <v>178.42</v>
      </c>
      <c r="F1734" s="688" t="s">
        <v>2505</v>
      </c>
      <c r="G1734" s="1017" t="s">
        <v>1842</v>
      </c>
      <c r="H1734" s="658" t="s">
        <v>2506</v>
      </c>
      <c r="I1734" s="1019">
        <v>44106</v>
      </c>
      <c r="J1734" s="1149" t="s">
        <v>2628</v>
      </c>
    </row>
    <row r="1735" spans="1:10" ht="24.95" customHeight="1" x14ac:dyDescent="0.2">
      <c r="A1735" s="1202" t="s">
        <v>2504</v>
      </c>
      <c r="B1735" s="1013" t="s">
        <v>2464</v>
      </c>
      <c r="C1735" s="1013" t="s">
        <v>1776</v>
      </c>
      <c r="D1735" s="605">
        <v>6</v>
      </c>
      <c r="E1735" s="687">
        <v>398.63</v>
      </c>
      <c r="F1735" s="688" t="s">
        <v>2467</v>
      </c>
      <c r="G1735" s="1017" t="s">
        <v>1842</v>
      </c>
      <c r="H1735" s="658" t="s">
        <v>2341</v>
      </c>
      <c r="I1735" s="1019">
        <v>44106</v>
      </c>
      <c r="J1735" s="1149" t="s">
        <v>2628</v>
      </c>
    </row>
    <row r="1736" spans="1:10" ht="24.95" customHeight="1" x14ac:dyDescent="0.2">
      <c r="A1736" s="1202" t="s">
        <v>2507</v>
      </c>
      <c r="B1736" s="1013" t="s">
        <v>2084</v>
      </c>
      <c r="C1736" s="1013" t="s">
        <v>2084</v>
      </c>
      <c r="D1736" s="605">
        <v>7</v>
      </c>
      <c r="E1736" s="687">
        <v>815.9</v>
      </c>
      <c r="F1736" s="688" t="s">
        <v>2508</v>
      </c>
      <c r="G1736" s="1017" t="s">
        <v>1842</v>
      </c>
      <c r="H1736" s="658" t="s">
        <v>2509</v>
      </c>
      <c r="I1736" s="1019">
        <v>44102</v>
      </c>
      <c r="J1736" s="1149" t="s">
        <v>2628</v>
      </c>
    </row>
    <row r="1737" spans="1:10" ht="24.95" customHeight="1" x14ac:dyDescent="0.2">
      <c r="A1737" s="1202" t="s">
        <v>2510</v>
      </c>
      <c r="B1737" s="1013" t="s">
        <v>2084</v>
      </c>
      <c r="C1737" s="1013" t="s">
        <v>2084</v>
      </c>
      <c r="D1737" s="605">
        <v>10</v>
      </c>
      <c r="E1737" s="687">
        <v>16403.400000000001</v>
      </c>
      <c r="F1737" s="688" t="s">
        <v>2511</v>
      </c>
      <c r="G1737" s="1017" t="s">
        <v>1842</v>
      </c>
      <c r="H1737" s="658" t="s">
        <v>2512</v>
      </c>
      <c r="I1737" s="1019">
        <v>44106</v>
      </c>
      <c r="J1737" s="1149" t="s">
        <v>2628</v>
      </c>
    </row>
    <row r="1738" spans="1:10" ht="24.95" customHeight="1" x14ac:dyDescent="0.2">
      <c r="A1738" s="1202" t="s">
        <v>2513</v>
      </c>
      <c r="B1738" s="1013" t="s">
        <v>2084</v>
      </c>
      <c r="C1738" s="1013" t="s">
        <v>2084</v>
      </c>
      <c r="D1738" s="605">
        <v>11</v>
      </c>
      <c r="E1738" s="687">
        <v>25440</v>
      </c>
      <c r="F1738" s="688" t="s">
        <v>2514</v>
      </c>
      <c r="G1738" s="1017" t="s">
        <v>2515</v>
      </c>
      <c r="H1738" s="686">
        <v>44099</v>
      </c>
      <c r="I1738" s="1019">
        <v>44119</v>
      </c>
      <c r="J1738" s="1149" t="s">
        <v>1318</v>
      </c>
    </row>
    <row r="1739" spans="1:10" ht="24.95" customHeight="1" x14ac:dyDescent="0.2">
      <c r="A1739" s="1202" t="s">
        <v>2516</v>
      </c>
      <c r="B1739" s="1013" t="s">
        <v>2084</v>
      </c>
      <c r="C1739" s="1013" t="s">
        <v>2084</v>
      </c>
      <c r="D1739" s="605">
        <v>1</v>
      </c>
      <c r="E1739" s="687">
        <v>20.7</v>
      </c>
      <c r="F1739" s="688" t="s">
        <v>2470</v>
      </c>
      <c r="G1739" s="1017" t="s">
        <v>1842</v>
      </c>
      <c r="H1739" s="686">
        <v>43838</v>
      </c>
      <c r="I1739" s="1019">
        <v>43840</v>
      </c>
      <c r="J1739" s="1149" t="s">
        <v>2628</v>
      </c>
    </row>
    <row r="1740" spans="1:10" ht="24.95" customHeight="1" x14ac:dyDescent="0.2">
      <c r="A1740" s="1202" t="s">
        <v>2516</v>
      </c>
      <c r="B1740" s="1013" t="s">
        <v>2084</v>
      </c>
      <c r="C1740" s="1013" t="s">
        <v>2084</v>
      </c>
      <c r="D1740" s="605">
        <v>2</v>
      </c>
      <c r="E1740" s="687">
        <v>16286.9</v>
      </c>
      <c r="F1740" s="688" t="s">
        <v>2470</v>
      </c>
      <c r="G1740" s="1017" t="s">
        <v>1842</v>
      </c>
      <c r="H1740" s="686">
        <v>43839</v>
      </c>
      <c r="I1740" s="1019">
        <v>43840</v>
      </c>
      <c r="J1740" s="1149" t="s">
        <v>2628</v>
      </c>
    </row>
    <row r="1741" spans="1:10" ht="24.95" customHeight="1" x14ac:dyDescent="0.2">
      <c r="A1741" s="1202" t="s">
        <v>2516</v>
      </c>
      <c r="B1741" s="1013" t="s">
        <v>2084</v>
      </c>
      <c r="C1741" s="1013" t="s">
        <v>2084</v>
      </c>
      <c r="D1741" s="605">
        <v>3</v>
      </c>
      <c r="E1741" s="687">
        <v>2298.6999999999998</v>
      </c>
      <c r="F1741" s="688" t="s">
        <v>2470</v>
      </c>
      <c r="G1741" s="1017" t="s">
        <v>1842</v>
      </c>
      <c r="H1741" s="686">
        <v>43840</v>
      </c>
      <c r="I1741" s="1019">
        <v>43840</v>
      </c>
      <c r="J1741" s="1149" t="s">
        <v>2628</v>
      </c>
    </row>
    <row r="1742" spans="1:10" ht="24.95" customHeight="1" x14ac:dyDescent="0.2">
      <c r="A1742" s="1202" t="s">
        <v>2516</v>
      </c>
      <c r="B1742" s="1013" t="s">
        <v>2084</v>
      </c>
      <c r="C1742" s="1013" t="s">
        <v>2084</v>
      </c>
      <c r="D1742" s="605">
        <v>4</v>
      </c>
      <c r="E1742" s="687">
        <v>8480.5</v>
      </c>
      <c r="F1742" s="688" t="s">
        <v>2470</v>
      </c>
      <c r="G1742" s="1017" t="s">
        <v>1842</v>
      </c>
      <c r="H1742" s="686">
        <v>43843</v>
      </c>
      <c r="I1742" s="1019">
        <v>43843</v>
      </c>
      <c r="J1742" s="1149" t="s">
        <v>2628</v>
      </c>
    </row>
    <row r="1743" spans="1:10" ht="24.95" customHeight="1" x14ac:dyDescent="0.2">
      <c r="A1743" s="1202" t="s">
        <v>2516</v>
      </c>
      <c r="B1743" s="1013" t="s">
        <v>2084</v>
      </c>
      <c r="C1743" s="1013" t="s">
        <v>2084</v>
      </c>
      <c r="D1743" s="605">
        <v>5</v>
      </c>
      <c r="E1743" s="687">
        <v>1395.6</v>
      </c>
      <c r="F1743" s="688" t="s">
        <v>2470</v>
      </c>
      <c r="G1743" s="1017" t="s">
        <v>1842</v>
      </c>
      <c r="H1743" s="689">
        <v>43844</v>
      </c>
      <c r="I1743" s="1019">
        <v>43844</v>
      </c>
      <c r="J1743" s="1149" t="s">
        <v>2628</v>
      </c>
    </row>
    <row r="1744" spans="1:10" ht="24.95" customHeight="1" x14ac:dyDescent="0.2">
      <c r="A1744" s="1202" t="s">
        <v>2517</v>
      </c>
      <c r="B1744" s="1013" t="s">
        <v>2084</v>
      </c>
      <c r="C1744" s="1013" t="s">
        <v>2084</v>
      </c>
      <c r="D1744" s="605">
        <v>8</v>
      </c>
      <c r="E1744" s="687">
        <v>1380.94</v>
      </c>
      <c r="F1744" s="688" t="s">
        <v>2518</v>
      </c>
      <c r="G1744" s="1017" t="s">
        <v>1842</v>
      </c>
      <c r="H1744" s="686">
        <v>43838</v>
      </c>
      <c r="I1744" s="1019">
        <v>43871</v>
      </c>
      <c r="J1744" s="1149" t="s">
        <v>2628</v>
      </c>
    </row>
    <row r="1745" spans="1:10" ht="24.95" customHeight="1" x14ac:dyDescent="0.2">
      <c r="A1745" s="1202" t="s">
        <v>2516</v>
      </c>
      <c r="B1745" s="1013" t="s">
        <v>2084</v>
      </c>
      <c r="C1745" s="1013" t="s">
        <v>2084</v>
      </c>
      <c r="D1745" s="605">
        <v>26</v>
      </c>
      <c r="E1745" s="687">
        <v>81.900000000000006</v>
      </c>
      <c r="F1745" s="688" t="s">
        <v>2470</v>
      </c>
      <c r="G1745" s="1017" t="s">
        <v>1842</v>
      </c>
      <c r="H1745" s="686">
        <v>43839</v>
      </c>
      <c r="I1745" s="1019">
        <v>43866</v>
      </c>
      <c r="J1745" s="1149" t="s">
        <v>2628</v>
      </c>
    </row>
    <row r="1746" spans="1:10" ht="24.95" customHeight="1" x14ac:dyDescent="0.2">
      <c r="A1746" s="1202" t="s">
        <v>2516</v>
      </c>
      <c r="B1746" s="1013" t="s">
        <v>2084</v>
      </c>
      <c r="C1746" s="1013" t="s">
        <v>2084</v>
      </c>
      <c r="D1746" s="605">
        <v>27</v>
      </c>
      <c r="E1746" s="687">
        <v>645.79999999999995</v>
      </c>
      <c r="F1746" s="688" t="s">
        <v>2470</v>
      </c>
      <c r="G1746" s="1017" t="s">
        <v>1842</v>
      </c>
      <c r="H1746" s="686">
        <v>43840</v>
      </c>
      <c r="I1746" s="1019">
        <v>43866</v>
      </c>
      <c r="J1746" s="1149" t="s">
        <v>2628</v>
      </c>
    </row>
    <row r="1747" spans="1:10" ht="24.95" customHeight="1" x14ac:dyDescent="0.2">
      <c r="A1747" s="1202" t="s">
        <v>2516</v>
      </c>
      <c r="B1747" s="1013" t="s">
        <v>2084</v>
      </c>
      <c r="C1747" s="1013" t="s">
        <v>2084</v>
      </c>
      <c r="D1747" s="605">
        <v>28</v>
      </c>
      <c r="E1747" s="687">
        <v>1323.2</v>
      </c>
      <c r="F1747" s="688" t="s">
        <v>2470</v>
      </c>
      <c r="G1747" s="1017" t="s">
        <v>1842</v>
      </c>
      <c r="H1747" s="686">
        <v>43843</v>
      </c>
      <c r="I1747" s="1019">
        <v>43866</v>
      </c>
      <c r="J1747" s="1149" t="s">
        <v>2628</v>
      </c>
    </row>
    <row r="1748" spans="1:10" ht="24.95" customHeight="1" x14ac:dyDescent="0.2">
      <c r="A1748" s="1202" t="s">
        <v>2519</v>
      </c>
      <c r="B1748" s="1013" t="s">
        <v>2084</v>
      </c>
      <c r="C1748" s="1013" t="s">
        <v>2084</v>
      </c>
      <c r="D1748" s="605">
        <v>29</v>
      </c>
      <c r="E1748" s="687">
        <v>15716.43</v>
      </c>
      <c r="F1748" s="688" t="s">
        <v>2492</v>
      </c>
      <c r="G1748" s="1017" t="s">
        <v>1842</v>
      </c>
      <c r="H1748" s="686">
        <v>43844</v>
      </c>
      <c r="I1748" s="1019">
        <v>43948</v>
      </c>
      <c r="J1748" s="1149" t="s">
        <v>2628</v>
      </c>
    </row>
    <row r="1749" spans="1:10" ht="24.95" customHeight="1" x14ac:dyDescent="0.2">
      <c r="A1749" s="1202" t="s">
        <v>2516</v>
      </c>
      <c r="B1749" s="1013" t="s">
        <v>2084</v>
      </c>
      <c r="C1749" s="1013" t="s">
        <v>2084</v>
      </c>
      <c r="D1749" s="605">
        <v>30</v>
      </c>
      <c r="E1749" s="687">
        <v>1938.5</v>
      </c>
      <c r="F1749" s="688" t="s">
        <v>2470</v>
      </c>
      <c r="G1749" s="1017" t="s">
        <v>1842</v>
      </c>
      <c r="H1749" s="686">
        <v>43878</v>
      </c>
      <c r="I1749" s="1019">
        <v>43878</v>
      </c>
      <c r="J1749" s="1149" t="s">
        <v>2628</v>
      </c>
    </row>
    <row r="1750" spans="1:10" ht="24.95" customHeight="1" x14ac:dyDescent="0.2">
      <c r="A1750" s="1202" t="s">
        <v>2516</v>
      </c>
      <c r="B1750" s="1013" t="s">
        <v>2084</v>
      </c>
      <c r="C1750" s="1013" t="s">
        <v>2084</v>
      </c>
      <c r="D1750" s="605">
        <v>31</v>
      </c>
      <c r="E1750" s="687">
        <v>12410.5</v>
      </c>
      <c r="F1750" s="688" t="s">
        <v>2470</v>
      </c>
      <c r="G1750" s="1017" t="s">
        <v>1842</v>
      </c>
      <c r="H1750" s="686">
        <v>43878</v>
      </c>
      <c r="I1750" s="1019">
        <v>43878</v>
      </c>
      <c r="J1750" s="1149" t="s">
        <v>2628</v>
      </c>
    </row>
    <row r="1751" spans="1:10" ht="24.95" customHeight="1" x14ac:dyDescent="0.2">
      <c r="A1751" s="1202" t="s">
        <v>2516</v>
      </c>
      <c r="B1751" s="1013" t="s">
        <v>2084</v>
      </c>
      <c r="C1751" s="1013" t="s">
        <v>2084</v>
      </c>
      <c r="D1751" s="605">
        <v>32</v>
      </c>
      <c r="E1751" s="687">
        <v>5465</v>
      </c>
      <c r="F1751" s="688" t="s">
        <v>2470</v>
      </c>
      <c r="G1751" s="1017" t="s">
        <v>1842</v>
      </c>
      <c r="H1751" s="686">
        <v>43878</v>
      </c>
      <c r="I1751" s="1019">
        <v>43878</v>
      </c>
      <c r="J1751" s="1149" t="s">
        <v>2628</v>
      </c>
    </row>
    <row r="1752" spans="1:10" ht="24.95" customHeight="1" x14ac:dyDescent="0.2">
      <c r="A1752" s="1202" t="s">
        <v>2520</v>
      </c>
      <c r="B1752" s="1013" t="s">
        <v>2084</v>
      </c>
      <c r="C1752" s="1013" t="s">
        <v>2084</v>
      </c>
      <c r="D1752" s="605">
        <v>44</v>
      </c>
      <c r="E1752" s="687">
        <v>1390.09</v>
      </c>
      <c r="F1752" s="688" t="s">
        <v>2474</v>
      </c>
      <c r="G1752" s="1017" t="s">
        <v>1842</v>
      </c>
      <c r="H1752" s="686">
        <v>43892</v>
      </c>
      <c r="I1752" s="1019">
        <v>43948</v>
      </c>
      <c r="J1752" s="1149" t="s">
        <v>2628</v>
      </c>
    </row>
    <row r="1753" spans="1:10" ht="24.95" customHeight="1" x14ac:dyDescent="0.2">
      <c r="A1753" s="1202" t="s">
        <v>2520</v>
      </c>
      <c r="B1753" s="1013" t="s">
        <v>2084</v>
      </c>
      <c r="C1753" s="1013" t="s">
        <v>2084</v>
      </c>
      <c r="D1753" s="605">
        <v>45</v>
      </c>
      <c r="E1753" s="687">
        <v>5083.3999999999996</v>
      </c>
      <c r="F1753" s="688" t="s">
        <v>2474</v>
      </c>
      <c r="G1753" s="1017" t="s">
        <v>1842</v>
      </c>
      <c r="H1753" s="686">
        <v>43893</v>
      </c>
      <c r="I1753" s="1019">
        <v>43948</v>
      </c>
      <c r="J1753" s="1149" t="s">
        <v>2628</v>
      </c>
    </row>
    <row r="1754" spans="1:10" ht="24.95" customHeight="1" x14ac:dyDescent="0.2">
      <c r="A1754" s="1202" t="s">
        <v>2521</v>
      </c>
      <c r="B1754" s="1013" t="s">
        <v>2084</v>
      </c>
      <c r="C1754" s="1013" t="s">
        <v>2084</v>
      </c>
      <c r="D1754" s="605">
        <v>51</v>
      </c>
      <c r="E1754" s="687">
        <v>3700</v>
      </c>
      <c r="F1754" s="688" t="s">
        <v>2522</v>
      </c>
      <c r="G1754" s="1017" t="s">
        <v>1842</v>
      </c>
      <c r="H1754" s="686">
        <v>43895</v>
      </c>
      <c r="I1754" s="1019">
        <v>43948</v>
      </c>
      <c r="J1754" s="1149" t="s">
        <v>2628</v>
      </c>
    </row>
    <row r="1755" spans="1:10" ht="24.95" customHeight="1" x14ac:dyDescent="0.2">
      <c r="A1755" s="1202" t="s">
        <v>2523</v>
      </c>
      <c r="B1755" s="1013" t="s">
        <v>2084</v>
      </c>
      <c r="C1755" s="1013" t="s">
        <v>2084</v>
      </c>
      <c r="D1755" s="605">
        <v>57</v>
      </c>
      <c r="E1755" s="687">
        <v>4355.6499999999996</v>
      </c>
      <c r="F1755" s="688" t="s">
        <v>2476</v>
      </c>
      <c r="G1755" s="1017" t="s">
        <v>1842</v>
      </c>
      <c r="H1755" s="686">
        <v>43900</v>
      </c>
      <c r="I1755" s="1019">
        <v>43902</v>
      </c>
      <c r="J1755" s="1149" t="s">
        <v>2628</v>
      </c>
    </row>
    <row r="1756" spans="1:10" ht="24.95" customHeight="1" x14ac:dyDescent="0.2">
      <c r="A1756" s="1156" t="s">
        <v>2524</v>
      </c>
      <c r="B1756" s="1015" t="s">
        <v>2464</v>
      </c>
      <c r="C1756" s="1015" t="s">
        <v>1776</v>
      </c>
      <c r="D1756" s="1015"/>
      <c r="E1756" s="684">
        <v>350000</v>
      </c>
      <c r="F1756" s="685"/>
      <c r="G1756" s="1017"/>
      <c r="H1756" s="1017">
        <v>2021</v>
      </c>
      <c r="I1756" s="1017"/>
      <c r="J1756" s="1149" t="s">
        <v>2628</v>
      </c>
    </row>
    <row r="1757" spans="1:10" ht="24.95" customHeight="1" x14ac:dyDescent="0.2">
      <c r="A1757" s="1156" t="s">
        <v>2525</v>
      </c>
      <c r="B1757" s="1015" t="s">
        <v>2464</v>
      </c>
      <c r="C1757" s="1015" t="s">
        <v>1776</v>
      </c>
      <c r="D1757" s="1015"/>
      <c r="E1757" s="684">
        <v>135000</v>
      </c>
      <c r="F1757" s="685"/>
      <c r="G1757" s="1017"/>
      <c r="H1757" s="1017">
        <v>2021</v>
      </c>
      <c r="I1757" s="1017"/>
      <c r="J1757" s="1149" t="s">
        <v>2628</v>
      </c>
    </row>
    <row r="1758" spans="1:10" ht="24.95" customHeight="1" x14ac:dyDescent="0.2">
      <c r="A1758" s="1156" t="s">
        <v>2526</v>
      </c>
      <c r="B1758" s="1015" t="s">
        <v>2464</v>
      </c>
      <c r="C1758" s="1015" t="s">
        <v>1776</v>
      </c>
      <c r="D1758" s="1015"/>
      <c r="E1758" s="684">
        <v>150000</v>
      </c>
      <c r="F1758" s="685"/>
      <c r="G1758" s="1017"/>
      <c r="H1758" s="1017">
        <v>2021</v>
      </c>
      <c r="I1758" s="1017"/>
      <c r="J1758" s="1149" t="s">
        <v>2628</v>
      </c>
    </row>
    <row r="1759" spans="1:10" ht="24.95" customHeight="1" x14ac:dyDescent="0.2">
      <c r="A1759" s="1156" t="s">
        <v>2527</v>
      </c>
      <c r="B1759" s="1015" t="s">
        <v>2084</v>
      </c>
      <c r="C1759" s="1015" t="s">
        <v>2084</v>
      </c>
      <c r="D1759" s="1015"/>
      <c r="E1759" s="684">
        <v>22000</v>
      </c>
      <c r="F1759" s="685"/>
      <c r="G1759" s="1017"/>
      <c r="H1759" s="1017">
        <v>2021</v>
      </c>
      <c r="I1759" s="1017"/>
      <c r="J1759" s="1149" t="s">
        <v>2628</v>
      </c>
    </row>
    <row r="1760" spans="1:10" ht="24.95" customHeight="1" x14ac:dyDescent="0.2">
      <c r="A1760" s="1156" t="s">
        <v>2528</v>
      </c>
      <c r="B1760" s="1015" t="s">
        <v>2084</v>
      </c>
      <c r="C1760" s="1015" t="s">
        <v>2084</v>
      </c>
      <c r="D1760" s="1015"/>
      <c r="E1760" s="684">
        <v>15000</v>
      </c>
      <c r="F1760" s="685"/>
      <c r="G1760" s="1017"/>
      <c r="H1760" s="1017">
        <v>2021</v>
      </c>
      <c r="I1760" s="1017"/>
      <c r="J1760" s="1149" t="s">
        <v>2628</v>
      </c>
    </row>
    <row r="1761" spans="1:10" ht="24.95" customHeight="1" x14ac:dyDescent="0.2">
      <c r="A1761" s="1156" t="s">
        <v>2529</v>
      </c>
      <c r="B1761" s="1015" t="s">
        <v>2084</v>
      </c>
      <c r="C1761" s="1015" t="s">
        <v>2084</v>
      </c>
      <c r="D1761" s="1015"/>
      <c r="E1761" s="684">
        <v>30000</v>
      </c>
      <c r="F1761" s="685"/>
      <c r="G1761" s="1017"/>
      <c r="H1761" s="1017">
        <v>2021</v>
      </c>
      <c r="I1761" s="1017"/>
      <c r="J1761" s="1149" t="s">
        <v>2628</v>
      </c>
    </row>
    <row r="1762" spans="1:10" ht="24.95" customHeight="1" thickBot="1" x14ac:dyDescent="0.25">
      <c r="A1762" s="1157" t="s">
        <v>2530</v>
      </c>
      <c r="B1762" s="495" t="s">
        <v>2084</v>
      </c>
      <c r="C1762" s="495" t="s">
        <v>2084</v>
      </c>
      <c r="D1762" s="495"/>
      <c r="E1762" s="690">
        <v>230000</v>
      </c>
      <c r="F1762" s="691"/>
      <c r="G1762" s="538"/>
      <c r="H1762" s="538">
        <v>2021</v>
      </c>
      <c r="I1762" s="538"/>
      <c r="J1762" s="1149" t="s">
        <v>2628</v>
      </c>
    </row>
    <row r="1763" spans="1:10" ht="26.25" customHeight="1" thickBot="1" x14ac:dyDescent="0.25">
      <c r="A1763" s="542" t="s">
        <v>2531</v>
      </c>
      <c r="B1763" s="543"/>
      <c r="C1763" s="543"/>
      <c r="D1763" s="543"/>
      <c r="E1763" s="543"/>
      <c r="F1763" s="543"/>
      <c r="G1763" s="543"/>
      <c r="H1763" s="543"/>
      <c r="I1763" s="543"/>
      <c r="J1763" s="544"/>
    </row>
    <row r="1764" spans="1:10" ht="24.95" customHeight="1" x14ac:dyDescent="0.2">
      <c r="A1764" s="1177" t="s">
        <v>2532</v>
      </c>
      <c r="B1764" s="539" t="s">
        <v>640</v>
      </c>
      <c r="C1764" s="539" t="s">
        <v>2533</v>
      </c>
      <c r="D1764" s="539" t="s">
        <v>2534</v>
      </c>
      <c r="E1764" s="540">
        <v>15307.6</v>
      </c>
      <c r="F1764" s="521" t="s">
        <v>2535</v>
      </c>
      <c r="G1764" s="539" t="s">
        <v>1842</v>
      </c>
      <c r="H1764" s="541">
        <v>43520</v>
      </c>
      <c r="I1764" s="541">
        <v>43530</v>
      </c>
      <c r="J1764" s="1149" t="s">
        <v>2628</v>
      </c>
    </row>
    <row r="1765" spans="1:10" ht="24.95" customHeight="1" x14ac:dyDescent="0.2">
      <c r="A1765" s="1156" t="s">
        <v>1977</v>
      </c>
      <c r="B1765" s="469" t="s">
        <v>640</v>
      </c>
      <c r="C1765" s="469" t="s">
        <v>2533</v>
      </c>
      <c r="D1765" s="469" t="s">
        <v>2534</v>
      </c>
      <c r="E1765" s="470">
        <v>2391.35</v>
      </c>
      <c r="F1765" s="1015" t="s">
        <v>2536</v>
      </c>
      <c r="G1765" s="469" t="s">
        <v>1842</v>
      </c>
      <c r="H1765" s="471">
        <v>43528</v>
      </c>
      <c r="I1765" s="471">
        <v>43542</v>
      </c>
      <c r="J1765" s="1149" t="s">
        <v>2628</v>
      </c>
    </row>
    <row r="1766" spans="1:10" ht="24.95" customHeight="1" x14ac:dyDescent="0.2">
      <c r="A1766" s="1156" t="s">
        <v>2537</v>
      </c>
      <c r="B1766" s="469" t="s">
        <v>640</v>
      </c>
      <c r="C1766" s="469" t="s">
        <v>2533</v>
      </c>
      <c r="D1766" s="469" t="s">
        <v>2534</v>
      </c>
      <c r="E1766" s="470">
        <v>7340</v>
      </c>
      <c r="F1766" s="1015" t="s">
        <v>2538</v>
      </c>
      <c r="G1766" s="469" t="s">
        <v>1842</v>
      </c>
      <c r="H1766" s="471">
        <v>43544</v>
      </c>
      <c r="I1766" s="471">
        <v>43546</v>
      </c>
      <c r="J1766" s="1149" t="s">
        <v>2628</v>
      </c>
    </row>
    <row r="1767" spans="1:10" ht="24.95" customHeight="1" x14ac:dyDescent="0.2">
      <c r="A1767" s="1156" t="s">
        <v>2539</v>
      </c>
      <c r="B1767" s="469" t="s">
        <v>640</v>
      </c>
      <c r="C1767" s="469" t="s">
        <v>2533</v>
      </c>
      <c r="D1767" s="469" t="s">
        <v>2534</v>
      </c>
      <c r="E1767" s="470">
        <v>3976</v>
      </c>
      <c r="F1767" s="1015" t="s">
        <v>2540</v>
      </c>
      <c r="G1767" s="469" t="s">
        <v>1842</v>
      </c>
      <c r="H1767" s="471">
        <v>43656</v>
      </c>
      <c r="I1767" s="471">
        <v>43668</v>
      </c>
      <c r="J1767" s="1149" t="s">
        <v>2628</v>
      </c>
    </row>
    <row r="1768" spans="1:10" ht="24.95" customHeight="1" x14ac:dyDescent="0.2">
      <c r="A1768" s="1156" t="s">
        <v>2541</v>
      </c>
      <c r="B1768" s="469" t="s">
        <v>640</v>
      </c>
      <c r="C1768" s="469" t="s">
        <v>2533</v>
      </c>
      <c r="D1768" s="469" t="s">
        <v>2534</v>
      </c>
      <c r="E1768" s="470">
        <v>2880</v>
      </c>
      <c r="F1768" s="1015" t="s">
        <v>2542</v>
      </c>
      <c r="G1768" s="469" t="s">
        <v>1842</v>
      </c>
      <c r="H1768" s="471">
        <v>43661</v>
      </c>
      <c r="I1768" s="471">
        <v>43668</v>
      </c>
      <c r="J1768" s="1149" t="s">
        <v>2628</v>
      </c>
    </row>
    <row r="1769" spans="1:10" ht="24.95" customHeight="1" x14ac:dyDescent="0.2">
      <c r="A1769" s="1156" t="s">
        <v>2543</v>
      </c>
      <c r="B1769" s="469" t="s">
        <v>640</v>
      </c>
      <c r="C1769" s="469" t="s">
        <v>2533</v>
      </c>
      <c r="D1769" s="469" t="s">
        <v>2534</v>
      </c>
      <c r="E1769" s="470">
        <v>6310</v>
      </c>
      <c r="F1769" s="1015" t="s">
        <v>2544</v>
      </c>
      <c r="G1769" s="469" t="s">
        <v>1842</v>
      </c>
      <c r="H1769" s="471">
        <v>43689</v>
      </c>
      <c r="I1769" s="471">
        <v>43690</v>
      </c>
      <c r="J1769" s="1149" t="s">
        <v>2628</v>
      </c>
    </row>
    <row r="1770" spans="1:10" ht="24.95" customHeight="1" x14ac:dyDescent="0.2">
      <c r="A1770" s="1156" t="s">
        <v>2532</v>
      </c>
      <c r="B1770" s="469" t="s">
        <v>640</v>
      </c>
      <c r="C1770" s="469" t="s">
        <v>2533</v>
      </c>
      <c r="D1770" s="469" t="s">
        <v>2534</v>
      </c>
      <c r="E1770" s="470">
        <v>5066</v>
      </c>
      <c r="F1770" s="1015" t="s">
        <v>2535</v>
      </c>
      <c r="G1770" s="469" t="s">
        <v>1842</v>
      </c>
      <c r="H1770" s="471">
        <v>43738</v>
      </c>
      <c r="I1770" s="471">
        <v>43739</v>
      </c>
      <c r="J1770" s="1149" t="s">
        <v>2628</v>
      </c>
    </row>
    <row r="1771" spans="1:10" ht="24.95" customHeight="1" x14ac:dyDescent="0.2">
      <c r="A1771" s="1156" t="s">
        <v>2545</v>
      </c>
      <c r="B1771" s="469" t="s">
        <v>640</v>
      </c>
      <c r="C1771" s="469" t="s">
        <v>2533</v>
      </c>
      <c r="D1771" s="469" t="s">
        <v>2534</v>
      </c>
      <c r="E1771" s="470">
        <v>4490.7299999999996</v>
      </c>
      <c r="F1771" s="1015" t="s">
        <v>2546</v>
      </c>
      <c r="G1771" s="469" t="s">
        <v>1842</v>
      </c>
      <c r="H1771" s="471">
        <v>43738</v>
      </c>
      <c r="I1771" s="471">
        <v>43739</v>
      </c>
      <c r="J1771" s="1149" t="s">
        <v>2628</v>
      </c>
    </row>
    <row r="1772" spans="1:10" ht="24.95" customHeight="1" x14ac:dyDescent="0.2">
      <c r="A1772" s="1156" t="s">
        <v>2547</v>
      </c>
      <c r="B1772" s="469" t="s">
        <v>640</v>
      </c>
      <c r="C1772" s="469" t="s">
        <v>2533</v>
      </c>
      <c r="D1772" s="469" t="s">
        <v>2548</v>
      </c>
      <c r="E1772" s="470">
        <v>10357.02</v>
      </c>
      <c r="F1772" s="1017" t="s">
        <v>2549</v>
      </c>
      <c r="G1772" s="469" t="s">
        <v>1842</v>
      </c>
      <c r="H1772" s="471">
        <v>43790</v>
      </c>
      <c r="I1772" s="471">
        <v>43796</v>
      </c>
      <c r="J1772" s="1149" t="s">
        <v>2628</v>
      </c>
    </row>
    <row r="1773" spans="1:10" ht="24.95" customHeight="1" x14ac:dyDescent="0.2">
      <c r="A1773" s="1156" t="s">
        <v>2550</v>
      </c>
      <c r="B1773" s="469" t="s">
        <v>640</v>
      </c>
      <c r="C1773" s="469" t="s">
        <v>2533</v>
      </c>
      <c r="D1773" s="469" t="s">
        <v>2534</v>
      </c>
      <c r="E1773" s="470">
        <v>10381</v>
      </c>
      <c r="F1773" s="1015" t="s">
        <v>2551</v>
      </c>
      <c r="G1773" s="469" t="s">
        <v>1842</v>
      </c>
      <c r="H1773" s="471">
        <v>43791</v>
      </c>
      <c r="I1773" s="471">
        <v>43796</v>
      </c>
      <c r="J1773" s="1149" t="s">
        <v>2628</v>
      </c>
    </row>
    <row r="1774" spans="1:10" ht="24.95" customHeight="1" x14ac:dyDescent="0.2">
      <c r="A1774" s="1156" t="s">
        <v>2552</v>
      </c>
      <c r="B1774" s="469" t="s">
        <v>640</v>
      </c>
      <c r="C1774" s="469" t="s">
        <v>2533</v>
      </c>
      <c r="D1774" s="469" t="s">
        <v>2548</v>
      </c>
      <c r="E1774" s="470">
        <v>13912.91</v>
      </c>
      <c r="F1774" s="1015" t="s">
        <v>2553</v>
      </c>
      <c r="G1774" s="469" t="s">
        <v>1842</v>
      </c>
      <c r="H1774" s="471">
        <v>43803</v>
      </c>
      <c r="I1774" s="471">
        <v>43829</v>
      </c>
      <c r="J1774" s="1149" t="s">
        <v>2628</v>
      </c>
    </row>
    <row r="1775" spans="1:10" ht="24.95" customHeight="1" x14ac:dyDescent="0.2">
      <c r="A1775" s="1156" t="s">
        <v>2552</v>
      </c>
      <c r="B1775" s="469" t="s">
        <v>640</v>
      </c>
      <c r="C1775" s="469" t="s">
        <v>2533</v>
      </c>
      <c r="D1775" s="469" t="s">
        <v>2548</v>
      </c>
      <c r="E1775" s="470">
        <v>8957.7800000000007</v>
      </c>
      <c r="F1775" s="1015" t="s">
        <v>2553</v>
      </c>
      <c r="G1775" s="469" t="s">
        <v>1842</v>
      </c>
      <c r="H1775" s="471">
        <v>43803</v>
      </c>
      <c r="I1775" s="471">
        <v>43829</v>
      </c>
      <c r="J1775" s="1149" t="s">
        <v>2628</v>
      </c>
    </row>
    <row r="1776" spans="1:10" ht="24.95" customHeight="1" x14ac:dyDescent="0.2">
      <c r="A1776" s="1156" t="s">
        <v>2552</v>
      </c>
      <c r="B1776" s="469" t="s">
        <v>640</v>
      </c>
      <c r="C1776" s="469" t="s">
        <v>2533</v>
      </c>
      <c r="D1776" s="469" t="s">
        <v>2548</v>
      </c>
      <c r="E1776" s="470">
        <v>11384.64</v>
      </c>
      <c r="F1776" s="1015" t="s">
        <v>2554</v>
      </c>
      <c r="G1776" s="469" t="s">
        <v>1842</v>
      </c>
      <c r="H1776" s="471">
        <v>43803</v>
      </c>
      <c r="I1776" s="471">
        <v>43816</v>
      </c>
      <c r="J1776" s="1149" t="s">
        <v>2628</v>
      </c>
    </row>
    <row r="1777" spans="1:10" ht="24.95" customHeight="1" x14ac:dyDescent="0.2">
      <c r="A1777" s="1156" t="s">
        <v>2555</v>
      </c>
      <c r="B1777" s="469" t="s">
        <v>640</v>
      </c>
      <c r="C1777" s="469" t="s">
        <v>2533</v>
      </c>
      <c r="D1777" s="469" t="s">
        <v>2548</v>
      </c>
      <c r="E1777" s="470">
        <v>26621.69</v>
      </c>
      <c r="F1777" s="1015" t="s">
        <v>2554</v>
      </c>
      <c r="G1777" s="469" t="s">
        <v>1842</v>
      </c>
      <c r="H1777" s="471">
        <v>43803</v>
      </c>
      <c r="I1777" s="471">
        <v>43811</v>
      </c>
      <c r="J1777" s="1149" t="s">
        <v>2628</v>
      </c>
    </row>
    <row r="1778" spans="1:10" ht="24.95" customHeight="1" x14ac:dyDescent="0.2">
      <c r="A1778" s="1156" t="s">
        <v>2552</v>
      </c>
      <c r="B1778" s="469" t="s">
        <v>640</v>
      </c>
      <c r="C1778" s="469" t="s">
        <v>2533</v>
      </c>
      <c r="D1778" s="469" t="s">
        <v>2548</v>
      </c>
      <c r="E1778" s="470">
        <v>3029.84</v>
      </c>
      <c r="F1778" s="1015" t="s">
        <v>2556</v>
      </c>
      <c r="G1778" s="469" t="s">
        <v>1842</v>
      </c>
      <c r="H1778" s="471">
        <v>43803</v>
      </c>
      <c r="I1778" s="471">
        <v>43829</v>
      </c>
      <c r="J1778" s="1149" t="s">
        <v>2628</v>
      </c>
    </row>
    <row r="1779" spans="1:10" ht="24.95" customHeight="1" x14ac:dyDescent="0.2">
      <c r="A1779" s="1156" t="s">
        <v>2555</v>
      </c>
      <c r="B1779" s="469" t="s">
        <v>640</v>
      </c>
      <c r="C1779" s="469" t="s">
        <v>2533</v>
      </c>
      <c r="D1779" s="469" t="s">
        <v>2548</v>
      </c>
      <c r="E1779" s="470">
        <v>58600.75</v>
      </c>
      <c r="F1779" s="1015" t="s">
        <v>2553</v>
      </c>
      <c r="G1779" s="469" t="s">
        <v>1842</v>
      </c>
      <c r="H1779" s="471">
        <v>43805</v>
      </c>
      <c r="I1779" s="471">
        <v>43829</v>
      </c>
      <c r="J1779" s="1149" t="s">
        <v>2628</v>
      </c>
    </row>
    <row r="1780" spans="1:10" ht="24.95" customHeight="1" x14ac:dyDescent="0.2">
      <c r="A1780" s="1156" t="s">
        <v>2552</v>
      </c>
      <c r="B1780" s="469" t="s">
        <v>640</v>
      </c>
      <c r="C1780" s="469" t="s">
        <v>2533</v>
      </c>
      <c r="D1780" s="469" t="s">
        <v>2548</v>
      </c>
      <c r="E1780" s="470">
        <v>99144.95</v>
      </c>
      <c r="F1780" s="1017" t="s">
        <v>2549</v>
      </c>
      <c r="G1780" s="469" t="s">
        <v>1842</v>
      </c>
      <c r="H1780" s="471">
        <v>43805</v>
      </c>
      <c r="I1780" s="471">
        <v>43811</v>
      </c>
      <c r="J1780" s="1149" t="s">
        <v>2628</v>
      </c>
    </row>
    <row r="1781" spans="1:10" ht="24.95" customHeight="1" x14ac:dyDescent="0.2">
      <c r="A1781" s="1156" t="s">
        <v>2552</v>
      </c>
      <c r="B1781" s="469" t="s">
        <v>640</v>
      </c>
      <c r="C1781" s="469" t="s">
        <v>2533</v>
      </c>
      <c r="D1781" s="469" t="s">
        <v>2548</v>
      </c>
      <c r="E1781" s="470">
        <v>9340.69</v>
      </c>
      <c r="F1781" s="1015" t="s">
        <v>2557</v>
      </c>
      <c r="G1781" s="469" t="s">
        <v>1842</v>
      </c>
      <c r="H1781" s="471">
        <v>43809</v>
      </c>
      <c r="I1781" s="471">
        <v>43829</v>
      </c>
      <c r="J1781" s="1149" t="s">
        <v>2628</v>
      </c>
    </row>
    <row r="1782" spans="1:10" ht="24.95" customHeight="1" x14ac:dyDescent="0.2">
      <c r="A1782" s="1156" t="s">
        <v>2552</v>
      </c>
      <c r="B1782" s="469" t="s">
        <v>640</v>
      </c>
      <c r="C1782" s="469" t="s">
        <v>2533</v>
      </c>
      <c r="D1782" s="469" t="s">
        <v>2548</v>
      </c>
      <c r="E1782" s="470">
        <v>3918.87</v>
      </c>
      <c r="F1782" s="1015" t="s">
        <v>2554</v>
      </c>
      <c r="G1782" s="469" t="s">
        <v>1842</v>
      </c>
      <c r="H1782" s="471">
        <v>43809</v>
      </c>
      <c r="I1782" s="471">
        <v>43816</v>
      </c>
      <c r="J1782" s="1149" t="s">
        <v>2628</v>
      </c>
    </row>
    <row r="1783" spans="1:10" ht="24.95" customHeight="1" x14ac:dyDescent="0.2">
      <c r="A1783" s="1156" t="s">
        <v>2558</v>
      </c>
      <c r="B1783" s="469" t="s">
        <v>640</v>
      </c>
      <c r="C1783" s="469" t="s">
        <v>2533</v>
      </c>
      <c r="D1783" s="469" t="s">
        <v>2534</v>
      </c>
      <c r="E1783" s="470">
        <v>10750</v>
      </c>
      <c r="F1783" s="1015" t="s">
        <v>2536</v>
      </c>
      <c r="G1783" s="469" t="s">
        <v>1842</v>
      </c>
      <c r="H1783" s="471">
        <v>43817</v>
      </c>
      <c r="I1783" s="471">
        <v>43818</v>
      </c>
      <c r="J1783" s="1149" t="s">
        <v>2628</v>
      </c>
    </row>
    <row r="1784" spans="1:10" ht="24.95" customHeight="1" x14ac:dyDescent="0.2">
      <c r="A1784" s="1156" t="s">
        <v>2558</v>
      </c>
      <c r="B1784" s="469" t="s">
        <v>640</v>
      </c>
      <c r="C1784" s="469" t="s">
        <v>2533</v>
      </c>
      <c r="D1784" s="469" t="s">
        <v>2548</v>
      </c>
      <c r="E1784" s="470">
        <v>13836.16</v>
      </c>
      <c r="F1784" s="1015" t="s">
        <v>2559</v>
      </c>
      <c r="G1784" s="469" t="s">
        <v>1842</v>
      </c>
      <c r="H1784" s="471">
        <v>43817</v>
      </c>
      <c r="I1784" s="471">
        <v>43818</v>
      </c>
      <c r="J1784" s="1149" t="s">
        <v>2628</v>
      </c>
    </row>
    <row r="1785" spans="1:10" ht="24.95" customHeight="1" x14ac:dyDescent="0.2">
      <c r="A1785" s="1156" t="s">
        <v>2558</v>
      </c>
      <c r="B1785" s="469" t="s">
        <v>640</v>
      </c>
      <c r="C1785" s="469" t="s">
        <v>2533</v>
      </c>
      <c r="D1785" s="469" t="s">
        <v>2548</v>
      </c>
      <c r="E1785" s="470">
        <v>7625.14</v>
      </c>
      <c r="F1785" s="1017" t="s">
        <v>2549</v>
      </c>
      <c r="G1785" s="469" t="s">
        <v>1842</v>
      </c>
      <c r="H1785" s="471">
        <v>43826</v>
      </c>
      <c r="I1785" s="471">
        <v>43829</v>
      </c>
      <c r="J1785" s="1149" t="s">
        <v>2628</v>
      </c>
    </row>
    <row r="1786" spans="1:10" ht="24.95" customHeight="1" x14ac:dyDescent="0.2">
      <c r="A1786" s="1156" t="s">
        <v>2558</v>
      </c>
      <c r="B1786" s="469" t="s">
        <v>640</v>
      </c>
      <c r="C1786" s="469" t="s">
        <v>2533</v>
      </c>
      <c r="D1786" s="469" t="s">
        <v>2548</v>
      </c>
      <c r="E1786" s="470">
        <v>3985.51</v>
      </c>
      <c r="F1786" s="1017" t="s">
        <v>2549</v>
      </c>
      <c r="G1786" s="469" t="s">
        <v>1842</v>
      </c>
      <c r="H1786" s="471">
        <v>43826</v>
      </c>
      <c r="I1786" s="471">
        <v>43829</v>
      </c>
      <c r="J1786" s="1149" t="s">
        <v>2628</v>
      </c>
    </row>
    <row r="1787" spans="1:10" ht="24.95" customHeight="1" x14ac:dyDescent="0.2">
      <c r="A1787" s="1156" t="s">
        <v>2560</v>
      </c>
      <c r="B1787" s="469" t="s">
        <v>640</v>
      </c>
      <c r="C1787" s="469" t="s">
        <v>2533</v>
      </c>
      <c r="D1787" s="469" t="s">
        <v>2534</v>
      </c>
      <c r="E1787" s="470">
        <v>31955</v>
      </c>
      <c r="F1787" s="1015" t="s">
        <v>2561</v>
      </c>
      <c r="G1787" s="469" t="s">
        <v>1842</v>
      </c>
      <c r="H1787" s="471">
        <v>43826</v>
      </c>
      <c r="I1787" s="471">
        <v>43829</v>
      </c>
      <c r="J1787" s="1149" t="s">
        <v>2628</v>
      </c>
    </row>
    <row r="1788" spans="1:10" ht="24.95" customHeight="1" x14ac:dyDescent="0.2">
      <c r="A1788" s="1156" t="s">
        <v>2562</v>
      </c>
      <c r="B1788" s="469" t="s">
        <v>640</v>
      </c>
      <c r="C1788" s="469" t="s">
        <v>2533</v>
      </c>
      <c r="D1788" s="469" t="s">
        <v>2534</v>
      </c>
      <c r="E1788" s="470">
        <v>24780</v>
      </c>
      <c r="F1788" s="1015" t="s">
        <v>2561</v>
      </c>
      <c r="G1788" s="469" t="s">
        <v>1842</v>
      </c>
      <c r="H1788" s="471">
        <v>43826</v>
      </c>
      <c r="I1788" s="471">
        <v>43829</v>
      </c>
      <c r="J1788" s="1149" t="s">
        <v>2628</v>
      </c>
    </row>
    <row r="1789" spans="1:10" ht="24.95" customHeight="1" x14ac:dyDescent="0.2">
      <c r="A1789" s="1156" t="s">
        <v>2563</v>
      </c>
      <c r="B1789" s="469" t="s">
        <v>640</v>
      </c>
      <c r="C1789" s="469" t="s">
        <v>2533</v>
      </c>
      <c r="D1789" s="469" t="s">
        <v>2534</v>
      </c>
      <c r="E1789" s="470">
        <v>5412</v>
      </c>
      <c r="F1789" s="1015" t="s">
        <v>2564</v>
      </c>
      <c r="G1789" s="469" t="s">
        <v>1842</v>
      </c>
      <c r="H1789" s="471">
        <v>43827</v>
      </c>
      <c r="I1789" s="471">
        <v>43829</v>
      </c>
      <c r="J1789" s="1149" t="s">
        <v>2628</v>
      </c>
    </row>
    <row r="1790" spans="1:10" ht="24.95" customHeight="1" x14ac:dyDescent="0.2">
      <c r="A1790" s="1156" t="s">
        <v>2565</v>
      </c>
      <c r="B1790" s="469" t="s">
        <v>640</v>
      </c>
      <c r="C1790" s="469" t="s">
        <v>2533</v>
      </c>
      <c r="D1790" s="469" t="s">
        <v>2534</v>
      </c>
      <c r="E1790" s="470">
        <v>24990</v>
      </c>
      <c r="F1790" s="1015" t="s">
        <v>2566</v>
      </c>
      <c r="G1790" s="469" t="s">
        <v>1842</v>
      </c>
      <c r="H1790" s="471">
        <v>43827</v>
      </c>
      <c r="I1790" s="471">
        <v>43829</v>
      </c>
      <c r="J1790" s="1149" t="s">
        <v>2628</v>
      </c>
    </row>
    <row r="1791" spans="1:10" ht="24.95" customHeight="1" x14ac:dyDescent="0.2">
      <c r="A1791" s="1156" t="s">
        <v>2567</v>
      </c>
      <c r="B1791" s="469" t="s">
        <v>640</v>
      </c>
      <c r="C1791" s="469" t="s">
        <v>2533</v>
      </c>
      <c r="D1791" s="469" t="s">
        <v>2534</v>
      </c>
      <c r="E1791" s="470">
        <v>19200</v>
      </c>
      <c r="F1791" s="1015" t="s">
        <v>2566</v>
      </c>
      <c r="G1791" s="469" t="s">
        <v>1842</v>
      </c>
      <c r="H1791" s="471">
        <v>43827</v>
      </c>
      <c r="I1791" s="471">
        <v>43829</v>
      </c>
      <c r="J1791" s="1149" t="s">
        <v>2628</v>
      </c>
    </row>
    <row r="1792" spans="1:10" ht="24.95" customHeight="1" x14ac:dyDescent="0.2">
      <c r="A1792" s="1156" t="s">
        <v>2568</v>
      </c>
      <c r="B1792" s="469" t="s">
        <v>640</v>
      </c>
      <c r="C1792" s="469" t="s">
        <v>2533</v>
      </c>
      <c r="D1792" s="469" t="s">
        <v>2534</v>
      </c>
      <c r="E1792" s="470">
        <v>3963</v>
      </c>
      <c r="F1792" s="1015" t="s">
        <v>2569</v>
      </c>
      <c r="G1792" s="469" t="s">
        <v>1842</v>
      </c>
      <c r="H1792" s="471">
        <v>43829</v>
      </c>
      <c r="I1792" s="471">
        <v>43830</v>
      </c>
      <c r="J1792" s="1149" t="s">
        <v>2628</v>
      </c>
    </row>
    <row r="1793" spans="1:10" ht="24.95" customHeight="1" x14ac:dyDescent="0.2">
      <c r="A1793" s="1156" t="s">
        <v>2570</v>
      </c>
      <c r="B1793" s="469" t="s">
        <v>640</v>
      </c>
      <c r="C1793" s="469" t="s">
        <v>2533</v>
      </c>
      <c r="D1793" s="469" t="s">
        <v>2534</v>
      </c>
      <c r="E1793" s="470">
        <v>8000</v>
      </c>
      <c r="F1793" s="1015" t="s">
        <v>2538</v>
      </c>
      <c r="G1793" s="469" t="s">
        <v>1842</v>
      </c>
      <c r="H1793" s="471">
        <v>43830</v>
      </c>
      <c r="I1793" s="471">
        <v>43830</v>
      </c>
      <c r="J1793" s="1149" t="s">
        <v>2628</v>
      </c>
    </row>
    <row r="1794" spans="1:10" ht="24.95" customHeight="1" x14ac:dyDescent="0.2">
      <c r="A1794" s="1156" t="s">
        <v>2571</v>
      </c>
      <c r="B1794" s="469" t="s">
        <v>640</v>
      </c>
      <c r="C1794" s="469" t="s">
        <v>2533</v>
      </c>
      <c r="D1794" s="469" t="s">
        <v>2534</v>
      </c>
      <c r="E1794" s="470">
        <v>7941.5</v>
      </c>
      <c r="F1794" s="1015" t="s">
        <v>2538</v>
      </c>
      <c r="G1794" s="469" t="s">
        <v>1842</v>
      </c>
      <c r="H1794" s="471">
        <v>43830</v>
      </c>
      <c r="I1794" s="471">
        <v>43830</v>
      </c>
      <c r="J1794" s="1149" t="s">
        <v>2628</v>
      </c>
    </row>
    <row r="1795" spans="1:10" ht="24.95" customHeight="1" x14ac:dyDescent="0.2">
      <c r="A1795" s="1156" t="s">
        <v>2572</v>
      </c>
      <c r="B1795" s="469" t="s">
        <v>640</v>
      </c>
      <c r="C1795" s="469" t="s">
        <v>2533</v>
      </c>
      <c r="D1795" s="469" t="s">
        <v>2534</v>
      </c>
      <c r="E1795" s="470">
        <v>3823.4</v>
      </c>
      <c r="F1795" s="1015" t="s">
        <v>2538</v>
      </c>
      <c r="G1795" s="469" t="s">
        <v>1842</v>
      </c>
      <c r="H1795" s="471">
        <v>43830</v>
      </c>
      <c r="I1795" s="471">
        <v>43830</v>
      </c>
      <c r="J1795" s="1149" t="s">
        <v>2628</v>
      </c>
    </row>
    <row r="1796" spans="1:10" ht="24.95" customHeight="1" x14ac:dyDescent="0.2">
      <c r="A1796" s="1156" t="s">
        <v>2573</v>
      </c>
      <c r="B1796" s="469" t="s">
        <v>640</v>
      </c>
      <c r="C1796" s="469" t="s">
        <v>2533</v>
      </c>
      <c r="D1796" s="469" t="s">
        <v>2534</v>
      </c>
      <c r="E1796" s="470">
        <v>23026</v>
      </c>
      <c r="F1796" s="1015" t="s">
        <v>2569</v>
      </c>
      <c r="G1796" s="469" t="s">
        <v>1842</v>
      </c>
      <c r="H1796" s="471" t="s">
        <v>2574</v>
      </c>
      <c r="I1796" s="471">
        <v>43830</v>
      </c>
      <c r="J1796" s="1149" t="s">
        <v>2628</v>
      </c>
    </row>
    <row r="1797" spans="1:10" ht="24.95" customHeight="1" x14ac:dyDescent="0.2">
      <c r="A1797" s="1156" t="s">
        <v>2575</v>
      </c>
      <c r="B1797" s="469" t="s">
        <v>640</v>
      </c>
      <c r="C1797" s="469" t="s">
        <v>2533</v>
      </c>
      <c r="D1797" s="469" t="s">
        <v>2534</v>
      </c>
      <c r="E1797" s="470">
        <v>191971</v>
      </c>
      <c r="F1797" s="1015" t="s">
        <v>2576</v>
      </c>
      <c r="G1797" s="469" t="s">
        <v>1842</v>
      </c>
      <c r="H1797" s="471">
        <v>43496</v>
      </c>
      <c r="I1797" s="471">
        <v>43830</v>
      </c>
      <c r="J1797" s="1149" t="s">
        <v>2577</v>
      </c>
    </row>
    <row r="1798" spans="1:10" ht="24.95" customHeight="1" x14ac:dyDescent="0.2">
      <c r="A1798" s="1156" t="s">
        <v>2578</v>
      </c>
      <c r="B1798" s="469" t="s">
        <v>640</v>
      </c>
      <c r="C1798" s="469" t="s">
        <v>2533</v>
      </c>
      <c r="D1798" s="469" t="s">
        <v>2534</v>
      </c>
      <c r="E1798" s="470">
        <v>32525.119999999999</v>
      </c>
      <c r="F1798" s="1015" t="s">
        <v>2579</v>
      </c>
      <c r="G1798" s="469" t="s">
        <v>1842</v>
      </c>
      <c r="H1798" s="471">
        <v>43523</v>
      </c>
      <c r="I1798" s="471">
        <v>43539</v>
      </c>
      <c r="J1798" s="1149" t="s">
        <v>2628</v>
      </c>
    </row>
    <row r="1799" spans="1:10" ht="24.95" customHeight="1" x14ac:dyDescent="0.2">
      <c r="A1799" s="1156" t="s">
        <v>2580</v>
      </c>
      <c r="B1799" s="469" t="s">
        <v>640</v>
      </c>
      <c r="C1799" s="469" t="s">
        <v>2533</v>
      </c>
      <c r="D1799" s="469" t="s">
        <v>2534</v>
      </c>
      <c r="E1799" s="470">
        <v>8700</v>
      </c>
      <c r="F1799" s="1015" t="s">
        <v>2581</v>
      </c>
      <c r="G1799" s="469" t="s">
        <v>1842</v>
      </c>
      <c r="H1799" s="471">
        <v>43530</v>
      </c>
      <c r="I1799" s="471">
        <v>43549</v>
      </c>
      <c r="J1799" s="1149" t="s">
        <v>2628</v>
      </c>
    </row>
    <row r="1800" spans="1:10" ht="24.95" customHeight="1" x14ac:dyDescent="0.2">
      <c r="A1800" s="1156" t="s">
        <v>2582</v>
      </c>
      <c r="B1800" s="469" t="s">
        <v>640</v>
      </c>
      <c r="C1800" s="469" t="s">
        <v>2533</v>
      </c>
      <c r="D1800" s="469" t="s">
        <v>2534</v>
      </c>
      <c r="E1800" s="470">
        <v>8960</v>
      </c>
      <c r="F1800" s="1015" t="s">
        <v>2583</v>
      </c>
      <c r="G1800" s="469" t="s">
        <v>1842</v>
      </c>
      <c r="H1800" s="471">
        <v>43530</v>
      </c>
      <c r="I1800" s="471">
        <v>43534</v>
      </c>
      <c r="J1800" s="1149" t="s">
        <v>2628</v>
      </c>
    </row>
    <row r="1801" spans="1:10" ht="24.95" customHeight="1" x14ac:dyDescent="0.2">
      <c r="A1801" s="1156" t="s">
        <v>2584</v>
      </c>
      <c r="B1801" s="469" t="s">
        <v>640</v>
      </c>
      <c r="C1801" s="469" t="s">
        <v>2533</v>
      </c>
      <c r="D1801" s="469" t="s">
        <v>2534</v>
      </c>
      <c r="E1801" s="470">
        <v>29480.7</v>
      </c>
      <c r="F1801" s="1015" t="s">
        <v>2579</v>
      </c>
      <c r="G1801" s="469" t="s">
        <v>1842</v>
      </c>
      <c r="H1801" s="471">
        <v>43546</v>
      </c>
      <c r="I1801" s="471">
        <v>43554</v>
      </c>
      <c r="J1801" s="1149" t="s">
        <v>2628</v>
      </c>
    </row>
    <row r="1802" spans="1:10" ht="24.95" customHeight="1" x14ac:dyDescent="0.2">
      <c r="A1802" s="1156" t="s">
        <v>2585</v>
      </c>
      <c r="B1802" s="469" t="s">
        <v>640</v>
      </c>
      <c r="C1802" s="469" t="s">
        <v>2533</v>
      </c>
      <c r="D1802" s="469" t="s">
        <v>2534</v>
      </c>
      <c r="E1802" s="470">
        <v>2649</v>
      </c>
      <c r="F1802" s="1015" t="s">
        <v>2586</v>
      </c>
      <c r="G1802" s="469" t="s">
        <v>1842</v>
      </c>
      <c r="H1802" s="471">
        <v>43567</v>
      </c>
      <c r="I1802" s="471">
        <v>43582</v>
      </c>
      <c r="J1802" s="1149" t="s">
        <v>2628</v>
      </c>
    </row>
    <row r="1803" spans="1:10" ht="24.95" customHeight="1" x14ac:dyDescent="0.2">
      <c r="A1803" s="1156" t="s">
        <v>2587</v>
      </c>
      <c r="B1803" s="469" t="s">
        <v>640</v>
      </c>
      <c r="C1803" s="469" t="s">
        <v>2533</v>
      </c>
      <c r="D1803" s="469" t="s">
        <v>2534</v>
      </c>
      <c r="E1803" s="470">
        <v>3975</v>
      </c>
      <c r="F1803" s="1017" t="s">
        <v>2588</v>
      </c>
      <c r="G1803" s="469" t="s">
        <v>1842</v>
      </c>
      <c r="H1803" s="471">
        <v>43615</v>
      </c>
      <c r="I1803" s="471">
        <v>43631</v>
      </c>
      <c r="J1803" s="1149" t="s">
        <v>2628</v>
      </c>
    </row>
    <row r="1804" spans="1:10" ht="24.95" customHeight="1" x14ac:dyDescent="0.2">
      <c r="A1804" s="1156" t="s">
        <v>2589</v>
      </c>
      <c r="B1804" s="469" t="s">
        <v>640</v>
      </c>
      <c r="C1804" s="469" t="s">
        <v>2533</v>
      </c>
      <c r="D1804" s="469" t="s">
        <v>2534</v>
      </c>
      <c r="E1804" s="470">
        <v>4980</v>
      </c>
      <c r="F1804" s="1017" t="s">
        <v>2590</v>
      </c>
      <c r="G1804" s="469" t="s">
        <v>1842</v>
      </c>
      <c r="H1804" s="471">
        <v>43684</v>
      </c>
      <c r="I1804" s="471">
        <v>43692</v>
      </c>
      <c r="J1804" s="1149" t="s">
        <v>2628</v>
      </c>
    </row>
    <row r="1805" spans="1:10" ht="24.95" customHeight="1" x14ac:dyDescent="0.2">
      <c r="A1805" s="1156" t="s">
        <v>2591</v>
      </c>
      <c r="B1805" s="469" t="s">
        <v>640</v>
      </c>
      <c r="C1805" s="469" t="s">
        <v>2533</v>
      </c>
      <c r="D1805" s="469" t="s">
        <v>2534</v>
      </c>
      <c r="E1805" s="470">
        <v>4514</v>
      </c>
      <c r="F1805" s="1015" t="s">
        <v>2592</v>
      </c>
      <c r="G1805" s="469" t="s">
        <v>1842</v>
      </c>
      <c r="H1805" s="471">
        <v>43698</v>
      </c>
      <c r="I1805" s="471">
        <v>43704</v>
      </c>
      <c r="J1805" s="1149" t="s">
        <v>2628</v>
      </c>
    </row>
    <row r="1806" spans="1:10" ht="24.95" customHeight="1" x14ac:dyDescent="0.2">
      <c r="A1806" s="1156" t="s">
        <v>2593</v>
      </c>
      <c r="B1806" s="469" t="s">
        <v>640</v>
      </c>
      <c r="C1806" s="469" t="s">
        <v>2533</v>
      </c>
      <c r="D1806" s="469" t="s">
        <v>2534</v>
      </c>
      <c r="E1806" s="470">
        <v>5070</v>
      </c>
      <c r="F1806" s="1015" t="s">
        <v>2594</v>
      </c>
      <c r="G1806" s="469" t="s">
        <v>1842</v>
      </c>
      <c r="H1806" s="471">
        <v>43705</v>
      </c>
      <c r="I1806" s="471">
        <v>43715</v>
      </c>
      <c r="J1806" s="1149" t="s">
        <v>2628</v>
      </c>
    </row>
    <row r="1807" spans="1:10" ht="24.95" customHeight="1" x14ac:dyDescent="0.2">
      <c r="A1807" s="1156" t="s">
        <v>2595</v>
      </c>
      <c r="B1807" s="469" t="s">
        <v>640</v>
      </c>
      <c r="C1807" s="469" t="s">
        <v>2533</v>
      </c>
      <c r="D1807" s="469" t="s">
        <v>2534</v>
      </c>
      <c r="E1807" s="470">
        <v>31850</v>
      </c>
      <c r="F1807" s="1015" t="s">
        <v>2596</v>
      </c>
      <c r="G1807" s="469" t="s">
        <v>1842</v>
      </c>
      <c r="H1807" s="471">
        <v>43731</v>
      </c>
      <c r="I1807" s="471">
        <v>43733</v>
      </c>
      <c r="J1807" s="1149" t="s">
        <v>2628</v>
      </c>
    </row>
    <row r="1808" spans="1:10" ht="24.95" customHeight="1" x14ac:dyDescent="0.2">
      <c r="A1808" s="1156" t="s">
        <v>2597</v>
      </c>
      <c r="B1808" s="469" t="s">
        <v>640</v>
      </c>
      <c r="C1808" s="469" t="s">
        <v>2533</v>
      </c>
      <c r="D1808" s="469" t="s">
        <v>2534</v>
      </c>
      <c r="E1808" s="470">
        <v>3699</v>
      </c>
      <c r="F1808" s="1015" t="s">
        <v>2598</v>
      </c>
      <c r="G1808" s="469" t="s">
        <v>1842</v>
      </c>
      <c r="H1808" s="471">
        <v>43739</v>
      </c>
      <c r="I1808" s="471">
        <v>43753</v>
      </c>
      <c r="J1808" s="1149" t="s">
        <v>2628</v>
      </c>
    </row>
    <row r="1809" spans="1:10" ht="24.95" customHeight="1" x14ac:dyDescent="0.2">
      <c r="A1809" s="1156" t="s">
        <v>2599</v>
      </c>
      <c r="B1809" s="469" t="s">
        <v>640</v>
      </c>
      <c r="C1809" s="469" t="s">
        <v>2533</v>
      </c>
      <c r="D1809" s="469" t="s">
        <v>2534</v>
      </c>
      <c r="E1809" s="470">
        <v>16100</v>
      </c>
      <c r="F1809" s="1015" t="s">
        <v>2600</v>
      </c>
      <c r="G1809" s="469" t="s">
        <v>1842</v>
      </c>
      <c r="H1809" s="471">
        <v>43761</v>
      </c>
      <c r="I1809" s="471">
        <v>43768</v>
      </c>
      <c r="J1809" s="1149" t="s">
        <v>2628</v>
      </c>
    </row>
    <row r="1810" spans="1:10" ht="24.95" customHeight="1" x14ac:dyDescent="0.2">
      <c r="A1810" s="1156" t="s">
        <v>2601</v>
      </c>
      <c r="B1810" s="469" t="s">
        <v>640</v>
      </c>
      <c r="C1810" s="469" t="s">
        <v>2533</v>
      </c>
      <c r="D1810" s="469" t="s">
        <v>2534</v>
      </c>
      <c r="E1810" s="470">
        <v>3454</v>
      </c>
      <c r="F1810" s="1017" t="s">
        <v>2588</v>
      </c>
      <c r="G1810" s="469" t="s">
        <v>1842</v>
      </c>
      <c r="H1810" s="471">
        <v>43768</v>
      </c>
      <c r="I1810" s="471">
        <v>43779</v>
      </c>
      <c r="J1810" s="1149" t="s">
        <v>2628</v>
      </c>
    </row>
    <row r="1811" spans="1:10" ht="24.95" customHeight="1" x14ac:dyDescent="0.2">
      <c r="A1811" s="1156" t="s">
        <v>2602</v>
      </c>
      <c r="B1811" s="469" t="s">
        <v>640</v>
      </c>
      <c r="C1811" s="469" t="s">
        <v>2533</v>
      </c>
      <c r="D1811" s="469" t="s">
        <v>2534</v>
      </c>
      <c r="E1811" s="470">
        <v>3250</v>
      </c>
      <c r="F1811" s="1015" t="s">
        <v>2603</v>
      </c>
      <c r="G1811" s="469" t="s">
        <v>1842</v>
      </c>
      <c r="H1811" s="471">
        <v>43791</v>
      </c>
      <c r="I1811" s="471">
        <v>43794</v>
      </c>
      <c r="J1811" s="1149" t="s">
        <v>2628</v>
      </c>
    </row>
    <row r="1812" spans="1:10" ht="24.95" customHeight="1" x14ac:dyDescent="0.2">
      <c r="A1812" s="1156" t="s">
        <v>2604</v>
      </c>
      <c r="B1812" s="469" t="s">
        <v>640</v>
      </c>
      <c r="C1812" s="469" t="s">
        <v>2533</v>
      </c>
      <c r="D1812" s="469" t="s">
        <v>2534</v>
      </c>
      <c r="E1812" s="470">
        <v>11464</v>
      </c>
      <c r="F1812" s="1015" t="s">
        <v>2605</v>
      </c>
      <c r="G1812" s="469" t="s">
        <v>1842</v>
      </c>
      <c r="H1812" s="471">
        <v>43791</v>
      </c>
      <c r="I1812" s="471">
        <v>43801</v>
      </c>
      <c r="J1812" s="1149" t="s">
        <v>2628</v>
      </c>
    </row>
    <row r="1813" spans="1:10" ht="24.95" customHeight="1" x14ac:dyDescent="0.2">
      <c r="A1813" s="1156" t="s">
        <v>2606</v>
      </c>
      <c r="B1813" s="469" t="s">
        <v>640</v>
      </c>
      <c r="C1813" s="469" t="s">
        <v>2533</v>
      </c>
      <c r="D1813" s="469" t="s">
        <v>2534</v>
      </c>
      <c r="E1813" s="470">
        <v>11400</v>
      </c>
      <c r="F1813" s="1015" t="s">
        <v>2607</v>
      </c>
      <c r="G1813" s="469" t="s">
        <v>1842</v>
      </c>
      <c r="H1813" s="471">
        <v>43794</v>
      </c>
      <c r="I1813" s="471">
        <v>43801</v>
      </c>
      <c r="J1813" s="1149" t="s">
        <v>2628</v>
      </c>
    </row>
    <row r="1814" spans="1:10" ht="24.95" customHeight="1" x14ac:dyDescent="0.2">
      <c r="A1814" s="1156" t="s">
        <v>2608</v>
      </c>
      <c r="B1814" s="469" t="s">
        <v>640</v>
      </c>
      <c r="C1814" s="469" t="s">
        <v>2533</v>
      </c>
      <c r="D1814" s="469" t="s">
        <v>2534</v>
      </c>
      <c r="E1814" s="470">
        <v>27000</v>
      </c>
      <c r="F1814" s="1015" t="s">
        <v>2609</v>
      </c>
      <c r="G1814" s="469" t="s">
        <v>1842</v>
      </c>
      <c r="H1814" s="471">
        <v>43803</v>
      </c>
      <c r="I1814" s="471">
        <v>43830</v>
      </c>
      <c r="J1814" s="1149" t="s">
        <v>2610</v>
      </c>
    </row>
    <row r="1815" spans="1:10" ht="24.95" customHeight="1" x14ac:dyDescent="0.2">
      <c r="A1815" s="1155" t="s">
        <v>2584</v>
      </c>
      <c r="B1815" s="469" t="s">
        <v>640</v>
      </c>
      <c r="C1815" s="469" t="s">
        <v>2533</v>
      </c>
      <c r="D1815" s="469" t="s">
        <v>2534</v>
      </c>
      <c r="E1815" s="470">
        <v>6244</v>
      </c>
      <c r="F1815" s="1015" t="s">
        <v>2611</v>
      </c>
      <c r="G1815" s="469" t="s">
        <v>1842</v>
      </c>
      <c r="H1815" s="471">
        <v>43809</v>
      </c>
      <c r="I1815" s="471">
        <v>43830</v>
      </c>
      <c r="J1815" s="1149" t="s">
        <v>2628</v>
      </c>
    </row>
    <row r="1816" spans="1:10" ht="34.5" customHeight="1" x14ac:dyDescent="0.2">
      <c r="A1816" s="1155" t="s">
        <v>2612</v>
      </c>
      <c r="B1816" s="469" t="s">
        <v>640</v>
      </c>
      <c r="C1816" s="469" t="s">
        <v>2533</v>
      </c>
      <c r="D1816" s="469" t="s">
        <v>2534</v>
      </c>
      <c r="E1816" s="470">
        <v>17875</v>
      </c>
      <c r="F1816" s="1015" t="s">
        <v>2613</v>
      </c>
      <c r="G1816" s="469" t="s">
        <v>1842</v>
      </c>
      <c r="H1816" s="471">
        <v>43825</v>
      </c>
      <c r="I1816" s="471">
        <v>43826</v>
      </c>
      <c r="J1816" s="1149" t="s">
        <v>2628</v>
      </c>
    </row>
    <row r="1817" spans="1:10" ht="36" customHeight="1" x14ac:dyDescent="0.2">
      <c r="A1817" s="1155" t="s">
        <v>2614</v>
      </c>
      <c r="B1817" s="469" t="s">
        <v>640</v>
      </c>
      <c r="C1817" s="469" t="s">
        <v>2533</v>
      </c>
      <c r="D1817" s="469" t="s">
        <v>2534</v>
      </c>
      <c r="E1817" s="470">
        <v>10860</v>
      </c>
      <c r="F1817" s="1017" t="s">
        <v>2588</v>
      </c>
      <c r="G1817" s="469" t="s">
        <v>1842</v>
      </c>
      <c r="H1817" s="471">
        <v>43825</v>
      </c>
      <c r="I1817" s="471">
        <v>43830</v>
      </c>
      <c r="J1817" s="1149" t="s">
        <v>2628</v>
      </c>
    </row>
    <row r="1818" spans="1:10" ht="24.95" customHeight="1" x14ac:dyDescent="0.2">
      <c r="A1818" s="1155" t="s">
        <v>2575</v>
      </c>
      <c r="B1818" s="469" t="s">
        <v>640</v>
      </c>
      <c r="C1818" s="469" t="s">
        <v>2533</v>
      </c>
      <c r="D1818" s="469" t="s">
        <v>2534</v>
      </c>
      <c r="E1818" s="470">
        <v>195000</v>
      </c>
      <c r="F1818" s="1015" t="s">
        <v>2576</v>
      </c>
      <c r="G1818" s="469"/>
      <c r="H1818" s="471">
        <v>43861</v>
      </c>
      <c r="I1818" s="469" t="s">
        <v>2615</v>
      </c>
      <c r="J1818" s="1149" t="s">
        <v>2616</v>
      </c>
    </row>
    <row r="1819" spans="1:10" ht="33" customHeight="1" x14ac:dyDescent="0.2">
      <c r="A1819" s="1155" t="s">
        <v>2578</v>
      </c>
      <c r="B1819" s="469" t="s">
        <v>640</v>
      </c>
      <c r="C1819" s="469" t="s">
        <v>2533</v>
      </c>
      <c r="D1819" s="469" t="s">
        <v>2534</v>
      </c>
      <c r="E1819" s="470">
        <v>32525.119999999999</v>
      </c>
      <c r="F1819" s="1015">
        <v>10427264209</v>
      </c>
      <c r="G1819" s="469"/>
      <c r="H1819" s="471">
        <v>43888</v>
      </c>
      <c r="I1819" s="471">
        <v>43925</v>
      </c>
      <c r="J1819" s="1149" t="s">
        <v>2628</v>
      </c>
    </row>
    <row r="1820" spans="1:10" ht="24.95" customHeight="1" x14ac:dyDescent="0.2">
      <c r="A1820" s="1155" t="s">
        <v>2608</v>
      </c>
      <c r="B1820" s="469" t="s">
        <v>640</v>
      </c>
      <c r="C1820" s="469" t="s">
        <v>2533</v>
      </c>
      <c r="D1820" s="469" t="s">
        <v>2534</v>
      </c>
      <c r="E1820" s="470">
        <v>25500</v>
      </c>
      <c r="F1820" s="1015"/>
      <c r="G1820" s="469"/>
      <c r="H1820" s="471">
        <v>43896</v>
      </c>
      <c r="I1820" s="471">
        <v>44196</v>
      </c>
      <c r="J1820" s="1149" t="s">
        <v>2628</v>
      </c>
    </row>
    <row r="1821" spans="1:10" ht="24.95" customHeight="1" x14ac:dyDescent="0.2">
      <c r="A1821" s="1155" t="s">
        <v>2584</v>
      </c>
      <c r="B1821" s="469" t="s">
        <v>640</v>
      </c>
      <c r="C1821" s="469" t="s">
        <v>2533</v>
      </c>
      <c r="D1821" s="469" t="s">
        <v>2534</v>
      </c>
      <c r="E1821" s="470">
        <v>60000</v>
      </c>
      <c r="F1821" s="1015">
        <v>10427264209</v>
      </c>
      <c r="G1821" s="469"/>
      <c r="H1821" s="471">
        <v>43912</v>
      </c>
      <c r="I1821" s="471">
        <v>44150</v>
      </c>
      <c r="J1821" s="1149" t="s">
        <v>2628</v>
      </c>
    </row>
    <row r="1822" spans="1:10" ht="24.95" customHeight="1" x14ac:dyDescent="0.2">
      <c r="A1822" s="1155" t="s">
        <v>2585</v>
      </c>
      <c r="B1822" s="469" t="s">
        <v>640</v>
      </c>
      <c r="C1822" s="469" t="s">
        <v>2533</v>
      </c>
      <c r="D1822" s="469" t="s">
        <v>2534</v>
      </c>
      <c r="E1822" s="470">
        <v>30000</v>
      </c>
      <c r="F1822" s="1015"/>
      <c r="G1822" s="469"/>
      <c r="H1822" s="471">
        <v>43933</v>
      </c>
      <c r="I1822" s="471">
        <v>44134</v>
      </c>
      <c r="J1822" s="1149" t="s">
        <v>2628</v>
      </c>
    </row>
    <row r="1823" spans="1:10" ht="24.95" customHeight="1" x14ac:dyDescent="0.2">
      <c r="A1823" s="1155" t="s">
        <v>2367</v>
      </c>
      <c r="B1823" s="469" t="s">
        <v>640</v>
      </c>
      <c r="C1823" s="469" t="s">
        <v>2533</v>
      </c>
      <c r="D1823" s="469" t="s">
        <v>2548</v>
      </c>
      <c r="E1823" s="470">
        <v>30000</v>
      </c>
      <c r="F1823" s="1015">
        <v>20564203638</v>
      </c>
      <c r="G1823" s="469"/>
      <c r="H1823" s="471">
        <v>43920</v>
      </c>
      <c r="I1823" s="471">
        <v>44134</v>
      </c>
      <c r="J1823" s="1149" t="s">
        <v>2628</v>
      </c>
    </row>
    <row r="1824" spans="1:10" ht="24.95" customHeight="1" x14ac:dyDescent="0.2">
      <c r="A1824" s="1155" t="s">
        <v>2641</v>
      </c>
      <c r="B1824" s="469" t="s">
        <v>640</v>
      </c>
      <c r="C1824" s="469" t="s">
        <v>2533</v>
      </c>
      <c r="D1824" s="469" t="s">
        <v>2548</v>
      </c>
      <c r="E1824" s="470">
        <v>320000</v>
      </c>
      <c r="F1824" s="1015">
        <v>20564203638</v>
      </c>
      <c r="G1824" s="469"/>
      <c r="H1824" s="471">
        <v>44169</v>
      </c>
      <c r="I1824" s="469" t="s">
        <v>2617</v>
      </c>
      <c r="J1824" s="1149" t="s">
        <v>2628</v>
      </c>
    </row>
    <row r="1825" spans="1:10" ht="24.95" customHeight="1" x14ac:dyDescent="0.2">
      <c r="A1825" s="1155" t="s">
        <v>2618</v>
      </c>
      <c r="B1825" s="469" t="s">
        <v>640</v>
      </c>
      <c r="C1825" s="469" t="s">
        <v>2533</v>
      </c>
      <c r="D1825" s="469" t="s">
        <v>2548</v>
      </c>
      <c r="E1825" s="470">
        <v>68600.75</v>
      </c>
      <c r="F1825" s="1015" t="s">
        <v>1835</v>
      </c>
      <c r="G1825" s="469"/>
      <c r="H1825" s="474">
        <v>2021</v>
      </c>
      <c r="I1825" s="474" t="s">
        <v>1947</v>
      </c>
      <c r="J1825" s="1149" t="s">
        <v>2628</v>
      </c>
    </row>
    <row r="1826" spans="1:10" ht="24.95" customHeight="1" x14ac:dyDescent="0.2">
      <c r="A1826" s="1156" t="s">
        <v>2619</v>
      </c>
      <c r="B1826" s="469" t="s">
        <v>640</v>
      </c>
      <c r="C1826" s="469" t="s">
        <v>2533</v>
      </c>
      <c r="D1826" s="469" t="s">
        <v>2548</v>
      </c>
      <c r="E1826" s="470">
        <v>109144.95</v>
      </c>
      <c r="F1826" s="1015" t="s">
        <v>1835</v>
      </c>
      <c r="G1826" s="469"/>
      <c r="H1826" s="474">
        <v>2021</v>
      </c>
      <c r="I1826" s="474" t="s">
        <v>1947</v>
      </c>
      <c r="J1826" s="1149" t="s">
        <v>2628</v>
      </c>
    </row>
    <row r="1827" spans="1:10" ht="24.95" customHeight="1" x14ac:dyDescent="0.2">
      <c r="A1827" s="1156" t="s">
        <v>2578</v>
      </c>
      <c r="B1827" s="469" t="s">
        <v>640</v>
      </c>
      <c r="C1827" s="469" t="s">
        <v>2533</v>
      </c>
      <c r="D1827" s="469" t="s">
        <v>2534</v>
      </c>
      <c r="E1827" s="470">
        <v>32525.119999999999</v>
      </c>
      <c r="F1827" s="1015" t="s">
        <v>1835</v>
      </c>
      <c r="G1827" s="469"/>
      <c r="H1827" s="474" t="s">
        <v>1947</v>
      </c>
      <c r="I1827" s="469" t="s">
        <v>1947</v>
      </c>
      <c r="J1827" s="1149" t="s">
        <v>2628</v>
      </c>
    </row>
    <row r="1828" spans="1:10" ht="24.95" customHeight="1" thickBot="1" x14ac:dyDescent="0.25">
      <c r="A1828" s="1156" t="s">
        <v>2575</v>
      </c>
      <c r="B1828" s="469" t="s">
        <v>640</v>
      </c>
      <c r="C1828" s="469" t="s">
        <v>2533</v>
      </c>
      <c r="D1828" s="469" t="s">
        <v>2534</v>
      </c>
      <c r="E1828" s="470">
        <v>199971</v>
      </c>
      <c r="F1828" s="1015" t="s">
        <v>2576</v>
      </c>
      <c r="G1828" s="469"/>
      <c r="H1828" s="469">
        <v>2021</v>
      </c>
      <c r="I1828" s="469" t="s">
        <v>1947</v>
      </c>
      <c r="J1828" s="1149" t="s">
        <v>2628</v>
      </c>
    </row>
    <row r="1829" spans="1:10" ht="23.25" customHeight="1" x14ac:dyDescent="0.2">
      <c r="A1829" s="692" t="s">
        <v>2642</v>
      </c>
      <c r="B1829" s="693"/>
      <c r="C1829" s="693"/>
      <c r="D1829" s="693"/>
      <c r="E1829" s="693"/>
      <c r="F1829" s="693"/>
      <c r="G1829" s="693"/>
      <c r="H1829" s="693"/>
      <c r="I1829" s="693"/>
      <c r="J1829" s="694"/>
    </row>
    <row r="1830" spans="1:10" ht="30" customHeight="1" x14ac:dyDescent="0.2">
      <c r="A1830" s="1155" t="s">
        <v>2643</v>
      </c>
      <c r="B1830" s="440" t="s">
        <v>2644</v>
      </c>
      <c r="C1830" s="440" t="s">
        <v>2645</v>
      </c>
      <c r="D1830" s="440" t="s">
        <v>2646</v>
      </c>
      <c r="E1830" s="695">
        <v>1970912.5</v>
      </c>
      <c r="F1830" s="440">
        <v>20501887286</v>
      </c>
      <c r="G1830" s="439" t="s">
        <v>1661</v>
      </c>
      <c r="H1830" s="507">
        <v>43529</v>
      </c>
      <c r="I1830" s="439" t="s">
        <v>2647</v>
      </c>
      <c r="J1830" s="1145" t="s">
        <v>2648</v>
      </c>
    </row>
    <row r="1831" spans="1:10" ht="30" customHeight="1" x14ac:dyDescent="0.2">
      <c r="A1831" s="1155" t="s">
        <v>2649</v>
      </c>
      <c r="B1831" s="440" t="s">
        <v>1218</v>
      </c>
      <c r="C1831" s="440" t="s">
        <v>2645</v>
      </c>
      <c r="D1831" s="440" t="s">
        <v>2650</v>
      </c>
      <c r="E1831" s="695">
        <v>1019090</v>
      </c>
      <c r="F1831" s="440">
        <v>20553853355</v>
      </c>
      <c r="G1831" s="439" t="s">
        <v>2651</v>
      </c>
      <c r="H1831" s="507" t="s">
        <v>2652</v>
      </c>
      <c r="I1831" s="439" t="s">
        <v>2647</v>
      </c>
      <c r="J1831" s="1145" t="s">
        <v>2648</v>
      </c>
    </row>
    <row r="1832" spans="1:10" ht="30" customHeight="1" x14ac:dyDescent="0.2">
      <c r="A1832" s="1155" t="s">
        <v>2653</v>
      </c>
      <c r="B1832" s="440" t="s">
        <v>1218</v>
      </c>
      <c r="C1832" s="440" t="s">
        <v>2645</v>
      </c>
      <c r="D1832" s="440" t="s">
        <v>2654</v>
      </c>
      <c r="E1832" s="695">
        <v>281700</v>
      </c>
      <c r="F1832" s="440">
        <v>20519865476</v>
      </c>
      <c r="G1832" s="439" t="s">
        <v>1661</v>
      </c>
      <c r="H1832" s="507">
        <v>43812</v>
      </c>
      <c r="I1832" s="507">
        <v>43830</v>
      </c>
      <c r="J1832" s="1145" t="s">
        <v>2655</v>
      </c>
    </row>
    <row r="1833" spans="1:10" ht="30" customHeight="1" x14ac:dyDescent="0.2">
      <c r="A1833" s="1155" t="s">
        <v>2656</v>
      </c>
      <c r="B1833" s="440" t="s">
        <v>2084</v>
      </c>
      <c r="C1833" s="440" t="s">
        <v>2657</v>
      </c>
      <c r="D1833" s="440" t="s">
        <v>2658</v>
      </c>
      <c r="E1833" s="695">
        <v>220000</v>
      </c>
      <c r="F1833" s="440">
        <v>20605225285</v>
      </c>
      <c r="G1833" s="439" t="s">
        <v>1661</v>
      </c>
      <c r="H1833" s="507">
        <v>43935</v>
      </c>
      <c r="I1833" s="439"/>
      <c r="J1833" s="1145" t="s">
        <v>2655</v>
      </c>
    </row>
    <row r="1834" spans="1:10" ht="30" customHeight="1" x14ac:dyDescent="0.2">
      <c r="A1834" s="1155" t="s">
        <v>2659</v>
      </c>
      <c r="B1834" s="440" t="s">
        <v>2084</v>
      </c>
      <c r="C1834" s="440" t="s">
        <v>2657</v>
      </c>
      <c r="D1834" s="440" t="s">
        <v>2660</v>
      </c>
      <c r="E1834" s="695">
        <v>276344</v>
      </c>
      <c r="F1834" s="440">
        <v>20604252335</v>
      </c>
      <c r="G1834" s="439" t="s">
        <v>1661</v>
      </c>
      <c r="H1834" s="507">
        <v>44000</v>
      </c>
      <c r="I1834" s="507">
        <v>44046</v>
      </c>
      <c r="J1834" s="1145" t="s">
        <v>2655</v>
      </c>
    </row>
    <row r="1835" spans="1:10" ht="30" customHeight="1" x14ac:dyDescent="0.2">
      <c r="A1835" s="1155" t="s">
        <v>2661</v>
      </c>
      <c r="B1835" s="440" t="s">
        <v>2084</v>
      </c>
      <c r="C1835" s="440" t="s">
        <v>2657</v>
      </c>
      <c r="D1835" s="440" t="s">
        <v>2660</v>
      </c>
      <c r="E1835" s="695">
        <v>76441.66</v>
      </c>
      <c r="F1835" s="440">
        <v>10467066728</v>
      </c>
      <c r="G1835" s="439" t="s">
        <v>1661</v>
      </c>
      <c r="H1835" s="507">
        <v>44000</v>
      </c>
      <c r="I1835" s="507">
        <v>44018</v>
      </c>
      <c r="J1835" s="1145" t="s">
        <v>2655</v>
      </c>
    </row>
    <row r="1836" spans="1:10" ht="30" customHeight="1" x14ac:dyDescent="0.2">
      <c r="A1836" s="1155" t="s">
        <v>2662</v>
      </c>
      <c r="B1836" s="440" t="s">
        <v>2084</v>
      </c>
      <c r="C1836" s="440" t="s">
        <v>2657</v>
      </c>
      <c r="D1836" s="440" t="s">
        <v>2660</v>
      </c>
      <c r="E1836" s="695">
        <v>77346.3</v>
      </c>
      <c r="F1836" s="440">
        <v>20523370201</v>
      </c>
      <c r="G1836" s="439" t="s">
        <v>1661</v>
      </c>
      <c r="H1836" s="507">
        <v>44000</v>
      </c>
      <c r="I1836" s="507">
        <v>44038</v>
      </c>
      <c r="J1836" s="1145" t="s">
        <v>2655</v>
      </c>
    </row>
    <row r="1837" spans="1:10" ht="30" customHeight="1" x14ac:dyDescent="0.2">
      <c r="A1837" s="1155" t="s">
        <v>2663</v>
      </c>
      <c r="B1837" s="440" t="s">
        <v>2084</v>
      </c>
      <c r="C1837" s="440" t="s">
        <v>2657</v>
      </c>
      <c r="D1837" s="440" t="s">
        <v>2660</v>
      </c>
      <c r="E1837" s="695">
        <v>716056</v>
      </c>
      <c r="F1837" s="440">
        <v>20602723322</v>
      </c>
      <c r="G1837" s="439" t="s">
        <v>1661</v>
      </c>
      <c r="H1837" s="507">
        <v>44032</v>
      </c>
      <c r="I1837" s="439"/>
      <c r="J1837" s="1145" t="s">
        <v>2655</v>
      </c>
    </row>
    <row r="1838" spans="1:10" ht="38.25" customHeight="1" x14ac:dyDescent="0.2">
      <c r="A1838" s="1155" t="s">
        <v>2664</v>
      </c>
      <c r="B1838" s="440" t="s">
        <v>1928</v>
      </c>
      <c r="C1838" s="440" t="s">
        <v>2645</v>
      </c>
      <c r="D1838" s="440" t="s">
        <v>1784</v>
      </c>
      <c r="E1838" s="695">
        <v>34275</v>
      </c>
      <c r="F1838" s="440">
        <v>20603786433</v>
      </c>
      <c r="G1838" s="439" t="s">
        <v>1661</v>
      </c>
      <c r="H1838" s="507">
        <v>44022</v>
      </c>
      <c r="I1838" s="507">
        <v>44076</v>
      </c>
      <c r="J1838" s="1145" t="s">
        <v>2655</v>
      </c>
    </row>
    <row r="1839" spans="1:10" ht="30" customHeight="1" x14ac:dyDescent="0.2">
      <c r="A1839" s="1155" t="s">
        <v>2665</v>
      </c>
      <c r="B1839" s="440" t="s">
        <v>2084</v>
      </c>
      <c r="C1839" s="440" t="s">
        <v>2657</v>
      </c>
      <c r="D1839" s="696" t="s">
        <v>2666</v>
      </c>
      <c r="E1839" s="695">
        <v>2800000</v>
      </c>
      <c r="F1839" s="440">
        <v>20564111431</v>
      </c>
      <c r="G1839" s="439" t="s">
        <v>2667</v>
      </c>
      <c r="H1839" s="507">
        <v>44070</v>
      </c>
      <c r="I1839" s="507">
        <v>44078</v>
      </c>
      <c r="J1839" s="1145" t="s">
        <v>2655</v>
      </c>
    </row>
    <row r="1840" spans="1:10" ht="30" customHeight="1" x14ac:dyDescent="0.2">
      <c r="A1840" s="1155" t="s">
        <v>2668</v>
      </c>
      <c r="B1840" s="440" t="s">
        <v>2084</v>
      </c>
      <c r="C1840" s="440" t="s">
        <v>2657</v>
      </c>
      <c r="D1840" s="696" t="s">
        <v>2666</v>
      </c>
      <c r="E1840" s="695">
        <v>50280</v>
      </c>
      <c r="F1840" s="440">
        <v>20564429521</v>
      </c>
      <c r="G1840" s="439" t="s">
        <v>2669</v>
      </c>
      <c r="H1840" s="507">
        <v>44062</v>
      </c>
      <c r="I1840" s="507">
        <v>44070</v>
      </c>
      <c r="J1840" s="1145" t="s">
        <v>2655</v>
      </c>
    </row>
    <row r="1841" spans="1:10" ht="30" customHeight="1" thickBot="1" x14ac:dyDescent="0.25">
      <c r="A1841" s="1155" t="s">
        <v>2670</v>
      </c>
      <c r="B1841" s="440" t="s">
        <v>2084</v>
      </c>
      <c r="C1841" s="440" t="s">
        <v>2657</v>
      </c>
      <c r="D1841" s="440" t="s">
        <v>2671</v>
      </c>
      <c r="E1841" s="695">
        <v>723399</v>
      </c>
      <c r="F1841" s="440">
        <v>20544431707</v>
      </c>
      <c r="G1841" s="439" t="s">
        <v>2669</v>
      </c>
      <c r="H1841" s="507">
        <v>44095</v>
      </c>
      <c r="I1841" s="507">
        <v>44099</v>
      </c>
      <c r="J1841" s="1145" t="s">
        <v>2655</v>
      </c>
    </row>
    <row r="1842" spans="1:10" ht="25.5" customHeight="1" x14ac:dyDescent="0.2">
      <c r="A1842" s="692" t="s">
        <v>2672</v>
      </c>
      <c r="B1842" s="693"/>
      <c r="C1842" s="693"/>
      <c r="D1842" s="693"/>
      <c r="E1842" s="693"/>
      <c r="F1842" s="693"/>
      <c r="G1842" s="693"/>
      <c r="H1842" s="693"/>
      <c r="I1842" s="693"/>
      <c r="J1842" s="694"/>
    </row>
    <row r="1843" spans="1:10" ht="41.25" customHeight="1" x14ac:dyDescent="0.2">
      <c r="A1843" s="1155" t="s">
        <v>2673</v>
      </c>
      <c r="B1843" s="440" t="s">
        <v>1218</v>
      </c>
      <c r="C1843" s="440" t="s">
        <v>2674</v>
      </c>
      <c r="D1843" s="440" t="s">
        <v>2675</v>
      </c>
      <c r="E1843" s="697">
        <v>165000</v>
      </c>
      <c r="F1843" s="440" t="s">
        <v>2676</v>
      </c>
      <c r="G1843" s="439" t="s">
        <v>1691</v>
      </c>
      <c r="H1843" s="527">
        <v>43601</v>
      </c>
      <c r="I1843" s="527">
        <v>44008</v>
      </c>
      <c r="J1843" s="1145" t="s">
        <v>2648</v>
      </c>
    </row>
    <row r="1844" spans="1:10" ht="30" customHeight="1" x14ac:dyDescent="0.2">
      <c r="A1844" s="1155" t="s">
        <v>2677</v>
      </c>
      <c r="B1844" s="440" t="s">
        <v>1218</v>
      </c>
      <c r="C1844" s="440" t="s">
        <v>2674</v>
      </c>
      <c r="D1844" s="440" t="s">
        <v>2678</v>
      </c>
      <c r="E1844" s="697">
        <v>86039</v>
      </c>
      <c r="F1844" s="440" t="s">
        <v>2679</v>
      </c>
      <c r="G1844" s="439" t="s">
        <v>1691</v>
      </c>
      <c r="H1844" s="527">
        <v>43790</v>
      </c>
      <c r="I1844" s="527">
        <v>43803</v>
      </c>
      <c r="J1844" s="1145" t="s">
        <v>2648</v>
      </c>
    </row>
    <row r="1845" spans="1:10" ht="39.75" customHeight="1" x14ac:dyDescent="0.2">
      <c r="A1845" s="1155" t="s">
        <v>2680</v>
      </c>
      <c r="B1845" s="440" t="s">
        <v>1218</v>
      </c>
      <c r="C1845" s="440" t="s">
        <v>2674</v>
      </c>
      <c r="D1845" s="440" t="s">
        <v>2681</v>
      </c>
      <c r="E1845" s="697">
        <v>44581</v>
      </c>
      <c r="F1845" s="440" t="s">
        <v>2682</v>
      </c>
      <c r="G1845" s="439" t="s">
        <v>1691</v>
      </c>
      <c r="H1845" s="527">
        <v>43626</v>
      </c>
      <c r="I1845" s="527">
        <v>43641</v>
      </c>
      <c r="J1845" s="1145" t="s">
        <v>2648</v>
      </c>
    </row>
    <row r="1846" spans="1:10" ht="39.75" customHeight="1" x14ac:dyDescent="0.2">
      <c r="A1846" s="1155" t="s">
        <v>2683</v>
      </c>
      <c r="B1846" s="440" t="s">
        <v>1218</v>
      </c>
      <c r="C1846" s="440" t="s">
        <v>2674</v>
      </c>
      <c r="D1846" s="440" t="s">
        <v>2684</v>
      </c>
      <c r="E1846" s="697">
        <v>24051.85</v>
      </c>
      <c r="F1846" s="440" t="s">
        <v>2685</v>
      </c>
      <c r="G1846" s="439" t="s">
        <v>1691</v>
      </c>
      <c r="H1846" s="527">
        <v>43636</v>
      </c>
      <c r="I1846" s="527">
        <v>43651</v>
      </c>
      <c r="J1846" s="1145" t="s">
        <v>2648</v>
      </c>
    </row>
    <row r="1847" spans="1:10" ht="30" customHeight="1" x14ac:dyDescent="0.2">
      <c r="A1847" s="1155" t="s">
        <v>2686</v>
      </c>
      <c r="B1847" s="440" t="s">
        <v>1218</v>
      </c>
      <c r="C1847" s="440" t="s">
        <v>2674</v>
      </c>
      <c r="D1847" s="440" t="s">
        <v>2687</v>
      </c>
      <c r="E1847" s="697">
        <v>79750</v>
      </c>
      <c r="F1847" s="440" t="s">
        <v>2688</v>
      </c>
      <c r="G1847" s="439" t="s">
        <v>1691</v>
      </c>
      <c r="H1847" s="527">
        <v>43665</v>
      </c>
      <c r="I1847" s="527">
        <v>43830</v>
      </c>
      <c r="J1847" s="1145" t="s">
        <v>2648</v>
      </c>
    </row>
    <row r="1848" spans="1:10" ht="30" customHeight="1" x14ac:dyDescent="0.2">
      <c r="A1848" s="1155" t="s">
        <v>2689</v>
      </c>
      <c r="B1848" s="440" t="s">
        <v>1218</v>
      </c>
      <c r="C1848" s="440" t="s">
        <v>2674</v>
      </c>
      <c r="D1848" s="440" t="s">
        <v>2690</v>
      </c>
      <c r="E1848" s="697">
        <v>41695</v>
      </c>
      <c r="F1848" s="440" t="s">
        <v>2691</v>
      </c>
      <c r="G1848" s="439" t="s">
        <v>1691</v>
      </c>
      <c r="H1848" s="527">
        <v>43658</v>
      </c>
      <c r="I1848" s="527">
        <v>43677</v>
      </c>
      <c r="J1848" s="1145" t="s">
        <v>2648</v>
      </c>
    </row>
    <row r="1849" spans="1:10" ht="30" customHeight="1" x14ac:dyDescent="0.2">
      <c r="A1849" s="1155" t="s">
        <v>2692</v>
      </c>
      <c r="B1849" s="440" t="s">
        <v>1218</v>
      </c>
      <c r="C1849" s="440" t="s">
        <v>2674</v>
      </c>
      <c r="D1849" s="440" t="s">
        <v>2693</v>
      </c>
      <c r="E1849" s="698">
        <v>85904.320000000007</v>
      </c>
      <c r="F1849" s="439" t="s">
        <v>2694</v>
      </c>
      <c r="G1849" s="439" t="s">
        <v>1691</v>
      </c>
      <c r="H1849" s="527">
        <v>43649</v>
      </c>
      <c r="I1849" s="439"/>
      <c r="J1849" s="1145" t="s">
        <v>2648</v>
      </c>
    </row>
    <row r="1850" spans="1:10" ht="30" customHeight="1" x14ac:dyDescent="0.2">
      <c r="A1850" s="1155" t="s">
        <v>2695</v>
      </c>
      <c r="B1850" s="440" t="s">
        <v>1218</v>
      </c>
      <c r="C1850" s="440" t="s">
        <v>2674</v>
      </c>
      <c r="D1850" s="440" t="s">
        <v>2696</v>
      </c>
      <c r="E1850" s="697">
        <v>42160</v>
      </c>
      <c r="F1850" s="440" t="s">
        <v>2697</v>
      </c>
      <c r="G1850" s="439" t="s">
        <v>1691</v>
      </c>
      <c r="H1850" s="527">
        <v>43683</v>
      </c>
      <c r="I1850" s="527">
        <v>43738</v>
      </c>
      <c r="J1850" s="1145" t="s">
        <v>2648</v>
      </c>
    </row>
    <row r="1851" spans="1:10" ht="30" customHeight="1" x14ac:dyDescent="0.2">
      <c r="A1851" s="1155" t="s">
        <v>2698</v>
      </c>
      <c r="B1851" s="440" t="s">
        <v>1218</v>
      </c>
      <c r="C1851" s="440" t="s">
        <v>2674</v>
      </c>
      <c r="D1851" s="440" t="s">
        <v>2699</v>
      </c>
      <c r="E1851" s="697">
        <v>23292</v>
      </c>
      <c r="F1851" s="440" t="s">
        <v>2700</v>
      </c>
      <c r="G1851" s="439" t="s">
        <v>1691</v>
      </c>
      <c r="H1851" s="527">
        <v>43805</v>
      </c>
      <c r="I1851" s="527">
        <v>43812</v>
      </c>
      <c r="J1851" s="1145" t="s">
        <v>2648</v>
      </c>
    </row>
    <row r="1852" spans="1:10" ht="30" customHeight="1" x14ac:dyDescent="0.2">
      <c r="A1852" s="1155" t="s">
        <v>2701</v>
      </c>
      <c r="B1852" s="440" t="s">
        <v>1218</v>
      </c>
      <c r="C1852" s="440" t="s">
        <v>2674</v>
      </c>
      <c r="D1852" s="440" t="s">
        <v>2702</v>
      </c>
      <c r="E1852" s="697">
        <v>89550</v>
      </c>
      <c r="F1852" s="440" t="s">
        <v>2703</v>
      </c>
      <c r="G1852" s="439" t="s">
        <v>1691</v>
      </c>
      <c r="H1852" s="527">
        <v>43747</v>
      </c>
      <c r="I1852" s="527">
        <v>43782</v>
      </c>
      <c r="J1852" s="1145" t="s">
        <v>2648</v>
      </c>
    </row>
    <row r="1853" spans="1:10" ht="30" customHeight="1" x14ac:dyDescent="0.2">
      <c r="A1853" s="1155" t="s">
        <v>2704</v>
      </c>
      <c r="B1853" s="440" t="s">
        <v>1218</v>
      </c>
      <c r="C1853" s="440" t="s">
        <v>2674</v>
      </c>
      <c r="D1853" s="440" t="s">
        <v>2705</v>
      </c>
      <c r="E1853" s="697">
        <v>50794</v>
      </c>
      <c r="F1853" s="440" t="s">
        <v>2706</v>
      </c>
      <c r="G1853" s="439" t="s">
        <v>1691</v>
      </c>
      <c r="H1853" s="527">
        <v>43741</v>
      </c>
      <c r="I1853" s="527">
        <v>43760</v>
      </c>
      <c r="J1853" s="1145" t="s">
        <v>2648</v>
      </c>
    </row>
    <row r="1854" spans="1:10" ht="30" customHeight="1" x14ac:dyDescent="0.2">
      <c r="A1854" s="1155" t="s">
        <v>2707</v>
      </c>
      <c r="B1854" s="440" t="s">
        <v>1218</v>
      </c>
      <c r="C1854" s="440" t="s">
        <v>2674</v>
      </c>
      <c r="D1854" s="440" t="s">
        <v>2708</v>
      </c>
      <c r="E1854" s="697">
        <v>71990</v>
      </c>
      <c r="F1854" s="440" t="s">
        <v>2709</v>
      </c>
      <c r="G1854" s="439" t="s">
        <v>1691</v>
      </c>
      <c r="H1854" s="527">
        <v>43720</v>
      </c>
      <c r="I1854" s="527">
        <v>43749</v>
      </c>
      <c r="J1854" s="1145" t="s">
        <v>2648</v>
      </c>
    </row>
    <row r="1855" spans="1:10" ht="30" customHeight="1" x14ac:dyDescent="0.2">
      <c r="A1855" s="1155" t="s">
        <v>2710</v>
      </c>
      <c r="B1855" s="440" t="s">
        <v>1218</v>
      </c>
      <c r="C1855" s="440" t="s">
        <v>2674</v>
      </c>
      <c r="D1855" s="440" t="s">
        <v>2711</v>
      </c>
      <c r="E1855" s="697">
        <v>69317</v>
      </c>
      <c r="F1855" s="440" t="s">
        <v>2712</v>
      </c>
      <c r="G1855" s="439" t="s">
        <v>1691</v>
      </c>
      <c r="H1855" s="527">
        <v>43766</v>
      </c>
      <c r="I1855" s="527">
        <v>43787</v>
      </c>
      <c r="J1855" s="1145" t="s">
        <v>2648</v>
      </c>
    </row>
    <row r="1856" spans="1:10" ht="30" customHeight="1" x14ac:dyDescent="0.2">
      <c r="A1856" s="1155" t="s">
        <v>2713</v>
      </c>
      <c r="B1856" s="440" t="s">
        <v>1218</v>
      </c>
      <c r="C1856" s="440" t="s">
        <v>2674</v>
      </c>
      <c r="D1856" s="440" t="s">
        <v>2714</v>
      </c>
      <c r="E1856" s="697">
        <v>21934</v>
      </c>
      <c r="F1856" s="440" t="s">
        <v>2715</v>
      </c>
      <c r="G1856" s="439" t="s">
        <v>1691</v>
      </c>
      <c r="H1856" s="527">
        <v>43724</v>
      </c>
      <c r="I1856" s="527">
        <v>43756</v>
      </c>
      <c r="J1856" s="1145" t="s">
        <v>2648</v>
      </c>
    </row>
    <row r="1857" spans="1:10" ht="30" customHeight="1" x14ac:dyDescent="0.2">
      <c r="A1857" s="1155" t="s">
        <v>2716</v>
      </c>
      <c r="B1857" s="440" t="s">
        <v>1218</v>
      </c>
      <c r="C1857" s="440" t="s">
        <v>2674</v>
      </c>
      <c r="D1857" s="440" t="s">
        <v>2717</v>
      </c>
      <c r="E1857" s="697">
        <v>154000</v>
      </c>
      <c r="F1857" s="440" t="s">
        <v>2718</v>
      </c>
      <c r="G1857" s="439" t="s">
        <v>1691</v>
      </c>
      <c r="H1857" s="527">
        <v>43780</v>
      </c>
      <c r="I1857" s="527">
        <v>43808</v>
      </c>
      <c r="J1857" s="1145" t="s">
        <v>2648</v>
      </c>
    </row>
    <row r="1858" spans="1:10" ht="30" customHeight="1" x14ac:dyDescent="0.2">
      <c r="A1858" s="1155" t="s">
        <v>2719</v>
      </c>
      <c r="B1858" s="440" t="s">
        <v>1218</v>
      </c>
      <c r="C1858" s="440" t="s">
        <v>2674</v>
      </c>
      <c r="D1858" s="440" t="s">
        <v>2720</v>
      </c>
      <c r="E1858" s="697">
        <v>35370</v>
      </c>
      <c r="F1858" s="440" t="s">
        <v>2721</v>
      </c>
      <c r="G1858" s="439" t="s">
        <v>1691</v>
      </c>
      <c r="H1858" s="527">
        <v>43739</v>
      </c>
      <c r="I1858" s="527">
        <v>43777</v>
      </c>
      <c r="J1858" s="1145" t="s">
        <v>2648</v>
      </c>
    </row>
    <row r="1859" spans="1:10" ht="30" customHeight="1" x14ac:dyDescent="0.2">
      <c r="A1859" s="1155" t="s">
        <v>2722</v>
      </c>
      <c r="B1859" s="440" t="s">
        <v>1218</v>
      </c>
      <c r="C1859" s="440" t="s">
        <v>2674</v>
      </c>
      <c r="D1859" s="440" t="s">
        <v>2723</v>
      </c>
      <c r="E1859" s="697">
        <v>55968.36</v>
      </c>
      <c r="F1859" s="440" t="s">
        <v>2724</v>
      </c>
      <c r="G1859" s="439" t="s">
        <v>1691</v>
      </c>
      <c r="H1859" s="527">
        <v>43728</v>
      </c>
      <c r="I1859" s="527">
        <v>43739</v>
      </c>
      <c r="J1859" s="1145" t="s">
        <v>2648</v>
      </c>
    </row>
    <row r="1860" spans="1:10" ht="30" customHeight="1" x14ac:dyDescent="0.2">
      <c r="A1860" s="1155" t="s">
        <v>2725</v>
      </c>
      <c r="B1860" s="440" t="s">
        <v>1218</v>
      </c>
      <c r="C1860" s="440" t="s">
        <v>2674</v>
      </c>
      <c r="D1860" s="440" t="s">
        <v>2726</v>
      </c>
      <c r="E1860" s="697">
        <v>55000</v>
      </c>
      <c r="F1860" s="440" t="s">
        <v>2727</v>
      </c>
      <c r="G1860" s="439" t="s">
        <v>1691</v>
      </c>
      <c r="H1860" s="527">
        <v>43798</v>
      </c>
      <c r="I1860" s="527">
        <v>43829</v>
      </c>
      <c r="J1860" s="1145" t="s">
        <v>2648</v>
      </c>
    </row>
    <row r="1861" spans="1:10" ht="30" customHeight="1" x14ac:dyDescent="0.2">
      <c r="A1861" s="1155" t="s">
        <v>2728</v>
      </c>
      <c r="B1861" s="440" t="s">
        <v>1218</v>
      </c>
      <c r="C1861" s="440" t="s">
        <v>2674</v>
      </c>
      <c r="D1861" s="440" t="s">
        <v>2729</v>
      </c>
      <c r="E1861" s="697">
        <v>64899.99</v>
      </c>
      <c r="F1861" s="440" t="s">
        <v>2730</v>
      </c>
      <c r="G1861" s="439" t="s">
        <v>1691</v>
      </c>
      <c r="H1861" s="527">
        <v>43801</v>
      </c>
      <c r="I1861" s="527">
        <v>43816</v>
      </c>
      <c r="J1861" s="1145" t="s">
        <v>2648</v>
      </c>
    </row>
    <row r="1862" spans="1:10" ht="57" customHeight="1" x14ac:dyDescent="0.2">
      <c r="A1862" s="1155" t="s">
        <v>2731</v>
      </c>
      <c r="B1862" s="440" t="s">
        <v>1218</v>
      </c>
      <c r="C1862" s="440" t="s">
        <v>2674</v>
      </c>
      <c r="D1862" s="440" t="s">
        <v>2732</v>
      </c>
      <c r="E1862" s="697">
        <v>238000</v>
      </c>
      <c r="F1862" s="440" t="s">
        <v>2733</v>
      </c>
      <c r="G1862" s="439" t="s">
        <v>1691</v>
      </c>
      <c r="H1862" s="527">
        <v>43794</v>
      </c>
      <c r="I1862" s="527">
        <v>43830</v>
      </c>
      <c r="J1862" s="1145" t="s">
        <v>2648</v>
      </c>
    </row>
    <row r="1863" spans="1:10" ht="50.25" customHeight="1" x14ac:dyDescent="0.2">
      <c r="A1863" s="1155" t="s">
        <v>2734</v>
      </c>
      <c r="B1863" s="440" t="s">
        <v>1218</v>
      </c>
      <c r="C1863" s="440" t="s">
        <v>2674</v>
      </c>
      <c r="D1863" s="440" t="s">
        <v>2735</v>
      </c>
      <c r="E1863" s="697">
        <v>143900</v>
      </c>
      <c r="F1863" s="440" t="s">
        <v>2736</v>
      </c>
      <c r="G1863" s="439" t="s">
        <v>1691</v>
      </c>
      <c r="H1863" s="527">
        <v>44163</v>
      </c>
      <c r="I1863" s="527">
        <v>44196</v>
      </c>
      <c r="J1863" s="1145" t="s">
        <v>2648</v>
      </c>
    </row>
    <row r="1864" spans="1:10" ht="62.25" customHeight="1" x14ac:dyDescent="0.2">
      <c r="A1864" s="1155" t="s">
        <v>2737</v>
      </c>
      <c r="B1864" s="440" t="s">
        <v>1218</v>
      </c>
      <c r="C1864" s="440" t="s">
        <v>2674</v>
      </c>
      <c r="D1864" s="440" t="s">
        <v>2738</v>
      </c>
      <c r="E1864" s="697">
        <v>179965.1</v>
      </c>
      <c r="F1864" s="440" t="s">
        <v>2736</v>
      </c>
      <c r="G1864" s="439" t="s">
        <v>1691</v>
      </c>
      <c r="H1864" s="527">
        <v>43797</v>
      </c>
      <c r="I1864" s="527">
        <v>43830</v>
      </c>
      <c r="J1864" s="1145" t="s">
        <v>2648</v>
      </c>
    </row>
    <row r="1865" spans="1:10" ht="59.25" customHeight="1" x14ac:dyDescent="0.2">
      <c r="A1865" s="1155" t="s">
        <v>2739</v>
      </c>
      <c r="B1865" s="440" t="s">
        <v>1218</v>
      </c>
      <c r="C1865" s="440" t="s">
        <v>2674</v>
      </c>
      <c r="D1865" s="440" t="s">
        <v>2740</v>
      </c>
      <c r="E1865" s="697">
        <v>172900</v>
      </c>
      <c r="F1865" s="440" t="s">
        <v>2741</v>
      </c>
      <c r="G1865" s="439" t="s">
        <v>1691</v>
      </c>
      <c r="H1865" s="527">
        <v>43802</v>
      </c>
      <c r="I1865" s="527">
        <v>43830</v>
      </c>
      <c r="J1865" s="1145" t="s">
        <v>2648</v>
      </c>
    </row>
    <row r="1866" spans="1:10" ht="59.25" customHeight="1" x14ac:dyDescent="0.2">
      <c r="A1866" s="1155" t="s">
        <v>2742</v>
      </c>
      <c r="B1866" s="440" t="s">
        <v>1218</v>
      </c>
      <c r="C1866" s="440" t="s">
        <v>2674</v>
      </c>
      <c r="D1866" s="440" t="s">
        <v>2743</v>
      </c>
      <c r="E1866" s="697">
        <v>199990</v>
      </c>
      <c r="F1866" s="440" t="s">
        <v>2736</v>
      </c>
      <c r="G1866" s="439" t="s">
        <v>1691</v>
      </c>
      <c r="H1866" s="527">
        <v>43801</v>
      </c>
      <c r="I1866" s="527">
        <v>43830</v>
      </c>
      <c r="J1866" s="1145" t="s">
        <v>2648</v>
      </c>
    </row>
    <row r="1867" spans="1:10" ht="50.25" customHeight="1" x14ac:dyDescent="0.2">
      <c r="A1867" s="1155" t="s">
        <v>2744</v>
      </c>
      <c r="B1867" s="440" t="s">
        <v>1218</v>
      </c>
      <c r="C1867" s="440" t="s">
        <v>2674</v>
      </c>
      <c r="D1867" s="440" t="s">
        <v>2745</v>
      </c>
      <c r="E1867" s="697">
        <v>133002</v>
      </c>
      <c r="F1867" s="440" t="s">
        <v>2736</v>
      </c>
      <c r="G1867" s="439" t="s">
        <v>1691</v>
      </c>
      <c r="H1867" s="527">
        <v>43801</v>
      </c>
      <c r="I1867" s="527">
        <v>43830</v>
      </c>
      <c r="J1867" s="1145" t="s">
        <v>2648</v>
      </c>
    </row>
    <row r="1868" spans="1:10" ht="48" customHeight="1" x14ac:dyDescent="0.2">
      <c r="A1868" s="1155" t="s">
        <v>2746</v>
      </c>
      <c r="B1868" s="440" t="s">
        <v>1218</v>
      </c>
      <c r="C1868" s="440" t="s">
        <v>2674</v>
      </c>
      <c r="D1868" s="440" t="s">
        <v>2747</v>
      </c>
      <c r="E1868" s="697">
        <v>144000</v>
      </c>
      <c r="F1868" s="440" t="s">
        <v>2741</v>
      </c>
      <c r="G1868" s="439" t="s">
        <v>1691</v>
      </c>
      <c r="H1868" s="527">
        <v>44163</v>
      </c>
      <c r="I1868" s="527">
        <v>43830</v>
      </c>
      <c r="J1868" s="1145" t="s">
        <v>2648</v>
      </c>
    </row>
    <row r="1869" spans="1:10" ht="55.5" customHeight="1" x14ac:dyDescent="0.2">
      <c r="A1869" s="1155" t="s">
        <v>2748</v>
      </c>
      <c r="B1869" s="440" t="s">
        <v>1218</v>
      </c>
      <c r="C1869" s="440" t="s">
        <v>2674</v>
      </c>
      <c r="D1869" s="440" t="s">
        <v>2749</v>
      </c>
      <c r="E1869" s="697">
        <v>265541.42</v>
      </c>
      <c r="F1869" s="440" t="s">
        <v>2750</v>
      </c>
      <c r="G1869" s="439" t="s">
        <v>1691</v>
      </c>
      <c r="H1869" s="527">
        <v>43802</v>
      </c>
      <c r="I1869" s="527">
        <v>43830</v>
      </c>
      <c r="J1869" s="1145" t="s">
        <v>2648</v>
      </c>
    </row>
    <row r="1870" spans="1:10" ht="51" customHeight="1" x14ac:dyDescent="0.2">
      <c r="A1870" s="1155" t="s">
        <v>2751</v>
      </c>
      <c r="B1870" s="440" t="s">
        <v>1218</v>
      </c>
      <c r="C1870" s="440" t="s">
        <v>2674</v>
      </c>
      <c r="D1870" s="440" t="s">
        <v>2752</v>
      </c>
      <c r="E1870" s="697">
        <v>216000</v>
      </c>
      <c r="F1870" s="440" t="s">
        <v>2741</v>
      </c>
      <c r="G1870" s="439" t="s">
        <v>1691</v>
      </c>
      <c r="H1870" s="527">
        <v>44163</v>
      </c>
      <c r="I1870" s="527">
        <v>43830</v>
      </c>
      <c r="J1870" s="1145" t="s">
        <v>2648</v>
      </c>
    </row>
    <row r="1871" spans="1:10" ht="53.25" customHeight="1" x14ac:dyDescent="0.2">
      <c r="A1871" s="1155" t="s">
        <v>2753</v>
      </c>
      <c r="B1871" s="440" t="s">
        <v>1218</v>
      </c>
      <c r="C1871" s="440" t="s">
        <v>2674</v>
      </c>
      <c r="D1871" s="440" t="s">
        <v>2754</v>
      </c>
      <c r="E1871" s="697">
        <v>201000</v>
      </c>
      <c r="F1871" s="440" t="s">
        <v>2741</v>
      </c>
      <c r="G1871" s="439" t="s">
        <v>1691</v>
      </c>
      <c r="H1871" s="527">
        <v>44163</v>
      </c>
      <c r="I1871" s="527">
        <v>43830</v>
      </c>
      <c r="J1871" s="1145" t="s">
        <v>2648</v>
      </c>
    </row>
    <row r="1872" spans="1:10" ht="58.5" customHeight="1" x14ac:dyDescent="0.2">
      <c r="A1872" s="1155" t="s">
        <v>2755</v>
      </c>
      <c r="B1872" s="440" t="s">
        <v>1218</v>
      </c>
      <c r="C1872" s="440" t="s">
        <v>2674</v>
      </c>
      <c r="D1872" s="440" t="s">
        <v>2756</v>
      </c>
      <c r="E1872" s="697">
        <v>219990</v>
      </c>
      <c r="F1872" s="440" t="s">
        <v>2736</v>
      </c>
      <c r="G1872" s="439" t="s">
        <v>1691</v>
      </c>
      <c r="H1872" s="527">
        <v>43797</v>
      </c>
      <c r="I1872" s="527">
        <v>43830</v>
      </c>
      <c r="J1872" s="1145" t="s">
        <v>2648</v>
      </c>
    </row>
    <row r="1873" spans="1:10" ht="30" customHeight="1" x14ac:dyDescent="0.2">
      <c r="A1873" s="1155" t="s">
        <v>2757</v>
      </c>
      <c r="B1873" s="440" t="s">
        <v>1291</v>
      </c>
      <c r="C1873" s="440" t="s">
        <v>2674</v>
      </c>
      <c r="D1873" s="440" t="s">
        <v>2758</v>
      </c>
      <c r="E1873" s="697">
        <v>123498.15</v>
      </c>
      <c r="F1873" s="439" t="s">
        <v>2694</v>
      </c>
      <c r="G1873" s="439" t="s">
        <v>2759</v>
      </c>
      <c r="H1873" s="527">
        <v>43977</v>
      </c>
      <c r="I1873" s="439"/>
      <c r="J1873" s="1145" t="s">
        <v>2648</v>
      </c>
    </row>
    <row r="1874" spans="1:10" ht="30" customHeight="1" x14ac:dyDescent="0.2">
      <c r="A1874" s="1155" t="s">
        <v>2757</v>
      </c>
      <c r="B1874" s="440" t="s">
        <v>1291</v>
      </c>
      <c r="C1874" s="440" t="s">
        <v>2674</v>
      </c>
      <c r="D1874" s="440" t="s">
        <v>2760</v>
      </c>
      <c r="E1874" s="697">
        <v>56656.639999999999</v>
      </c>
      <c r="F1874" s="439" t="s">
        <v>2694</v>
      </c>
      <c r="G1874" s="439" t="s">
        <v>2759</v>
      </c>
      <c r="H1874" s="527">
        <v>44084</v>
      </c>
      <c r="I1874" s="439"/>
      <c r="J1874" s="1145" t="s">
        <v>2648</v>
      </c>
    </row>
    <row r="1875" spans="1:10" ht="44.25" customHeight="1" x14ac:dyDescent="0.2">
      <c r="A1875" s="1155" t="s">
        <v>2673</v>
      </c>
      <c r="B1875" s="440" t="s">
        <v>1218</v>
      </c>
      <c r="C1875" s="440" t="s">
        <v>2674</v>
      </c>
      <c r="D1875" s="440" t="s">
        <v>2761</v>
      </c>
      <c r="E1875" s="697">
        <v>73100</v>
      </c>
      <c r="F1875" s="440" t="s">
        <v>2676</v>
      </c>
      <c r="G1875" s="439" t="s">
        <v>2759</v>
      </c>
      <c r="H1875" s="527">
        <v>44050</v>
      </c>
      <c r="I1875" s="439"/>
      <c r="J1875" s="1145" t="s">
        <v>2648</v>
      </c>
    </row>
    <row r="1876" spans="1:10" ht="52.5" customHeight="1" x14ac:dyDescent="0.2">
      <c r="A1876" s="1155" t="s">
        <v>2762</v>
      </c>
      <c r="B1876" s="440" t="s">
        <v>1218</v>
      </c>
      <c r="C1876" s="440" t="s">
        <v>2674</v>
      </c>
      <c r="D1876" s="440" t="s">
        <v>2763</v>
      </c>
      <c r="E1876" s="697">
        <v>211750</v>
      </c>
      <c r="F1876" s="440" t="s">
        <v>2764</v>
      </c>
      <c r="G1876" s="439" t="s">
        <v>2759</v>
      </c>
      <c r="H1876" s="527">
        <v>44104</v>
      </c>
      <c r="I1876" s="439"/>
      <c r="J1876" s="1145" t="s">
        <v>2648</v>
      </c>
    </row>
    <row r="1877" spans="1:10" ht="30" customHeight="1" x14ac:dyDescent="0.2">
      <c r="A1877" s="1155" t="s">
        <v>2713</v>
      </c>
      <c r="B1877" s="440" t="s">
        <v>1218</v>
      </c>
      <c r="C1877" s="440" t="s">
        <v>2674</v>
      </c>
      <c r="D1877" s="440" t="s">
        <v>2765</v>
      </c>
      <c r="E1877" s="697">
        <v>45394.8</v>
      </c>
      <c r="F1877" s="440" t="s">
        <v>2766</v>
      </c>
      <c r="G1877" s="439" t="s">
        <v>2759</v>
      </c>
      <c r="H1877" s="527">
        <v>44097</v>
      </c>
      <c r="I1877" s="439"/>
      <c r="J1877" s="1145" t="s">
        <v>2648</v>
      </c>
    </row>
    <row r="1878" spans="1:10" ht="30" customHeight="1" x14ac:dyDescent="0.2">
      <c r="A1878" s="1155" t="s">
        <v>2767</v>
      </c>
      <c r="B1878" s="440" t="s">
        <v>2084</v>
      </c>
      <c r="C1878" s="440" t="s">
        <v>2674</v>
      </c>
      <c r="D1878" s="440" t="s">
        <v>2768</v>
      </c>
      <c r="E1878" s="697">
        <v>170089.1</v>
      </c>
      <c r="F1878" s="440" t="s">
        <v>2769</v>
      </c>
      <c r="G1878" s="439" t="s">
        <v>1691</v>
      </c>
      <c r="H1878" s="527">
        <v>43972</v>
      </c>
      <c r="I1878" s="527">
        <v>43983</v>
      </c>
      <c r="J1878" s="1145" t="s">
        <v>2648</v>
      </c>
    </row>
    <row r="1879" spans="1:10" ht="42" customHeight="1" x14ac:dyDescent="0.2">
      <c r="A1879" s="1155" t="s">
        <v>2770</v>
      </c>
      <c r="B1879" s="440" t="s">
        <v>2084</v>
      </c>
      <c r="C1879" s="440" t="s">
        <v>2674</v>
      </c>
      <c r="D1879" s="440" t="s">
        <v>2771</v>
      </c>
      <c r="E1879" s="697">
        <v>50700</v>
      </c>
      <c r="F1879" s="440" t="s">
        <v>2772</v>
      </c>
      <c r="G1879" s="439" t="s">
        <v>1691</v>
      </c>
      <c r="H1879" s="527">
        <v>44008</v>
      </c>
      <c r="I1879" s="527">
        <v>44019</v>
      </c>
      <c r="J1879" s="1145" t="s">
        <v>2648</v>
      </c>
    </row>
    <row r="1880" spans="1:10" ht="40.5" customHeight="1" x14ac:dyDescent="0.2">
      <c r="A1880" s="1155" t="s">
        <v>2773</v>
      </c>
      <c r="B1880" s="440" t="s">
        <v>2084</v>
      </c>
      <c r="C1880" s="440" t="s">
        <v>2674</v>
      </c>
      <c r="D1880" s="440" t="s">
        <v>2774</v>
      </c>
      <c r="E1880" s="697">
        <v>140000</v>
      </c>
      <c r="F1880" s="440" t="s">
        <v>2775</v>
      </c>
      <c r="G1880" s="439" t="s">
        <v>1691</v>
      </c>
      <c r="H1880" s="527">
        <v>44018</v>
      </c>
      <c r="I1880" s="527">
        <v>44026</v>
      </c>
      <c r="J1880" s="1145" t="s">
        <v>2648</v>
      </c>
    </row>
    <row r="1881" spans="1:10" ht="30" customHeight="1" x14ac:dyDescent="0.2">
      <c r="A1881" s="1155" t="s">
        <v>2776</v>
      </c>
      <c r="B1881" s="440" t="s">
        <v>2084</v>
      </c>
      <c r="C1881" s="440" t="s">
        <v>2674</v>
      </c>
      <c r="D1881" s="440" t="s">
        <v>2777</v>
      </c>
      <c r="E1881" s="697">
        <v>53428</v>
      </c>
      <c r="F1881" s="440" t="s">
        <v>2772</v>
      </c>
      <c r="G1881" s="439" t="s">
        <v>1691</v>
      </c>
      <c r="H1881" s="527">
        <v>44032</v>
      </c>
      <c r="I1881" s="527">
        <v>44061</v>
      </c>
      <c r="J1881" s="1145" t="s">
        <v>2648</v>
      </c>
    </row>
    <row r="1882" spans="1:10" ht="30" customHeight="1" x14ac:dyDescent="0.2">
      <c r="A1882" s="1155" t="s">
        <v>2778</v>
      </c>
      <c r="B1882" s="440" t="s">
        <v>1291</v>
      </c>
      <c r="C1882" s="440" t="s">
        <v>2674</v>
      </c>
      <c r="D1882" s="440" t="s">
        <v>2779</v>
      </c>
      <c r="E1882" s="697">
        <v>154346</v>
      </c>
      <c r="F1882" s="440"/>
      <c r="G1882" s="439"/>
      <c r="H1882" s="527"/>
      <c r="I1882" s="527"/>
      <c r="J1882" s="1145" t="s">
        <v>2648</v>
      </c>
    </row>
    <row r="1883" spans="1:10" ht="30" customHeight="1" x14ac:dyDescent="0.2">
      <c r="A1883" s="1155" t="s">
        <v>2713</v>
      </c>
      <c r="B1883" s="440" t="s">
        <v>1218</v>
      </c>
      <c r="C1883" s="440" t="s">
        <v>2674</v>
      </c>
      <c r="D1883" s="440" t="s">
        <v>2780</v>
      </c>
      <c r="E1883" s="697">
        <v>113398</v>
      </c>
      <c r="F1883" s="440"/>
      <c r="G1883" s="439"/>
      <c r="H1883" s="527"/>
      <c r="I1883" s="527"/>
      <c r="J1883" s="1145" t="s">
        <v>2648</v>
      </c>
    </row>
    <row r="1884" spans="1:10" ht="61.5" customHeight="1" x14ac:dyDescent="0.2">
      <c r="A1884" s="1155" t="s">
        <v>2781</v>
      </c>
      <c r="B1884" s="440" t="s">
        <v>1218</v>
      </c>
      <c r="C1884" s="440" t="s">
        <v>2674</v>
      </c>
      <c r="D1884" s="440" t="s">
        <v>2780</v>
      </c>
      <c r="E1884" s="697">
        <v>70065</v>
      </c>
      <c r="F1884" s="440"/>
      <c r="G1884" s="439"/>
      <c r="H1884" s="527"/>
      <c r="I1884" s="527"/>
      <c r="J1884" s="1145" t="s">
        <v>2648</v>
      </c>
    </row>
    <row r="1885" spans="1:10" ht="30" customHeight="1" x14ac:dyDescent="0.2">
      <c r="A1885" s="1155" t="s">
        <v>2782</v>
      </c>
      <c r="B1885" s="440" t="s">
        <v>1218</v>
      </c>
      <c r="C1885" s="440" t="s">
        <v>2674</v>
      </c>
      <c r="D1885" s="440" t="s">
        <v>2780</v>
      </c>
      <c r="E1885" s="697">
        <v>119330</v>
      </c>
      <c r="F1885" s="440"/>
      <c r="G1885" s="439"/>
      <c r="H1885" s="527"/>
      <c r="I1885" s="527"/>
      <c r="J1885" s="1145" t="s">
        <v>2648</v>
      </c>
    </row>
    <row r="1886" spans="1:10" ht="30" customHeight="1" x14ac:dyDescent="0.2">
      <c r="A1886" s="1155" t="s">
        <v>2783</v>
      </c>
      <c r="B1886" s="440" t="s">
        <v>1218</v>
      </c>
      <c r="C1886" s="440" t="s">
        <v>2674</v>
      </c>
      <c r="D1886" s="440" t="s">
        <v>2780</v>
      </c>
      <c r="E1886" s="697">
        <v>77255</v>
      </c>
      <c r="F1886" s="440"/>
      <c r="G1886" s="439"/>
      <c r="H1886" s="527"/>
      <c r="I1886" s="527"/>
      <c r="J1886" s="1145" t="s">
        <v>2648</v>
      </c>
    </row>
    <row r="1887" spans="1:10" ht="30" customHeight="1" x14ac:dyDescent="0.2">
      <c r="A1887" s="1155" t="s">
        <v>2784</v>
      </c>
      <c r="B1887" s="440" t="s">
        <v>1218</v>
      </c>
      <c r="C1887" s="440" t="s">
        <v>2674</v>
      </c>
      <c r="D1887" s="440" t="s">
        <v>2780</v>
      </c>
      <c r="E1887" s="697">
        <v>39049</v>
      </c>
      <c r="F1887" s="440"/>
      <c r="G1887" s="439"/>
      <c r="H1887" s="527"/>
      <c r="I1887" s="527"/>
      <c r="J1887" s="1145" t="s">
        <v>2648</v>
      </c>
    </row>
    <row r="1888" spans="1:10" ht="30" customHeight="1" thickBot="1" x14ac:dyDescent="0.25">
      <c r="A1888" s="1155" t="s">
        <v>2785</v>
      </c>
      <c r="B1888" s="440" t="s">
        <v>1218</v>
      </c>
      <c r="C1888" s="440" t="s">
        <v>2674</v>
      </c>
      <c r="D1888" s="440" t="s">
        <v>2780</v>
      </c>
      <c r="E1888" s="697">
        <v>50874</v>
      </c>
      <c r="F1888" s="440"/>
      <c r="G1888" s="439"/>
      <c r="H1888" s="527"/>
      <c r="I1888" s="527"/>
      <c r="J1888" s="1145" t="s">
        <v>2648</v>
      </c>
    </row>
    <row r="1889" spans="1:10" ht="28.5" customHeight="1" x14ac:dyDescent="0.2">
      <c r="A1889" s="692" t="s">
        <v>2786</v>
      </c>
      <c r="B1889" s="693"/>
      <c r="C1889" s="693"/>
      <c r="D1889" s="693"/>
      <c r="E1889" s="693"/>
      <c r="F1889" s="693"/>
      <c r="G1889" s="693"/>
      <c r="H1889" s="693"/>
      <c r="I1889" s="693"/>
      <c r="J1889" s="694"/>
    </row>
    <row r="1890" spans="1:10" ht="36" x14ac:dyDescent="0.2">
      <c r="A1890" s="1203" t="s">
        <v>2787</v>
      </c>
      <c r="B1890" s="440" t="s">
        <v>1218</v>
      </c>
      <c r="C1890" s="1015" t="s">
        <v>2645</v>
      </c>
      <c r="D1890" s="1015" t="s">
        <v>2788</v>
      </c>
      <c r="E1890" s="699">
        <v>134000</v>
      </c>
      <c r="F1890" s="439" t="s">
        <v>2789</v>
      </c>
      <c r="G1890" s="1017" t="s">
        <v>2790</v>
      </c>
      <c r="H1890" s="469">
        <v>2020</v>
      </c>
      <c r="I1890" s="471">
        <v>43950</v>
      </c>
      <c r="J1890" s="1145" t="s">
        <v>2648</v>
      </c>
    </row>
    <row r="1891" spans="1:10" ht="36" x14ac:dyDescent="0.2">
      <c r="A1891" s="1155" t="s">
        <v>2791</v>
      </c>
      <c r="B1891" s="440" t="s">
        <v>1218</v>
      </c>
      <c r="C1891" s="1015" t="s">
        <v>2645</v>
      </c>
      <c r="D1891" s="1015" t="s">
        <v>2792</v>
      </c>
      <c r="E1891" s="699">
        <v>286286</v>
      </c>
      <c r="F1891" s="439" t="s">
        <v>2793</v>
      </c>
      <c r="G1891" s="1017" t="s">
        <v>2794</v>
      </c>
      <c r="H1891" s="469">
        <v>2019</v>
      </c>
      <c r="I1891" s="471">
        <v>43830</v>
      </c>
      <c r="J1891" s="1145" t="s">
        <v>2648</v>
      </c>
    </row>
    <row r="1892" spans="1:10" ht="24" x14ac:dyDescent="0.2">
      <c r="A1892" s="1155" t="s">
        <v>2795</v>
      </c>
      <c r="B1892" s="440" t="s">
        <v>1218</v>
      </c>
      <c r="C1892" s="1015" t="s">
        <v>2645</v>
      </c>
      <c r="D1892" s="1015" t="s">
        <v>2796</v>
      </c>
      <c r="E1892" s="700">
        <v>85500</v>
      </c>
      <c r="F1892" s="439" t="s">
        <v>2797</v>
      </c>
      <c r="G1892" s="1017" t="s">
        <v>2794</v>
      </c>
      <c r="H1892" s="469">
        <v>2019</v>
      </c>
      <c r="I1892" s="471">
        <v>43799</v>
      </c>
      <c r="J1892" s="1145" t="s">
        <v>2648</v>
      </c>
    </row>
    <row r="1893" spans="1:10" ht="27.75" customHeight="1" x14ac:dyDescent="0.2">
      <c r="A1893" s="1155" t="s">
        <v>2798</v>
      </c>
      <c r="B1893" s="440" t="s">
        <v>1218</v>
      </c>
      <c r="C1893" s="1015" t="s">
        <v>2645</v>
      </c>
      <c r="D1893" s="1015" t="s">
        <v>2799</v>
      </c>
      <c r="E1893" s="700">
        <v>195000</v>
      </c>
      <c r="F1893" s="439" t="s">
        <v>2800</v>
      </c>
      <c r="G1893" s="1017" t="s">
        <v>2794</v>
      </c>
      <c r="H1893" s="469">
        <v>2019</v>
      </c>
      <c r="I1893" s="471">
        <v>43799</v>
      </c>
      <c r="J1893" s="1145" t="s">
        <v>2648</v>
      </c>
    </row>
    <row r="1894" spans="1:10" ht="36" x14ac:dyDescent="0.2">
      <c r="A1894" s="1155" t="s">
        <v>2801</v>
      </c>
      <c r="B1894" s="440" t="s">
        <v>1218</v>
      </c>
      <c r="C1894" s="1015" t="s">
        <v>2645</v>
      </c>
      <c r="D1894" s="1015" t="s">
        <v>2802</v>
      </c>
      <c r="E1894" s="700">
        <v>144165.51</v>
      </c>
      <c r="F1894" s="439" t="s">
        <v>2803</v>
      </c>
      <c r="G1894" s="1017" t="s">
        <v>2794</v>
      </c>
      <c r="H1894" s="469">
        <v>2019</v>
      </c>
      <c r="I1894" s="471">
        <v>43799</v>
      </c>
      <c r="J1894" s="1145" t="s">
        <v>2648</v>
      </c>
    </row>
    <row r="1895" spans="1:10" ht="48" x14ac:dyDescent="0.2">
      <c r="A1895" s="1155" t="s">
        <v>2804</v>
      </c>
      <c r="B1895" s="440" t="s">
        <v>1218</v>
      </c>
      <c r="C1895" s="1015" t="s">
        <v>2645</v>
      </c>
      <c r="D1895" s="1015" t="s">
        <v>2805</v>
      </c>
      <c r="E1895" s="700">
        <v>206662.6</v>
      </c>
      <c r="F1895" s="439" t="s">
        <v>2806</v>
      </c>
      <c r="G1895" s="1017" t="s">
        <v>2794</v>
      </c>
      <c r="H1895" s="469">
        <v>2019</v>
      </c>
      <c r="I1895" s="471">
        <v>44155</v>
      </c>
      <c r="J1895" s="1145" t="s">
        <v>2648</v>
      </c>
    </row>
    <row r="1896" spans="1:10" ht="36" x14ac:dyDescent="0.2">
      <c r="A1896" s="1155" t="s">
        <v>2807</v>
      </c>
      <c r="B1896" s="440" t="s">
        <v>2644</v>
      </c>
      <c r="C1896" s="1015" t="s">
        <v>2645</v>
      </c>
      <c r="D1896" s="1015" t="s">
        <v>2808</v>
      </c>
      <c r="E1896" s="700">
        <v>704184</v>
      </c>
      <c r="F1896" s="439" t="s">
        <v>2809</v>
      </c>
      <c r="G1896" s="1017" t="s">
        <v>2790</v>
      </c>
      <c r="H1896" s="469">
        <v>2019</v>
      </c>
      <c r="I1896" s="471">
        <v>43830</v>
      </c>
      <c r="J1896" s="1145" t="s">
        <v>2648</v>
      </c>
    </row>
    <row r="1897" spans="1:10" ht="48" x14ac:dyDescent="0.2">
      <c r="A1897" s="1155" t="s">
        <v>2810</v>
      </c>
      <c r="B1897" s="440" t="s">
        <v>1218</v>
      </c>
      <c r="C1897" s="1015" t="s">
        <v>2645</v>
      </c>
      <c r="D1897" s="1015" t="s">
        <v>2805</v>
      </c>
      <c r="E1897" s="699">
        <v>52500</v>
      </c>
      <c r="F1897" s="439" t="s">
        <v>2811</v>
      </c>
      <c r="G1897" s="1017" t="s">
        <v>2794</v>
      </c>
      <c r="H1897" s="469">
        <v>2019</v>
      </c>
      <c r="I1897" s="471">
        <v>43830</v>
      </c>
      <c r="J1897" s="1145" t="s">
        <v>2648</v>
      </c>
    </row>
    <row r="1898" spans="1:10" ht="48" x14ac:dyDescent="0.2">
      <c r="A1898" s="1155" t="s">
        <v>2812</v>
      </c>
      <c r="B1898" s="440" t="s">
        <v>2084</v>
      </c>
      <c r="C1898" s="1015" t="s">
        <v>2645</v>
      </c>
      <c r="D1898" s="1015" t="s">
        <v>2813</v>
      </c>
      <c r="E1898" s="700">
        <v>305856</v>
      </c>
      <c r="F1898" s="439" t="s">
        <v>2814</v>
      </c>
      <c r="G1898" s="1017" t="s">
        <v>2790</v>
      </c>
      <c r="H1898" s="469">
        <v>2019</v>
      </c>
      <c r="I1898" s="471">
        <v>43830</v>
      </c>
      <c r="J1898" s="1145" t="s">
        <v>2648</v>
      </c>
    </row>
    <row r="1899" spans="1:10" ht="24" x14ac:dyDescent="0.2">
      <c r="A1899" s="1155" t="s">
        <v>2815</v>
      </c>
      <c r="B1899" s="440" t="s">
        <v>1218</v>
      </c>
      <c r="C1899" s="1015" t="s">
        <v>2645</v>
      </c>
      <c r="D1899" s="1015" t="s">
        <v>2816</v>
      </c>
      <c r="E1899" s="700">
        <v>370032.3</v>
      </c>
      <c r="F1899" s="439" t="s">
        <v>2797</v>
      </c>
      <c r="G1899" s="1017" t="s">
        <v>2794</v>
      </c>
      <c r="H1899" s="469">
        <v>2019</v>
      </c>
      <c r="I1899" s="471">
        <v>43830</v>
      </c>
      <c r="J1899" s="1145" t="s">
        <v>2648</v>
      </c>
    </row>
    <row r="1900" spans="1:10" ht="24" x14ac:dyDescent="0.2">
      <c r="A1900" s="1155" t="s">
        <v>2817</v>
      </c>
      <c r="B1900" s="440" t="s">
        <v>1758</v>
      </c>
      <c r="C1900" s="1015" t="s">
        <v>2645</v>
      </c>
      <c r="D1900" s="1015" t="s">
        <v>2818</v>
      </c>
      <c r="E1900" s="700">
        <v>58680</v>
      </c>
      <c r="F1900" s="439" t="s">
        <v>2819</v>
      </c>
      <c r="G1900" s="1017" t="s">
        <v>2794</v>
      </c>
      <c r="H1900" s="469">
        <v>2019</v>
      </c>
      <c r="I1900" s="471">
        <v>44155</v>
      </c>
      <c r="J1900" s="1145" t="s">
        <v>2648</v>
      </c>
    </row>
    <row r="1901" spans="1:10" ht="36" x14ac:dyDescent="0.2">
      <c r="A1901" s="1155" t="s">
        <v>2820</v>
      </c>
      <c r="B1901" s="440" t="s">
        <v>1218</v>
      </c>
      <c r="C1901" s="1015" t="s">
        <v>2645</v>
      </c>
      <c r="D1901" s="1015" t="s">
        <v>2821</v>
      </c>
      <c r="E1901" s="700">
        <v>99068</v>
      </c>
      <c r="F1901" s="439" t="s">
        <v>2822</v>
      </c>
      <c r="G1901" s="1017" t="s">
        <v>2790</v>
      </c>
      <c r="H1901" s="469">
        <v>2019</v>
      </c>
      <c r="I1901" s="471">
        <v>43830</v>
      </c>
      <c r="J1901" s="1145" t="s">
        <v>2648</v>
      </c>
    </row>
    <row r="1902" spans="1:10" ht="36" x14ac:dyDescent="0.2">
      <c r="A1902" s="1155" t="s">
        <v>2823</v>
      </c>
      <c r="B1902" s="440" t="s">
        <v>1218</v>
      </c>
      <c r="C1902" s="1015" t="s">
        <v>2645</v>
      </c>
      <c r="D1902" s="1015" t="s">
        <v>2824</v>
      </c>
      <c r="E1902" s="699">
        <v>258600</v>
      </c>
      <c r="F1902" s="439" t="s">
        <v>2825</v>
      </c>
      <c r="G1902" s="1017" t="s">
        <v>2794</v>
      </c>
      <c r="H1902" s="469">
        <v>2019</v>
      </c>
      <c r="I1902" s="471">
        <v>43799</v>
      </c>
      <c r="J1902" s="1145" t="s">
        <v>2648</v>
      </c>
    </row>
    <row r="1903" spans="1:10" ht="36" x14ac:dyDescent="0.2">
      <c r="A1903" s="1155" t="s">
        <v>2826</v>
      </c>
      <c r="B1903" s="440" t="s">
        <v>1218</v>
      </c>
      <c r="C1903" s="1015" t="s">
        <v>2645</v>
      </c>
      <c r="D1903" s="1015" t="s">
        <v>2827</v>
      </c>
      <c r="E1903" s="699">
        <v>295240</v>
      </c>
      <c r="F1903" s="439" t="s">
        <v>2828</v>
      </c>
      <c r="G1903" s="1017" t="s">
        <v>2790</v>
      </c>
      <c r="H1903" s="469">
        <v>2019</v>
      </c>
      <c r="I1903" s="471">
        <v>44033</v>
      </c>
      <c r="J1903" s="1145" t="s">
        <v>2648</v>
      </c>
    </row>
    <row r="1904" spans="1:10" ht="24" x14ac:dyDescent="0.2">
      <c r="A1904" s="1155" t="s">
        <v>2829</v>
      </c>
      <c r="B1904" s="440" t="s">
        <v>1218</v>
      </c>
      <c r="C1904" s="1015" t="s">
        <v>2645</v>
      </c>
      <c r="D1904" s="1015" t="s">
        <v>2796</v>
      </c>
      <c r="E1904" s="700">
        <v>67354</v>
      </c>
      <c r="F1904" s="439" t="s">
        <v>2830</v>
      </c>
      <c r="G1904" s="1017" t="s">
        <v>2794</v>
      </c>
      <c r="H1904" s="469">
        <v>2019</v>
      </c>
      <c r="I1904" s="471">
        <v>43667</v>
      </c>
      <c r="J1904" s="1145" t="s">
        <v>2648</v>
      </c>
    </row>
    <row r="1905" spans="1:10" ht="36" x14ac:dyDescent="0.2">
      <c r="A1905" s="1155" t="s">
        <v>2831</v>
      </c>
      <c r="B1905" s="440" t="s">
        <v>1218</v>
      </c>
      <c r="C1905" s="1015" t="s">
        <v>2645</v>
      </c>
      <c r="D1905" s="1015" t="s">
        <v>2832</v>
      </c>
      <c r="E1905" s="700">
        <v>140000</v>
      </c>
      <c r="F1905" s="439" t="s">
        <v>2825</v>
      </c>
      <c r="G1905" s="1017" t="s">
        <v>2794</v>
      </c>
      <c r="H1905" s="469">
        <v>2019</v>
      </c>
      <c r="I1905" s="471">
        <v>43763</v>
      </c>
      <c r="J1905" s="1145" t="s">
        <v>2648</v>
      </c>
    </row>
    <row r="1906" spans="1:10" ht="36" x14ac:dyDescent="0.2">
      <c r="A1906" s="1155" t="s">
        <v>2833</v>
      </c>
      <c r="B1906" s="440" t="s">
        <v>1218</v>
      </c>
      <c r="C1906" s="1015" t="s">
        <v>2645</v>
      </c>
      <c r="D1906" s="1015" t="s">
        <v>2832</v>
      </c>
      <c r="E1906" s="700">
        <v>183150</v>
      </c>
      <c r="F1906" s="439" t="s">
        <v>2825</v>
      </c>
      <c r="G1906" s="1017" t="s">
        <v>2794</v>
      </c>
      <c r="H1906" s="469">
        <v>2019</v>
      </c>
      <c r="I1906" s="471">
        <v>43763</v>
      </c>
      <c r="J1906" s="1145" t="s">
        <v>2648</v>
      </c>
    </row>
    <row r="1907" spans="1:10" ht="48" x14ac:dyDescent="0.2">
      <c r="A1907" s="1155" t="s">
        <v>2834</v>
      </c>
      <c r="B1907" s="440" t="s">
        <v>1758</v>
      </c>
      <c r="C1907" s="1015" t="s">
        <v>2645</v>
      </c>
      <c r="D1907" s="1015" t="s">
        <v>2835</v>
      </c>
      <c r="E1907" s="700">
        <v>40500</v>
      </c>
      <c r="F1907" s="439" t="s">
        <v>2836</v>
      </c>
      <c r="G1907" s="1017" t="s">
        <v>2794</v>
      </c>
      <c r="H1907" s="469">
        <v>2019</v>
      </c>
      <c r="I1907" s="471">
        <v>43759</v>
      </c>
      <c r="J1907" s="1145" t="s">
        <v>2648</v>
      </c>
    </row>
    <row r="1908" spans="1:10" ht="24" x14ac:dyDescent="0.2">
      <c r="A1908" s="1155" t="s">
        <v>2837</v>
      </c>
      <c r="B1908" s="440" t="s">
        <v>1218</v>
      </c>
      <c r="C1908" s="1015" t="s">
        <v>2645</v>
      </c>
      <c r="D1908" s="1015" t="s">
        <v>2838</v>
      </c>
      <c r="E1908" s="700">
        <v>144000</v>
      </c>
      <c r="F1908" s="439" t="s">
        <v>2839</v>
      </c>
      <c r="G1908" s="1017" t="s">
        <v>2790</v>
      </c>
      <c r="H1908" s="469">
        <v>2019</v>
      </c>
      <c r="I1908" s="471">
        <v>44058</v>
      </c>
      <c r="J1908" s="1145" t="s">
        <v>2648</v>
      </c>
    </row>
    <row r="1909" spans="1:10" ht="36" x14ac:dyDescent="0.2">
      <c r="A1909" s="1155" t="s">
        <v>1932</v>
      </c>
      <c r="B1909" s="440" t="s">
        <v>1218</v>
      </c>
      <c r="C1909" s="1015" t="s">
        <v>2645</v>
      </c>
      <c r="D1909" s="1015" t="s">
        <v>2840</v>
      </c>
      <c r="E1909" s="700">
        <v>172468.8</v>
      </c>
      <c r="F1909" s="439" t="s">
        <v>2841</v>
      </c>
      <c r="G1909" s="1017" t="s">
        <v>2790</v>
      </c>
      <c r="H1909" s="469">
        <v>2019</v>
      </c>
      <c r="I1909" s="471">
        <v>43830</v>
      </c>
      <c r="J1909" s="1145" t="s">
        <v>2648</v>
      </c>
    </row>
    <row r="1910" spans="1:10" ht="36" x14ac:dyDescent="0.2">
      <c r="A1910" s="1155" t="s">
        <v>2842</v>
      </c>
      <c r="B1910" s="440" t="s">
        <v>1758</v>
      </c>
      <c r="C1910" s="1015" t="s">
        <v>2645</v>
      </c>
      <c r="D1910" s="1015" t="s">
        <v>2843</v>
      </c>
      <c r="E1910" s="699">
        <v>62050</v>
      </c>
      <c r="F1910" s="439" t="s">
        <v>2828</v>
      </c>
      <c r="G1910" s="1017" t="s">
        <v>2794</v>
      </c>
      <c r="H1910" s="469">
        <v>2019</v>
      </c>
      <c r="I1910" s="471">
        <v>43579</v>
      </c>
      <c r="J1910" s="1145" t="s">
        <v>2648</v>
      </c>
    </row>
    <row r="1911" spans="1:10" ht="24" x14ac:dyDescent="0.2">
      <c r="A1911" s="1155" t="s">
        <v>2844</v>
      </c>
      <c r="B1911" s="440" t="s">
        <v>2644</v>
      </c>
      <c r="C1911" s="1015" t="s">
        <v>2645</v>
      </c>
      <c r="D1911" s="1015" t="s">
        <v>2845</v>
      </c>
      <c r="E1911" s="699">
        <v>384000</v>
      </c>
      <c r="F1911" s="439" t="s">
        <v>2846</v>
      </c>
      <c r="G1911" s="1017" t="s">
        <v>2794</v>
      </c>
      <c r="H1911" s="469">
        <v>2019</v>
      </c>
      <c r="I1911" s="471">
        <v>43830</v>
      </c>
      <c r="J1911" s="1145" t="s">
        <v>2648</v>
      </c>
    </row>
    <row r="1912" spans="1:10" ht="24" x14ac:dyDescent="0.2">
      <c r="A1912" s="1155" t="s">
        <v>2847</v>
      </c>
      <c r="B1912" s="440" t="s">
        <v>2644</v>
      </c>
      <c r="C1912" s="1015" t="s">
        <v>2645</v>
      </c>
      <c r="D1912" s="1015" t="s">
        <v>2845</v>
      </c>
      <c r="E1912" s="699">
        <v>288000</v>
      </c>
      <c r="F1912" s="439" t="s">
        <v>2846</v>
      </c>
      <c r="G1912" s="1017" t="s">
        <v>2794</v>
      </c>
      <c r="H1912" s="469">
        <v>2019</v>
      </c>
      <c r="I1912" s="471">
        <v>43830</v>
      </c>
      <c r="J1912" s="1145" t="s">
        <v>2648</v>
      </c>
    </row>
    <row r="1913" spans="1:10" ht="30" customHeight="1" x14ac:dyDescent="0.2">
      <c r="A1913" s="1156" t="s">
        <v>2848</v>
      </c>
      <c r="B1913" s="1015" t="s">
        <v>1776</v>
      </c>
      <c r="C1913" s="1015" t="s">
        <v>2849</v>
      </c>
      <c r="D1913" s="1015"/>
      <c r="E1913" s="484">
        <v>89600</v>
      </c>
      <c r="F1913" s="1017" t="s">
        <v>2850</v>
      </c>
      <c r="G1913" s="1017" t="s">
        <v>2794</v>
      </c>
      <c r="H1913" s="469">
        <v>2020</v>
      </c>
      <c r="I1913" s="471">
        <v>43936</v>
      </c>
      <c r="J1913" s="1145" t="s">
        <v>2648</v>
      </c>
    </row>
    <row r="1914" spans="1:10" ht="30" customHeight="1" x14ac:dyDescent="0.2">
      <c r="A1914" s="1156" t="s">
        <v>2851</v>
      </c>
      <c r="B1914" s="1015" t="s">
        <v>1218</v>
      </c>
      <c r="C1914" s="1015" t="s">
        <v>2645</v>
      </c>
      <c r="D1914" s="1015" t="s">
        <v>2852</v>
      </c>
      <c r="E1914" s="484">
        <v>174000</v>
      </c>
      <c r="F1914" s="1017" t="s">
        <v>2853</v>
      </c>
      <c r="G1914" s="1017" t="s">
        <v>2794</v>
      </c>
      <c r="H1914" s="469">
        <v>2020</v>
      </c>
      <c r="I1914" s="471">
        <v>44196</v>
      </c>
      <c r="J1914" s="1145" t="s">
        <v>2648</v>
      </c>
    </row>
    <row r="1915" spans="1:10" ht="30" customHeight="1" x14ac:dyDescent="0.2">
      <c r="A1915" s="1156" t="s">
        <v>2854</v>
      </c>
      <c r="B1915" s="1015" t="s">
        <v>1218</v>
      </c>
      <c r="C1915" s="1015" t="s">
        <v>2645</v>
      </c>
      <c r="D1915" s="1015" t="s">
        <v>2855</v>
      </c>
      <c r="E1915" s="484">
        <v>110145</v>
      </c>
      <c r="F1915" s="1017" t="s">
        <v>2856</v>
      </c>
      <c r="G1915" s="1017" t="s">
        <v>2794</v>
      </c>
      <c r="H1915" s="469">
        <v>2020</v>
      </c>
      <c r="I1915" s="471">
        <v>43978</v>
      </c>
      <c r="J1915" s="1145" t="s">
        <v>2648</v>
      </c>
    </row>
    <row r="1916" spans="1:10" ht="30" customHeight="1" x14ac:dyDescent="0.2">
      <c r="A1916" s="1156" t="s">
        <v>2857</v>
      </c>
      <c r="B1916" s="1015" t="s">
        <v>1291</v>
      </c>
      <c r="C1916" s="1015" t="s">
        <v>2645</v>
      </c>
      <c r="D1916" s="1015" t="s">
        <v>2858</v>
      </c>
      <c r="E1916" s="484">
        <v>557700</v>
      </c>
      <c r="F1916" s="1017" t="s">
        <v>2859</v>
      </c>
      <c r="G1916" s="1017" t="s">
        <v>2790</v>
      </c>
      <c r="H1916" s="469">
        <v>2020</v>
      </c>
      <c r="I1916" s="471">
        <v>44196</v>
      </c>
      <c r="J1916" s="1145" t="s">
        <v>2648</v>
      </c>
    </row>
    <row r="1917" spans="1:10" ht="30" customHeight="1" x14ac:dyDescent="0.2">
      <c r="A1917" s="1156" t="s">
        <v>2860</v>
      </c>
      <c r="B1917" s="1015" t="s">
        <v>2084</v>
      </c>
      <c r="C1917" s="1015" t="s">
        <v>2645</v>
      </c>
      <c r="D1917" s="1015" t="s">
        <v>2861</v>
      </c>
      <c r="E1917" s="484">
        <v>153000</v>
      </c>
      <c r="F1917" s="1017" t="s">
        <v>2862</v>
      </c>
      <c r="G1917" s="1017" t="s">
        <v>2794</v>
      </c>
      <c r="H1917" s="469">
        <v>2020</v>
      </c>
      <c r="I1917" s="471">
        <v>43950</v>
      </c>
      <c r="J1917" s="1145" t="s">
        <v>2648</v>
      </c>
    </row>
    <row r="1918" spans="1:10" ht="30" customHeight="1" x14ac:dyDescent="0.2">
      <c r="A1918" s="1156" t="s">
        <v>2863</v>
      </c>
      <c r="B1918" s="1015" t="s">
        <v>2084</v>
      </c>
      <c r="C1918" s="1015" t="s">
        <v>2645</v>
      </c>
      <c r="D1918" s="1015" t="s">
        <v>2864</v>
      </c>
      <c r="E1918" s="484">
        <v>90000</v>
      </c>
      <c r="F1918" s="1017" t="s">
        <v>2865</v>
      </c>
      <c r="G1918" s="1017" t="s">
        <v>2794</v>
      </c>
      <c r="H1918" s="469">
        <v>2020</v>
      </c>
      <c r="I1918" s="471">
        <v>43950</v>
      </c>
      <c r="J1918" s="1145" t="s">
        <v>2648</v>
      </c>
    </row>
    <row r="1919" spans="1:10" ht="30" customHeight="1" x14ac:dyDescent="0.2">
      <c r="A1919" s="1156" t="s">
        <v>2866</v>
      </c>
      <c r="B1919" s="1015" t="s">
        <v>2084</v>
      </c>
      <c r="C1919" s="1015" t="s">
        <v>2645</v>
      </c>
      <c r="D1919" s="1015" t="s">
        <v>2867</v>
      </c>
      <c r="E1919" s="484">
        <v>64000</v>
      </c>
      <c r="F1919" s="1017" t="s">
        <v>2868</v>
      </c>
      <c r="G1919" s="1017" t="s">
        <v>2794</v>
      </c>
      <c r="H1919" s="469">
        <v>2020</v>
      </c>
      <c r="I1919" s="471">
        <v>43936</v>
      </c>
      <c r="J1919" s="1145" t="s">
        <v>2648</v>
      </c>
    </row>
    <row r="1920" spans="1:10" ht="30" customHeight="1" x14ac:dyDescent="0.2">
      <c r="A1920" s="1156" t="s">
        <v>2869</v>
      </c>
      <c r="B1920" s="1015" t="s">
        <v>2084</v>
      </c>
      <c r="C1920" s="1015" t="s">
        <v>2645</v>
      </c>
      <c r="D1920" s="1015" t="s">
        <v>2870</v>
      </c>
      <c r="E1920" s="484">
        <v>64060</v>
      </c>
      <c r="F1920" s="1017" t="s">
        <v>2871</v>
      </c>
      <c r="G1920" s="1017" t="s">
        <v>2794</v>
      </c>
      <c r="H1920" s="469">
        <v>2020</v>
      </c>
      <c r="I1920" s="471">
        <v>43936</v>
      </c>
      <c r="J1920" s="1145" t="s">
        <v>2648</v>
      </c>
    </row>
    <row r="1921" spans="1:10" ht="30" customHeight="1" x14ac:dyDescent="0.2">
      <c r="A1921" s="1156" t="s">
        <v>2872</v>
      </c>
      <c r="B1921" s="1015" t="s">
        <v>2084</v>
      </c>
      <c r="C1921" s="1015" t="s">
        <v>2645</v>
      </c>
      <c r="D1921" s="1015" t="s">
        <v>2873</v>
      </c>
      <c r="E1921" s="484">
        <v>50000</v>
      </c>
      <c r="F1921" s="1017" t="s">
        <v>2874</v>
      </c>
      <c r="G1921" s="1017" t="s">
        <v>2794</v>
      </c>
      <c r="H1921" s="469">
        <v>2020</v>
      </c>
      <c r="I1921" s="471">
        <v>43936</v>
      </c>
      <c r="J1921" s="1145" t="s">
        <v>2648</v>
      </c>
    </row>
    <row r="1922" spans="1:10" ht="30" customHeight="1" x14ac:dyDescent="0.2">
      <c r="A1922" s="1156" t="s">
        <v>2875</v>
      </c>
      <c r="B1922" s="1015" t="s">
        <v>2084</v>
      </c>
      <c r="C1922" s="1015" t="s">
        <v>2645</v>
      </c>
      <c r="D1922" s="1015" t="s">
        <v>2876</v>
      </c>
      <c r="E1922" s="484">
        <f>68000+42000</f>
        <v>110000</v>
      </c>
      <c r="F1922" s="1017" t="s">
        <v>2877</v>
      </c>
      <c r="G1922" s="1017" t="s">
        <v>2794</v>
      </c>
      <c r="H1922" s="469">
        <v>2020</v>
      </c>
      <c r="I1922" s="471">
        <v>43936</v>
      </c>
      <c r="J1922" s="1145" t="s">
        <v>2648</v>
      </c>
    </row>
    <row r="1923" spans="1:10" ht="30" customHeight="1" x14ac:dyDescent="0.2">
      <c r="A1923" s="1156" t="s">
        <v>2878</v>
      </c>
      <c r="B1923" s="1015" t="s">
        <v>2084</v>
      </c>
      <c r="C1923" s="1015" t="s">
        <v>2645</v>
      </c>
      <c r="D1923" s="1015" t="s">
        <v>2879</v>
      </c>
      <c r="E1923" s="484">
        <v>37000</v>
      </c>
      <c r="F1923" s="1017" t="s">
        <v>2880</v>
      </c>
      <c r="G1923" s="1017" t="s">
        <v>2794</v>
      </c>
      <c r="H1923" s="469">
        <v>2020</v>
      </c>
      <c r="I1923" s="471">
        <v>43936</v>
      </c>
      <c r="J1923" s="1145" t="s">
        <v>2648</v>
      </c>
    </row>
    <row r="1924" spans="1:10" ht="30" customHeight="1" x14ac:dyDescent="0.2">
      <c r="A1924" s="1156" t="s">
        <v>2881</v>
      </c>
      <c r="B1924" s="1015" t="s">
        <v>2084</v>
      </c>
      <c r="C1924" s="1015" t="s">
        <v>2645</v>
      </c>
      <c r="D1924" s="1015" t="s">
        <v>2882</v>
      </c>
      <c r="E1924" s="484">
        <v>113606.18</v>
      </c>
      <c r="F1924" s="1017" t="s">
        <v>2883</v>
      </c>
      <c r="G1924" s="1017" t="s">
        <v>2794</v>
      </c>
      <c r="H1924" s="469">
        <v>2020</v>
      </c>
      <c r="I1924" s="471">
        <v>43936</v>
      </c>
      <c r="J1924" s="1145" t="s">
        <v>2648</v>
      </c>
    </row>
    <row r="1925" spans="1:10" ht="30" customHeight="1" x14ac:dyDescent="0.2">
      <c r="A1925" s="1156" t="s">
        <v>2884</v>
      </c>
      <c r="B1925" s="1015" t="s">
        <v>2084</v>
      </c>
      <c r="C1925" s="1015" t="s">
        <v>2645</v>
      </c>
      <c r="D1925" s="1015" t="s">
        <v>2885</v>
      </c>
      <c r="E1925" s="484">
        <v>136912.42000000001</v>
      </c>
      <c r="F1925" s="1017" t="s">
        <v>2886</v>
      </c>
      <c r="G1925" s="1017" t="s">
        <v>2887</v>
      </c>
      <c r="H1925" s="469">
        <v>2020</v>
      </c>
      <c r="I1925" s="471">
        <v>43951</v>
      </c>
      <c r="J1925" s="1145" t="s">
        <v>2648</v>
      </c>
    </row>
    <row r="1926" spans="1:10" ht="30" customHeight="1" x14ac:dyDescent="0.2">
      <c r="A1926" s="1156" t="s">
        <v>2888</v>
      </c>
      <c r="B1926" s="1015" t="s">
        <v>1218</v>
      </c>
      <c r="C1926" s="1015" t="s">
        <v>2645</v>
      </c>
      <c r="D1926" s="1015" t="s">
        <v>2889</v>
      </c>
      <c r="E1926" s="484">
        <v>139500</v>
      </c>
      <c r="F1926" s="1017" t="s">
        <v>2890</v>
      </c>
      <c r="G1926" s="1017" t="s">
        <v>1416</v>
      </c>
      <c r="H1926" s="469">
        <v>2020</v>
      </c>
      <c r="I1926" s="471">
        <v>44104</v>
      </c>
      <c r="J1926" s="1145" t="s">
        <v>2648</v>
      </c>
    </row>
    <row r="1927" spans="1:10" ht="30" customHeight="1" x14ac:dyDescent="0.2">
      <c r="A1927" s="1156" t="s">
        <v>2891</v>
      </c>
      <c r="B1927" s="1015" t="s">
        <v>2084</v>
      </c>
      <c r="C1927" s="1015" t="s">
        <v>2645</v>
      </c>
      <c r="D1927" s="1015" t="s">
        <v>2892</v>
      </c>
      <c r="E1927" s="484">
        <v>40000</v>
      </c>
      <c r="F1927" s="1017" t="s">
        <v>2893</v>
      </c>
      <c r="G1927" s="1017" t="s">
        <v>2887</v>
      </c>
      <c r="H1927" s="469">
        <v>2020</v>
      </c>
      <c r="I1927" s="471">
        <v>44020</v>
      </c>
      <c r="J1927" s="1145" t="s">
        <v>2648</v>
      </c>
    </row>
    <row r="1928" spans="1:10" ht="30" customHeight="1" x14ac:dyDescent="0.2">
      <c r="A1928" s="1156" t="s">
        <v>2894</v>
      </c>
      <c r="B1928" s="1015" t="s">
        <v>2084</v>
      </c>
      <c r="C1928" s="1015" t="s">
        <v>2645</v>
      </c>
      <c r="D1928" s="1015" t="s">
        <v>2895</v>
      </c>
      <c r="E1928" s="484">
        <v>56120</v>
      </c>
      <c r="F1928" s="1017" t="s">
        <v>2886</v>
      </c>
      <c r="G1928" s="1017" t="s">
        <v>2887</v>
      </c>
      <c r="H1928" s="469">
        <v>2020</v>
      </c>
      <c r="I1928" s="471">
        <v>43962</v>
      </c>
      <c r="J1928" s="1145" t="s">
        <v>2648</v>
      </c>
    </row>
    <row r="1929" spans="1:10" ht="30" customHeight="1" x14ac:dyDescent="0.2">
      <c r="A1929" s="1156" t="s">
        <v>2896</v>
      </c>
      <c r="B1929" s="1015" t="s">
        <v>2084</v>
      </c>
      <c r="C1929" s="1015" t="s">
        <v>2645</v>
      </c>
      <c r="D1929" s="1015" t="s">
        <v>2897</v>
      </c>
      <c r="E1929" s="484">
        <f>93324.8+9075.2</f>
        <v>102400</v>
      </c>
      <c r="F1929" s="1017" t="s">
        <v>2898</v>
      </c>
      <c r="G1929" s="1017" t="s">
        <v>2887</v>
      </c>
      <c r="H1929" s="469">
        <v>2020</v>
      </c>
      <c r="I1929" s="471">
        <v>44071</v>
      </c>
      <c r="J1929" s="1145" t="s">
        <v>2648</v>
      </c>
    </row>
    <row r="1930" spans="1:10" ht="30" customHeight="1" x14ac:dyDescent="0.2">
      <c r="A1930" s="1156" t="s">
        <v>2899</v>
      </c>
      <c r="B1930" s="1015" t="s">
        <v>2084</v>
      </c>
      <c r="C1930" s="1015" t="s">
        <v>2645</v>
      </c>
      <c r="D1930" s="1015" t="s">
        <v>2897</v>
      </c>
      <c r="E1930" s="484">
        <v>96000</v>
      </c>
      <c r="F1930" s="1017" t="s">
        <v>2900</v>
      </c>
      <c r="G1930" s="1017" t="s">
        <v>2887</v>
      </c>
      <c r="H1930" s="469">
        <v>2020</v>
      </c>
      <c r="I1930" s="471">
        <v>44071</v>
      </c>
      <c r="J1930" s="1145" t="s">
        <v>2648</v>
      </c>
    </row>
    <row r="1931" spans="1:10" ht="30" customHeight="1" x14ac:dyDescent="0.2">
      <c r="A1931" s="1156" t="s">
        <v>2901</v>
      </c>
      <c r="B1931" s="1015" t="s">
        <v>2084</v>
      </c>
      <c r="C1931" s="1015" t="s">
        <v>2645</v>
      </c>
      <c r="D1931" s="1015" t="s">
        <v>2897</v>
      </c>
      <c r="E1931" s="484">
        <v>54612</v>
      </c>
      <c r="F1931" s="1017" t="s">
        <v>2902</v>
      </c>
      <c r="G1931" s="1017" t="s">
        <v>2887</v>
      </c>
      <c r="H1931" s="469">
        <v>2020</v>
      </c>
      <c r="I1931" s="471">
        <v>44071</v>
      </c>
      <c r="J1931" s="1145" t="s">
        <v>2648</v>
      </c>
    </row>
    <row r="1932" spans="1:10" ht="30" customHeight="1" x14ac:dyDescent="0.2">
      <c r="A1932" s="1156" t="s">
        <v>2903</v>
      </c>
      <c r="B1932" s="1015" t="s">
        <v>2084</v>
      </c>
      <c r="C1932" s="1015" t="s">
        <v>2645</v>
      </c>
      <c r="D1932" s="1015" t="s">
        <v>2897</v>
      </c>
      <c r="E1932" s="484">
        <v>415002</v>
      </c>
      <c r="F1932" s="1017" t="s">
        <v>2904</v>
      </c>
      <c r="G1932" s="1017" t="s">
        <v>2887</v>
      </c>
      <c r="H1932" s="469">
        <v>2020</v>
      </c>
      <c r="I1932" s="471">
        <v>44124</v>
      </c>
      <c r="J1932" s="1145" t="s">
        <v>2648</v>
      </c>
    </row>
    <row r="1933" spans="1:10" ht="30" customHeight="1" x14ac:dyDescent="0.2">
      <c r="A1933" s="1156" t="s">
        <v>2905</v>
      </c>
      <c r="B1933" s="1015" t="s">
        <v>2084</v>
      </c>
      <c r="C1933" s="1015" t="s">
        <v>2645</v>
      </c>
      <c r="D1933" s="1015" t="s">
        <v>2906</v>
      </c>
      <c r="E1933" s="484">
        <v>170000</v>
      </c>
      <c r="F1933" s="1017" t="s">
        <v>2907</v>
      </c>
      <c r="G1933" s="1017" t="s">
        <v>2887</v>
      </c>
      <c r="H1933" s="469">
        <v>2020</v>
      </c>
      <c r="I1933" s="471">
        <v>44069</v>
      </c>
      <c r="J1933" s="1145" t="s">
        <v>2648</v>
      </c>
    </row>
    <row r="1934" spans="1:10" ht="30" customHeight="1" x14ac:dyDescent="0.2">
      <c r="A1934" s="1156" t="s">
        <v>2908</v>
      </c>
      <c r="B1934" s="1015" t="s">
        <v>2084</v>
      </c>
      <c r="C1934" s="1015" t="s">
        <v>2645</v>
      </c>
      <c r="D1934" s="1015" t="s">
        <v>2909</v>
      </c>
      <c r="E1934" s="484">
        <v>97969.29</v>
      </c>
      <c r="F1934" s="1017" t="s">
        <v>2910</v>
      </c>
      <c r="G1934" s="1017" t="s">
        <v>2887</v>
      </c>
      <c r="H1934" s="469">
        <v>2020</v>
      </c>
      <c r="I1934" s="471">
        <v>44005</v>
      </c>
      <c r="J1934" s="1145" t="s">
        <v>2648</v>
      </c>
    </row>
    <row r="1935" spans="1:10" ht="30" customHeight="1" x14ac:dyDescent="0.2">
      <c r="A1935" s="1156" t="s">
        <v>2911</v>
      </c>
      <c r="B1935" s="1015" t="s">
        <v>2084</v>
      </c>
      <c r="C1935" s="1015" t="s">
        <v>2645</v>
      </c>
      <c r="D1935" s="1015" t="s">
        <v>2912</v>
      </c>
      <c r="E1935" s="484">
        <v>50800</v>
      </c>
      <c r="F1935" s="1017" t="s">
        <v>2913</v>
      </c>
      <c r="G1935" s="1017" t="s">
        <v>2887</v>
      </c>
      <c r="H1935" s="469">
        <v>2020</v>
      </c>
      <c r="I1935" s="471">
        <v>44071</v>
      </c>
      <c r="J1935" s="1145" t="s">
        <v>2648</v>
      </c>
    </row>
    <row r="1936" spans="1:10" ht="30" customHeight="1" x14ac:dyDescent="0.2">
      <c r="A1936" s="1156" t="s">
        <v>2914</v>
      </c>
      <c r="B1936" s="1015" t="s">
        <v>2084</v>
      </c>
      <c r="C1936" s="1015" t="s">
        <v>2645</v>
      </c>
      <c r="D1936" s="1015" t="s">
        <v>2915</v>
      </c>
      <c r="E1936" s="484">
        <v>58139.54</v>
      </c>
      <c r="F1936" s="1017" t="s">
        <v>2883</v>
      </c>
      <c r="G1936" s="1017" t="s">
        <v>2887</v>
      </c>
      <c r="H1936" s="469">
        <v>2020</v>
      </c>
      <c r="I1936" s="471">
        <v>43966</v>
      </c>
      <c r="J1936" s="1145" t="s">
        <v>2648</v>
      </c>
    </row>
    <row r="1937" spans="1:10" ht="30" customHeight="1" x14ac:dyDescent="0.2">
      <c r="A1937" s="1156" t="s">
        <v>2916</v>
      </c>
      <c r="B1937" s="1015" t="s">
        <v>2084</v>
      </c>
      <c r="C1937" s="1015" t="s">
        <v>2645</v>
      </c>
      <c r="D1937" s="1015" t="s">
        <v>2917</v>
      </c>
      <c r="E1937" s="484">
        <v>48500</v>
      </c>
      <c r="F1937" s="1017" t="s">
        <v>2918</v>
      </c>
      <c r="G1937" s="1017" t="s">
        <v>2794</v>
      </c>
      <c r="H1937" s="469">
        <v>2020</v>
      </c>
      <c r="I1937" s="471">
        <v>43966</v>
      </c>
      <c r="J1937" s="1145" t="s">
        <v>2648</v>
      </c>
    </row>
    <row r="1938" spans="1:10" ht="30" customHeight="1" x14ac:dyDescent="0.2">
      <c r="A1938" s="1155" t="s">
        <v>2791</v>
      </c>
      <c r="B1938" s="440" t="s">
        <v>1218</v>
      </c>
      <c r="C1938" s="1015" t="s">
        <v>2645</v>
      </c>
      <c r="D1938" s="1015" t="s">
        <v>2919</v>
      </c>
      <c r="E1938" s="699">
        <v>286286</v>
      </c>
      <c r="F1938" s="439"/>
      <c r="G1938" s="1017"/>
      <c r="H1938" s="469">
        <v>2021</v>
      </c>
      <c r="I1938" s="469" t="s">
        <v>2920</v>
      </c>
      <c r="J1938" s="1145" t="s">
        <v>2648</v>
      </c>
    </row>
    <row r="1939" spans="1:10" ht="30" customHeight="1" x14ac:dyDescent="0.2">
      <c r="A1939" s="1156" t="s">
        <v>2896</v>
      </c>
      <c r="B1939" s="1015" t="s">
        <v>2084</v>
      </c>
      <c r="C1939" s="1015" t="s">
        <v>2645</v>
      </c>
      <c r="D1939" s="1015" t="s">
        <v>2921</v>
      </c>
      <c r="E1939" s="484">
        <f>93324.8+9075.2</f>
        <v>102400</v>
      </c>
      <c r="F1939" s="439"/>
      <c r="G1939" s="1017"/>
      <c r="H1939" s="469">
        <v>2021</v>
      </c>
      <c r="I1939" s="471" t="s">
        <v>2922</v>
      </c>
      <c r="J1939" s="1145" t="s">
        <v>2648</v>
      </c>
    </row>
    <row r="1940" spans="1:10" ht="30" customHeight="1" x14ac:dyDescent="0.2">
      <c r="A1940" s="1156" t="s">
        <v>2899</v>
      </c>
      <c r="B1940" s="1015" t="s">
        <v>2084</v>
      </c>
      <c r="C1940" s="1015" t="s">
        <v>2645</v>
      </c>
      <c r="D1940" s="1015" t="s">
        <v>2923</v>
      </c>
      <c r="E1940" s="484">
        <v>96000</v>
      </c>
      <c r="F1940" s="439"/>
      <c r="G1940" s="1017"/>
      <c r="H1940" s="469">
        <v>2021</v>
      </c>
      <c r="I1940" s="471" t="s">
        <v>2922</v>
      </c>
      <c r="J1940" s="1145" t="s">
        <v>2648</v>
      </c>
    </row>
    <row r="1941" spans="1:10" ht="30" customHeight="1" x14ac:dyDescent="0.2">
      <c r="A1941" s="1156" t="s">
        <v>2901</v>
      </c>
      <c r="B1941" s="1015" t="s">
        <v>2084</v>
      </c>
      <c r="C1941" s="1015" t="s">
        <v>2645</v>
      </c>
      <c r="D1941" s="1015" t="s">
        <v>2924</v>
      </c>
      <c r="E1941" s="484">
        <v>54612</v>
      </c>
      <c r="F1941" s="439"/>
      <c r="G1941" s="1017"/>
      <c r="H1941" s="469">
        <v>2021</v>
      </c>
      <c r="I1941" s="471" t="s">
        <v>2922</v>
      </c>
      <c r="J1941" s="1145" t="s">
        <v>2648</v>
      </c>
    </row>
    <row r="1942" spans="1:10" ht="30" customHeight="1" x14ac:dyDescent="0.2">
      <c r="A1942" s="1156" t="s">
        <v>2857</v>
      </c>
      <c r="B1942" s="1015" t="s">
        <v>1291</v>
      </c>
      <c r="C1942" s="1015" t="s">
        <v>2645</v>
      </c>
      <c r="D1942" s="1015" t="s">
        <v>2925</v>
      </c>
      <c r="E1942" s="484">
        <v>557700</v>
      </c>
      <c r="F1942" s="439"/>
      <c r="G1942" s="1017"/>
      <c r="H1942" s="469">
        <v>2021</v>
      </c>
      <c r="I1942" s="471" t="s">
        <v>2926</v>
      </c>
      <c r="J1942" s="1145" t="s">
        <v>2648</v>
      </c>
    </row>
    <row r="1943" spans="1:10" ht="30" customHeight="1" x14ac:dyDescent="0.2">
      <c r="A1943" s="1155" t="s">
        <v>2807</v>
      </c>
      <c r="B1943" s="440" t="s">
        <v>2644</v>
      </c>
      <c r="C1943" s="1015" t="s">
        <v>2645</v>
      </c>
      <c r="D1943" s="1015" t="s">
        <v>2927</v>
      </c>
      <c r="E1943" s="700">
        <v>990000</v>
      </c>
      <c r="F1943" s="439"/>
      <c r="G1943" s="1017"/>
      <c r="H1943" s="469">
        <v>2021</v>
      </c>
      <c r="I1943" s="469" t="s">
        <v>2928</v>
      </c>
      <c r="J1943" s="1145" t="s">
        <v>2648</v>
      </c>
    </row>
    <row r="1944" spans="1:10" ht="30" customHeight="1" x14ac:dyDescent="0.2">
      <c r="A1944" s="1155" t="s">
        <v>2834</v>
      </c>
      <c r="B1944" s="1015" t="s">
        <v>2084</v>
      </c>
      <c r="C1944" s="1015" t="s">
        <v>2645</v>
      </c>
      <c r="D1944" s="1015" t="s">
        <v>2929</v>
      </c>
      <c r="E1944" s="484">
        <v>54612</v>
      </c>
      <c r="F1944" s="439"/>
      <c r="G1944" s="1017"/>
      <c r="H1944" s="469">
        <v>2021</v>
      </c>
      <c r="I1944" s="469" t="s">
        <v>2922</v>
      </c>
      <c r="J1944" s="1145" t="s">
        <v>2648</v>
      </c>
    </row>
    <row r="1945" spans="1:10" ht="30" customHeight="1" x14ac:dyDescent="0.2">
      <c r="A1945" s="1155" t="s">
        <v>2812</v>
      </c>
      <c r="B1945" s="440" t="s">
        <v>2084</v>
      </c>
      <c r="C1945" s="1015" t="s">
        <v>2645</v>
      </c>
      <c r="D1945" s="1015" t="s">
        <v>2930</v>
      </c>
      <c r="E1945" s="700">
        <v>305856</v>
      </c>
      <c r="F1945" s="439"/>
      <c r="G1945" s="1017"/>
      <c r="H1945" s="469">
        <v>2021</v>
      </c>
      <c r="I1945" s="469" t="s">
        <v>2931</v>
      </c>
      <c r="J1945" s="1145" t="s">
        <v>2648</v>
      </c>
    </row>
    <row r="1946" spans="1:10" ht="30" customHeight="1" x14ac:dyDescent="0.2">
      <c r="A1946" s="1155" t="s">
        <v>2932</v>
      </c>
      <c r="B1946" s="440" t="s">
        <v>1218</v>
      </c>
      <c r="C1946" s="1015" t="s">
        <v>2645</v>
      </c>
      <c r="D1946" s="1015" t="s">
        <v>2933</v>
      </c>
      <c r="E1946" s="699">
        <v>115000</v>
      </c>
      <c r="F1946" s="439"/>
      <c r="G1946" s="1017"/>
      <c r="H1946" s="469">
        <v>2021</v>
      </c>
      <c r="I1946" s="469" t="s">
        <v>2928</v>
      </c>
      <c r="J1946" s="1145" t="s">
        <v>2648</v>
      </c>
    </row>
    <row r="1947" spans="1:10" ht="30" customHeight="1" x14ac:dyDescent="0.2">
      <c r="A1947" s="1155" t="s">
        <v>2934</v>
      </c>
      <c r="B1947" s="440" t="s">
        <v>1218</v>
      </c>
      <c r="C1947" s="1015" t="s">
        <v>2645</v>
      </c>
      <c r="D1947" s="1015" t="s">
        <v>2935</v>
      </c>
      <c r="E1947" s="699">
        <v>360000</v>
      </c>
      <c r="F1947" s="439"/>
      <c r="G1947" s="1017"/>
      <c r="H1947" s="469">
        <v>2021</v>
      </c>
      <c r="I1947" s="469" t="s">
        <v>2931</v>
      </c>
      <c r="J1947" s="1145" t="s">
        <v>2648</v>
      </c>
    </row>
    <row r="1948" spans="1:10" ht="30" customHeight="1" x14ac:dyDescent="0.2">
      <c r="A1948" s="1155" t="s">
        <v>2826</v>
      </c>
      <c r="B1948" s="440" t="s">
        <v>1218</v>
      </c>
      <c r="C1948" s="1015" t="s">
        <v>2645</v>
      </c>
      <c r="D1948" s="1015" t="s">
        <v>2936</v>
      </c>
      <c r="E1948" s="699">
        <v>295240</v>
      </c>
      <c r="F1948" s="439"/>
      <c r="G1948" s="1017"/>
      <c r="H1948" s="469">
        <v>2021</v>
      </c>
      <c r="I1948" s="469" t="s">
        <v>2920</v>
      </c>
      <c r="J1948" s="1145" t="s">
        <v>2648</v>
      </c>
    </row>
    <row r="1949" spans="1:10" ht="30" customHeight="1" x14ac:dyDescent="0.2">
      <c r="A1949" s="1155" t="s">
        <v>2826</v>
      </c>
      <c r="B1949" s="440" t="s">
        <v>2937</v>
      </c>
      <c r="C1949" s="1015" t="s">
        <v>2645</v>
      </c>
      <c r="D1949" s="1015" t="s">
        <v>2938</v>
      </c>
      <c r="E1949" s="699">
        <v>650000</v>
      </c>
      <c r="F1949" s="439"/>
      <c r="G1949" s="1017"/>
      <c r="H1949" s="469">
        <v>2021</v>
      </c>
      <c r="I1949" s="469" t="s">
        <v>2920</v>
      </c>
      <c r="J1949" s="1145" t="s">
        <v>2648</v>
      </c>
    </row>
    <row r="1950" spans="1:10" ht="30" customHeight="1" x14ac:dyDescent="0.2">
      <c r="A1950" s="1155" t="s">
        <v>2939</v>
      </c>
      <c r="B1950" s="440" t="s">
        <v>1218</v>
      </c>
      <c r="C1950" s="1015" t="s">
        <v>2645</v>
      </c>
      <c r="D1950" s="1015" t="s">
        <v>2940</v>
      </c>
      <c r="E1950" s="700">
        <v>135000</v>
      </c>
      <c r="F1950" s="439"/>
      <c r="G1950" s="1017"/>
      <c r="H1950" s="469">
        <v>2021</v>
      </c>
      <c r="I1950" s="469" t="s">
        <v>2931</v>
      </c>
      <c r="J1950" s="1145" t="s">
        <v>2648</v>
      </c>
    </row>
    <row r="1951" spans="1:10" ht="30" customHeight="1" x14ac:dyDescent="0.2">
      <c r="A1951" s="1156" t="s">
        <v>2848</v>
      </c>
      <c r="B1951" s="1015" t="s">
        <v>1776</v>
      </c>
      <c r="C1951" s="1015" t="s">
        <v>2849</v>
      </c>
      <c r="D1951" s="1015" t="s">
        <v>2941</v>
      </c>
      <c r="E1951" s="484">
        <v>110000</v>
      </c>
      <c r="F1951" s="439"/>
      <c r="G1951" s="1017"/>
      <c r="H1951" s="469">
        <v>2021</v>
      </c>
      <c r="I1951" s="469" t="s">
        <v>2928</v>
      </c>
      <c r="J1951" s="1145" t="s">
        <v>2648</v>
      </c>
    </row>
    <row r="1952" spans="1:10" ht="30" customHeight="1" x14ac:dyDescent="0.2">
      <c r="A1952" s="1155" t="s">
        <v>2837</v>
      </c>
      <c r="B1952" s="440" t="s">
        <v>1218</v>
      </c>
      <c r="C1952" s="1015" t="s">
        <v>2645</v>
      </c>
      <c r="D1952" s="1015" t="s">
        <v>2942</v>
      </c>
      <c r="E1952" s="700">
        <v>144000</v>
      </c>
      <c r="F1952" s="439"/>
      <c r="G1952" s="1017"/>
      <c r="H1952" s="469">
        <v>2021</v>
      </c>
      <c r="I1952" s="469" t="s">
        <v>2931</v>
      </c>
      <c r="J1952" s="1145" t="s">
        <v>2648</v>
      </c>
    </row>
    <row r="1953" spans="1:10" ht="30" customHeight="1" x14ac:dyDescent="0.2">
      <c r="A1953" s="1155" t="s">
        <v>1932</v>
      </c>
      <c r="B1953" s="440" t="s">
        <v>1218</v>
      </c>
      <c r="C1953" s="1015" t="s">
        <v>2645</v>
      </c>
      <c r="D1953" s="1015" t="s">
        <v>2943</v>
      </c>
      <c r="E1953" s="700">
        <v>172468.8</v>
      </c>
      <c r="F1953" s="439"/>
      <c r="G1953" s="1017"/>
      <c r="H1953" s="469">
        <v>2021</v>
      </c>
      <c r="I1953" s="469" t="s">
        <v>2926</v>
      </c>
      <c r="J1953" s="1145" t="s">
        <v>2648</v>
      </c>
    </row>
    <row r="1954" spans="1:10" ht="30" customHeight="1" x14ac:dyDescent="0.2">
      <c r="A1954" s="1155" t="s">
        <v>2842</v>
      </c>
      <c r="B1954" s="440" t="s">
        <v>1218</v>
      </c>
      <c r="C1954" s="1015" t="s">
        <v>2645</v>
      </c>
      <c r="D1954" s="1015" t="s">
        <v>2944</v>
      </c>
      <c r="E1954" s="700">
        <v>144000</v>
      </c>
      <c r="F1954" s="439"/>
      <c r="G1954" s="1017"/>
      <c r="H1954" s="469">
        <v>2021</v>
      </c>
      <c r="I1954" s="469" t="s">
        <v>2928</v>
      </c>
      <c r="J1954" s="1145" t="s">
        <v>2648</v>
      </c>
    </row>
    <row r="1955" spans="1:10" ht="30" customHeight="1" x14ac:dyDescent="0.2">
      <c r="A1955" s="1155" t="s">
        <v>2844</v>
      </c>
      <c r="B1955" s="440" t="s">
        <v>2644</v>
      </c>
      <c r="C1955" s="1015" t="s">
        <v>2645</v>
      </c>
      <c r="D1955" s="1015" t="s">
        <v>2945</v>
      </c>
      <c r="E1955" s="699">
        <v>384000</v>
      </c>
      <c r="F1955" s="439"/>
      <c r="G1955" s="1017"/>
      <c r="H1955" s="469">
        <v>2021</v>
      </c>
      <c r="I1955" s="469" t="s">
        <v>2920</v>
      </c>
      <c r="J1955" s="1145" t="s">
        <v>2648</v>
      </c>
    </row>
    <row r="1956" spans="1:10" ht="30" customHeight="1" thickBot="1" x14ac:dyDescent="0.25">
      <c r="A1956" s="1155" t="s">
        <v>2847</v>
      </c>
      <c r="B1956" s="440" t="s">
        <v>2644</v>
      </c>
      <c r="C1956" s="1015" t="s">
        <v>2645</v>
      </c>
      <c r="D1956" s="1015" t="s">
        <v>2945</v>
      </c>
      <c r="E1956" s="699">
        <v>288000</v>
      </c>
      <c r="F1956" s="439"/>
      <c r="G1956" s="1017"/>
      <c r="H1956" s="469">
        <v>2021</v>
      </c>
      <c r="I1956" s="469" t="s">
        <v>2920</v>
      </c>
      <c r="J1956" s="1145" t="s">
        <v>2648</v>
      </c>
    </row>
    <row r="1957" spans="1:10" ht="27" customHeight="1" x14ac:dyDescent="0.2">
      <c r="A1957" s="692" t="s">
        <v>2946</v>
      </c>
      <c r="B1957" s="693"/>
      <c r="C1957" s="693"/>
      <c r="D1957" s="693"/>
      <c r="E1957" s="693"/>
      <c r="F1957" s="693"/>
      <c r="G1957" s="693"/>
      <c r="H1957" s="693"/>
      <c r="I1957" s="693"/>
      <c r="J1957" s="694"/>
    </row>
    <row r="1958" spans="1:10" ht="30" customHeight="1" x14ac:dyDescent="0.2">
      <c r="A1958" s="1204" t="s">
        <v>12868</v>
      </c>
      <c r="B1958" s="1205" t="s">
        <v>1291</v>
      </c>
      <c r="C1958" s="1016" t="s">
        <v>12869</v>
      </c>
      <c r="D1958" s="1016" t="s">
        <v>12870</v>
      </c>
      <c r="E1958" s="1020">
        <v>142680</v>
      </c>
      <c r="F1958" s="1016" t="s">
        <v>12871</v>
      </c>
      <c r="G1958" s="1016" t="s">
        <v>1416</v>
      </c>
      <c r="H1958" s="1016"/>
      <c r="I1958" s="1016"/>
      <c r="J1958" s="1206"/>
    </row>
    <row r="1959" spans="1:10" s="81" customFormat="1" ht="30" customHeight="1" x14ac:dyDescent="0.2">
      <c r="A1959" s="1204" t="s">
        <v>12872</v>
      </c>
      <c r="B1959" s="1016" t="s">
        <v>1218</v>
      </c>
      <c r="C1959" s="1016" t="s">
        <v>640</v>
      </c>
      <c r="D1959" s="1016" t="s">
        <v>12873</v>
      </c>
      <c r="E1959" s="1020">
        <v>71195</v>
      </c>
      <c r="F1959" s="1016" t="s">
        <v>12874</v>
      </c>
      <c r="G1959" s="1016" t="s">
        <v>1416</v>
      </c>
      <c r="H1959" s="1016"/>
      <c r="I1959" s="1016"/>
      <c r="J1959" s="1206"/>
    </row>
    <row r="1960" spans="1:10" s="81" customFormat="1" ht="30" customHeight="1" x14ac:dyDescent="0.2">
      <c r="A1960" s="1204" t="s">
        <v>12875</v>
      </c>
      <c r="B1960" s="1016" t="s">
        <v>1218</v>
      </c>
      <c r="C1960" s="1016" t="s">
        <v>640</v>
      </c>
      <c r="D1960" s="1016" t="s">
        <v>12876</v>
      </c>
      <c r="E1960" s="1020">
        <v>181776.8</v>
      </c>
      <c r="F1960" s="1016" t="s">
        <v>12877</v>
      </c>
      <c r="G1960" s="1016" t="s">
        <v>1416</v>
      </c>
      <c r="H1960" s="1016"/>
      <c r="I1960" s="1016"/>
      <c r="J1960" s="1206"/>
    </row>
    <row r="1961" spans="1:10" s="81" customFormat="1" ht="30" customHeight="1" x14ac:dyDescent="0.2">
      <c r="A1961" s="1204" t="s">
        <v>12878</v>
      </c>
      <c r="B1961" s="1016" t="s">
        <v>1218</v>
      </c>
      <c r="C1961" s="1016" t="s">
        <v>640</v>
      </c>
      <c r="D1961" s="1016" t="s">
        <v>12879</v>
      </c>
      <c r="E1961" s="1020">
        <v>96228</v>
      </c>
      <c r="F1961" s="1016" t="s">
        <v>12877</v>
      </c>
      <c r="G1961" s="1016" t="s">
        <v>1416</v>
      </c>
      <c r="H1961" s="1016"/>
      <c r="I1961" s="1016"/>
      <c r="J1961" s="1206"/>
    </row>
    <row r="1962" spans="1:10" s="81" customFormat="1" ht="30" customHeight="1" x14ac:dyDescent="0.2">
      <c r="A1962" s="1204" t="s">
        <v>12880</v>
      </c>
      <c r="B1962" s="1016" t="s">
        <v>1218</v>
      </c>
      <c r="C1962" s="1016" t="s">
        <v>640</v>
      </c>
      <c r="D1962" s="1016" t="s">
        <v>12881</v>
      </c>
      <c r="E1962" s="1020">
        <v>82336</v>
      </c>
      <c r="F1962" s="1016" t="s">
        <v>12882</v>
      </c>
      <c r="G1962" s="1016" t="s">
        <v>1416</v>
      </c>
      <c r="H1962" s="1016"/>
      <c r="I1962" s="1016"/>
      <c r="J1962" s="1206"/>
    </row>
    <row r="1963" spans="1:10" s="81" customFormat="1" ht="30" customHeight="1" x14ac:dyDescent="0.2">
      <c r="A1963" s="1204" t="s">
        <v>12883</v>
      </c>
      <c r="B1963" s="1016" t="s">
        <v>1218</v>
      </c>
      <c r="C1963" s="1016" t="s">
        <v>640</v>
      </c>
      <c r="D1963" s="1016" t="s">
        <v>12884</v>
      </c>
      <c r="E1963" s="1020">
        <v>98190</v>
      </c>
      <c r="F1963" s="1016" t="s">
        <v>12882</v>
      </c>
      <c r="G1963" s="1016" t="s">
        <v>1416</v>
      </c>
      <c r="H1963" s="1016"/>
      <c r="I1963" s="1016"/>
      <c r="J1963" s="1206"/>
    </row>
    <row r="1964" spans="1:10" s="81" customFormat="1" ht="30" customHeight="1" x14ac:dyDescent="0.2">
      <c r="A1964" s="1204" t="s">
        <v>12885</v>
      </c>
      <c r="B1964" s="1016" t="s">
        <v>1218</v>
      </c>
      <c r="C1964" s="1016" t="s">
        <v>640</v>
      </c>
      <c r="D1964" s="1016" t="s">
        <v>12886</v>
      </c>
      <c r="E1964" s="1020">
        <v>135160</v>
      </c>
      <c r="F1964" s="1016" t="s">
        <v>12887</v>
      </c>
      <c r="G1964" s="1016" t="s">
        <v>1416</v>
      </c>
      <c r="H1964" s="1016"/>
      <c r="I1964" s="1016"/>
      <c r="J1964" s="1206"/>
    </row>
    <row r="1965" spans="1:10" s="81" customFormat="1" ht="30" customHeight="1" x14ac:dyDescent="0.2">
      <c r="A1965" s="1204" t="s">
        <v>12888</v>
      </c>
      <c r="B1965" s="1016" t="s">
        <v>1218</v>
      </c>
      <c r="C1965" s="1016" t="s">
        <v>640</v>
      </c>
      <c r="D1965" s="1016" t="s">
        <v>12889</v>
      </c>
      <c r="E1965" s="1020">
        <v>151800</v>
      </c>
      <c r="F1965" s="1016" t="s">
        <v>12890</v>
      </c>
      <c r="G1965" s="1016" t="s">
        <v>1416</v>
      </c>
      <c r="H1965" s="1016"/>
      <c r="I1965" s="1016"/>
      <c r="J1965" s="1206"/>
    </row>
    <row r="1966" spans="1:10" s="81" customFormat="1" ht="30" customHeight="1" x14ac:dyDescent="0.2">
      <c r="A1966" s="1204" t="s">
        <v>12891</v>
      </c>
      <c r="B1966" s="1016" t="s">
        <v>1218</v>
      </c>
      <c r="C1966" s="1016" t="s">
        <v>640</v>
      </c>
      <c r="D1966" s="1016" t="s">
        <v>12892</v>
      </c>
      <c r="E1966" s="1020">
        <v>172200</v>
      </c>
      <c r="F1966" s="1016" t="s">
        <v>12893</v>
      </c>
      <c r="G1966" s="1016" t="s">
        <v>1416</v>
      </c>
      <c r="H1966" s="1016"/>
      <c r="I1966" s="1016"/>
      <c r="J1966" s="1206"/>
    </row>
    <row r="1967" spans="1:10" s="81" customFormat="1" ht="30" customHeight="1" x14ac:dyDescent="0.2">
      <c r="A1967" s="1022" t="s">
        <v>12894</v>
      </c>
      <c r="B1967" s="1016" t="s">
        <v>1218</v>
      </c>
      <c r="C1967" s="1016" t="s">
        <v>640</v>
      </c>
      <c r="D1967" s="1016" t="s">
        <v>12895</v>
      </c>
      <c r="E1967" s="1016">
        <v>59472</v>
      </c>
      <c r="F1967" s="1016" t="s">
        <v>12896</v>
      </c>
      <c r="G1967" s="1016" t="s">
        <v>1416</v>
      </c>
      <c r="H1967" s="1016"/>
      <c r="I1967" s="1016"/>
      <c r="J1967" s="1206"/>
    </row>
    <row r="1968" spans="1:10" s="81" customFormat="1" ht="30" customHeight="1" x14ac:dyDescent="0.2">
      <c r="A1968" s="1144" t="s">
        <v>12897</v>
      </c>
      <c r="B1968" s="1016" t="s">
        <v>1218</v>
      </c>
      <c r="C1968" s="1016" t="s">
        <v>640</v>
      </c>
      <c r="D1968" s="1016" t="s">
        <v>12898</v>
      </c>
      <c r="E1968" s="1016">
        <v>206250</v>
      </c>
      <c r="F1968" s="1016" t="s">
        <v>12899</v>
      </c>
      <c r="G1968" s="1016" t="s">
        <v>1416</v>
      </c>
      <c r="H1968" s="1016"/>
      <c r="I1968" s="1016"/>
      <c r="J1968" s="1206"/>
    </row>
    <row r="1969" spans="1:10" s="81" customFormat="1" ht="30" customHeight="1" x14ac:dyDescent="0.2">
      <c r="A1969" s="1144" t="s">
        <v>12900</v>
      </c>
      <c r="B1969" s="1016" t="s">
        <v>12901</v>
      </c>
      <c r="C1969" s="1016" t="s">
        <v>1996</v>
      </c>
      <c r="D1969" s="1016" t="s">
        <v>12902</v>
      </c>
      <c r="E1969" s="1020">
        <v>499434.88</v>
      </c>
      <c r="F1969" s="1016" t="s">
        <v>12903</v>
      </c>
      <c r="G1969" s="1016" t="s">
        <v>1416</v>
      </c>
      <c r="H1969" s="1016"/>
      <c r="I1969" s="1016"/>
      <c r="J1969" s="1206"/>
    </row>
    <row r="1970" spans="1:10" s="81" customFormat="1" ht="30" customHeight="1" x14ac:dyDescent="0.2">
      <c r="A1970" s="1144" t="s">
        <v>12904</v>
      </c>
      <c r="B1970" s="1016" t="s">
        <v>11954</v>
      </c>
      <c r="C1970" s="1016" t="s">
        <v>12905</v>
      </c>
      <c r="D1970" s="1016" t="s">
        <v>12906</v>
      </c>
      <c r="E1970" s="1020">
        <v>564800</v>
      </c>
      <c r="F1970" s="1016" t="s">
        <v>12907</v>
      </c>
      <c r="G1970" s="1016" t="s">
        <v>1416</v>
      </c>
      <c r="H1970" s="1016"/>
      <c r="I1970" s="1016"/>
      <c r="J1970" s="1206"/>
    </row>
    <row r="1971" spans="1:10" s="81" customFormat="1" ht="30" customHeight="1" x14ac:dyDescent="0.2">
      <c r="A1971" s="1155" t="s">
        <v>12908</v>
      </c>
      <c r="B1971" s="508" t="s">
        <v>2084</v>
      </c>
      <c r="C1971" s="472" t="s">
        <v>12909</v>
      </c>
      <c r="D1971" s="440" t="s">
        <v>12910</v>
      </c>
      <c r="E1971" s="1023">
        <v>195000</v>
      </c>
      <c r="F1971" s="440" t="s">
        <v>12911</v>
      </c>
      <c r="G1971" s="1016" t="s">
        <v>1416</v>
      </c>
      <c r="H1971" s="507">
        <v>43980</v>
      </c>
      <c r="I1971" s="507">
        <v>43927</v>
      </c>
      <c r="J1971" s="1145" t="s">
        <v>12912</v>
      </c>
    </row>
    <row r="1972" spans="1:10" s="81" customFormat="1" ht="30" customHeight="1" x14ac:dyDescent="0.2">
      <c r="A1972" s="1155" t="s">
        <v>12913</v>
      </c>
      <c r="B1972" s="508" t="s">
        <v>2084</v>
      </c>
      <c r="C1972" s="472" t="s">
        <v>12914</v>
      </c>
      <c r="D1972" s="440" t="s">
        <v>12915</v>
      </c>
      <c r="E1972" s="1023" t="s">
        <v>12916</v>
      </c>
      <c r="F1972" s="440" t="s">
        <v>12911</v>
      </c>
      <c r="G1972" s="1016" t="s">
        <v>1416</v>
      </c>
      <c r="H1972" s="507">
        <v>43980</v>
      </c>
      <c r="I1972" s="1024">
        <v>43927</v>
      </c>
      <c r="J1972" s="1145" t="s">
        <v>12912</v>
      </c>
    </row>
    <row r="1973" spans="1:10" s="81" customFormat="1" ht="30" customHeight="1" x14ac:dyDescent="0.2">
      <c r="A1973" s="1155" t="s">
        <v>12917</v>
      </c>
      <c r="B1973" s="440" t="s">
        <v>12918</v>
      </c>
      <c r="C1973" s="472" t="s">
        <v>12914</v>
      </c>
      <c r="D1973" s="440" t="s">
        <v>12919</v>
      </c>
      <c r="E1973" s="1023">
        <v>48000</v>
      </c>
      <c r="F1973" s="440" t="s">
        <v>12911</v>
      </c>
      <c r="G1973" s="1016" t="s">
        <v>1416</v>
      </c>
      <c r="H1973" s="472"/>
      <c r="I1973" s="1025"/>
      <c r="J1973" s="1145"/>
    </row>
    <row r="1974" spans="1:10" s="81" customFormat="1" ht="30" customHeight="1" x14ac:dyDescent="0.2">
      <c r="A1974" s="1155" t="s">
        <v>12920</v>
      </c>
      <c r="B1974" s="440" t="s">
        <v>2084</v>
      </c>
      <c r="C1974" s="472" t="s">
        <v>12914</v>
      </c>
      <c r="D1974" s="440" t="s">
        <v>12921</v>
      </c>
      <c r="E1974" s="1023">
        <v>150000</v>
      </c>
      <c r="F1974" s="440" t="s">
        <v>12911</v>
      </c>
      <c r="G1974" s="1016" t="s">
        <v>1416</v>
      </c>
      <c r="H1974" s="507">
        <v>44036</v>
      </c>
      <c r="I1974" s="1024">
        <v>44025</v>
      </c>
      <c r="J1974" s="1145" t="s">
        <v>12912</v>
      </c>
    </row>
    <row r="1975" spans="1:10" s="81" customFormat="1" ht="30" customHeight="1" x14ac:dyDescent="0.2">
      <c r="A1975" s="1189" t="s">
        <v>12922</v>
      </c>
      <c r="B1975" s="508" t="s">
        <v>1291</v>
      </c>
      <c r="C1975" s="1026" t="s">
        <v>678</v>
      </c>
      <c r="D1975" s="508" t="s">
        <v>12923</v>
      </c>
      <c r="E1975" s="1027">
        <v>65175</v>
      </c>
      <c r="F1975" s="508" t="s">
        <v>12924</v>
      </c>
      <c r="G1975" s="1016" t="s">
        <v>1416</v>
      </c>
      <c r="H1975" s="507">
        <v>44045</v>
      </c>
      <c r="I1975" s="1025" t="s">
        <v>12925</v>
      </c>
      <c r="J1975" s="1145"/>
    </row>
    <row r="1976" spans="1:10" s="81" customFormat="1" ht="30" customHeight="1" x14ac:dyDescent="0.2">
      <c r="A1976" s="1155" t="s">
        <v>12926</v>
      </c>
      <c r="B1976" s="440" t="s">
        <v>12927</v>
      </c>
      <c r="C1976" s="472" t="s">
        <v>12914</v>
      </c>
      <c r="D1976" s="440" t="s">
        <v>12928</v>
      </c>
      <c r="E1976" s="1023">
        <v>186000</v>
      </c>
      <c r="F1976" s="440" t="s">
        <v>12929</v>
      </c>
      <c r="G1976" s="1016" t="s">
        <v>1416</v>
      </c>
      <c r="H1976" s="507">
        <v>44061</v>
      </c>
      <c r="I1976" s="1025" t="s">
        <v>12925</v>
      </c>
      <c r="J1976" s="1145" t="s">
        <v>12912</v>
      </c>
    </row>
    <row r="1977" spans="1:10" s="81" customFormat="1" ht="30" customHeight="1" x14ac:dyDescent="0.2">
      <c r="A1977" s="1155" t="s">
        <v>12930</v>
      </c>
      <c r="B1977" s="472" t="s">
        <v>12931</v>
      </c>
      <c r="C1977" s="472" t="s">
        <v>12909</v>
      </c>
      <c r="D1977" s="440" t="s">
        <v>12932</v>
      </c>
      <c r="E1977" s="1023">
        <v>99937</v>
      </c>
      <c r="F1977" s="440" t="s">
        <v>12933</v>
      </c>
      <c r="G1977" s="439" t="s">
        <v>12934</v>
      </c>
      <c r="H1977" s="507">
        <v>44068</v>
      </c>
      <c r="I1977" s="1025" t="s">
        <v>12935</v>
      </c>
      <c r="J1977" s="1145" t="s">
        <v>12912</v>
      </c>
    </row>
    <row r="1978" spans="1:10" s="81" customFormat="1" ht="30" customHeight="1" x14ac:dyDescent="0.2">
      <c r="A1978" s="1207" t="s">
        <v>12936</v>
      </c>
      <c r="B1978" s="440" t="s">
        <v>12931</v>
      </c>
      <c r="C1978" s="472" t="s">
        <v>12909</v>
      </c>
      <c r="D1978" s="440" t="s">
        <v>12937</v>
      </c>
      <c r="E1978" s="1023">
        <v>71280</v>
      </c>
      <c r="F1978" s="439" t="s">
        <v>12938</v>
      </c>
      <c r="G1978" s="439" t="s">
        <v>12934</v>
      </c>
      <c r="H1978" s="507">
        <v>44068</v>
      </c>
      <c r="I1978" s="1024">
        <v>44071</v>
      </c>
      <c r="J1978" s="1145" t="s">
        <v>12912</v>
      </c>
    </row>
    <row r="1979" spans="1:10" s="81" customFormat="1" ht="30" customHeight="1" x14ac:dyDescent="0.2">
      <c r="A1979" s="1155" t="s">
        <v>12939</v>
      </c>
      <c r="B1979" s="440" t="s">
        <v>12931</v>
      </c>
      <c r="C1979" s="472" t="s">
        <v>12909</v>
      </c>
      <c r="D1979" s="440" t="s">
        <v>12940</v>
      </c>
      <c r="E1979" s="1023">
        <v>391000</v>
      </c>
      <c r="F1979" s="440" t="s">
        <v>12941</v>
      </c>
      <c r="G1979" s="439" t="s">
        <v>12934</v>
      </c>
      <c r="H1979" s="507">
        <v>44069</v>
      </c>
      <c r="I1979" s="1024">
        <v>44069</v>
      </c>
      <c r="J1979" s="1145" t="s">
        <v>12912</v>
      </c>
    </row>
    <row r="1980" spans="1:10" s="81" customFormat="1" ht="30" customHeight="1" x14ac:dyDescent="0.2">
      <c r="A1980" s="1155" t="s">
        <v>12942</v>
      </c>
      <c r="B1980" s="440" t="s">
        <v>1595</v>
      </c>
      <c r="C1980" s="472" t="s">
        <v>12943</v>
      </c>
      <c r="D1980" s="440" t="s">
        <v>12944</v>
      </c>
      <c r="E1980" s="1023">
        <v>144099.79999999999</v>
      </c>
      <c r="F1980" s="440"/>
      <c r="G1980" s="439" t="s">
        <v>12945</v>
      </c>
      <c r="H1980" s="472"/>
      <c r="I1980" s="1025"/>
      <c r="J1980" s="1145" t="s">
        <v>12946</v>
      </c>
    </row>
    <row r="1981" spans="1:10" s="81" customFormat="1" ht="30" customHeight="1" x14ac:dyDescent="0.2">
      <c r="A1981" s="1155" t="s">
        <v>12947</v>
      </c>
      <c r="B1981" s="440" t="s">
        <v>1595</v>
      </c>
      <c r="C1981" s="472" t="s">
        <v>640</v>
      </c>
      <c r="D1981" s="440" t="s">
        <v>12948</v>
      </c>
      <c r="E1981" s="1023">
        <v>76000</v>
      </c>
      <c r="F1981" s="440"/>
      <c r="G1981" s="439" t="s">
        <v>12945</v>
      </c>
      <c r="H1981" s="472"/>
      <c r="I1981" s="1025"/>
      <c r="J1981" s="1145" t="s">
        <v>12946</v>
      </c>
    </row>
    <row r="1982" spans="1:10" s="81" customFormat="1" ht="30" customHeight="1" x14ac:dyDescent="0.2">
      <c r="A1982" s="1155" t="s">
        <v>12949</v>
      </c>
      <c r="B1982" s="440" t="s">
        <v>2084</v>
      </c>
      <c r="C1982" s="472" t="s">
        <v>12909</v>
      </c>
      <c r="D1982" s="440" t="s">
        <v>12950</v>
      </c>
      <c r="E1982" s="1023">
        <v>41713</v>
      </c>
      <c r="F1982" s="440"/>
      <c r="G1982" s="439" t="s">
        <v>12945</v>
      </c>
      <c r="H1982" s="472"/>
      <c r="I1982" s="1025"/>
      <c r="J1982" s="1145" t="s">
        <v>12946</v>
      </c>
    </row>
    <row r="1983" spans="1:10" s="81" customFormat="1" ht="30" customHeight="1" x14ac:dyDescent="0.2">
      <c r="A1983" s="1155" t="s">
        <v>12951</v>
      </c>
      <c r="B1983" s="440" t="s">
        <v>1595</v>
      </c>
      <c r="C1983" s="472" t="s">
        <v>640</v>
      </c>
      <c r="D1983" s="440" t="s">
        <v>12952</v>
      </c>
      <c r="E1983" s="1023">
        <v>54310.1</v>
      </c>
      <c r="F1983" s="440"/>
      <c r="G1983" s="439" t="s">
        <v>12945</v>
      </c>
      <c r="H1983" s="472"/>
      <c r="I1983" s="1025"/>
      <c r="J1983" s="1145" t="s">
        <v>12946</v>
      </c>
    </row>
    <row r="1984" spans="1:10" s="81" customFormat="1" ht="30" customHeight="1" x14ac:dyDescent="0.2">
      <c r="A1984" s="1155" t="s">
        <v>12953</v>
      </c>
      <c r="B1984" s="440" t="s">
        <v>1595</v>
      </c>
      <c r="C1984" s="472" t="s">
        <v>640</v>
      </c>
      <c r="D1984" s="440" t="s">
        <v>12954</v>
      </c>
      <c r="E1984" s="1023">
        <v>83464</v>
      </c>
      <c r="F1984" s="440"/>
      <c r="G1984" s="439" t="s">
        <v>12945</v>
      </c>
      <c r="H1984" s="472"/>
      <c r="I1984" s="1025"/>
      <c r="J1984" s="1145" t="s">
        <v>12946</v>
      </c>
    </row>
    <row r="1985" spans="1:10" s="81" customFormat="1" ht="30" customHeight="1" x14ac:dyDescent="0.2">
      <c r="A1985" s="1155" t="s">
        <v>12955</v>
      </c>
      <c r="B1985" s="440" t="s">
        <v>1595</v>
      </c>
      <c r="C1985" s="472" t="s">
        <v>640</v>
      </c>
      <c r="D1985" s="440" t="s">
        <v>12956</v>
      </c>
      <c r="E1985" s="1023">
        <v>50150</v>
      </c>
      <c r="F1985" s="440" t="s">
        <v>12957</v>
      </c>
      <c r="G1985" s="1016" t="s">
        <v>1416</v>
      </c>
      <c r="H1985" s="507">
        <v>43823</v>
      </c>
      <c r="I1985" s="1025"/>
      <c r="J1985" s="1145"/>
    </row>
    <row r="1986" spans="1:10" s="81" customFormat="1" ht="30" customHeight="1" x14ac:dyDescent="0.2">
      <c r="A1986" s="1155" t="s">
        <v>12894</v>
      </c>
      <c r="B1986" s="440" t="s">
        <v>1595</v>
      </c>
      <c r="C1986" s="472" t="s">
        <v>640</v>
      </c>
      <c r="D1986" s="440" t="s">
        <v>12958</v>
      </c>
      <c r="E1986" s="1023">
        <v>16777</v>
      </c>
      <c r="F1986" s="440" t="s">
        <v>12959</v>
      </c>
      <c r="G1986" s="1016" t="s">
        <v>1416</v>
      </c>
      <c r="H1986" s="507">
        <v>43796</v>
      </c>
      <c r="I1986" s="1025" t="s">
        <v>11933</v>
      </c>
      <c r="J1986" s="1145"/>
    </row>
    <row r="1987" spans="1:10" s="81" customFormat="1" ht="30" customHeight="1" x14ac:dyDescent="0.2">
      <c r="A1987" s="1155" t="s">
        <v>12960</v>
      </c>
      <c r="B1987" s="440" t="s">
        <v>12961</v>
      </c>
      <c r="C1987" s="440" t="s">
        <v>12962</v>
      </c>
      <c r="D1987" s="440"/>
      <c r="E1987" s="1023" t="s">
        <v>12963</v>
      </c>
      <c r="F1987" s="440" t="s">
        <v>12964</v>
      </c>
      <c r="G1987" s="439" t="s">
        <v>12965</v>
      </c>
      <c r="H1987" s="527">
        <v>43921</v>
      </c>
      <c r="I1987" s="527">
        <v>43956</v>
      </c>
      <c r="J1987" s="1145" t="s">
        <v>12912</v>
      </c>
    </row>
    <row r="1988" spans="1:10" s="81" customFormat="1" ht="30" customHeight="1" x14ac:dyDescent="0.2">
      <c r="A1988" s="1155" t="s">
        <v>12966</v>
      </c>
      <c r="B1988" s="440" t="s">
        <v>12961</v>
      </c>
      <c r="C1988" s="440" t="s">
        <v>12962</v>
      </c>
      <c r="D1988" s="440"/>
      <c r="E1988" s="1023">
        <v>14927</v>
      </c>
      <c r="F1988" s="440" t="s">
        <v>12967</v>
      </c>
      <c r="G1988" s="439" t="s">
        <v>12965</v>
      </c>
      <c r="H1988" s="527">
        <v>43929</v>
      </c>
      <c r="I1988" s="527">
        <v>43930</v>
      </c>
      <c r="J1988" s="1145"/>
    </row>
    <row r="1989" spans="1:10" s="81" customFormat="1" ht="30" customHeight="1" x14ac:dyDescent="0.2">
      <c r="A1989" s="1155" t="s">
        <v>12968</v>
      </c>
      <c r="B1989" s="440" t="s">
        <v>12961</v>
      </c>
      <c r="C1989" s="440" t="s">
        <v>12962</v>
      </c>
      <c r="D1989" s="440"/>
      <c r="E1989" s="1023">
        <v>27289.07</v>
      </c>
      <c r="F1989" s="440" t="s">
        <v>12969</v>
      </c>
      <c r="G1989" s="439" t="s">
        <v>12965</v>
      </c>
      <c r="H1989" s="527">
        <v>43990</v>
      </c>
      <c r="I1989" s="527">
        <v>44020</v>
      </c>
      <c r="J1989" s="1145"/>
    </row>
    <row r="1990" spans="1:10" s="81" customFormat="1" ht="30" customHeight="1" x14ac:dyDescent="0.2">
      <c r="A1990" s="1144" t="s">
        <v>12900</v>
      </c>
      <c r="B1990" s="1016" t="s">
        <v>12901</v>
      </c>
      <c r="C1990" s="1016" t="s">
        <v>1996</v>
      </c>
      <c r="D1990" s="1016" t="s">
        <v>12902</v>
      </c>
      <c r="E1990" s="1020">
        <v>351438</v>
      </c>
      <c r="F1990" s="1016" t="s">
        <v>12903</v>
      </c>
      <c r="G1990" s="1016" t="s">
        <v>1416</v>
      </c>
      <c r="H1990" s="527"/>
      <c r="I1990" s="527"/>
      <c r="J1990" s="1145"/>
    </row>
    <row r="1991" spans="1:10" s="81" customFormat="1" ht="30" customHeight="1" x14ac:dyDescent="0.2">
      <c r="A1991" s="1208">
        <v>2021</v>
      </c>
      <c r="B1991" s="440"/>
      <c r="C1991" s="440"/>
      <c r="D1991" s="440"/>
      <c r="E1991" s="472"/>
      <c r="F1991" s="440"/>
      <c r="G1991" s="439"/>
      <c r="H1991" s="527"/>
      <c r="I1991" s="527"/>
      <c r="J1991" s="1145"/>
    </row>
    <row r="1992" spans="1:10" s="81" customFormat="1" ht="30" customHeight="1" x14ac:dyDescent="0.2">
      <c r="A1992" s="1204" t="s">
        <v>12868</v>
      </c>
      <c r="B1992" s="1205"/>
      <c r="C1992" s="1016"/>
      <c r="D1992" s="1016"/>
      <c r="E1992" s="1020">
        <v>350000</v>
      </c>
      <c r="F1992" s="440"/>
      <c r="G1992" s="439"/>
      <c r="H1992" s="527"/>
      <c r="I1992" s="527"/>
      <c r="J1992" s="1145"/>
    </row>
    <row r="1993" spans="1:10" s="81" customFormat="1" ht="30" customHeight="1" x14ac:dyDescent="0.2">
      <c r="A1993" s="1204" t="s">
        <v>12872</v>
      </c>
      <c r="B1993" s="1016"/>
      <c r="C1993" s="1016"/>
      <c r="D1993" s="1016"/>
      <c r="E1993" s="1020">
        <v>100000</v>
      </c>
      <c r="F1993" s="440"/>
      <c r="G1993" s="439"/>
      <c r="H1993" s="527"/>
      <c r="I1993" s="527"/>
      <c r="J1993" s="1145"/>
    </row>
    <row r="1994" spans="1:10" s="81" customFormat="1" ht="30" customHeight="1" x14ac:dyDescent="0.2">
      <c r="A1994" s="1204" t="s">
        <v>12875</v>
      </c>
      <c r="B1994" s="1016"/>
      <c r="C1994" s="1016"/>
      <c r="D1994" s="1016"/>
      <c r="E1994" s="1020">
        <v>210000</v>
      </c>
      <c r="F1994" s="440"/>
      <c r="G1994" s="439"/>
      <c r="H1994" s="527"/>
      <c r="I1994" s="527"/>
      <c r="J1994" s="1145"/>
    </row>
    <row r="1995" spans="1:10" s="81" customFormat="1" ht="30" customHeight="1" x14ac:dyDescent="0.2">
      <c r="A1995" s="1204" t="s">
        <v>12878</v>
      </c>
      <c r="B1995" s="1016"/>
      <c r="C1995" s="1016"/>
      <c r="D1995" s="1016"/>
      <c r="E1995" s="1020">
        <v>150000</v>
      </c>
      <c r="F1995" s="440"/>
      <c r="G1995" s="439"/>
      <c r="H1995" s="527"/>
      <c r="I1995" s="527"/>
      <c r="J1995" s="1145"/>
    </row>
    <row r="1996" spans="1:10" s="81" customFormat="1" ht="30" customHeight="1" x14ac:dyDescent="0.2">
      <c r="A1996" s="1204" t="s">
        <v>12880</v>
      </c>
      <c r="B1996" s="1016"/>
      <c r="C1996" s="1016"/>
      <c r="D1996" s="1016"/>
      <c r="E1996" s="1020">
        <v>150000</v>
      </c>
      <c r="F1996" s="440"/>
      <c r="G1996" s="439"/>
      <c r="H1996" s="527"/>
      <c r="I1996" s="527"/>
      <c r="J1996" s="1145"/>
    </row>
    <row r="1997" spans="1:10" s="81" customFormat="1" ht="30" customHeight="1" x14ac:dyDescent="0.2">
      <c r="A1997" s="1204" t="s">
        <v>12883</v>
      </c>
      <c r="B1997" s="1016"/>
      <c r="C1997" s="1016"/>
      <c r="D1997" s="1016"/>
      <c r="E1997" s="1020">
        <v>150000</v>
      </c>
      <c r="F1997" s="440"/>
      <c r="G1997" s="439"/>
      <c r="H1997" s="527"/>
      <c r="I1997" s="527"/>
      <c r="J1997" s="1145"/>
    </row>
    <row r="1998" spans="1:10" s="81" customFormat="1" ht="30" customHeight="1" x14ac:dyDescent="0.2">
      <c r="A1998" s="1204" t="s">
        <v>12885</v>
      </c>
      <c r="B1998" s="1016"/>
      <c r="C1998" s="1016"/>
      <c r="D1998" s="1016"/>
      <c r="E1998" s="1020">
        <v>400000</v>
      </c>
      <c r="F1998" s="440"/>
      <c r="G1998" s="439"/>
      <c r="H1998" s="527"/>
      <c r="I1998" s="527"/>
      <c r="J1998" s="1145"/>
    </row>
    <row r="1999" spans="1:10" s="81" customFormat="1" ht="30" customHeight="1" x14ac:dyDescent="0.2">
      <c r="A1999" s="1204" t="s">
        <v>12891</v>
      </c>
      <c r="B1999" s="1016"/>
      <c r="C1999" s="1016"/>
      <c r="D1999" s="1016"/>
      <c r="E1999" s="1020">
        <v>172200</v>
      </c>
      <c r="F1999" s="440"/>
      <c r="G1999" s="439"/>
      <c r="H1999" s="527"/>
      <c r="I1999" s="527"/>
      <c r="J1999" s="1145"/>
    </row>
    <row r="2000" spans="1:10" s="81" customFormat="1" ht="30" customHeight="1" x14ac:dyDescent="0.2">
      <c r="A2000" s="1022" t="s">
        <v>12894</v>
      </c>
      <c r="B2000" s="1016"/>
      <c r="C2000" s="1016"/>
      <c r="D2000" s="1016"/>
      <c r="E2000" s="1021">
        <v>10000</v>
      </c>
      <c r="F2000" s="440"/>
      <c r="G2000" s="439"/>
      <c r="H2000" s="527"/>
      <c r="I2000" s="527"/>
      <c r="J2000" s="1145"/>
    </row>
    <row r="2001" spans="1:10" s="81" customFormat="1" ht="30" customHeight="1" x14ac:dyDescent="0.2">
      <c r="A2001" s="1144" t="s">
        <v>12897</v>
      </c>
      <c r="B2001" s="1016"/>
      <c r="C2001" s="1016"/>
      <c r="D2001" s="1016"/>
      <c r="E2001" s="1016">
        <v>206250</v>
      </c>
      <c r="F2001" s="440"/>
      <c r="G2001" s="439"/>
      <c r="H2001" s="527"/>
      <c r="I2001" s="527"/>
      <c r="J2001" s="1145"/>
    </row>
    <row r="2002" spans="1:10" s="81" customFormat="1" ht="30" customHeight="1" x14ac:dyDescent="0.2">
      <c r="A2002" s="1144" t="s">
        <v>12900</v>
      </c>
      <c r="B2002" s="1016"/>
      <c r="C2002" s="1016"/>
      <c r="D2002" s="1016"/>
      <c r="E2002" s="1020">
        <v>2997000</v>
      </c>
      <c r="F2002" s="440"/>
      <c r="G2002" s="439"/>
      <c r="H2002" s="527"/>
      <c r="I2002" s="527"/>
      <c r="J2002" s="1145"/>
    </row>
    <row r="2003" spans="1:10" s="81" customFormat="1" ht="30" customHeight="1" thickBot="1" x14ac:dyDescent="0.25">
      <c r="A2003" s="1144" t="s">
        <v>12904</v>
      </c>
      <c r="B2003" s="1016"/>
      <c r="C2003" s="1016"/>
      <c r="D2003" s="1016"/>
      <c r="E2003" s="1020">
        <v>989000</v>
      </c>
      <c r="F2003" s="440"/>
      <c r="G2003" s="439"/>
      <c r="H2003" s="527"/>
      <c r="I2003" s="527"/>
      <c r="J2003" s="1145"/>
    </row>
    <row r="2004" spans="1:10" ht="27.75" customHeight="1" x14ac:dyDescent="0.2">
      <c r="A2004" s="692" t="s">
        <v>2947</v>
      </c>
      <c r="B2004" s="693"/>
      <c r="C2004" s="693"/>
      <c r="D2004" s="693"/>
      <c r="E2004" s="693"/>
      <c r="F2004" s="693"/>
      <c r="G2004" s="693"/>
      <c r="H2004" s="693"/>
      <c r="I2004" s="693"/>
      <c r="J2004" s="694"/>
    </row>
    <row r="2005" spans="1:10" ht="33.75" x14ac:dyDescent="0.2">
      <c r="A2005" s="1209" t="s">
        <v>2948</v>
      </c>
      <c r="B2005" s="701" t="s">
        <v>1218</v>
      </c>
      <c r="C2005" s="702" t="s">
        <v>1339</v>
      </c>
      <c r="D2005" s="703" t="s">
        <v>2949</v>
      </c>
      <c r="E2005" s="704">
        <v>79000</v>
      </c>
      <c r="F2005" s="701" t="s">
        <v>2950</v>
      </c>
      <c r="G2005" s="705" t="s">
        <v>1691</v>
      </c>
      <c r="H2005" s="706">
        <v>43826</v>
      </c>
      <c r="I2005" s="706">
        <v>43838</v>
      </c>
      <c r="J2005" s="1145" t="s">
        <v>2648</v>
      </c>
    </row>
    <row r="2006" spans="1:10" ht="33.75" x14ac:dyDescent="0.2">
      <c r="A2006" s="1209" t="s">
        <v>2951</v>
      </c>
      <c r="B2006" s="701" t="s">
        <v>1218</v>
      </c>
      <c r="C2006" s="702" t="s">
        <v>1339</v>
      </c>
      <c r="D2006" s="703" t="s">
        <v>2952</v>
      </c>
      <c r="E2006" s="704">
        <v>107681</v>
      </c>
      <c r="F2006" s="701" t="s">
        <v>2953</v>
      </c>
      <c r="G2006" s="705" t="s">
        <v>1691</v>
      </c>
      <c r="H2006" s="706">
        <v>43829</v>
      </c>
      <c r="I2006" s="702" t="s">
        <v>2954</v>
      </c>
      <c r="J2006" s="1210" t="s">
        <v>2955</v>
      </c>
    </row>
    <row r="2007" spans="1:10" ht="33.75" x14ac:dyDescent="0.2">
      <c r="A2007" s="1209" t="s">
        <v>2956</v>
      </c>
      <c r="B2007" s="701" t="s">
        <v>1218</v>
      </c>
      <c r="C2007" s="702" t="s">
        <v>1339</v>
      </c>
      <c r="D2007" s="703" t="s">
        <v>2957</v>
      </c>
      <c r="E2007" s="704">
        <v>99900</v>
      </c>
      <c r="F2007" s="701" t="s">
        <v>2958</v>
      </c>
      <c r="G2007" s="705" t="s">
        <v>1691</v>
      </c>
      <c r="H2007" s="706">
        <v>43822</v>
      </c>
      <c r="I2007" s="706">
        <v>43826</v>
      </c>
      <c r="J2007" s="1145" t="s">
        <v>2648</v>
      </c>
    </row>
    <row r="2008" spans="1:10" ht="45" x14ac:dyDescent="0.2">
      <c r="A2008" s="1209" t="s">
        <v>2959</v>
      </c>
      <c r="B2008" s="701" t="s">
        <v>1218</v>
      </c>
      <c r="C2008" s="702" t="s">
        <v>1339</v>
      </c>
      <c r="D2008" s="703" t="s">
        <v>2960</v>
      </c>
      <c r="E2008" s="704">
        <v>49980</v>
      </c>
      <c r="F2008" s="701" t="s">
        <v>2961</v>
      </c>
      <c r="G2008" s="705" t="s">
        <v>1691</v>
      </c>
      <c r="H2008" s="706">
        <v>43818</v>
      </c>
      <c r="I2008" s="702"/>
      <c r="J2008" s="1145" t="s">
        <v>2648</v>
      </c>
    </row>
    <row r="2009" spans="1:10" ht="56.25" x14ac:dyDescent="0.2">
      <c r="A2009" s="1209" t="s">
        <v>2962</v>
      </c>
      <c r="B2009" s="701" t="s">
        <v>1218</v>
      </c>
      <c r="C2009" s="702" t="s">
        <v>1339</v>
      </c>
      <c r="D2009" s="703" t="s">
        <v>2963</v>
      </c>
      <c r="E2009" s="704">
        <v>54000</v>
      </c>
      <c r="F2009" s="701" t="s">
        <v>2964</v>
      </c>
      <c r="G2009" s="705" t="s">
        <v>1691</v>
      </c>
      <c r="H2009" s="706">
        <v>43815</v>
      </c>
      <c r="I2009" s="702"/>
      <c r="J2009" s="1145" t="s">
        <v>2648</v>
      </c>
    </row>
    <row r="2010" spans="1:10" ht="33.75" x14ac:dyDescent="0.2">
      <c r="A2010" s="1209" t="s">
        <v>2965</v>
      </c>
      <c r="B2010" s="701" t="s">
        <v>1758</v>
      </c>
      <c r="C2010" s="702" t="s">
        <v>1339</v>
      </c>
      <c r="D2010" s="703" t="s">
        <v>2966</v>
      </c>
      <c r="E2010" s="704">
        <v>37000</v>
      </c>
      <c r="F2010" s="701" t="s">
        <v>2967</v>
      </c>
      <c r="G2010" s="705" t="s">
        <v>1691</v>
      </c>
      <c r="H2010" s="706">
        <v>43755</v>
      </c>
      <c r="I2010" s="706">
        <v>43767</v>
      </c>
      <c r="J2010" s="1145" t="s">
        <v>2648</v>
      </c>
    </row>
    <row r="2011" spans="1:10" ht="33.75" x14ac:dyDescent="0.2">
      <c r="A2011" s="1209" t="s">
        <v>2968</v>
      </c>
      <c r="B2011" s="701" t="s">
        <v>1758</v>
      </c>
      <c r="C2011" s="702" t="s">
        <v>1339</v>
      </c>
      <c r="D2011" s="703" t="s">
        <v>2969</v>
      </c>
      <c r="E2011" s="704">
        <v>36000</v>
      </c>
      <c r="F2011" s="701" t="s">
        <v>2970</v>
      </c>
      <c r="G2011" s="705" t="s">
        <v>1691</v>
      </c>
      <c r="H2011" s="706">
        <v>43748</v>
      </c>
      <c r="I2011" s="706">
        <v>43766</v>
      </c>
      <c r="J2011" s="1145" t="s">
        <v>2648</v>
      </c>
    </row>
    <row r="2012" spans="1:10" ht="22.5" x14ac:dyDescent="0.2">
      <c r="A2012" s="1209" t="s">
        <v>2971</v>
      </c>
      <c r="B2012" s="701" t="s">
        <v>1218</v>
      </c>
      <c r="C2012" s="702" t="s">
        <v>1339</v>
      </c>
      <c r="D2012" s="703" t="s">
        <v>2972</v>
      </c>
      <c r="E2012" s="704">
        <v>88000</v>
      </c>
      <c r="F2012" s="701" t="s">
        <v>2973</v>
      </c>
      <c r="G2012" s="705" t="s">
        <v>1691</v>
      </c>
      <c r="H2012" s="706">
        <v>43759</v>
      </c>
      <c r="I2012" s="706">
        <v>43762</v>
      </c>
      <c r="J2012" s="1145" t="s">
        <v>2648</v>
      </c>
    </row>
    <row r="2013" spans="1:10" ht="22.5" x14ac:dyDescent="0.2">
      <c r="A2013" s="1209" t="s">
        <v>2974</v>
      </c>
      <c r="B2013" s="701" t="s">
        <v>1218</v>
      </c>
      <c r="C2013" s="702" t="s">
        <v>1339</v>
      </c>
      <c r="D2013" s="703" t="s">
        <v>2975</v>
      </c>
      <c r="E2013" s="704">
        <v>78900</v>
      </c>
      <c r="F2013" s="701" t="s">
        <v>2976</v>
      </c>
      <c r="G2013" s="705" t="s">
        <v>1691</v>
      </c>
      <c r="H2013" s="706">
        <v>43752</v>
      </c>
      <c r="I2013" s="706">
        <v>43759</v>
      </c>
      <c r="J2013" s="1145" t="s">
        <v>2648</v>
      </c>
    </row>
    <row r="2014" spans="1:10" ht="22.5" x14ac:dyDescent="0.2">
      <c r="A2014" s="1209" t="s">
        <v>2977</v>
      </c>
      <c r="B2014" s="701" t="s">
        <v>1218</v>
      </c>
      <c r="C2014" s="702" t="s">
        <v>1339</v>
      </c>
      <c r="D2014" s="703" t="s">
        <v>2978</v>
      </c>
      <c r="E2014" s="704">
        <v>139990</v>
      </c>
      <c r="F2014" s="701" t="s">
        <v>2976</v>
      </c>
      <c r="G2014" s="705" t="s">
        <v>1691</v>
      </c>
      <c r="H2014" s="706">
        <v>43742</v>
      </c>
      <c r="I2014" s="706">
        <v>43751</v>
      </c>
      <c r="J2014" s="1145" t="s">
        <v>2648</v>
      </c>
    </row>
    <row r="2015" spans="1:10" ht="45" x14ac:dyDescent="0.2">
      <c r="A2015" s="1209" t="s">
        <v>2979</v>
      </c>
      <c r="B2015" s="701" t="s">
        <v>1758</v>
      </c>
      <c r="C2015" s="702" t="s">
        <v>1339</v>
      </c>
      <c r="D2015" s="703" t="s">
        <v>2980</v>
      </c>
      <c r="E2015" s="704">
        <v>45000</v>
      </c>
      <c r="F2015" s="701" t="s">
        <v>2981</v>
      </c>
      <c r="G2015" s="705" t="s">
        <v>1691</v>
      </c>
      <c r="H2015" s="706">
        <v>43705</v>
      </c>
      <c r="I2015" s="706">
        <v>43713</v>
      </c>
      <c r="J2015" s="1145" t="s">
        <v>2648</v>
      </c>
    </row>
    <row r="2016" spans="1:10" ht="33.75" x14ac:dyDescent="0.2">
      <c r="A2016" s="1209" t="s">
        <v>2982</v>
      </c>
      <c r="B2016" s="701" t="s">
        <v>1218</v>
      </c>
      <c r="C2016" s="702" t="s">
        <v>1339</v>
      </c>
      <c r="D2016" s="703" t="s">
        <v>2983</v>
      </c>
      <c r="E2016" s="704">
        <v>71051.7</v>
      </c>
      <c r="F2016" s="701" t="s">
        <v>2984</v>
      </c>
      <c r="G2016" s="705" t="s">
        <v>1691</v>
      </c>
      <c r="H2016" s="706">
        <v>43710</v>
      </c>
      <c r="I2016" s="706">
        <v>43839</v>
      </c>
      <c r="J2016" s="1145" t="s">
        <v>2648</v>
      </c>
    </row>
    <row r="2017" spans="1:10" ht="33.75" x14ac:dyDescent="0.2">
      <c r="A2017" s="1209" t="s">
        <v>2985</v>
      </c>
      <c r="B2017" s="701" t="s">
        <v>1218</v>
      </c>
      <c r="C2017" s="702" t="s">
        <v>1339</v>
      </c>
      <c r="D2017" s="703" t="s">
        <v>2986</v>
      </c>
      <c r="E2017" s="704">
        <v>53280</v>
      </c>
      <c r="F2017" s="701" t="s">
        <v>2987</v>
      </c>
      <c r="G2017" s="705" t="s">
        <v>1691</v>
      </c>
      <c r="H2017" s="706">
        <v>43705</v>
      </c>
      <c r="I2017" s="706">
        <v>43720</v>
      </c>
      <c r="J2017" s="1145" t="s">
        <v>2648</v>
      </c>
    </row>
    <row r="2018" spans="1:10" ht="33.75" x14ac:dyDescent="0.2">
      <c r="A2018" s="1209" t="s">
        <v>2988</v>
      </c>
      <c r="B2018" s="701" t="s">
        <v>1218</v>
      </c>
      <c r="C2018" s="702" t="s">
        <v>1339</v>
      </c>
      <c r="D2018" s="703" t="s">
        <v>2989</v>
      </c>
      <c r="E2018" s="704">
        <v>123750</v>
      </c>
      <c r="F2018" s="701" t="s">
        <v>2990</v>
      </c>
      <c r="G2018" s="705" t="s">
        <v>1691</v>
      </c>
      <c r="H2018" s="706">
        <v>43668</v>
      </c>
      <c r="I2018" s="706">
        <v>43683</v>
      </c>
      <c r="J2018" s="1145" t="s">
        <v>2648</v>
      </c>
    </row>
    <row r="2019" spans="1:10" ht="45" x14ac:dyDescent="0.2">
      <c r="A2019" s="1211" t="s">
        <v>2991</v>
      </c>
      <c r="B2019" s="707" t="s">
        <v>1291</v>
      </c>
      <c r="C2019" s="705" t="s">
        <v>1339</v>
      </c>
      <c r="D2019" s="708" t="s">
        <v>2992</v>
      </c>
      <c r="E2019" s="704">
        <v>112000</v>
      </c>
      <c r="F2019" s="701" t="s">
        <v>2993</v>
      </c>
      <c r="G2019" s="705" t="s">
        <v>1691</v>
      </c>
      <c r="H2019" s="706">
        <v>43662</v>
      </c>
      <c r="I2019" s="702"/>
      <c r="J2019" s="1145" t="s">
        <v>2648</v>
      </c>
    </row>
    <row r="2020" spans="1:10" ht="33.75" x14ac:dyDescent="0.2">
      <c r="A2020" s="1211" t="s">
        <v>2991</v>
      </c>
      <c r="B2020" s="707" t="s">
        <v>1291</v>
      </c>
      <c r="C2020" s="705" t="s">
        <v>1339</v>
      </c>
      <c r="D2020" s="708" t="s">
        <v>2992</v>
      </c>
      <c r="E2020" s="704">
        <v>110322</v>
      </c>
      <c r="F2020" s="701" t="s">
        <v>2994</v>
      </c>
      <c r="G2020" s="705" t="s">
        <v>1691</v>
      </c>
      <c r="H2020" s="706">
        <v>43677</v>
      </c>
      <c r="I2020" s="702"/>
      <c r="J2020" s="1145" t="s">
        <v>2648</v>
      </c>
    </row>
    <row r="2021" spans="1:10" ht="33.75" x14ac:dyDescent="0.2">
      <c r="A2021" s="1209" t="s">
        <v>2982</v>
      </c>
      <c r="B2021" s="701" t="s">
        <v>1291</v>
      </c>
      <c r="C2021" s="702" t="s">
        <v>1339</v>
      </c>
      <c r="D2021" s="703" t="s">
        <v>2995</v>
      </c>
      <c r="E2021" s="704">
        <v>71120</v>
      </c>
      <c r="F2021" s="702"/>
      <c r="G2021" s="705" t="s">
        <v>1089</v>
      </c>
      <c r="H2021" s="706"/>
      <c r="I2021" s="702"/>
      <c r="J2021" s="1145" t="s">
        <v>2648</v>
      </c>
    </row>
    <row r="2022" spans="1:10" ht="33.75" x14ac:dyDescent="0.2">
      <c r="A2022" s="1209" t="s">
        <v>2996</v>
      </c>
      <c r="B2022" s="701" t="s">
        <v>1218</v>
      </c>
      <c r="C2022" s="702" t="s">
        <v>1339</v>
      </c>
      <c r="D2022" s="703" t="s">
        <v>2997</v>
      </c>
      <c r="E2022" s="704">
        <v>34236</v>
      </c>
      <c r="F2022" s="701" t="s">
        <v>2998</v>
      </c>
      <c r="G2022" s="705" t="s">
        <v>1691</v>
      </c>
      <c r="H2022" s="706" t="s">
        <v>2999</v>
      </c>
      <c r="I2022" s="706">
        <v>43829</v>
      </c>
      <c r="J2022" s="1145" t="s">
        <v>2648</v>
      </c>
    </row>
    <row r="2023" spans="1:10" ht="33.75" x14ac:dyDescent="0.2">
      <c r="A2023" s="1209" t="s">
        <v>2982</v>
      </c>
      <c r="B2023" s="701" t="s">
        <v>1291</v>
      </c>
      <c r="C2023" s="702" t="s">
        <v>1339</v>
      </c>
      <c r="D2023" s="703" t="s">
        <v>3000</v>
      </c>
      <c r="E2023" s="704">
        <v>71120</v>
      </c>
      <c r="F2023" s="702"/>
      <c r="G2023" s="705" t="s">
        <v>1089</v>
      </c>
      <c r="H2023" s="706"/>
      <c r="I2023" s="702"/>
      <c r="J2023" s="1145" t="s">
        <v>2648</v>
      </c>
    </row>
    <row r="2024" spans="1:10" ht="56.25" x14ac:dyDescent="0.2">
      <c r="A2024" s="1209" t="s">
        <v>3001</v>
      </c>
      <c r="B2024" s="701" t="s">
        <v>1758</v>
      </c>
      <c r="C2024" s="702" t="s">
        <v>1339</v>
      </c>
      <c r="D2024" s="703" t="s">
        <v>3002</v>
      </c>
      <c r="E2024" s="704">
        <v>62400</v>
      </c>
      <c r="F2024" s="701" t="s">
        <v>3003</v>
      </c>
      <c r="G2024" s="705" t="s">
        <v>1691</v>
      </c>
      <c r="H2024" s="709"/>
      <c r="I2024" s="706"/>
      <c r="J2024" s="1212" t="s">
        <v>3004</v>
      </c>
    </row>
    <row r="2025" spans="1:10" ht="78.75" x14ac:dyDescent="0.2">
      <c r="A2025" s="1209" t="s">
        <v>3005</v>
      </c>
      <c r="B2025" s="701" t="s">
        <v>1758</v>
      </c>
      <c r="C2025" s="702" t="s">
        <v>1339</v>
      </c>
      <c r="D2025" s="703" t="s">
        <v>3006</v>
      </c>
      <c r="E2025" s="704">
        <v>60150</v>
      </c>
      <c r="F2025" s="701" t="s">
        <v>3007</v>
      </c>
      <c r="G2025" s="705" t="s">
        <v>1691</v>
      </c>
      <c r="H2025" s="706">
        <v>44098</v>
      </c>
      <c r="I2025" s="702"/>
      <c r="J2025" s="1145" t="s">
        <v>2648</v>
      </c>
    </row>
    <row r="2026" spans="1:10" ht="78.75" x14ac:dyDescent="0.2">
      <c r="A2026" s="1209" t="s">
        <v>3008</v>
      </c>
      <c r="B2026" s="701" t="s">
        <v>2084</v>
      </c>
      <c r="C2026" s="702" t="s">
        <v>1339</v>
      </c>
      <c r="D2026" s="703" t="s">
        <v>3009</v>
      </c>
      <c r="E2026" s="704">
        <v>253308.9</v>
      </c>
      <c r="F2026" s="701" t="s">
        <v>3010</v>
      </c>
      <c r="G2026" s="705" t="s">
        <v>1691</v>
      </c>
      <c r="H2026" s="706">
        <v>44078</v>
      </c>
      <c r="I2026" s="706"/>
      <c r="J2026" s="1145" t="s">
        <v>2648</v>
      </c>
    </row>
    <row r="2027" spans="1:10" ht="78.75" x14ac:dyDescent="0.2">
      <c r="A2027" s="1209" t="s">
        <v>3011</v>
      </c>
      <c r="B2027" s="701" t="s">
        <v>1218</v>
      </c>
      <c r="C2027" s="702" t="s">
        <v>1339</v>
      </c>
      <c r="D2027" s="703" t="s">
        <v>3012</v>
      </c>
      <c r="E2027" s="704">
        <v>99940</v>
      </c>
      <c r="F2027" s="701"/>
      <c r="G2027" s="705" t="s">
        <v>1089</v>
      </c>
      <c r="H2027" s="706"/>
      <c r="I2027" s="702"/>
      <c r="J2027" s="1210" t="s">
        <v>3013</v>
      </c>
    </row>
    <row r="2028" spans="1:10" ht="78.75" x14ac:dyDescent="0.2">
      <c r="A2028" s="1209" t="s">
        <v>3014</v>
      </c>
      <c r="B2028" s="701" t="s">
        <v>1291</v>
      </c>
      <c r="C2028" s="702" t="s">
        <v>1339</v>
      </c>
      <c r="D2028" s="703" t="s">
        <v>3015</v>
      </c>
      <c r="E2028" s="704">
        <v>729446.40000000002</v>
      </c>
      <c r="F2028" s="701" t="s">
        <v>3016</v>
      </c>
      <c r="G2028" s="705" t="s">
        <v>1691</v>
      </c>
      <c r="H2028" s="706">
        <v>44069</v>
      </c>
      <c r="I2028" s="702"/>
      <c r="J2028" s="1145" t="s">
        <v>2648</v>
      </c>
    </row>
    <row r="2029" spans="1:10" ht="45" x14ac:dyDescent="0.2">
      <c r="A2029" s="1209" t="s">
        <v>3017</v>
      </c>
      <c r="B2029" s="701" t="s">
        <v>1758</v>
      </c>
      <c r="C2029" s="702" t="s">
        <v>1339</v>
      </c>
      <c r="D2029" s="703" t="s">
        <v>3018</v>
      </c>
      <c r="E2029" s="704">
        <v>61722</v>
      </c>
      <c r="F2029" s="701" t="s">
        <v>3019</v>
      </c>
      <c r="G2029" s="705" t="s">
        <v>1691</v>
      </c>
      <c r="H2029" s="706">
        <v>44041</v>
      </c>
      <c r="I2029" s="706" t="s">
        <v>2954</v>
      </c>
      <c r="J2029" s="1210" t="s">
        <v>2955</v>
      </c>
    </row>
    <row r="2030" spans="1:10" ht="56.25" x14ac:dyDescent="0.2">
      <c r="A2030" s="1209" t="s">
        <v>3020</v>
      </c>
      <c r="B2030" s="701" t="s">
        <v>2084</v>
      </c>
      <c r="C2030" s="702" t="s">
        <v>1339</v>
      </c>
      <c r="D2030" s="703" t="s">
        <v>3021</v>
      </c>
      <c r="E2030" s="704">
        <v>52500</v>
      </c>
      <c r="F2030" s="701" t="s">
        <v>3022</v>
      </c>
      <c r="G2030" s="705" t="s">
        <v>1691</v>
      </c>
      <c r="H2030" s="706">
        <v>44018</v>
      </c>
      <c r="I2030" s="706"/>
      <c r="J2030" s="1145" t="s">
        <v>2648</v>
      </c>
    </row>
    <row r="2031" spans="1:10" ht="33.75" x14ac:dyDescent="0.2">
      <c r="A2031" s="1209" t="s">
        <v>3023</v>
      </c>
      <c r="B2031" s="701" t="s">
        <v>1218</v>
      </c>
      <c r="C2031" s="702" t="s">
        <v>1339</v>
      </c>
      <c r="D2031" s="703" t="s">
        <v>3024</v>
      </c>
      <c r="E2031" s="704">
        <v>49000</v>
      </c>
      <c r="F2031" s="701"/>
      <c r="G2031" s="705" t="s">
        <v>1089</v>
      </c>
      <c r="H2031" s="706"/>
      <c r="I2031" s="706"/>
      <c r="J2031" s="1210" t="s">
        <v>3013</v>
      </c>
    </row>
    <row r="2032" spans="1:10" ht="45" x14ac:dyDescent="0.2">
      <c r="A2032" s="1209" t="s">
        <v>3025</v>
      </c>
      <c r="B2032" s="701" t="s">
        <v>1291</v>
      </c>
      <c r="C2032" s="702" t="s">
        <v>1339</v>
      </c>
      <c r="D2032" s="703" t="s">
        <v>3026</v>
      </c>
      <c r="E2032" s="704">
        <v>95000</v>
      </c>
      <c r="F2032" s="701" t="s">
        <v>3027</v>
      </c>
      <c r="G2032" s="705" t="s">
        <v>1691</v>
      </c>
      <c r="H2032" s="706">
        <v>44025</v>
      </c>
      <c r="I2032" s="706"/>
      <c r="J2032" s="1145" t="s">
        <v>2648</v>
      </c>
    </row>
    <row r="2033" spans="1:10" ht="33.75" x14ac:dyDescent="0.2">
      <c r="A2033" s="1209" t="s">
        <v>3028</v>
      </c>
      <c r="B2033" s="701" t="s">
        <v>1218</v>
      </c>
      <c r="C2033" s="702" t="s">
        <v>1339</v>
      </c>
      <c r="D2033" s="703" t="s">
        <v>3029</v>
      </c>
      <c r="E2033" s="704">
        <v>64500</v>
      </c>
      <c r="F2033" s="701" t="s">
        <v>3030</v>
      </c>
      <c r="G2033" s="705" t="s">
        <v>1691</v>
      </c>
      <c r="H2033" s="706">
        <v>44012</v>
      </c>
      <c r="I2033" s="706"/>
      <c r="J2033" s="1145" t="s">
        <v>2648</v>
      </c>
    </row>
    <row r="2034" spans="1:10" ht="45" x14ac:dyDescent="0.2">
      <c r="A2034" s="1209" t="s">
        <v>3031</v>
      </c>
      <c r="B2034" s="701" t="s">
        <v>1291</v>
      </c>
      <c r="C2034" s="702" t="s">
        <v>1339</v>
      </c>
      <c r="D2034" s="703" t="s">
        <v>3032</v>
      </c>
      <c r="E2034" s="704">
        <v>69654</v>
      </c>
      <c r="F2034" s="701" t="s">
        <v>2994</v>
      </c>
      <c r="G2034" s="705" t="s">
        <v>1691</v>
      </c>
      <c r="H2034" s="706">
        <v>44001</v>
      </c>
      <c r="I2034" s="706"/>
      <c r="J2034" s="1145" t="s">
        <v>2648</v>
      </c>
    </row>
    <row r="2035" spans="1:10" ht="45" x14ac:dyDescent="0.2">
      <c r="A2035" s="1209" t="s">
        <v>3033</v>
      </c>
      <c r="B2035" s="701" t="s">
        <v>1758</v>
      </c>
      <c r="C2035" s="702" t="s">
        <v>1339</v>
      </c>
      <c r="D2035" s="703" t="s">
        <v>3034</v>
      </c>
      <c r="E2035" s="704">
        <v>41000</v>
      </c>
      <c r="F2035" s="710" t="s">
        <v>2958</v>
      </c>
      <c r="G2035" s="705" t="s">
        <v>1691</v>
      </c>
      <c r="H2035" s="706">
        <v>43990</v>
      </c>
      <c r="I2035" s="706"/>
      <c r="J2035" s="1145" t="s">
        <v>2648</v>
      </c>
    </row>
    <row r="2036" spans="1:10" ht="45" x14ac:dyDescent="0.2">
      <c r="A2036" s="1209" t="s">
        <v>3035</v>
      </c>
      <c r="B2036" s="701" t="s">
        <v>1758</v>
      </c>
      <c r="C2036" s="702" t="s">
        <v>1339</v>
      </c>
      <c r="D2036" s="703" t="s">
        <v>3036</v>
      </c>
      <c r="E2036" s="704">
        <v>51975</v>
      </c>
      <c r="F2036" s="701" t="s">
        <v>3037</v>
      </c>
      <c r="G2036" s="705" t="s">
        <v>1691</v>
      </c>
      <c r="H2036" s="706">
        <v>43990</v>
      </c>
      <c r="I2036" s="706"/>
      <c r="J2036" s="1145" t="s">
        <v>2648</v>
      </c>
    </row>
    <row r="2037" spans="1:10" ht="56.25" x14ac:dyDescent="0.2">
      <c r="A2037" s="1209" t="s">
        <v>3038</v>
      </c>
      <c r="B2037" s="701" t="s">
        <v>2084</v>
      </c>
      <c r="C2037" s="702" t="s">
        <v>1339</v>
      </c>
      <c r="D2037" s="703" t="s">
        <v>3039</v>
      </c>
      <c r="E2037" s="704">
        <v>182430</v>
      </c>
      <c r="F2037" s="701" t="s">
        <v>3040</v>
      </c>
      <c r="G2037" s="705" t="s">
        <v>1691</v>
      </c>
      <c r="H2037" s="706">
        <v>43943</v>
      </c>
      <c r="I2037" s="706"/>
      <c r="J2037" s="1210" t="s">
        <v>3041</v>
      </c>
    </row>
    <row r="2038" spans="1:10" ht="49.5" customHeight="1" x14ac:dyDescent="0.2">
      <c r="A2038" s="1209" t="s">
        <v>3042</v>
      </c>
      <c r="B2038" s="701" t="s">
        <v>1218</v>
      </c>
      <c r="C2038" s="702" t="s">
        <v>1339</v>
      </c>
      <c r="D2038" s="703" t="s">
        <v>3043</v>
      </c>
      <c r="E2038" s="704">
        <v>54900</v>
      </c>
      <c r="F2038" s="701" t="s">
        <v>3044</v>
      </c>
      <c r="G2038" s="705" t="s">
        <v>1691</v>
      </c>
      <c r="H2038" s="706">
        <v>43973</v>
      </c>
      <c r="I2038" s="702"/>
      <c r="J2038" s="1145" t="s">
        <v>2648</v>
      </c>
    </row>
    <row r="2039" spans="1:10" ht="45" x14ac:dyDescent="0.2">
      <c r="A2039" s="1209" t="s">
        <v>3045</v>
      </c>
      <c r="B2039" s="701" t="s">
        <v>1218</v>
      </c>
      <c r="C2039" s="702" t="s">
        <v>1339</v>
      </c>
      <c r="D2039" s="703" t="s">
        <v>3046</v>
      </c>
      <c r="E2039" s="704">
        <v>43200</v>
      </c>
      <c r="F2039" s="701" t="s">
        <v>3044</v>
      </c>
      <c r="G2039" s="705" t="s">
        <v>1691</v>
      </c>
      <c r="H2039" s="706">
        <v>43973</v>
      </c>
      <c r="I2039" s="702"/>
      <c r="J2039" s="1145" t="s">
        <v>2648</v>
      </c>
    </row>
    <row r="2040" spans="1:10" ht="45" x14ac:dyDescent="0.2">
      <c r="A2040" s="1211" t="s">
        <v>3047</v>
      </c>
      <c r="B2040" s="707" t="s">
        <v>1291</v>
      </c>
      <c r="C2040" s="707" t="s">
        <v>1339</v>
      </c>
      <c r="D2040" s="708" t="s">
        <v>3048</v>
      </c>
      <c r="E2040" s="704">
        <v>126000</v>
      </c>
      <c r="F2040" s="701" t="s">
        <v>3027</v>
      </c>
      <c r="G2040" s="705" t="s">
        <v>1691</v>
      </c>
      <c r="H2040" s="706">
        <v>43963</v>
      </c>
      <c r="I2040" s="702"/>
      <c r="J2040" s="1145" t="s">
        <v>2648</v>
      </c>
    </row>
    <row r="2041" spans="1:10" ht="33.75" x14ac:dyDescent="0.2">
      <c r="A2041" s="1211" t="s">
        <v>3047</v>
      </c>
      <c r="B2041" s="707" t="s">
        <v>1291</v>
      </c>
      <c r="C2041" s="707" t="s">
        <v>1339</v>
      </c>
      <c r="D2041" s="708" t="s">
        <v>3048</v>
      </c>
      <c r="E2041" s="704">
        <v>33570</v>
      </c>
      <c r="F2041" s="701" t="s">
        <v>2994</v>
      </c>
      <c r="G2041" s="705" t="s">
        <v>1691</v>
      </c>
      <c r="H2041" s="706">
        <v>43971</v>
      </c>
      <c r="I2041" s="702"/>
      <c r="J2041" s="1145" t="s">
        <v>2648</v>
      </c>
    </row>
    <row r="2042" spans="1:10" ht="33.75" x14ac:dyDescent="0.2">
      <c r="A2042" s="1209" t="s">
        <v>3049</v>
      </c>
      <c r="B2042" s="701" t="s">
        <v>1758</v>
      </c>
      <c r="C2042" s="702" t="s">
        <v>1339</v>
      </c>
      <c r="D2042" s="703" t="s">
        <v>3050</v>
      </c>
      <c r="E2042" s="704">
        <v>42706.2</v>
      </c>
      <c r="F2042" s="701" t="s">
        <v>3051</v>
      </c>
      <c r="G2042" s="705" t="s">
        <v>1691</v>
      </c>
      <c r="H2042" s="706">
        <v>43889</v>
      </c>
      <c r="I2042" s="706"/>
      <c r="J2042" s="1145" t="s">
        <v>2648</v>
      </c>
    </row>
    <row r="2043" spans="1:10" ht="56.25" x14ac:dyDescent="0.2">
      <c r="A2043" s="1209" t="s">
        <v>3001</v>
      </c>
      <c r="B2043" s="701"/>
      <c r="C2043" s="702"/>
      <c r="D2043" s="703"/>
      <c r="E2043" s="704">
        <v>62400</v>
      </c>
      <c r="F2043" s="701"/>
      <c r="G2043" s="705"/>
      <c r="H2043" s="709"/>
      <c r="I2043" s="706"/>
      <c r="J2043" s="1145" t="s">
        <v>2648</v>
      </c>
    </row>
    <row r="2044" spans="1:10" ht="78.75" x14ac:dyDescent="0.2">
      <c r="A2044" s="1209" t="s">
        <v>3005</v>
      </c>
      <c r="B2044" s="701"/>
      <c r="C2044" s="702"/>
      <c r="D2044" s="703"/>
      <c r="E2044" s="704">
        <v>60150</v>
      </c>
      <c r="F2044" s="701"/>
      <c r="G2044" s="705"/>
      <c r="H2044" s="706"/>
      <c r="I2044" s="702"/>
      <c r="J2044" s="1145" t="s">
        <v>2648</v>
      </c>
    </row>
    <row r="2045" spans="1:10" ht="78.75" x14ac:dyDescent="0.2">
      <c r="A2045" s="1209" t="s">
        <v>3008</v>
      </c>
      <c r="B2045" s="701"/>
      <c r="C2045" s="702"/>
      <c r="D2045" s="703"/>
      <c r="E2045" s="704">
        <v>253308.9</v>
      </c>
      <c r="F2045" s="701"/>
      <c r="G2045" s="705"/>
      <c r="H2045" s="706"/>
      <c r="I2045" s="706"/>
      <c r="J2045" s="1145" t="s">
        <v>2648</v>
      </c>
    </row>
    <row r="2046" spans="1:10" ht="78.75" x14ac:dyDescent="0.2">
      <c r="A2046" s="1209" t="s">
        <v>3011</v>
      </c>
      <c r="B2046" s="701"/>
      <c r="C2046" s="702"/>
      <c r="D2046" s="703"/>
      <c r="E2046" s="704">
        <v>99940</v>
      </c>
      <c r="F2046" s="701"/>
      <c r="G2046" s="705"/>
      <c r="H2046" s="706"/>
      <c r="I2046" s="702"/>
      <c r="J2046" s="1145" t="s">
        <v>2648</v>
      </c>
    </row>
    <row r="2047" spans="1:10" ht="78.75" x14ac:dyDescent="0.2">
      <c r="A2047" s="1209" t="s">
        <v>3014</v>
      </c>
      <c r="B2047" s="701"/>
      <c r="C2047" s="702"/>
      <c r="D2047" s="703"/>
      <c r="E2047" s="704">
        <v>729446.40000000002</v>
      </c>
      <c r="F2047" s="701"/>
      <c r="G2047" s="705"/>
      <c r="H2047" s="706"/>
      <c r="I2047" s="702"/>
      <c r="J2047" s="1145" t="s">
        <v>2648</v>
      </c>
    </row>
    <row r="2048" spans="1:10" ht="45" x14ac:dyDescent="0.2">
      <c r="A2048" s="1209" t="s">
        <v>3017</v>
      </c>
      <c r="B2048" s="701"/>
      <c r="C2048" s="702"/>
      <c r="D2048" s="703"/>
      <c r="E2048" s="704">
        <v>61722</v>
      </c>
      <c r="F2048" s="701"/>
      <c r="G2048" s="705"/>
      <c r="H2048" s="706"/>
      <c r="I2048" s="706"/>
      <c r="J2048" s="1145" t="s">
        <v>2648</v>
      </c>
    </row>
    <row r="2049" spans="1:10" ht="56.25" x14ac:dyDescent="0.2">
      <c r="A2049" s="1209" t="s">
        <v>3020</v>
      </c>
      <c r="B2049" s="701"/>
      <c r="C2049" s="702"/>
      <c r="D2049" s="703"/>
      <c r="E2049" s="704">
        <v>52500</v>
      </c>
      <c r="F2049" s="701"/>
      <c r="G2049" s="705"/>
      <c r="H2049" s="706"/>
      <c r="I2049" s="706"/>
      <c r="J2049" s="1145" t="s">
        <v>2648</v>
      </c>
    </row>
    <row r="2050" spans="1:10" ht="33.75" x14ac:dyDescent="0.2">
      <c r="A2050" s="1209" t="s">
        <v>3023</v>
      </c>
      <c r="B2050" s="701"/>
      <c r="C2050" s="702"/>
      <c r="D2050" s="703"/>
      <c r="E2050" s="704">
        <v>49000</v>
      </c>
      <c r="F2050" s="701"/>
      <c r="G2050" s="705"/>
      <c r="H2050" s="706"/>
      <c r="I2050" s="706"/>
      <c r="J2050" s="1145" t="s">
        <v>2648</v>
      </c>
    </row>
    <row r="2051" spans="1:10" ht="45" x14ac:dyDescent="0.2">
      <c r="A2051" s="1209" t="s">
        <v>3025</v>
      </c>
      <c r="B2051" s="701"/>
      <c r="C2051" s="702"/>
      <c r="D2051" s="703"/>
      <c r="E2051" s="704">
        <v>95000</v>
      </c>
      <c r="F2051" s="701"/>
      <c r="G2051" s="705"/>
      <c r="H2051" s="706"/>
      <c r="I2051" s="706"/>
      <c r="J2051" s="1145" t="s">
        <v>2648</v>
      </c>
    </row>
    <row r="2052" spans="1:10" ht="33.75" customHeight="1" x14ac:dyDescent="0.2">
      <c r="A2052" s="1209" t="s">
        <v>3028</v>
      </c>
      <c r="B2052" s="701"/>
      <c r="C2052" s="702"/>
      <c r="D2052" s="703"/>
      <c r="E2052" s="704">
        <v>64500</v>
      </c>
      <c r="F2052" s="701"/>
      <c r="G2052" s="705"/>
      <c r="H2052" s="706"/>
      <c r="I2052" s="706"/>
      <c r="J2052" s="1145" t="s">
        <v>2648</v>
      </c>
    </row>
    <row r="2053" spans="1:10" ht="56.25" customHeight="1" x14ac:dyDescent="0.2">
      <c r="A2053" s="1209" t="s">
        <v>3031</v>
      </c>
      <c r="B2053" s="701"/>
      <c r="C2053" s="702"/>
      <c r="D2053" s="703"/>
      <c r="E2053" s="704">
        <v>69654</v>
      </c>
      <c r="F2053" s="701"/>
      <c r="G2053" s="705"/>
      <c r="H2053" s="706"/>
      <c r="I2053" s="706"/>
      <c r="J2053" s="1145" t="s">
        <v>2648</v>
      </c>
    </row>
    <row r="2054" spans="1:10" ht="45" x14ac:dyDescent="0.2">
      <c r="A2054" s="1209" t="s">
        <v>3033</v>
      </c>
      <c r="B2054" s="701"/>
      <c r="C2054" s="702"/>
      <c r="D2054" s="703"/>
      <c r="E2054" s="704">
        <v>41000</v>
      </c>
      <c r="F2054" s="710"/>
      <c r="G2054" s="705"/>
      <c r="H2054" s="706"/>
      <c r="I2054" s="706"/>
      <c r="J2054" s="1145" t="s">
        <v>2648</v>
      </c>
    </row>
    <row r="2055" spans="1:10" ht="33.75" x14ac:dyDescent="0.2">
      <c r="A2055" s="1209" t="s">
        <v>3035</v>
      </c>
      <c r="B2055" s="701"/>
      <c r="C2055" s="702"/>
      <c r="D2055" s="703"/>
      <c r="E2055" s="704">
        <v>51975</v>
      </c>
      <c r="F2055" s="701"/>
      <c r="G2055" s="705"/>
      <c r="H2055" s="706"/>
      <c r="I2055" s="706"/>
      <c r="J2055" s="1145" t="s">
        <v>2648</v>
      </c>
    </row>
    <row r="2056" spans="1:10" ht="22.5" x14ac:dyDescent="0.2">
      <c r="A2056" s="1209" t="s">
        <v>3038</v>
      </c>
      <c r="B2056" s="701"/>
      <c r="C2056" s="702"/>
      <c r="D2056" s="703"/>
      <c r="E2056" s="704">
        <v>182430</v>
      </c>
      <c r="F2056" s="701"/>
      <c r="G2056" s="705"/>
      <c r="H2056" s="706"/>
      <c r="I2056" s="706"/>
      <c r="J2056" s="1145" t="s">
        <v>2648</v>
      </c>
    </row>
    <row r="2057" spans="1:10" ht="33.75" x14ac:dyDescent="0.2">
      <c r="A2057" s="1209" t="s">
        <v>3042</v>
      </c>
      <c r="B2057" s="701"/>
      <c r="C2057" s="702"/>
      <c r="D2057" s="703"/>
      <c r="E2057" s="704">
        <v>54900</v>
      </c>
      <c r="F2057" s="701"/>
      <c r="G2057" s="705"/>
      <c r="H2057" s="706"/>
      <c r="I2057" s="702"/>
      <c r="J2057" s="1145" t="s">
        <v>2648</v>
      </c>
    </row>
    <row r="2058" spans="1:10" ht="45" x14ac:dyDescent="0.2">
      <c r="A2058" s="1209" t="s">
        <v>3045</v>
      </c>
      <c r="B2058" s="701"/>
      <c r="C2058" s="702"/>
      <c r="D2058" s="703"/>
      <c r="E2058" s="704">
        <v>43200</v>
      </c>
      <c r="F2058" s="701"/>
      <c r="G2058" s="705"/>
      <c r="H2058" s="706"/>
      <c r="I2058" s="702"/>
      <c r="J2058" s="1145" t="s">
        <v>2648</v>
      </c>
    </row>
    <row r="2059" spans="1:10" ht="36" customHeight="1" x14ac:dyDescent="0.2">
      <c r="A2059" s="1211" t="s">
        <v>3047</v>
      </c>
      <c r="B2059" s="707"/>
      <c r="C2059" s="707"/>
      <c r="D2059" s="708"/>
      <c r="E2059" s="704">
        <v>126000</v>
      </c>
      <c r="F2059" s="701"/>
      <c r="G2059" s="705"/>
      <c r="H2059" s="706"/>
      <c r="I2059" s="702"/>
      <c r="J2059" s="1145" t="s">
        <v>2648</v>
      </c>
    </row>
    <row r="2060" spans="1:10" ht="22.5" x14ac:dyDescent="0.2">
      <c r="A2060" s="1211" t="s">
        <v>3047</v>
      </c>
      <c r="B2060" s="707"/>
      <c r="C2060" s="707"/>
      <c r="D2060" s="708"/>
      <c r="E2060" s="704">
        <v>33570</v>
      </c>
      <c r="F2060" s="701"/>
      <c r="G2060" s="705"/>
      <c r="H2060" s="706"/>
      <c r="I2060" s="702"/>
      <c r="J2060" s="1145" t="s">
        <v>2648</v>
      </c>
    </row>
    <row r="2061" spans="1:10" ht="34.5" thickBot="1" x14ac:dyDescent="0.25">
      <c r="A2061" s="1209" t="s">
        <v>3049</v>
      </c>
      <c r="B2061" s="701"/>
      <c r="C2061" s="702"/>
      <c r="D2061" s="703"/>
      <c r="E2061" s="704">
        <v>42706.2</v>
      </c>
      <c r="F2061" s="701"/>
      <c r="G2061" s="705"/>
      <c r="H2061" s="706"/>
      <c r="I2061" s="706"/>
      <c r="J2061" s="1145" t="s">
        <v>2648</v>
      </c>
    </row>
    <row r="2062" spans="1:10" ht="33.75" customHeight="1" x14ac:dyDescent="0.2">
      <c r="A2062" s="692" t="s">
        <v>3052</v>
      </c>
      <c r="B2062" s="693"/>
      <c r="C2062" s="693"/>
      <c r="D2062" s="693"/>
      <c r="E2062" s="693"/>
      <c r="F2062" s="693"/>
      <c r="G2062" s="693"/>
      <c r="H2062" s="693"/>
      <c r="I2062" s="693"/>
      <c r="J2062" s="694"/>
    </row>
    <row r="2063" spans="1:10" ht="50.1" customHeight="1" x14ac:dyDescent="0.2">
      <c r="A2063" s="1155" t="s">
        <v>12970</v>
      </c>
      <c r="B2063" s="1015" t="s">
        <v>1218</v>
      </c>
      <c r="C2063" s="1015" t="s">
        <v>2074</v>
      </c>
      <c r="D2063" s="1015" t="s">
        <v>12971</v>
      </c>
      <c r="E2063" s="1031">
        <v>42960</v>
      </c>
      <c r="F2063" s="1015">
        <v>20600508432</v>
      </c>
      <c r="G2063" s="1017" t="s">
        <v>1691</v>
      </c>
      <c r="H2063" s="1019">
        <v>43609</v>
      </c>
      <c r="I2063" s="1019">
        <v>43982</v>
      </c>
      <c r="J2063" s="1149"/>
    </row>
    <row r="2064" spans="1:10" s="81" customFormat="1" ht="50.1" customHeight="1" x14ac:dyDescent="0.2">
      <c r="A2064" s="1155" t="s">
        <v>12972</v>
      </c>
      <c r="B2064" s="1015" t="s">
        <v>1218</v>
      </c>
      <c r="C2064" s="1015" t="s">
        <v>2074</v>
      </c>
      <c r="D2064" s="1015" t="s">
        <v>12973</v>
      </c>
      <c r="E2064" s="1031">
        <v>65396</v>
      </c>
      <c r="F2064" s="1015">
        <v>20370452505</v>
      </c>
      <c r="G2064" s="1017" t="s">
        <v>1691</v>
      </c>
      <c r="H2064" s="1019">
        <v>43620</v>
      </c>
      <c r="I2064" s="1019">
        <v>44020</v>
      </c>
      <c r="J2064" s="1149"/>
    </row>
    <row r="2065" spans="1:10" s="81" customFormat="1" ht="50.1" customHeight="1" x14ac:dyDescent="0.2">
      <c r="A2065" s="1155" t="s">
        <v>12974</v>
      </c>
      <c r="B2065" s="1015" t="s">
        <v>1218</v>
      </c>
      <c r="C2065" s="1015" t="s">
        <v>2074</v>
      </c>
      <c r="D2065" s="1015" t="s">
        <v>12975</v>
      </c>
      <c r="E2065" s="1031">
        <v>46250</v>
      </c>
      <c r="F2065" s="1015">
        <v>20490436783</v>
      </c>
      <c r="G2065" s="1017" t="s">
        <v>1691</v>
      </c>
      <c r="H2065" s="1019">
        <v>43635</v>
      </c>
      <c r="I2065" s="1019">
        <v>43830</v>
      </c>
      <c r="J2065" s="1149"/>
    </row>
    <row r="2066" spans="1:10" s="81" customFormat="1" ht="50.1" customHeight="1" x14ac:dyDescent="0.2">
      <c r="A2066" s="1155" t="s">
        <v>12976</v>
      </c>
      <c r="B2066" s="1015" t="s">
        <v>1218</v>
      </c>
      <c r="C2066" s="1015" t="s">
        <v>2074</v>
      </c>
      <c r="D2066" s="1015" t="s">
        <v>12977</v>
      </c>
      <c r="E2066" s="1031">
        <v>179050</v>
      </c>
      <c r="F2066" s="1015">
        <v>20544150104</v>
      </c>
      <c r="G2066" s="1017" t="s">
        <v>1691</v>
      </c>
      <c r="H2066" s="1019">
        <v>43637</v>
      </c>
      <c r="I2066" s="1019">
        <v>43647</v>
      </c>
      <c r="J2066" s="1149"/>
    </row>
    <row r="2067" spans="1:10" s="81" customFormat="1" ht="50.1" customHeight="1" x14ac:dyDescent="0.2">
      <c r="A2067" s="1155" t="s">
        <v>12978</v>
      </c>
      <c r="B2067" s="1015" t="s">
        <v>1218</v>
      </c>
      <c r="C2067" s="1015" t="s">
        <v>2074</v>
      </c>
      <c r="D2067" s="1015" t="s">
        <v>12979</v>
      </c>
      <c r="E2067" s="1031">
        <v>252000</v>
      </c>
      <c r="F2067" s="1015">
        <v>20600508432</v>
      </c>
      <c r="G2067" s="1017" t="s">
        <v>1691</v>
      </c>
      <c r="H2067" s="1019">
        <v>43692</v>
      </c>
      <c r="I2067" s="1019">
        <v>44065</v>
      </c>
      <c r="J2067" s="1149"/>
    </row>
    <row r="2068" spans="1:10" s="81" customFormat="1" ht="50.1" customHeight="1" x14ac:dyDescent="0.2">
      <c r="A2068" s="1155" t="s">
        <v>12980</v>
      </c>
      <c r="B2068" s="1015" t="s">
        <v>1218</v>
      </c>
      <c r="C2068" s="1015" t="s">
        <v>2074</v>
      </c>
      <c r="D2068" s="1015" t="s">
        <v>12981</v>
      </c>
      <c r="E2068" s="1031">
        <v>76000</v>
      </c>
      <c r="F2068" s="1015">
        <v>20601406358</v>
      </c>
      <c r="G2068" s="1017" t="s">
        <v>1691</v>
      </c>
      <c r="H2068" s="1019">
        <v>43712</v>
      </c>
      <c r="I2068" s="1019">
        <v>44104</v>
      </c>
      <c r="J2068" s="1149"/>
    </row>
    <row r="2069" spans="1:10" s="81" customFormat="1" ht="50.1" customHeight="1" x14ac:dyDescent="0.2">
      <c r="A2069" s="1155" t="s">
        <v>12982</v>
      </c>
      <c r="B2069" s="1015" t="s">
        <v>1218</v>
      </c>
      <c r="C2069" s="1015" t="s">
        <v>2074</v>
      </c>
      <c r="D2069" s="1017" t="s">
        <v>12983</v>
      </c>
      <c r="E2069" s="1030">
        <v>106400</v>
      </c>
      <c r="F2069" s="1015">
        <v>20600896777</v>
      </c>
      <c r="G2069" s="1017" t="s">
        <v>1691</v>
      </c>
      <c r="H2069" s="1019">
        <v>43698</v>
      </c>
      <c r="I2069" s="1019">
        <v>43710</v>
      </c>
      <c r="J2069" s="1149"/>
    </row>
    <row r="2070" spans="1:10" s="81" customFormat="1" ht="50.1" customHeight="1" x14ac:dyDescent="0.2">
      <c r="A2070" s="1155" t="s">
        <v>12984</v>
      </c>
      <c r="B2070" s="1015" t="s">
        <v>1218</v>
      </c>
      <c r="C2070" s="1015" t="s">
        <v>2074</v>
      </c>
      <c r="D2070" s="1015" t="s">
        <v>12985</v>
      </c>
      <c r="E2070" s="1031">
        <v>230190</v>
      </c>
      <c r="F2070" s="1028" t="s">
        <v>12986</v>
      </c>
      <c r="G2070" s="1017" t="s">
        <v>1691</v>
      </c>
      <c r="H2070" s="1019" t="s">
        <v>12987</v>
      </c>
      <c r="I2070" s="1017" t="s">
        <v>12988</v>
      </c>
      <c r="J2070" s="1149"/>
    </row>
    <row r="2071" spans="1:10" s="81" customFormat="1" ht="50.1" customHeight="1" x14ac:dyDescent="0.2">
      <c r="A2071" s="1155" t="s">
        <v>12989</v>
      </c>
      <c r="B2071" s="1015" t="s">
        <v>1218</v>
      </c>
      <c r="C2071" s="1015" t="s">
        <v>2074</v>
      </c>
      <c r="D2071" s="1015" t="s">
        <v>12990</v>
      </c>
      <c r="E2071" s="1031">
        <v>362424.2</v>
      </c>
      <c r="F2071" s="440" t="s">
        <v>12991</v>
      </c>
      <c r="G2071" s="1017" t="s">
        <v>1691</v>
      </c>
      <c r="H2071" s="1029" t="s">
        <v>12992</v>
      </c>
      <c r="I2071" s="1033" t="s">
        <v>12993</v>
      </c>
      <c r="J2071" s="1149"/>
    </row>
    <row r="2072" spans="1:10" s="81" customFormat="1" ht="50.1" customHeight="1" x14ac:dyDescent="0.2">
      <c r="A2072" s="1155" t="s">
        <v>12994</v>
      </c>
      <c r="B2072" s="1015" t="s">
        <v>1218</v>
      </c>
      <c r="C2072" s="1015" t="s">
        <v>2074</v>
      </c>
      <c r="D2072" s="1015" t="s">
        <v>12995</v>
      </c>
      <c r="E2072" s="1031">
        <v>180350</v>
      </c>
      <c r="F2072" s="1015">
        <v>20415716754</v>
      </c>
      <c r="G2072" s="1017" t="s">
        <v>1691</v>
      </c>
      <c r="H2072" s="485">
        <v>43773</v>
      </c>
      <c r="I2072" s="485">
        <v>43826</v>
      </c>
      <c r="J2072" s="1149"/>
    </row>
    <row r="2073" spans="1:10" s="81" customFormat="1" ht="50.1" customHeight="1" x14ac:dyDescent="0.2">
      <c r="A2073" s="1155" t="s">
        <v>12996</v>
      </c>
      <c r="B2073" s="1015" t="s">
        <v>1218</v>
      </c>
      <c r="C2073" s="1015" t="s">
        <v>2074</v>
      </c>
      <c r="D2073" s="1015" t="s">
        <v>12997</v>
      </c>
      <c r="E2073" s="1031">
        <v>46985</v>
      </c>
      <c r="F2073" s="1015">
        <v>20600477979</v>
      </c>
      <c r="G2073" s="1017" t="s">
        <v>1691</v>
      </c>
      <c r="H2073" s="1019">
        <v>43797</v>
      </c>
      <c r="I2073" s="1019">
        <v>43816</v>
      </c>
      <c r="J2073" s="1149"/>
    </row>
    <row r="2074" spans="1:10" s="81" customFormat="1" ht="50.1" customHeight="1" x14ac:dyDescent="0.2">
      <c r="A2074" s="1155" t="s">
        <v>12998</v>
      </c>
      <c r="B2074" s="1015" t="s">
        <v>1218</v>
      </c>
      <c r="C2074" s="1015" t="s">
        <v>2074</v>
      </c>
      <c r="D2074" s="1015" t="s">
        <v>12999</v>
      </c>
      <c r="E2074" s="1031">
        <v>39990</v>
      </c>
      <c r="F2074" s="1015">
        <v>20208310730</v>
      </c>
      <c r="G2074" s="1017" t="s">
        <v>1691</v>
      </c>
      <c r="H2074" s="1019">
        <v>43773</v>
      </c>
      <c r="I2074" s="1019">
        <v>43801</v>
      </c>
      <c r="J2074" s="1149"/>
    </row>
    <row r="2075" spans="1:10" s="81" customFormat="1" ht="50.1" customHeight="1" x14ac:dyDescent="0.2">
      <c r="A2075" s="1155" t="s">
        <v>13000</v>
      </c>
      <c r="B2075" s="1015" t="s">
        <v>1218</v>
      </c>
      <c r="C2075" s="1015" t="s">
        <v>2074</v>
      </c>
      <c r="D2075" s="1015" t="s">
        <v>13001</v>
      </c>
      <c r="E2075" s="1031">
        <v>78750</v>
      </c>
      <c r="F2075" s="1015">
        <v>20470674564</v>
      </c>
      <c r="G2075" s="1017" t="s">
        <v>1691</v>
      </c>
      <c r="H2075" s="1019">
        <v>43802</v>
      </c>
      <c r="I2075" s="1019">
        <v>43820</v>
      </c>
      <c r="J2075" s="1149"/>
    </row>
    <row r="2076" spans="1:10" s="81" customFormat="1" ht="50.1" customHeight="1" x14ac:dyDescent="0.2">
      <c r="A2076" s="1155" t="s">
        <v>13002</v>
      </c>
      <c r="B2076" s="1015" t="s">
        <v>1218</v>
      </c>
      <c r="C2076" s="1015" t="s">
        <v>2074</v>
      </c>
      <c r="D2076" s="1015" t="s">
        <v>13003</v>
      </c>
      <c r="E2076" s="1031">
        <v>278777</v>
      </c>
      <c r="F2076" s="1015">
        <v>20448000126</v>
      </c>
      <c r="G2076" s="1017" t="s">
        <v>1691</v>
      </c>
      <c r="H2076" s="1019">
        <v>43798</v>
      </c>
      <c r="I2076" s="1019">
        <v>43830</v>
      </c>
      <c r="J2076" s="1149"/>
    </row>
    <row r="2077" spans="1:10" s="81" customFormat="1" ht="50.1" customHeight="1" x14ac:dyDescent="0.2">
      <c r="A2077" s="1155" t="s">
        <v>13004</v>
      </c>
      <c r="B2077" s="1015" t="s">
        <v>1218</v>
      </c>
      <c r="C2077" s="1015" t="s">
        <v>2074</v>
      </c>
      <c r="D2077" s="1015" t="s">
        <v>13005</v>
      </c>
      <c r="E2077" s="1031">
        <v>117658</v>
      </c>
      <c r="F2077" s="1015">
        <v>20470674564</v>
      </c>
      <c r="G2077" s="1017" t="s">
        <v>1691</v>
      </c>
      <c r="H2077" s="1019">
        <v>43809</v>
      </c>
      <c r="I2077" s="1019">
        <v>43832</v>
      </c>
      <c r="J2077" s="1149"/>
    </row>
    <row r="2078" spans="1:10" s="81" customFormat="1" ht="50.1" customHeight="1" x14ac:dyDescent="0.2">
      <c r="A2078" s="1155" t="s">
        <v>13006</v>
      </c>
      <c r="B2078" s="1015" t="s">
        <v>1218</v>
      </c>
      <c r="C2078" s="1015" t="s">
        <v>2074</v>
      </c>
      <c r="D2078" s="1015" t="s">
        <v>13007</v>
      </c>
      <c r="E2078" s="1031">
        <v>59580</v>
      </c>
      <c r="F2078" s="1015">
        <v>20551498019</v>
      </c>
      <c r="G2078" s="1017" t="s">
        <v>1691</v>
      </c>
      <c r="H2078" s="1019">
        <v>43822</v>
      </c>
      <c r="I2078" s="1019">
        <v>43827</v>
      </c>
      <c r="J2078" s="1149"/>
    </row>
    <row r="2079" spans="1:10" s="81" customFormat="1" ht="50.1" customHeight="1" x14ac:dyDescent="0.2">
      <c r="A2079" s="1156" t="s">
        <v>13008</v>
      </c>
      <c r="B2079" s="440" t="s">
        <v>13009</v>
      </c>
      <c r="C2079" s="1015" t="s">
        <v>2074</v>
      </c>
      <c r="D2079" s="1015" t="s">
        <v>13010</v>
      </c>
      <c r="E2079" s="1031">
        <v>192731.32</v>
      </c>
      <c r="F2079" s="440" t="s">
        <v>13011</v>
      </c>
      <c r="G2079" s="1017" t="s">
        <v>1318</v>
      </c>
      <c r="H2079" s="1019">
        <v>43628</v>
      </c>
      <c r="I2079" s="439" t="s">
        <v>13012</v>
      </c>
      <c r="J2079" s="1149"/>
    </row>
    <row r="2080" spans="1:10" s="81" customFormat="1" ht="50.1" customHeight="1" x14ac:dyDescent="0.2">
      <c r="A2080" s="1156" t="s">
        <v>13013</v>
      </c>
      <c r="B2080" s="440" t="s">
        <v>13009</v>
      </c>
      <c r="C2080" s="1015" t="s">
        <v>2074</v>
      </c>
      <c r="D2080" s="1015" t="s">
        <v>13014</v>
      </c>
      <c r="E2080" s="1031">
        <v>103922.84</v>
      </c>
      <c r="F2080" s="1015">
        <v>20277577314</v>
      </c>
      <c r="G2080" s="1017" t="s">
        <v>1318</v>
      </c>
      <c r="H2080" s="1019">
        <v>43809</v>
      </c>
      <c r="I2080" s="1017" t="s">
        <v>13012</v>
      </c>
      <c r="J2080" s="1149"/>
    </row>
    <row r="2081" spans="1:10" s="81" customFormat="1" ht="50.1" customHeight="1" x14ac:dyDescent="0.2">
      <c r="A2081" s="1155" t="s">
        <v>13015</v>
      </c>
      <c r="B2081" s="1015" t="s">
        <v>13016</v>
      </c>
      <c r="C2081" s="1015" t="s">
        <v>2074</v>
      </c>
      <c r="D2081" s="1015" t="s">
        <v>12971</v>
      </c>
      <c r="E2081" s="1031">
        <v>63000</v>
      </c>
      <c r="F2081" s="1015">
        <v>2060162249</v>
      </c>
      <c r="G2081" s="1017" t="s">
        <v>1691</v>
      </c>
      <c r="H2081" s="1019">
        <v>43572</v>
      </c>
      <c r="I2081" s="1019">
        <v>43577</v>
      </c>
      <c r="J2081" s="1149"/>
    </row>
    <row r="2082" spans="1:10" s="81" customFormat="1" ht="50.1" customHeight="1" x14ac:dyDescent="0.2">
      <c r="A2082" s="1155" t="s">
        <v>13017</v>
      </c>
      <c r="B2082" s="1015" t="s">
        <v>13016</v>
      </c>
      <c r="C2082" s="1015" t="s">
        <v>2074</v>
      </c>
      <c r="D2082" s="1015" t="s">
        <v>12973</v>
      </c>
      <c r="E2082" s="1031">
        <v>46860</v>
      </c>
      <c r="F2082" s="1015">
        <v>20602717276</v>
      </c>
      <c r="G2082" s="1017" t="s">
        <v>1691</v>
      </c>
      <c r="H2082" s="1019">
        <v>43675</v>
      </c>
      <c r="I2082" s="1019">
        <v>43691</v>
      </c>
      <c r="J2082" s="1149"/>
    </row>
    <row r="2083" spans="1:10" s="81" customFormat="1" ht="50.1" customHeight="1" x14ac:dyDescent="0.2">
      <c r="A2083" s="1155" t="s">
        <v>13018</v>
      </c>
      <c r="B2083" s="1015" t="s">
        <v>13016</v>
      </c>
      <c r="C2083" s="1015" t="s">
        <v>2074</v>
      </c>
      <c r="D2083" s="1015" t="s">
        <v>12975</v>
      </c>
      <c r="E2083" s="1031">
        <v>46230</v>
      </c>
      <c r="F2083" s="1015">
        <v>20550440823</v>
      </c>
      <c r="G2083" s="1017" t="s">
        <v>1691</v>
      </c>
      <c r="H2083" s="1019">
        <v>43592</v>
      </c>
      <c r="I2083" s="1019">
        <v>43616</v>
      </c>
      <c r="J2083" s="1149"/>
    </row>
    <row r="2084" spans="1:10" s="81" customFormat="1" ht="50.1" customHeight="1" x14ac:dyDescent="0.2">
      <c r="A2084" s="1155" t="s">
        <v>13019</v>
      </c>
      <c r="B2084" s="1015" t="s">
        <v>13016</v>
      </c>
      <c r="C2084" s="1015" t="s">
        <v>2074</v>
      </c>
      <c r="D2084" s="1015" t="s">
        <v>12977</v>
      </c>
      <c r="E2084" s="1031">
        <v>62400</v>
      </c>
      <c r="F2084" s="1015">
        <v>20537139120</v>
      </c>
      <c r="G2084" s="1017" t="s">
        <v>1691</v>
      </c>
      <c r="H2084" s="1019">
        <v>43606</v>
      </c>
      <c r="I2084" s="1019">
        <v>43613</v>
      </c>
      <c r="J2084" s="1149"/>
    </row>
    <row r="2085" spans="1:10" s="81" customFormat="1" ht="50.1" customHeight="1" x14ac:dyDescent="0.2">
      <c r="A2085" s="1155" t="s">
        <v>13020</v>
      </c>
      <c r="B2085" s="1015" t="s">
        <v>13016</v>
      </c>
      <c r="C2085" s="1015" t="s">
        <v>2074</v>
      </c>
      <c r="D2085" s="1015" t="s">
        <v>12979</v>
      </c>
      <c r="E2085" s="1031">
        <v>53080.4</v>
      </c>
      <c r="F2085" s="1015">
        <v>20600258118</v>
      </c>
      <c r="G2085" s="1017" t="s">
        <v>1691</v>
      </c>
      <c r="H2085" s="1019">
        <v>43620</v>
      </c>
      <c r="I2085" s="1019">
        <v>43630</v>
      </c>
      <c r="J2085" s="1149"/>
    </row>
    <row r="2086" spans="1:10" s="81" customFormat="1" ht="50.1" customHeight="1" x14ac:dyDescent="0.2">
      <c r="A2086" s="1155" t="s">
        <v>13021</v>
      </c>
      <c r="B2086" s="1015" t="s">
        <v>13016</v>
      </c>
      <c r="C2086" s="1015" t="s">
        <v>2074</v>
      </c>
      <c r="D2086" s="1015" t="s">
        <v>12981</v>
      </c>
      <c r="E2086" s="1031">
        <v>49995</v>
      </c>
      <c r="F2086" s="1015">
        <v>20603333242</v>
      </c>
      <c r="G2086" s="1017" t="s">
        <v>1691</v>
      </c>
      <c r="H2086" s="1019">
        <v>43642</v>
      </c>
      <c r="I2086" s="1019">
        <v>43652</v>
      </c>
      <c r="J2086" s="1149"/>
    </row>
    <row r="2087" spans="1:10" s="81" customFormat="1" ht="50.1" customHeight="1" x14ac:dyDescent="0.2">
      <c r="A2087" s="1155" t="s">
        <v>13022</v>
      </c>
      <c r="B2087" s="1015" t="s">
        <v>13016</v>
      </c>
      <c r="C2087" s="1015" t="s">
        <v>2074</v>
      </c>
      <c r="D2087" s="1015" t="s">
        <v>12983</v>
      </c>
      <c r="E2087" s="1031">
        <v>38150</v>
      </c>
      <c r="F2087" s="1015">
        <v>10437759991</v>
      </c>
      <c r="G2087" s="1017" t="s">
        <v>1691</v>
      </c>
      <c r="H2087" s="1019">
        <v>43642</v>
      </c>
      <c r="I2087" s="1019">
        <v>43646</v>
      </c>
      <c r="J2087" s="1149"/>
    </row>
    <row r="2088" spans="1:10" s="81" customFormat="1" ht="50.1" customHeight="1" x14ac:dyDescent="0.2">
      <c r="A2088" s="1155" t="s">
        <v>13023</v>
      </c>
      <c r="B2088" s="1015" t="s">
        <v>13016</v>
      </c>
      <c r="C2088" s="1015" t="s">
        <v>2074</v>
      </c>
      <c r="D2088" s="1015" t="s">
        <v>13024</v>
      </c>
      <c r="E2088" s="1031">
        <v>52150</v>
      </c>
      <c r="F2088" s="1015">
        <v>20521159732</v>
      </c>
      <c r="G2088" s="1017" t="s">
        <v>1691</v>
      </c>
      <c r="H2088" s="1019">
        <v>43644</v>
      </c>
      <c r="I2088" s="1019">
        <v>43654</v>
      </c>
      <c r="J2088" s="1149"/>
    </row>
    <row r="2089" spans="1:10" s="81" customFormat="1" ht="50.1" customHeight="1" x14ac:dyDescent="0.2">
      <c r="A2089" s="1155" t="s">
        <v>13025</v>
      </c>
      <c r="B2089" s="1015" t="s">
        <v>13016</v>
      </c>
      <c r="C2089" s="1015" t="s">
        <v>2074</v>
      </c>
      <c r="D2089" s="1015" t="s">
        <v>12985</v>
      </c>
      <c r="E2089" s="1031">
        <v>49400</v>
      </c>
      <c r="F2089" s="1015">
        <v>20603051841</v>
      </c>
      <c r="G2089" s="1017" t="s">
        <v>1691</v>
      </c>
      <c r="H2089" s="1019">
        <v>43703</v>
      </c>
      <c r="I2089" s="1019">
        <v>43716</v>
      </c>
      <c r="J2089" s="1149"/>
    </row>
    <row r="2090" spans="1:10" s="81" customFormat="1" ht="50.1" customHeight="1" x14ac:dyDescent="0.2">
      <c r="A2090" s="1155" t="s">
        <v>13026</v>
      </c>
      <c r="B2090" s="1015" t="s">
        <v>2084</v>
      </c>
      <c r="C2090" s="1015" t="s">
        <v>2074</v>
      </c>
      <c r="D2090" s="1015" t="s">
        <v>13027</v>
      </c>
      <c r="E2090" s="1031">
        <v>53200</v>
      </c>
      <c r="F2090" s="1015">
        <v>10239584778</v>
      </c>
      <c r="G2090" s="1017" t="s">
        <v>1691</v>
      </c>
      <c r="H2090" s="1019">
        <v>43929</v>
      </c>
      <c r="I2090" s="1019">
        <v>43936</v>
      </c>
      <c r="J2090" s="1149"/>
    </row>
    <row r="2091" spans="1:10" s="81" customFormat="1" ht="50.1" customHeight="1" x14ac:dyDescent="0.2">
      <c r="A2091" s="1155" t="s">
        <v>13028</v>
      </c>
      <c r="B2091" s="1015" t="s">
        <v>2084</v>
      </c>
      <c r="C2091" s="1015" t="s">
        <v>2074</v>
      </c>
      <c r="D2091" s="1015" t="s">
        <v>13029</v>
      </c>
      <c r="E2091" s="1031">
        <v>45990</v>
      </c>
      <c r="F2091" s="1015">
        <v>20600108931</v>
      </c>
      <c r="G2091" s="1017" t="s">
        <v>1691</v>
      </c>
      <c r="H2091" s="1019">
        <v>43950</v>
      </c>
      <c r="I2091" s="1019">
        <v>43954</v>
      </c>
      <c r="J2091" s="1149"/>
    </row>
    <row r="2092" spans="1:10" s="81" customFormat="1" ht="50.1" customHeight="1" x14ac:dyDescent="0.2">
      <c r="A2092" s="1155" t="s">
        <v>13030</v>
      </c>
      <c r="B2092" s="1015" t="s">
        <v>2084</v>
      </c>
      <c r="C2092" s="1015" t="s">
        <v>2074</v>
      </c>
      <c r="D2092" s="1015" t="s">
        <v>13031</v>
      </c>
      <c r="E2092" s="1031">
        <v>160808.20000000001</v>
      </c>
      <c r="F2092" s="1015">
        <v>20603261608</v>
      </c>
      <c r="G2092" s="1017" t="s">
        <v>1691</v>
      </c>
      <c r="H2092" s="1019">
        <v>43965</v>
      </c>
      <c r="I2092" s="1019">
        <v>43970</v>
      </c>
      <c r="J2092" s="1149"/>
    </row>
    <row r="2093" spans="1:10" s="81" customFormat="1" ht="50.1" customHeight="1" x14ac:dyDescent="0.2">
      <c r="A2093" s="1155" t="s">
        <v>13032</v>
      </c>
      <c r="B2093" s="1015" t="s">
        <v>2084</v>
      </c>
      <c r="C2093" s="1015" t="s">
        <v>2074</v>
      </c>
      <c r="D2093" s="1015" t="s">
        <v>13033</v>
      </c>
      <c r="E2093" s="1031">
        <v>51072</v>
      </c>
      <c r="F2093" s="1015">
        <v>10441549577</v>
      </c>
      <c r="G2093" s="1017" t="s">
        <v>1691</v>
      </c>
      <c r="H2093" s="1019">
        <v>43966</v>
      </c>
      <c r="I2093" s="1019">
        <v>43969</v>
      </c>
      <c r="J2093" s="1149"/>
    </row>
    <row r="2094" spans="1:10" s="81" customFormat="1" ht="50.1" customHeight="1" x14ac:dyDescent="0.2">
      <c r="A2094" s="1155" t="s">
        <v>13034</v>
      </c>
      <c r="B2094" s="1015" t="s">
        <v>2084</v>
      </c>
      <c r="C2094" s="1015" t="s">
        <v>2074</v>
      </c>
      <c r="D2094" s="1015" t="s">
        <v>13035</v>
      </c>
      <c r="E2094" s="1031">
        <v>228897</v>
      </c>
      <c r="F2094" s="1015">
        <v>20501887286</v>
      </c>
      <c r="G2094" s="1017" t="s">
        <v>1691</v>
      </c>
      <c r="H2094" s="1019">
        <v>43966</v>
      </c>
      <c r="I2094" s="1019">
        <v>43985</v>
      </c>
      <c r="J2094" s="1149"/>
    </row>
    <row r="2095" spans="1:10" s="81" customFormat="1" ht="50.1" customHeight="1" x14ac:dyDescent="0.2">
      <c r="A2095" s="1155" t="s">
        <v>13036</v>
      </c>
      <c r="B2095" s="1015" t="s">
        <v>2084</v>
      </c>
      <c r="C2095" s="1015" t="s">
        <v>2074</v>
      </c>
      <c r="D2095" s="1015" t="s">
        <v>13037</v>
      </c>
      <c r="E2095" s="1031">
        <v>159540</v>
      </c>
      <c r="F2095" s="1015">
        <v>20600258118</v>
      </c>
      <c r="G2095" s="1017" t="s">
        <v>1691</v>
      </c>
      <c r="H2095" s="1019">
        <v>43973</v>
      </c>
      <c r="I2095" s="1019">
        <v>43989</v>
      </c>
      <c r="J2095" s="1149"/>
    </row>
    <row r="2096" spans="1:10" s="81" customFormat="1" ht="50.1" customHeight="1" x14ac:dyDescent="0.2">
      <c r="A2096" s="1155" t="s">
        <v>13038</v>
      </c>
      <c r="B2096" s="1015" t="s">
        <v>2084</v>
      </c>
      <c r="C2096" s="1015" t="s">
        <v>2074</v>
      </c>
      <c r="D2096" s="1015" t="s">
        <v>13039</v>
      </c>
      <c r="E2096" s="1031">
        <v>198232</v>
      </c>
      <c r="F2096" s="1015">
        <v>20603427298</v>
      </c>
      <c r="G2096" s="1017" t="s">
        <v>1691</v>
      </c>
      <c r="H2096" s="1019">
        <v>43977</v>
      </c>
      <c r="I2096" s="1019">
        <v>43987</v>
      </c>
      <c r="J2096" s="1149"/>
    </row>
    <row r="2097" spans="1:10" s="81" customFormat="1" ht="50.1" customHeight="1" x14ac:dyDescent="0.2">
      <c r="A2097" s="1155" t="s">
        <v>13040</v>
      </c>
      <c r="B2097" s="1015" t="s">
        <v>2084</v>
      </c>
      <c r="C2097" s="1015" t="s">
        <v>2074</v>
      </c>
      <c r="D2097" s="1015" t="s">
        <v>13041</v>
      </c>
      <c r="E2097" s="1031">
        <v>204041.25</v>
      </c>
      <c r="F2097" s="1015">
        <v>20491231166</v>
      </c>
      <c r="G2097" s="1017" t="s">
        <v>1691</v>
      </c>
      <c r="H2097" s="1019">
        <v>44036</v>
      </c>
      <c r="I2097" s="1019">
        <v>44038</v>
      </c>
      <c r="J2097" s="1149"/>
    </row>
    <row r="2098" spans="1:10" s="81" customFormat="1" ht="50.1" customHeight="1" x14ac:dyDescent="0.2">
      <c r="A2098" s="1155" t="s">
        <v>13042</v>
      </c>
      <c r="B2098" s="1015" t="s">
        <v>2084</v>
      </c>
      <c r="C2098" s="1015" t="s">
        <v>2074</v>
      </c>
      <c r="D2098" s="1015" t="s">
        <v>13043</v>
      </c>
      <c r="E2098" s="1031">
        <v>38475</v>
      </c>
      <c r="F2098" s="1015">
        <v>20604252335</v>
      </c>
      <c r="G2098" s="1017" t="s">
        <v>1691</v>
      </c>
      <c r="H2098" s="1019">
        <v>44056</v>
      </c>
      <c r="I2098" s="1019">
        <v>44068</v>
      </c>
      <c r="J2098" s="1149"/>
    </row>
    <row r="2099" spans="1:10" s="81" customFormat="1" ht="50.1" customHeight="1" x14ac:dyDescent="0.2">
      <c r="A2099" s="1155" t="s">
        <v>13044</v>
      </c>
      <c r="B2099" s="1015" t="s">
        <v>2084</v>
      </c>
      <c r="C2099" s="1015" t="s">
        <v>2074</v>
      </c>
      <c r="D2099" s="1015" t="s">
        <v>13045</v>
      </c>
      <c r="E2099" s="1031">
        <v>100530</v>
      </c>
      <c r="F2099" s="1015">
        <v>20605423796</v>
      </c>
      <c r="G2099" s="1017" t="s">
        <v>1691</v>
      </c>
      <c r="H2099" s="1019">
        <v>44056</v>
      </c>
      <c r="I2099" s="1019">
        <v>44066</v>
      </c>
      <c r="J2099" s="1149"/>
    </row>
    <row r="2100" spans="1:10" s="81" customFormat="1" ht="50.1" customHeight="1" x14ac:dyDescent="0.2">
      <c r="A2100" s="1155" t="s">
        <v>13046</v>
      </c>
      <c r="B2100" s="1015" t="s">
        <v>2084</v>
      </c>
      <c r="C2100" s="1015" t="s">
        <v>2074</v>
      </c>
      <c r="D2100" s="1015" t="s">
        <v>13047</v>
      </c>
      <c r="E2100" s="1031">
        <v>61740</v>
      </c>
      <c r="F2100" s="1015">
        <v>10239333023</v>
      </c>
      <c r="G2100" s="1017" t="s">
        <v>1691</v>
      </c>
      <c r="H2100" s="1019">
        <v>44056</v>
      </c>
      <c r="I2100" s="1019">
        <v>44066</v>
      </c>
      <c r="J2100" s="1149"/>
    </row>
    <row r="2101" spans="1:10" s="81" customFormat="1" ht="50.1" customHeight="1" x14ac:dyDescent="0.2">
      <c r="A2101" s="1155" t="s">
        <v>13048</v>
      </c>
      <c r="B2101" s="1015" t="s">
        <v>2084</v>
      </c>
      <c r="C2101" s="1015" t="s">
        <v>2074</v>
      </c>
      <c r="D2101" s="1015" t="s">
        <v>13049</v>
      </c>
      <c r="E2101" s="1031">
        <v>88920</v>
      </c>
      <c r="F2101" s="1015">
        <v>20604774986</v>
      </c>
      <c r="G2101" s="1017" t="s">
        <v>1691</v>
      </c>
      <c r="H2101" s="1019">
        <v>44049</v>
      </c>
      <c r="I2101" s="1019">
        <v>44063</v>
      </c>
      <c r="J2101" s="1149"/>
    </row>
    <row r="2102" spans="1:10" s="81" customFormat="1" ht="50.1" customHeight="1" x14ac:dyDescent="0.2">
      <c r="A2102" s="1155" t="s">
        <v>13050</v>
      </c>
      <c r="B2102" s="1015" t="s">
        <v>2084</v>
      </c>
      <c r="C2102" s="1015" t="s">
        <v>2074</v>
      </c>
      <c r="D2102" s="1015" t="s">
        <v>13051</v>
      </c>
      <c r="E2102" s="1031">
        <v>68043.199999999997</v>
      </c>
      <c r="F2102" s="1015">
        <v>20604252335</v>
      </c>
      <c r="G2102" s="1017" t="s">
        <v>1691</v>
      </c>
      <c r="H2102" s="1019">
        <v>44068</v>
      </c>
      <c r="I2102" s="1019">
        <v>44073</v>
      </c>
      <c r="J2102" s="1149"/>
    </row>
    <row r="2103" spans="1:10" s="81" customFormat="1" ht="50.1" customHeight="1" x14ac:dyDescent="0.2">
      <c r="A2103" s="1155" t="s">
        <v>13052</v>
      </c>
      <c r="B2103" s="1015" t="s">
        <v>2084</v>
      </c>
      <c r="C2103" s="1015" t="s">
        <v>2074</v>
      </c>
      <c r="D2103" s="1015" t="s">
        <v>13053</v>
      </c>
      <c r="E2103" s="1031">
        <v>39300</v>
      </c>
      <c r="F2103" s="1015">
        <v>10434284801</v>
      </c>
      <c r="G2103" s="1017" t="s">
        <v>1691</v>
      </c>
      <c r="H2103" s="1019">
        <v>44089</v>
      </c>
      <c r="I2103" s="1019">
        <v>44117</v>
      </c>
      <c r="J2103" s="1149"/>
    </row>
    <row r="2104" spans="1:10" s="81" customFormat="1" ht="50.1" customHeight="1" x14ac:dyDescent="0.2">
      <c r="A2104" s="1155" t="s">
        <v>13054</v>
      </c>
      <c r="B2104" s="1015" t="s">
        <v>2084</v>
      </c>
      <c r="C2104" s="1015" t="s">
        <v>2074</v>
      </c>
      <c r="D2104" s="1015" t="s">
        <v>13055</v>
      </c>
      <c r="E2104" s="1031">
        <v>119925</v>
      </c>
      <c r="F2104" s="1015">
        <v>20604774986</v>
      </c>
      <c r="G2104" s="1017" t="s">
        <v>1691</v>
      </c>
      <c r="H2104" s="1019">
        <v>44088</v>
      </c>
      <c r="I2104" s="1019">
        <v>44117</v>
      </c>
      <c r="J2104" s="1149"/>
    </row>
    <row r="2105" spans="1:10" s="81" customFormat="1" ht="50.1" customHeight="1" x14ac:dyDescent="0.2">
      <c r="A2105" s="1155" t="s">
        <v>13056</v>
      </c>
      <c r="B2105" s="1015" t="s">
        <v>2084</v>
      </c>
      <c r="C2105" s="1015" t="s">
        <v>2074</v>
      </c>
      <c r="D2105" s="1015" t="s">
        <v>13057</v>
      </c>
      <c r="E2105" s="1031">
        <v>56290</v>
      </c>
      <c r="F2105" s="1015">
        <v>20490389769</v>
      </c>
      <c r="G2105" s="1017" t="s">
        <v>1691</v>
      </c>
      <c r="H2105" s="1019">
        <v>44095</v>
      </c>
      <c r="I2105" s="1019">
        <v>44101</v>
      </c>
      <c r="J2105" s="1149"/>
    </row>
    <row r="2106" spans="1:10" s="81" customFormat="1" ht="50.1" customHeight="1" x14ac:dyDescent="0.2">
      <c r="A2106" s="1155" t="s">
        <v>13058</v>
      </c>
      <c r="B2106" s="440" t="s">
        <v>13059</v>
      </c>
      <c r="C2106" s="1015" t="s">
        <v>2074</v>
      </c>
      <c r="D2106" s="1015" t="s">
        <v>13029</v>
      </c>
      <c r="E2106" s="1031">
        <v>92654</v>
      </c>
      <c r="F2106" s="1015">
        <v>10099514685</v>
      </c>
      <c r="G2106" s="1017" t="s">
        <v>1691</v>
      </c>
      <c r="H2106" s="1019">
        <v>44041</v>
      </c>
      <c r="I2106" s="1019">
        <v>44056</v>
      </c>
      <c r="J2106" s="1149"/>
    </row>
    <row r="2107" spans="1:10" s="81" customFormat="1" ht="50.1" customHeight="1" thickBot="1" x14ac:dyDescent="0.25">
      <c r="A2107" s="1213" t="s">
        <v>13060</v>
      </c>
      <c r="B2107" s="514" t="s">
        <v>13061</v>
      </c>
      <c r="C2107" s="1034" t="s">
        <v>2074</v>
      </c>
      <c r="D2107" s="1112" t="s">
        <v>13027</v>
      </c>
      <c r="E2107" s="1032">
        <v>33600</v>
      </c>
      <c r="F2107" s="1112">
        <v>10239603659</v>
      </c>
      <c r="G2107" s="1035" t="s">
        <v>1691</v>
      </c>
      <c r="H2107" s="501">
        <v>44097</v>
      </c>
      <c r="I2107" s="501">
        <v>44105</v>
      </c>
      <c r="J2107" s="1149"/>
    </row>
    <row r="2108" spans="1:10" ht="30" customHeight="1" x14ac:dyDescent="0.2">
      <c r="A2108" s="692" t="s">
        <v>3111</v>
      </c>
      <c r="B2108" s="693"/>
      <c r="C2108" s="693"/>
      <c r="D2108" s="693"/>
      <c r="E2108" s="693"/>
      <c r="F2108" s="693"/>
      <c r="G2108" s="693"/>
      <c r="H2108" s="693"/>
      <c r="I2108" s="693"/>
      <c r="J2108" s="694"/>
    </row>
    <row r="2109" spans="1:10" ht="58.5" customHeight="1" x14ac:dyDescent="0.2">
      <c r="A2109" s="1155" t="s">
        <v>3053</v>
      </c>
      <c r="B2109" s="440" t="s">
        <v>3054</v>
      </c>
      <c r="C2109" s="440" t="s">
        <v>1758</v>
      </c>
      <c r="D2109" s="472">
        <v>1</v>
      </c>
      <c r="E2109" s="729">
        <v>52800</v>
      </c>
      <c r="F2109" s="440" t="s">
        <v>3055</v>
      </c>
      <c r="G2109" s="439" t="s">
        <v>1661</v>
      </c>
      <c r="H2109" s="730">
        <v>43543</v>
      </c>
      <c r="I2109" s="730">
        <v>43799</v>
      </c>
      <c r="J2109" s="1145" t="s">
        <v>2648</v>
      </c>
    </row>
    <row r="2110" spans="1:10" ht="39.950000000000003" customHeight="1" x14ac:dyDescent="0.2">
      <c r="A2110" s="1155" t="s">
        <v>3056</v>
      </c>
      <c r="B2110" s="440" t="s">
        <v>3054</v>
      </c>
      <c r="C2110" s="440" t="s">
        <v>1758</v>
      </c>
      <c r="D2110" s="472">
        <v>2</v>
      </c>
      <c r="E2110" s="729">
        <v>39510</v>
      </c>
      <c r="F2110" s="440" t="s">
        <v>3057</v>
      </c>
      <c r="G2110" s="439" t="s">
        <v>1661</v>
      </c>
      <c r="H2110" s="730">
        <v>43563</v>
      </c>
      <c r="I2110" s="730">
        <v>43830</v>
      </c>
      <c r="J2110" s="1145" t="s">
        <v>2648</v>
      </c>
    </row>
    <row r="2111" spans="1:10" ht="70.5" customHeight="1" x14ac:dyDescent="0.2">
      <c r="A2111" s="1155" t="s">
        <v>3058</v>
      </c>
      <c r="B2111" s="440" t="s">
        <v>3054</v>
      </c>
      <c r="C2111" s="440" t="s">
        <v>1218</v>
      </c>
      <c r="D2111" s="472">
        <v>1</v>
      </c>
      <c r="E2111" s="729">
        <v>57296.5</v>
      </c>
      <c r="F2111" s="440" t="s">
        <v>3059</v>
      </c>
      <c r="G2111" s="439" t="s">
        <v>1661</v>
      </c>
      <c r="H2111" s="730">
        <v>43627</v>
      </c>
      <c r="I2111" s="730">
        <v>43830</v>
      </c>
      <c r="J2111" s="1145" t="s">
        <v>2648</v>
      </c>
    </row>
    <row r="2112" spans="1:10" ht="61.5" customHeight="1" x14ac:dyDescent="0.2">
      <c r="A2112" s="1155" t="s">
        <v>3060</v>
      </c>
      <c r="B2112" s="440" t="s">
        <v>3054</v>
      </c>
      <c r="C2112" s="440" t="s">
        <v>1218</v>
      </c>
      <c r="D2112" s="472">
        <v>3</v>
      </c>
      <c r="E2112" s="729">
        <v>75523</v>
      </c>
      <c r="F2112" s="440" t="s">
        <v>3061</v>
      </c>
      <c r="G2112" s="439" t="s">
        <v>1661</v>
      </c>
      <c r="H2112" s="730">
        <v>43679</v>
      </c>
      <c r="I2112" s="730">
        <v>43704</v>
      </c>
      <c r="J2112" s="1145" t="s">
        <v>2648</v>
      </c>
    </row>
    <row r="2113" spans="1:10" ht="39.950000000000003" customHeight="1" x14ac:dyDescent="0.2">
      <c r="A2113" s="1155" t="s">
        <v>3062</v>
      </c>
      <c r="B2113" s="440" t="s">
        <v>3054</v>
      </c>
      <c r="C2113" s="440" t="s">
        <v>1218</v>
      </c>
      <c r="D2113" s="472">
        <v>4</v>
      </c>
      <c r="E2113" s="729">
        <v>260000</v>
      </c>
      <c r="F2113" s="440" t="s">
        <v>3063</v>
      </c>
      <c r="G2113" s="439" t="s">
        <v>3064</v>
      </c>
      <c r="H2113" s="730">
        <v>43717</v>
      </c>
      <c r="I2113" s="730">
        <v>43754</v>
      </c>
      <c r="J2113" s="1145" t="s">
        <v>2648</v>
      </c>
    </row>
    <row r="2114" spans="1:10" ht="39.950000000000003" customHeight="1" x14ac:dyDescent="0.2">
      <c r="A2114" s="1155" t="s">
        <v>3065</v>
      </c>
      <c r="B2114" s="440" t="s">
        <v>3054</v>
      </c>
      <c r="C2114" s="440" t="s">
        <v>1758</v>
      </c>
      <c r="D2114" s="472">
        <v>3</v>
      </c>
      <c r="E2114" s="729">
        <v>37629.550000000003</v>
      </c>
      <c r="F2114" s="440" t="s">
        <v>3066</v>
      </c>
      <c r="G2114" s="439" t="s">
        <v>3064</v>
      </c>
      <c r="H2114" s="730">
        <v>43651</v>
      </c>
      <c r="I2114" s="730">
        <v>43695</v>
      </c>
      <c r="J2114" s="1145" t="s">
        <v>2648</v>
      </c>
    </row>
    <row r="2115" spans="1:10" ht="55.5" customHeight="1" x14ac:dyDescent="0.2">
      <c r="A2115" s="1155" t="s">
        <v>3067</v>
      </c>
      <c r="B2115" s="440" t="s">
        <v>3054</v>
      </c>
      <c r="C2115" s="440" t="s">
        <v>1758</v>
      </c>
      <c r="D2115" s="472">
        <v>4</v>
      </c>
      <c r="E2115" s="729">
        <v>52460</v>
      </c>
      <c r="F2115" s="439" t="s">
        <v>3068</v>
      </c>
      <c r="G2115" s="439" t="s">
        <v>3064</v>
      </c>
      <c r="H2115" s="730">
        <v>43651</v>
      </c>
      <c r="I2115" s="730">
        <v>43695</v>
      </c>
      <c r="J2115" s="1145" t="s">
        <v>2648</v>
      </c>
    </row>
    <row r="2116" spans="1:10" ht="39.950000000000003" customHeight="1" x14ac:dyDescent="0.2">
      <c r="A2116" s="1155" t="s">
        <v>3069</v>
      </c>
      <c r="B2116" s="440" t="s">
        <v>3054</v>
      </c>
      <c r="C2116" s="440" t="s">
        <v>1218</v>
      </c>
      <c r="D2116" s="472">
        <v>5</v>
      </c>
      <c r="E2116" s="729">
        <v>88000</v>
      </c>
      <c r="F2116" s="440" t="s">
        <v>3070</v>
      </c>
      <c r="G2116" s="439" t="s">
        <v>3064</v>
      </c>
      <c r="H2116" s="730">
        <v>43699</v>
      </c>
      <c r="I2116" s="730">
        <v>43704</v>
      </c>
      <c r="J2116" s="1145" t="s">
        <v>2648</v>
      </c>
    </row>
    <row r="2117" spans="1:10" ht="39.950000000000003" customHeight="1" x14ac:dyDescent="0.2">
      <c r="A2117" s="1155" t="s">
        <v>3071</v>
      </c>
      <c r="B2117" s="440" t="s">
        <v>3054</v>
      </c>
      <c r="C2117" s="440" t="s">
        <v>1218</v>
      </c>
      <c r="D2117" s="472">
        <v>6</v>
      </c>
      <c r="E2117" s="729">
        <v>242000</v>
      </c>
      <c r="F2117" s="440" t="s">
        <v>3072</v>
      </c>
      <c r="G2117" s="439" t="s">
        <v>3064</v>
      </c>
      <c r="H2117" s="730">
        <v>43704</v>
      </c>
      <c r="I2117" s="730">
        <v>43749</v>
      </c>
      <c r="J2117" s="1145" t="s">
        <v>2648</v>
      </c>
    </row>
    <row r="2118" spans="1:10" ht="39.950000000000003" customHeight="1" x14ac:dyDescent="0.2">
      <c r="A2118" s="1155" t="s">
        <v>3073</v>
      </c>
      <c r="B2118" s="440" t="s">
        <v>3054</v>
      </c>
      <c r="C2118" s="440" t="s">
        <v>1291</v>
      </c>
      <c r="D2118" s="472">
        <v>3</v>
      </c>
      <c r="E2118" s="729">
        <v>56760</v>
      </c>
      <c r="F2118" s="440" t="s">
        <v>3074</v>
      </c>
      <c r="G2118" s="439" t="s">
        <v>3064</v>
      </c>
      <c r="H2118" s="730">
        <v>43774</v>
      </c>
      <c r="I2118" s="730">
        <v>43830</v>
      </c>
      <c r="J2118" s="1145" t="s">
        <v>2648</v>
      </c>
    </row>
    <row r="2119" spans="1:10" ht="39.950000000000003" customHeight="1" x14ac:dyDescent="0.2">
      <c r="A2119" s="1155" t="s">
        <v>3075</v>
      </c>
      <c r="B2119" s="440" t="s">
        <v>3054</v>
      </c>
      <c r="C2119" s="440" t="s">
        <v>1218</v>
      </c>
      <c r="D2119" s="472">
        <v>7</v>
      </c>
      <c r="E2119" s="729">
        <v>250000</v>
      </c>
      <c r="F2119" s="440" t="s">
        <v>3076</v>
      </c>
      <c r="G2119" s="439" t="s">
        <v>3064</v>
      </c>
      <c r="H2119" s="730">
        <v>43745</v>
      </c>
      <c r="I2119" s="730">
        <v>43764</v>
      </c>
      <c r="J2119" s="1145" t="s">
        <v>2648</v>
      </c>
    </row>
    <row r="2120" spans="1:10" ht="39.950000000000003" customHeight="1" x14ac:dyDescent="0.2">
      <c r="A2120" s="1155" t="s">
        <v>3077</v>
      </c>
      <c r="B2120" s="440" t="s">
        <v>3054</v>
      </c>
      <c r="C2120" s="440" t="s">
        <v>1218</v>
      </c>
      <c r="D2120" s="472">
        <v>8</v>
      </c>
      <c r="E2120" s="729">
        <v>230000</v>
      </c>
      <c r="F2120" s="440" t="s">
        <v>3078</v>
      </c>
      <c r="G2120" s="439" t="s">
        <v>3064</v>
      </c>
      <c r="H2120" s="730">
        <v>43752</v>
      </c>
      <c r="I2120" s="730">
        <v>43782</v>
      </c>
      <c r="J2120" s="1145" t="s">
        <v>2648</v>
      </c>
    </row>
    <row r="2121" spans="1:10" ht="39.950000000000003" customHeight="1" x14ac:dyDescent="0.2">
      <c r="A2121" s="1155" t="s">
        <v>3079</v>
      </c>
      <c r="B2121" s="440" t="s">
        <v>3054</v>
      </c>
      <c r="C2121" s="440" t="s">
        <v>1218</v>
      </c>
      <c r="D2121" s="472">
        <v>2</v>
      </c>
      <c r="E2121" s="729">
        <v>68656</v>
      </c>
      <c r="F2121" s="440" t="s">
        <v>3080</v>
      </c>
      <c r="G2121" s="439" t="s">
        <v>3064</v>
      </c>
      <c r="H2121" s="730">
        <v>43745</v>
      </c>
      <c r="I2121" s="730">
        <v>43759</v>
      </c>
      <c r="J2121" s="1145" t="s">
        <v>2648</v>
      </c>
    </row>
    <row r="2122" spans="1:10" ht="49.5" customHeight="1" x14ac:dyDescent="0.2">
      <c r="A2122" s="1155" t="s">
        <v>3081</v>
      </c>
      <c r="B2122" s="440" t="s">
        <v>3054</v>
      </c>
      <c r="C2122" s="440" t="s">
        <v>1758</v>
      </c>
      <c r="D2122" s="472">
        <v>5</v>
      </c>
      <c r="E2122" s="729">
        <v>52460</v>
      </c>
      <c r="F2122" s="440" t="s">
        <v>3082</v>
      </c>
      <c r="G2122" s="439" t="s">
        <v>3064</v>
      </c>
      <c r="H2122" s="730">
        <v>43802</v>
      </c>
      <c r="I2122" s="730">
        <v>43814</v>
      </c>
      <c r="J2122" s="1145" t="s">
        <v>2648</v>
      </c>
    </row>
    <row r="2123" spans="1:10" ht="39.950000000000003" customHeight="1" x14ac:dyDescent="0.2">
      <c r="A2123" s="1155" t="s">
        <v>3083</v>
      </c>
      <c r="B2123" s="440" t="s">
        <v>3054</v>
      </c>
      <c r="C2123" s="440" t="s">
        <v>1291</v>
      </c>
      <c r="D2123" s="472">
        <v>1</v>
      </c>
      <c r="E2123" s="729">
        <v>40000</v>
      </c>
      <c r="F2123" s="440" t="s">
        <v>3074</v>
      </c>
      <c r="G2123" s="439" t="s">
        <v>3064</v>
      </c>
      <c r="H2123" s="730">
        <v>43958</v>
      </c>
      <c r="I2123" s="730">
        <v>44196</v>
      </c>
      <c r="J2123" s="1145" t="s">
        <v>2648</v>
      </c>
    </row>
    <row r="2124" spans="1:10" ht="39.950000000000003" customHeight="1" x14ac:dyDescent="0.2">
      <c r="A2124" s="1155" t="s">
        <v>3084</v>
      </c>
      <c r="B2124" s="440" t="s">
        <v>3054</v>
      </c>
      <c r="C2124" s="440" t="s">
        <v>1758</v>
      </c>
      <c r="D2124" s="472">
        <v>1</v>
      </c>
      <c r="E2124" s="729">
        <v>44139</v>
      </c>
      <c r="F2124" s="440" t="s">
        <v>3085</v>
      </c>
      <c r="G2124" s="439" t="s">
        <v>3064</v>
      </c>
      <c r="H2124" s="730">
        <v>43959</v>
      </c>
      <c r="I2124" s="730">
        <v>43979</v>
      </c>
      <c r="J2124" s="1145" t="s">
        <v>2648</v>
      </c>
    </row>
    <row r="2125" spans="1:10" ht="39.950000000000003" customHeight="1" x14ac:dyDescent="0.2">
      <c r="A2125" s="1155" t="s">
        <v>3086</v>
      </c>
      <c r="B2125" s="440" t="s">
        <v>3054</v>
      </c>
      <c r="C2125" s="440" t="s">
        <v>2084</v>
      </c>
      <c r="D2125" s="472">
        <v>1</v>
      </c>
      <c r="E2125" s="729">
        <v>140520</v>
      </c>
      <c r="F2125" s="440" t="s">
        <v>3087</v>
      </c>
      <c r="G2125" s="439" t="s">
        <v>3064</v>
      </c>
      <c r="H2125" s="730">
        <v>43984</v>
      </c>
      <c r="I2125" s="730">
        <v>43984</v>
      </c>
      <c r="J2125" s="1145" t="s">
        <v>2648</v>
      </c>
    </row>
    <row r="2126" spans="1:10" ht="87.75" customHeight="1" x14ac:dyDescent="0.2">
      <c r="A2126" s="1155" t="s">
        <v>3088</v>
      </c>
      <c r="B2126" s="440" t="s">
        <v>3054</v>
      </c>
      <c r="C2126" s="440" t="s">
        <v>1218</v>
      </c>
      <c r="D2126" s="472">
        <v>1</v>
      </c>
      <c r="E2126" s="729">
        <v>55000</v>
      </c>
      <c r="F2126" s="440" t="s">
        <v>3089</v>
      </c>
      <c r="G2126" s="439" t="s">
        <v>3064</v>
      </c>
      <c r="H2126" s="730">
        <v>44012</v>
      </c>
      <c r="I2126" s="730">
        <v>44196</v>
      </c>
      <c r="J2126" s="1145" t="s">
        <v>2648</v>
      </c>
    </row>
    <row r="2127" spans="1:10" ht="39.950000000000003" customHeight="1" x14ac:dyDescent="0.2">
      <c r="A2127" s="1155" t="s">
        <v>3090</v>
      </c>
      <c r="B2127" s="440" t="s">
        <v>3054</v>
      </c>
      <c r="C2127" s="440" t="s">
        <v>2084</v>
      </c>
      <c r="D2127" s="472">
        <v>2</v>
      </c>
      <c r="E2127" s="729">
        <v>67000</v>
      </c>
      <c r="F2127" s="440" t="s">
        <v>3091</v>
      </c>
      <c r="G2127" s="439" t="s">
        <v>3064</v>
      </c>
      <c r="H2127" s="730">
        <v>43984</v>
      </c>
      <c r="I2127" s="730">
        <v>43984</v>
      </c>
      <c r="J2127" s="1145" t="s">
        <v>2648</v>
      </c>
    </row>
    <row r="2128" spans="1:10" ht="39.950000000000003" customHeight="1" x14ac:dyDescent="0.2">
      <c r="A2128" s="1155" t="s">
        <v>3092</v>
      </c>
      <c r="B2128" s="440" t="s">
        <v>3054</v>
      </c>
      <c r="C2128" s="440" t="s">
        <v>2084</v>
      </c>
      <c r="D2128" s="472">
        <v>5</v>
      </c>
      <c r="E2128" s="729">
        <v>124392.8</v>
      </c>
      <c r="F2128" s="440" t="s">
        <v>3093</v>
      </c>
      <c r="G2128" s="439" t="s">
        <v>3064</v>
      </c>
      <c r="H2128" s="730">
        <v>44088</v>
      </c>
      <c r="I2128" s="730">
        <v>44088</v>
      </c>
      <c r="J2128" s="1145" t="s">
        <v>2648</v>
      </c>
    </row>
    <row r="2129" spans="1:11" ht="39.950000000000003" customHeight="1" x14ac:dyDescent="0.2">
      <c r="A2129" s="1155" t="s">
        <v>3094</v>
      </c>
      <c r="B2129" s="440" t="s">
        <v>3054</v>
      </c>
      <c r="C2129" s="440" t="s">
        <v>2084</v>
      </c>
      <c r="D2129" s="472">
        <v>4</v>
      </c>
      <c r="E2129" s="729">
        <v>133000</v>
      </c>
      <c r="F2129" s="440" t="s">
        <v>3074</v>
      </c>
      <c r="G2129" s="439" t="s">
        <v>3064</v>
      </c>
      <c r="H2129" s="730">
        <v>44088</v>
      </c>
      <c r="I2129" s="730">
        <v>44088</v>
      </c>
      <c r="J2129" s="1145" t="s">
        <v>2648</v>
      </c>
    </row>
    <row r="2130" spans="1:11" ht="39.950000000000003" customHeight="1" x14ac:dyDescent="0.2">
      <c r="A2130" s="1155" t="s">
        <v>3095</v>
      </c>
      <c r="B2130" s="440" t="s">
        <v>3054</v>
      </c>
      <c r="C2130" s="440" t="s">
        <v>2084</v>
      </c>
      <c r="D2130" s="472">
        <v>3</v>
      </c>
      <c r="E2130" s="729">
        <v>49643.360000000001</v>
      </c>
      <c r="F2130" s="440" t="s">
        <v>3096</v>
      </c>
      <c r="G2130" s="439" t="s">
        <v>3064</v>
      </c>
      <c r="H2130" s="730">
        <v>44092</v>
      </c>
      <c r="I2130" s="730">
        <v>44092</v>
      </c>
      <c r="J2130" s="1145" t="s">
        <v>2648</v>
      </c>
    </row>
    <row r="2131" spans="1:11" ht="30" customHeight="1" x14ac:dyDescent="0.2">
      <c r="A2131" s="1155" t="s">
        <v>3097</v>
      </c>
      <c r="B2131" s="440" t="s">
        <v>3054</v>
      </c>
      <c r="C2131" s="440" t="s">
        <v>1758</v>
      </c>
      <c r="D2131" s="472">
        <v>1</v>
      </c>
      <c r="E2131" s="729">
        <v>50000</v>
      </c>
      <c r="F2131" s="440"/>
      <c r="G2131" s="439" t="s">
        <v>3098</v>
      </c>
      <c r="H2131" s="440"/>
      <c r="I2131" s="440"/>
      <c r="J2131" s="1145" t="s">
        <v>2648</v>
      </c>
    </row>
    <row r="2132" spans="1:11" ht="30" customHeight="1" x14ac:dyDescent="0.2">
      <c r="A2132" s="1155" t="s">
        <v>3099</v>
      </c>
      <c r="B2132" s="440" t="s">
        <v>3054</v>
      </c>
      <c r="C2132" s="440" t="s">
        <v>1218</v>
      </c>
      <c r="D2132" s="472">
        <v>1</v>
      </c>
      <c r="E2132" s="729">
        <v>180000</v>
      </c>
      <c r="F2132" s="440"/>
      <c r="G2132" s="439" t="s">
        <v>3098</v>
      </c>
      <c r="H2132" s="440"/>
      <c r="I2132" s="440"/>
      <c r="J2132" s="1145" t="s">
        <v>2648</v>
      </c>
    </row>
    <row r="2133" spans="1:11" ht="30" customHeight="1" x14ac:dyDescent="0.2">
      <c r="A2133" s="1155" t="s">
        <v>3100</v>
      </c>
      <c r="B2133" s="440" t="s">
        <v>3054</v>
      </c>
      <c r="C2133" s="440" t="s">
        <v>1218</v>
      </c>
      <c r="D2133" s="472">
        <v>2</v>
      </c>
      <c r="E2133" s="729">
        <v>150000</v>
      </c>
      <c r="F2133" s="440"/>
      <c r="G2133" s="439" t="s">
        <v>3098</v>
      </c>
      <c r="H2133" s="440"/>
      <c r="I2133" s="440"/>
      <c r="J2133" s="1145" t="s">
        <v>2648</v>
      </c>
    </row>
    <row r="2134" spans="1:11" ht="30" customHeight="1" x14ac:dyDescent="0.2">
      <c r="A2134" s="1155" t="s">
        <v>3101</v>
      </c>
      <c r="B2134" s="440" t="s">
        <v>3054</v>
      </c>
      <c r="C2134" s="440" t="s">
        <v>1218</v>
      </c>
      <c r="D2134" s="472">
        <v>3</v>
      </c>
      <c r="E2134" s="729">
        <v>260000</v>
      </c>
      <c r="F2134" s="440"/>
      <c r="G2134" s="439" t="s">
        <v>3098</v>
      </c>
      <c r="H2134" s="440"/>
      <c r="I2134" s="440"/>
      <c r="J2134" s="1145" t="s">
        <v>2648</v>
      </c>
    </row>
    <row r="2135" spans="1:11" ht="30" customHeight="1" x14ac:dyDescent="0.2">
      <c r="A2135" s="1155" t="s">
        <v>3102</v>
      </c>
      <c r="B2135" s="440" t="s">
        <v>3054</v>
      </c>
      <c r="C2135" s="440" t="s">
        <v>1218</v>
      </c>
      <c r="D2135" s="472">
        <v>4</v>
      </c>
      <c r="E2135" s="729">
        <v>110000</v>
      </c>
      <c r="F2135" s="440"/>
      <c r="G2135" s="439" t="s">
        <v>3098</v>
      </c>
      <c r="H2135" s="440"/>
      <c r="I2135" s="440"/>
      <c r="J2135" s="1145" t="s">
        <v>2648</v>
      </c>
    </row>
    <row r="2136" spans="1:11" ht="47.25" customHeight="1" x14ac:dyDescent="0.2">
      <c r="A2136" s="1155" t="s">
        <v>3103</v>
      </c>
      <c r="B2136" s="440" t="s">
        <v>3054</v>
      </c>
      <c r="C2136" s="440" t="s">
        <v>1218</v>
      </c>
      <c r="D2136" s="472">
        <v>5</v>
      </c>
      <c r="E2136" s="729">
        <v>90000</v>
      </c>
      <c r="F2136" s="440"/>
      <c r="G2136" s="439" t="s">
        <v>3098</v>
      </c>
      <c r="H2136" s="440"/>
      <c r="I2136" s="440"/>
      <c r="J2136" s="1145" t="s">
        <v>2648</v>
      </c>
    </row>
    <row r="2137" spans="1:11" ht="53.25" customHeight="1" x14ac:dyDescent="0.2">
      <c r="A2137" s="1155" t="s">
        <v>3104</v>
      </c>
      <c r="B2137" s="440" t="s">
        <v>3054</v>
      </c>
      <c r="C2137" s="440" t="s">
        <v>1218</v>
      </c>
      <c r="D2137" s="472">
        <v>6</v>
      </c>
      <c r="E2137" s="729">
        <v>300000</v>
      </c>
      <c r="F2137" s="440"/>
      <c r="G2137" s="439" t="s">
        <v>3098</v>
      </c>
      <c r="H2137" s="440"/>
      <c r="I2137" s="440"/>
      <c r="J2137" s="1145" t="s">
        <v>2648</v>
      </c>
    </row>
    <row r="2138" spans="1:11" ht="53.25" customHeight="1" x14ac:dyDescent="0.2">
      <c r="A2138" s="1155" t="s">
        <v>3105</v>
      </c>
      <c r="B2138" s="440" t="s">
        <v>3054</v>
      </c>
      <c r="C2138" s="440" t="s">
        <v>1218</v>
      </c>
      <c r="D2138" s="472">
        <v>7</v>
      </c>
      <c r="E2138" s="729">
        <v>280000</v>
      </c>
      <c r="F2138" s="440"/>
      <c r="G2138" s="439" t="s">
        <v>3098</v>
      </c>
      <c r="H2138" s="440"/>
      <c r="I2138" s="440"/>
      <c r="J2138" s="1145" t="s">
        <v>2648</v>
      </c>
    </row>
    <row r="2139" spans="1:11" ht="30" customHeight="1" x14ac:dyDescent="0.2">
      <c r="A2139" s="1155" t="s">
        <v>3106</v>
      </c>
      <c r="B2139" s="440" t="s">
        <v>3054</v>
      </c>
      <c r="C2139" s="440" t="s">
        <v>1218</v>
      </c>
      <c r="D2139" s="472">
        <v>8</v>
      </c>
      <c r="E2139" s="729">
        <v>75000</v>
      </c>
      <c r="F2139" s="440"/>
      <c r="G2139" s="439" t="s">
        <v>3098</v>
      </c>
      <c r="H2139" s="440"/>
      <c r="I2139" s="440"/>
      <c r="J2139" s="1145" t="s">
        <v>2648</v>
      </c>
    </row>
    <row r="2140" spans="1:11" ht="30" customHeight="1" x14ac:dyDescent="0.2">
      <c r="A2140" s="1155" t="s">
        <v>3107</v>
      </c>
      <c r="B2140" s="440" t="s">
        <v>3054</v>
      </c>
      <c r="C2140" s="440" t="s">
        <v>1218</v>
      </c>
      <c r="D2140" s="472">
        <v>9</v>
      </c>
      <c r="E2140" s="729">
        <v>90000</v>
      </c>
      <c r="F2140" s="440"/>
      <c r="G2140" s="439" t="s">
        <v>3098</v>
      </c>
      <c r="H2140" s="440"/>
      <c r="I2140" s="440"/>
      <c r="J2140" s="1145" t="s">
        <v>2648</v>
      </c>
    </row>
    <row r="2141" spans="1:11" ht="30" customHeight="1" x14ac:dyDescent="0.2">
      <c r="A2141" s="1155" t="s">
        <v>3108</v>
      </c>
      <c r="B2141" s="440" t="s">
        <v>3054</v>
      </c>
      <c r="C2141" s="440" t="s">
        <v>1218</v>
      </c>
      <c r="D2141" s="472">
        <v>10</v>
      </c>
      <c r="E2141" s="729">
        <v>80000</v>
      </c>
      <c r="F2141" s="440"/>
      <c r="G2141" s="439" t="s">
        <v>3098</v>
      </c>
      <c r="H2141" s="440"/>
      <c r="I2141" s="440"/>
      <c r="J2141" s="1145" t="s">
        <v>2648</v>
      </c>
    </row>
    <row r="2142" spans="1:11" ht="30" customHeight="1" x14ac:dyDescent="0.2">
      <c r="A2142" s="1155" t="s">
        <v>3109</v>
      </c>
      <c r="B2142" s="440" t="s">
        <v>3054</v>
      </c>
      <c r="C2142" s="440" t="s">
        <v>1218</v>
      </c>
      <c r="D2142" s="472">
        <v>11</v>
      </c>
      <c r="E2142" s="729">
        <v>110000</v>
      </c>
      <c r="F2142" s="440"/>
      <c r="G2142" s="439" t="s">
        <v>3098</v>
      </c>
      <c r="H2142" s="440"/>
      <c r="I2142" s="440"/>
      <c r="J2142" s="1145" t="s">
        <v>2648</v>
      </c>
    </row>
    <row r="2143" spans="1:11" ht="30" customHeight="1" thickBot="1" x14ac:dyDescent="0.25">
      <c r="A2143" s="1196" t="s">
        <v>3110</v>
      </c>
      <c r="B2143" s="440" t="s">
        <v>3054</v>
      </c>
      <c r="C2143" s="440" t="s">
        <v>1218</v>
      </c>
      <c r="D2143" s="472">
        <v>12</v>
      </c>
      <c r="E2143" s="729">
        <v>40000</v>
      </c>
      <c r="F2143" s="509"/>
      <c r="G2143" s="439" t="s">
        <v>3098</v>
      </c>
      <c r="H2143" s="514"/>
      <c r="I2143" s="514"/>
      <c r="J2143" s="1145" t="s">
        <v>2648</v>
      </c>
    </row>
    <row r="2144" spans="1:11" ht="33.75" customHeight="1" x14ac:dyDescent="0.2">
      <c r="A2144" s="692" t="s">
        <v>3112</v>
      </c>
      <c r="B2144" s="693"/>
      <c r="C2144" s="693"/>
      <c r="D2144" s="693"/>
      <c r="E2144" s="693"/>
      <c r="F2144" s="693"/>
      <c r="G2144" s="693"/>
      <c r="H2144" s="693"/>
      <c r="I2144" s="693"/>
      <c r="J2144" s="694"/>
      <c r="K2144" s="81"/>
    </row>
    <row r="2145" spans="1:10" ht="39.950000000000003" customHeight="1" x14ac:dyDescent="0.2">
      <c r="A2145" s="1214" t="s">
        <v>3113</v>
      </c>
      <c r="B2145" s="738" t="s">
        <v>2937</v>
      </c>
      <c r="C2145" s="701" t="s">
        <v>618</v>
      </c>
      <c r="D2145" s="738" t="s">
        <v>3114</v>
      </c>
      <c r="E2145" s="731">
        <v>145000</v>
      </c>
      <c r="F2145" s="735" t="s">
        <v>3115</v>
      </c>
      <c r="G2145" s="743" t="s">
        <v>1691</v>
      </c>
      <c r="H2145" s="733">
        <v>43784</v>
      </c>
      <c r="I2145" s="707"/>
      <c r="J2145" s="1145" t="s">
        <v>2648</v>
      </c>
    </row>
    <row r="2146" spans="1:10" ht="39.950000000000003" customHeight="1" x14ac:dyDescent="0.2">
      <c r="A2146" s="1214" t="s">
        <v>3113</v>
      </c>
      <c r="B2146" s="738" t="s">
        <v>2937</v>
      </c>
      <c r="C2146" s="701" t="s">
        <v>618</v>
      </c>
      <c r="D2146" s="738" t="s">
        <v>3114</v>
      </c>
      <c r="E2146" s="759">
        <v>440500</v>
      </c>
      <c r="F2146" s="735" t="s">
        <v>3116</v>
      </c>
      <c r="G2146" s="743" t="s">
        <v>1691</v>
      </c>
      <c r="H2146" s="733">
        <v>43780</v>
      </c>
      <c r="I2146" s="707"/>
      <c r="J2146" s="1145" t="s">
        <v>2648</v>
      </c>
    </row>
    <row r="2147" spans="1:10" ht="39.950000000000003" customHeight="1" x14ac:dyDescent="0.2">
      <c r="A2147" s="1214" t="s">
        <v>3117</v>
      </c>
      <c r="B2147" s="738" t="s">
        <v>2937</v>
      </c>
      <c r="C2147" s="701" t="s">
        <v>618</v>
      </c>
      <c r="D2147" s="738" t="s">
        <v>3114</v>
      </c>
      <c r="E2147" s="759">
        <v>60990</v>
      </c>
      <c r="F2147" s="735" t="s">
        <v>3118</v>
      </c>
      <c r="G2147" s="743" t="s">
        <v>1691</v>
      </c>
      <c r="H2147" s="733">
        <v>43818</v>
      </c>
      <c r="I2147" s="707"/>
      <c r="J2147" s="1212" t="s">
        <v>3119</v>
      </c>
    </row>
    <row r="2148" spans="1:10" ht="39.950000000000003" customHeight="1" x14ac:dyDescent="0.2">
      <c r="A2148" s="1214" t="s">
        <v>3120</v>
      </c>
      <c r="B2148" s="738" t="s">
        <v>1218</v>
      </c>
      <c r="C2148" s="701" t="s">
        <v>618</v>
      </c>
      <c r="D2148" s="738" t="s">
        <v>3121</v>
      </c>
      <c r="E2148" s="731">
        <v>305850</v>
      </c>
      <c r="F2148" s="739" t="s">
        <v>3122</v>
      </c>
      <c r="G2148" s="743" t="s">
        <v>1691</v>
      </c>
      <c r="H2148" s="732">
        <v>43815</v>
      </c>
      <c r="I2148" s="707"/>
      <c r="J2148" s="1145" t="s">
        <v>2648</v>
      </c>
    </row>
    <row r="2149" spans="1:10" ht="39.950000000000003" customHeight="1" x14ac:dyDescent="0.2">
      <c r="A2149" s="1214" t="s">
        <v>3123</v>
      </c>
      <c r="B2149" s="738" t="s">
        <v>1218</v>
      </c>
      <c r="C2149" s="701" t="s">
        <v>618</v>
      </c>
      <c r="D2149" s="738" t="s">
        <v>3124</v>
      </c>
      <c r="E2149" s="740">
        <v>108514.39</v>
      </c>
      <c r="F2149" s="735" t="s">
        <v>3125</v>
      </c>
      <c r="G2149" s="743" t="s">
        <v>1691</v>
      </c>
      <c r="H2149" s="733" t="s">
        <v>3126</v>
      </c>
      <c r="I2149" s="707"/>
      <c r="J2149" s="1212" t="s">
        <v>3119</v>
      </c>
    </row>
    <row r="2150" spans="1:10" ht="46.5" customHeight="1" x14ac:dyDescent="0.2">
      <c r="A2150" s="1214" t="s">
        <v>3127</v>
      </c>
      <c r="B2150" s="738" t="s">
        <v>1218</v>
      </c>
      <c r="C2150" s="701" t="s">
        <v>618</v>
      </c>
      <c r="D2150" s="738" t="s">
        <v>3128</v>
      </c>
      <c r="E2150" s="731">
        <v>48870</v>
      </c>
      <c r="F2150" s="739" t="s">
        <v>3129</v>
      </c>
      <c r="G2150" s="743" t="s">
        <v>1691</v>
      </c>
      <c r="H2150" s="733">
        <v>43809</v>
      </c>
      <c r="I2150" s="707"/>
      <c r="J2150" s="1145" t="s">
        <v>2648</v>
      </c>
    </row>
    <row r="2151" spans="1:10" ht="39.950000000000003" customHeight="1" x14ac:dyDescent="0.2">
      <c r="A2151" s="1214" t="s">
        <v>3130</v>
      </c>
      <c r="B2151" s="738" t="s">
        <v>1218</v>
      </c>
      <c r="C2151" s="701" t="s">
        <v>618</v>
      </c>
      <c r="D2151" s="738" t="s">
        <v>3131</v>
      </c>
      <c r="E2151" s="731">
        <v>89731.9</v>
      </c>
      <c r="F2151" s="739" t="s">
        <v>3132</v>
      </c>
      <c r="G2151" s="743" t="s">
        <v>1691</v>
      </c>
      <c r="H2151" s="733">
        <v>43784</v>
      </c>
      <c r="I2151" s="707"/>
      <c r="J2151" s="1145" t="s">
        <v>2648</v>
      </c>
    </row>
    <row r="2152" spans="1:10" ht="39.950000000000003" customHeight="1" x14ac:dyDescent="0.2">
      <c r="A2152" s="1214" t="s">
        <v>3133</v>
      </c>
      <c r="B2152" s="738" t="s">
        <v>1218</v>
      </c>
      <c r="C2152" s="701" t="s">
        <v>618</v>
      </c>
      <c r="D2152" s="738" t="s">
        <v>3134</v>
      </c>
      <c r="E2152" s="731">
        <v>384999.73</v>
      </c>
      <c r="F2152" s="735" t="s">
        <v>3135</v>
      </c>
      <c r="G2152" s="743" t="s">
        <v>1691</v>
      </c>
      <c r="H2152" s="733">
        <v>43787</v>
      </c>
      <c r="I2152" s="707"/>
      <c r="J2152" s="1145" t="s">
        <v>2648</v>
      </c>
    </row>
    <row r="2153" spans="1:10" ht="39.950000000000003" customHeight="1" x14ac:dyDescent="0.2">
      <c r="A2153" s="1214" t="s">
        <v>3136</v>
      </c>
      <c r="B2153" s="738" t="s">
        <v>1218</v>
      </c>
      <c r="C2153" s="701" t="s">
        <v>618</v>
      </c>
      <c r="D2153" s="738" t="s">
        <v>3137</v>
      </c>
      <c r="E2153" s="731">
        <v>63000</v>
      </c>
      <c r="F2153" s="735" t="s">
        <v>3138</v>
      </c>
      <c r="G2153" s="743" t="s">
        <v>1691</v>
      </c>
      <c r="H2153" s="733">
        <v>43782</v>
      </c>
      <c r="I2153" s="707"/>
      <c r="J2153" s="1145" t="s">
        <v>2648</v>
      </c>
    </row>
    <row r="2154" spans="1:10" ht="39.950000000000003" customHeight="1" x14ac:dyDescent="0.2">
      <c r="A2154" s="1214" t="s">
        <v>3139</v>
      </c>
      <c r="B2154" s="738" t="s">
        <v>1218</v>
      </c>
      <c r="C2154" s="701" t="s">
        <v>618</v>
      </c>
      <c r="D2154" s="738" t="s">
        <v>3140</v>
      </c>
      <c r="E2154" s="734">
        <f>52680+15463</f>
        <v>68143</v>
      </c>
      <c r="F2154" s="735" t="s">
        <v>3141</v>
      </c>
      <c r="G2154" s="743" t="s">
        <v>1691</v>
      </c>
      <c r="H2154" s="733" t="s">
        <v>3142</v>
      </c>
      <c r="I2154" s="707"/>
      <c r="J2154" s="1215" t="s">
        <v>3143</v>
      </c>
    </row>
    <row r="2155" spans="1:10" ht="39.950000000000003" customHeight="1" x14ac:dyDescent="0.2">
      <c r="A2155" s="1214" t="s">
        <v>3144</v>
      </c>
      <c r="B2155" s="738" t="s">
        <v>1218</v>
      </c>
      <c r="C2155" s="701" t="s">
        <v>618</v>
      </c>
      <c r="D2155" s="738" t="s">
        <v>3145</v>
      </c>
      <c r="E2155" s="731">
        <f>98374.43+5610.75</f>
        <v>103985.18</v>
      </c>
      <c r="F2155" s="735" t="s">
        <v>3146</v>
      </c>
      <c r="G2155" s="743" t="s">
        <v>1691</v>
      </c>
      <c r="H2155" s="733" t="s">
        <v>3147</v>
      </c>
      <c r="I2155" s="707"/>
      <c r="J2155" s="1215" t="s">
        <v>3143</v>
      </c>
    </row>
    <row r="2156" spans="1:10" ht="39.950000000000003" customHeight="1" x14ac:dyDescent="0.2">
      <c r="A2156" s="1214" t="s">
        <v>3148</v>
      </c>
      <c r="B2156" s="738" t="s">
        <v>1218</v>
      </c>
      <c r="C2156" s="701" t="s">
        <v>618</v>
      </c>
      <c r="D2156" s="738" t="s">
        <v>3149</v>
      </c>
      <c r="E2156" s="741">
        <f>54480+16240</f>
        <v>70720</v>
      </c>
      <c r="F2156" s="739" t="s">
        <v>3132</v>
      </c>
      <c r="G2156" s="743" t="s">
        <v>1691</v>
      </c>
      <c r="H2156" s="733" t="s">
        <v>3150</v>
      </c>
      <c r="I2156" s="707"/>
      <c r="J2156" s="1215" t="s">
        <v>3143</v>
      </c>
    </row>
    <row r="2157" spans="1:10" ht="39.950000000000003" customHeight="1" x14ac:dyDescent="0.2">
      <c r="A2157" s="1214" t="s">
        <v>3151</v>
      </c>
      <c r="B2157" s="738" t="s">
        <v>1218</v>
      </c>
      <c r="C2157" s="701" t="s">
        <v>618</v>
      </c>
      <c r="D2157" s="738" t="s">
        <v>3152</v>
      </c>
      <c r="E2157" s="731">
        <v>123278.39999999999</v>
      </c>
      <c r="F2157" s="735" t="s">
        <v>3153</v>
      </c>
      <c r="G2157" s="743" t="s">
        <v>1691</v>
      </c>
      <c r="H2157" s="733">
        <v>43768</v>
      </c>
      <c r="I2157" s="707"/>
      <c r="J2157" s="1145" t="s">
        <v>2648</v>
      </c>
    </row>
    <row r="2158" spans="1:10" ht="39.950000000000003" customHeight="1" x14ac:dyDescent="0.2">
      <c r="A2158" s="1214" t="s">
        <v>3154</v>
      </c>
      <c r="B2158" s="738" t="s">
        <v>1218</v>
      </c>
      <c r="C2158" s="701" t="s">
        <v>618</v>
      </c>
      <c r="D2158" s="738" t="s">
        <v>3155</v>
      </c>
      <c r="E2158" s="731">
        <v>130003.86</v>
      </c>
      <c r="F2158" s="735" t="s">
        <v>3156</v>
      </c>
      <c r="G2158" s="743" t="s">
        <v>1691</v>
      </c>
      <c r="H2158" s="733">
        <v>43760</v>
      </c>
      <c r="I2158" s="707"/>
      <c r="J2158" s="1145" t="s">
        <v>2648</v>
      </c>
    </row>
    <row r="2159" spans="1:10" ht="39.950000000000003" customHeight="1" x14ac:dyDescent="0.2">
      <c r="A2159" s="1214" t="s">
        <v>3157</v>
      </c>
      <c r="B2159" s="738" t="s">
        <v>1218</v>
      </c>
      <c r="C2159" s="701" t="s">
        <v>618</v>
      </c>
      <c r="D2159" s="738" t="s">
        <v>3158</v>
      </c>
      <c r="E2159" s="731">
        <v>54720</v>
      </c>
      <c r="F2159" s="735" t="s">
        <v>3159</v>
      </c>
      <c r="G2159" s="743" t="s">
        <v>1691</v>
      </c>
      <c r="H2159" s="733">
        <v>43710</v>
      </c>
      <c r="I2159" s="707"/>
      <c r="J2159" s="1145" t="s">
        <v>2648</v>
      </c>
    </row>
    <row r="2160" spans="1:10" ht="52.5" customHeight="1" x14ac:dyDescent="0.2">
      <c r="A2160" s="1214" t="s">
        <v>3160</v>
      </c>
      <c r="B2160" s="738" t="s">
        <v>1218</v>
      </c>
      <c r="C2160" s="701" t="s">
        <v>618</v>
      </c>
      <c r="D2160" s="738" t="s">
        <v>3161</v>
      </c>
      <c r="E2160" s="741">
        <v>58200</v>
      </c>
      <c r="F2160" s="735" t="s">
        <v>3162</v>
      </c>
      <c r="G2160" s="743" t="s">
        <v>1691</v>
      </c>
      <c r="H2160" s="733">
        <v>43710</v>
      </c>
      <c r="I2160" s="707"/>
      <c r="J2160" s="1145" t="s">
        <v>2648</v>
      </c>
    </row>
    <row r="2161" spans="1:10" ht="39.950000000000003" customHeight="1" x14ac:dyDescent="0.2">
      <c r="A2161" s="1214" t="s">
        <v>3163</v>
      </c>
      <c r="B2161" s="738" t="s">
        <v>1218</v>
      </c>
      <c r="C2161" s="701" t="s">
        <v>618</v>
      </c>
      <c r="D2161" s="738" t="s">
        <v>3164</v>
      </c>
      <c r="E2161" s="731">
        <v>94495</v>
      </c>
      <c r="F2161" s="735" t="s">
        <v>3165</v>
      </c>
      <c r="G2161" s="743" t="s">
        <v>1691</v>
      </c>
      <c r="H2161" s="733">
        <v>43692</v>
      </c>
      <c r="I2161" s="707"/>
      <c r="J2161" s="1145" t="s">
        <v>2648</v>
      </c>
    </row>
    <row r="2162" spans="1:10" ht="39.950000000000003" customHeight="1" x14ac:dyDescent="0.2">
      <c r="A2162" s="1214" t="s">
        <v>3166</v>
      </c>
      <c r="B2162" s="738" t="s">
        <v>1218</v>
      </c>
      <c r="C2162" s="701" t="s">
        <v>618</v>
      </c>
      <c r="D2162" s="738" t="s">
        <v>3167</v>
      </c>
      <c r="E2162" s="741">
        <v>43820</v>
      </c>
      <c r="F2162" s="735" t="s">
        <v>3168</v>
      </c>
      <c r="G2162" s="743" t="s">
        <v>1691</v>
      </c>
      <c r="H2162" s="733">
        <v>43679</v>
      </c>
      <c r="I2162" s="707"/>
      <c r="J2162" s="1145" t="s">
        <v>2648</v>
      </c>
    </row>
    <row r="2163" spans="1:10" ht="55.5" customHeight="1" x14ac:dyDescent="0.2">
      <c r="A2163" s="1214" t="s">
        <v>3169</v>
      </c>
      <c r="B2163" s="738" t="s">
        <v>1218</v>
      </c>
      <c r="C2163" s="701" t="s">
        <v>618</v>
      </c>
      <c r="D2163" s="738" t="s">
        <v>3170</v>
      </c>
      <c r="E2163" s="742">
        <v>145010</v>
      </c>
      <c r="F2163" s="735" t="s">
        <v>3171</v>
      </c>
      <c r="G2163" s="743" t="s">
        <v>1691</v>
      </c>
      <c r="H2163" s="733">
        <v>43663</v>
      </c>
      <c r="I2163" s="707"/>
      <c r="J2163" s="1145" t="s">
        <v>2648</v>
      </c>
    </row>
    <row r="2164" spans="1:10" ht="39.950000000000003" customHeight="1" x14ac:dyDescent="0.2">
      <c r="A2164" s="1214" t="s">
        <v>3169</v>
      </c>
      <c r="B2164" s="738" t="s">
        <v>1218</v>
      </c>
      <c r="C2164" s="701" t="s">
        <v>618</v>
      </c>
      <c r="D2164" s="738" t="s">
        <v>3170</v>
      </c>
      <c r="E2164" s="742">
        <v>168000</v>
      </c>
      <c r="F2164" s="735" t="s">
        <v>3172</v>
      </c>
      <c r="G2164" s="743" t="s">
        <v>1691</v>
      </c>
      <c r="H2164" s="733">
        <v>43668</v>
      </c>
      <c r="I2164" s="707"/>
      <c r="J2164" s="1145" t="s">
        <v>2648</v>
      </c>
    </row>
    <row r="2165" spans="1:10" ht="60" customHeight="1" x14ac:dyDescent="0.2">
      <c r="A2165" s="1214" t="s">
        <v>3173</v>
      </c>
      <c r="B2165" s="738" t="s">
        <v>1218</v>
      </c>
      <c r="C2165" s="701" t="s">
        <v>618</v>
      </c>
      <c r="D2165" s="738" t="s">
        <v>3174</v>
      </c>
      <c r="E2165" s="742">
        <f>115000+31363.65</f>
        <v>146363.65</v>
      </c>
      <c r="F2165" s="735" t="s">
        <v>3175</v>
      </c>
      <c r="G2165" s="743" t="s">
        <v>1691</v>
      </c>
      <c r="H2165" s="733" t="s">
        <v>3176</v>
      </c>
      <c r="I2165" s="707"/>
      <c r="J2165" s="1215" t="s">
        <v>3143</v>
      </c>
    </row>
    <row r="2166" spans="1:10" ht="59.25" customHeight="1" x14ac:dyDescent="0.2">
      <c r="A2166" s="1214" t="s">
        <v>3177</v>
      </c>
      <c r="B2166" s="738" t="s">
        <v>1218</v>
      </c>
      <c r="C2166" s="701" t="s">
        <v>618</v>
      </c>
      <c r="D2166" s="738" t="s">
        <v>3178</v>
      </c>
      <c r="E2166" s="731">
        <v>65952</v>
      </c>
      <c r="F2166" s="735" t="s">
        <v>3179</v>
      </c>
      <c r="G2166" s="743" t="s">
        <v>1691</v>
      </c>
      <c r="H2166" s="733">
        <v>43615</v>
      </c>
      <c r="I2166" s="707"/>
      <c r="J2166" s="1145" t="s">
        <v>2648</v>
      </c>
    </row>
    <row r="2167" spans="1:10" ht="39.950000000000003" customHeight="1" x14ac:dyDescent="0.2">
      <c r="A2167" s="1214" t="s">
        <v>3166</v>
      </c>
      <c r="B2167" s="738" t="s">
        <v>1218</v>
      </c>
      <c r="C2167" s="701" t="s">
        <v>618</v>
      </c>
      <c r="D2167" s="738" t="s">
        <v>3180</v>
      </c>
      <c r="E2167" s="731">
        <v>220380.2</v>
      </c>
      <c r="F2167" s="735" t="s">
        <v>3181</v>
      </c>
      <c r="G2167" s="743" t="s">
        <v>1691</v>
      </c>
      <c r="H2167" s="733">
        <v>43584</v>
      </c>
      <c r="I2167" s="707"/>
      <c r="J2167" s="1145" t="s">
        <v>2648</v>
      </c>
    </row>
    <row r="2168" spans="1:10" ht="39.950000000000003" customHeight="1" x14ac:dyDescent="0.2">
      <c r="A2168" s="1214" t="s">
        <v>3166</v>
      </c>
      <c r="B2168" s="738" t="s">
        <v>1218</v>
      </c>
      <c r="C2168" s="701" t="s">
        <v>618</v>
      </c>
      <c r="D2168" s="738" t="s">
        <v>3180</v>
      </c>
      <c r="E2168" s="731">
        <v>89386.43</v>
      </c>
      <c r="F2168" s="735" t="s">
        <v>3182</v>
      </c>
      <c r="G2168" s="743" t="s">
        <v>1691</v>
      </c>
      <c r="H2168" s="733">
        <v>43584</v>
      </c>
      <c r="I2168" s="707"/>
      <c r="J2168" s="1145" t="s">
        <v>2648</v>
      </c>
    </row>
    <row r="2169" spans="1:10" ht="39.950000000000003" customHeight="1" x14ac:dyDescent="0.2">
      <c r="A2169" s="1214" t="s">
        <v>3183</v>
      </c>
      <c r="B2169" s="738" t="s">
        <v>1218</v>
      </c>
      <c r="C2169" s="701" t="s">
        <v>618</v>
      </c>
      <c r="D2169" s="738" t="s">
        <v>3184</v>
      </c>
      <c r="E2169" s="731">
        <v>321180</v>
      </c>
      <c r="F2169" s="735" t="s">
        <v>3185</v>
      </c>
      <c r="G2169" s="743" t="s">
        <v>1691</v>
      </c>
      <c r="H2169" s="733">
        <v>43571</v>
      </c>
      <c r="I2169" s="707"/>
      <c r="J2169" s="1145" t="s">
        <v>2648</v>
      </c>
    </row>
    <row r="2170" spans="1:10" ht="39.950000000000003" customHeight="1" x14ac:dyDescent="0.2">
      <c r="A2170" s="1214" t="s">
        <v>3183</v>
      </c>
      <c r="B2170" s="738" t="s">
        <v>1218</v>
      </c>
      <c r="C2170" s="701" t="s">
        <v>618</v>
      </c>
      <c r="D2170" s="738" t="s">
        <v>3184</v>
      </c>
      <c r="E2170" s="731">
        <v>54889.53</v>
      </c>
      <c r="F2170" s="735" t="s">
        <v>3186</v>
      </c>
      <c r="G2170" s="743" t="s">
        <v>1691</v>
      </c>
      <c r="H2170" s="733">
        <v>43565</v>
      </c>
      <c r="I2170" s="707"/>
      <c r="J2170" s="1145" t="s">
        <v>2648</v>
      </c>
    </row>
    <row r="2171" spans="1:10" ht="39.950000000000003" customHeight="1" x14ac:dyDescent="0.2">
      <c r="A2171" s="1214" t="s">
        <v>3187</v>
      </c>
      <c r="B2171" s="738" t="s">
        <v>1218</v>
      </c>
      <c r="C2171" s="701" t="s">
        <v>618</v>
      </c>
      <c r="D2171" s="738" t="s">
        <v>3188</v>
      </c>
      <c r="E2171" s="734">
        <f>260400+79200</f>
        <v>339600</v>
      </c>
      <c r="F2171" s="735" t="s">
        <v>3189</v>
      </c>
      <c r="G2171" s="743" t="s">
        <v>1691</v>
      </c>
      <c r="H2171" s="733" t="s">
        <v>3190</v>
      </c>
      <c r="I2171" s="707"/>
      <c r="J2171" s="1215" t="s">
        <v>3143</v>
      </c>
    </row>
    <row r="2172" spans="1:10" ht="39.950000000000003" customHeight="1" x14ac:dyDescent="0.2">
      <c r="A2172" s="1214" t="s">
        <v>3191</v>
      </c>
      <c r="B2172" s="738" t="s">
        <v>1218</v>
      </c>
      <c r="C2172" s="701" t="s">
        <v>618</v>
      </c>
      <c r="D2172" s="738" t="s">
        <v>3192</v>
      </c>
      <c r="E2172" s="734">
        <v>113300</v>
      </c>
      <c r="F2172" s="735" t="s">
        <v>3193</v>
      </c>
      <c r="G2172" s="743" t="s">
        <v>1691</v>
      </c>
      <c r="H2172" s="733">
        <v>43571</v>
      </c>
      <c r="I2172" s="707"/>
      <c r="J2172" s="1145" t="s">
        <v>2648</v>
      </c>
    </row>
    <row r="2173" spans="1:10" ht="39.950000000000003" customHeight="1" x14ac:dyDescent="0.2">
      <c r="A2173" s="1214" t="s">
        <v>3194</v>
      </c>
      <c r="B2173" s="738" t="s">
        <v>1291</v>
      </c>
      <c r="C2173" s="701" t="s">
        <v>618</v>
      </c>
      <c r="D2173" s="738" t="s">
        <v>3195</v>
      </c>
      <c r="E2173" s="734">
        <v>193627.5</v>
      </c>
      <c r="F2173" s="735" t="s">
        <v>1404</v>
      </c>
      <c r="G2173" s="743" t="s">
        <v>1691</v>
      </c>
      <c r="H2173" s="733">
        <v>43552</v>
      </c>
      <c r="I2173" s="707"/>
      <c r="J2173" s="1145" t="s">
        <v>2648</v>
      </c>
    </row>
    <row r="2174" spans="1:10" ht="39.950000000000003" customHeight="1" x14ac:dyDescent="0.2">
      <c r="A2174" s="1216" t="s">
        <v>3196</v>
      </c>
      <c r="B2174" s="760" t="s">
        <v>1865</v>
      </c>
      <c r="C2174" s="701"/>
      <c r="D2174" s="738" t="s">
        <v>3197</v>
      </c>
      <c r="E2174" s="744">
        <v>24972.29</v>
      </c>
      <c r="F2174" s="736" t="s">
        <v>3198</v>
      </c>
      <c r="G2174" s="743" t="s">
        <v>1691</v>
      </c>
      <c r="H2174" s="745" t="s">
        <v>3199</v>
      </c>
      <c r="I2174" s="707"/>
      <c r="J2174" s="1145" t="s">
        <v>2648</v>
      </c>
    </row>
    <row r="2175" spans="1:10" ht="39.950000000000003" customHeight="1" x14ac:dyDescent="0.2">
      <c r="A2175" s="1216" t="s">
        <v>3200</v>
      </c>
      <c r="B2175" s="760" t="s">
        <v>1865</v>
      </c>
      <c r="C2175" s="701"/>
      <c r="D2175" s="738" t="s">
        <v>3201</v>
      </c>
      <c r="E2175" s="744">
        <v>13100.36</v>
      </c>
      <c r="F2175" s="736" t="s">
        <v>3202</v>
      </c>
      <c r="G2175" s="743" t="s">
        <v>1691</v>
      </c>
      <c r="H2175" s="745" t="s">
        <v>3203</v>
      </c>
      <c r="I2175" s="707"/>
      <c r="J2175" s="1145" t="s">
        <v>2648</v>
      </c>
    </row>
    <row r="2176" spans="1:10" ht="39.950000000000003" customHeight="1" x14ac:dyDescent="0.2">
      <c r="A2176" s="1216" t="s">
        <v>3204</v>
      </c>
      <c r="B2176" s="760" t="s">
        <v>1865</v>
      </c>
      <c r="C2176" s="701"/>
      <c r="D2176" s="746" t="s">
        <v>3205</v>
      </c>
      <c r="E2176" s="761">
        <v>2301</v>
      </c>
      <c r="F2176" s="746" t="s">
        <v>3206</v>
      </c>
      <c r="G2176" s="743" t="s">
        <v>1691</v>
      </c>
      <c r="H2176" s="745" t="s">
        <v>3207</v>
      </c>
      <c r="I2176" s="707"/>
      <c r="J2176" s="1145" t="s">
        <v>2648</v>
      </c>
    </row>
    <row r="2177" spans="1:10" ht="39.950000000000003" customHeight="1" x14ac:dyDescent="0.2">
      <c r="A2177" s="1216" t="s">
        <v>3204</v>
      </c>
      <c r="B2177" s="760" t="s">
        <v>1865</v>
      </c>
      <c r="C2177" s="701"/>
      <c r="D2177" s="746" t="s">
        <v>3208</v>
      </c>
      <c r="E2177" s="761">
        <v>4956</v>
      </c>
      <c r="F2177" s="746" t="s">
        <v>3209</v>
      </c>
      <c r="G2177" s="743" t="s">
        <v>1691</v>
      </c>
      <c r="H2177" s="747" t="s">
        <v>3210</v>
      </c>
      <c r="I2177" s="707"/>
      <c r="J2177" s="1145" t="s">
        <v>2648</v>
      </c>
    </row>
    <row r="2178" spans="1:10" ht="39.950000000000003" customHeight="1" x14ac:dyDescent="0.2">
      <c r="A2178" s="1216" t="s">
        <v>3204</v>
      </c>
      <c r="B2178" s="760" t="s">
        <v>1865</v>
      </c>
      <c r="C2178" s="701"/>
      <c r="D2178" s="746" t="s">
        <v>3211</v>
      </c>
      <c r="E2178" s="761">
        <v>4690.5</v>
      </c>
      <c r="F2178" s="746" t="s">
        <v>3212</v>
      </c>
      <c r="G2178" s="743" t="s">
        <v>1691</v>
      </c>
      <c r="H2178" s="745" t="s">
        <v>3213</v>
      </c>
      <c r="I2178" s="707"/>
      <c r="J2178" s="1145" t="s">
        <v>2648</v>
      </c>
    </row>
    <row r="2179" spans="1:10" ht="39.950000000000003" customHeight="1" x14ac:dyDescent="0.2">
      <c r="A2179" s="1216" t="s">
        <v>3204</v>
      </c>
      <c r="B2179" s="760" t="s">
        <v>1865</v>
      </c>
      <c r="C2179" s="701"/>
      <c r="D2179" s="746" t="s">
        <v>3214</v>
      </c>
      <c r="E2179" s="761">
        <v>1288.56</v>
      </c>
      <c r="F2179" s="746" t="s">
        <v>3215</v>
      </c>
      <c r="G2179" s="743" t="s">
        <v>1691</v>
      </c>
      <c r="H2179" s="745" t="s">
        <v>3213</v>
      </c>
      <c r="I2179" s="707"/>
      <c r="J2179" s="1145" t="s">
        <v>2648</v>
      </c>
    </row>
    <row r="2180" spans="1:10" ht="39.950000000000003" customHeight="1" x14ac:dyDescent="0.2">
      <c r="A2180" s="1216" t="s">
        <v>3204</v>
      </c>
      <c r="B2180" s="760" t="s">
        <v>1865</v>
      </c>
      <c r="C2180" s="701"/>
      <c r="D2180" s="746" t="s">
        <v>3216</v>
      </c>
      <c r="E2180" s="761">
        <v>1604.8</v>
      </c>
      <c r="F2180" s="746" t="s">
        <v>3217</v>
      </c>
      <c r="G2180" s="743" t="s">
        <v>1691</v>
      </c>
      <c r="H2180" s="745" t="s">
        <v>3213</v>
      </c>
      <c r="I2180" s="707"/>
      <c r="J2180" s="1145" t="s">
        <v>2648</v>
      </c>
    </row>
    <row r="2181" spans="1:10" ht="39.950000000000003" customHeight="1" x14ac:dyDescent="0.2">
      <c r="A2181" s="1216" t="s">
        <v>3204</v>
      </c>
      <c r="B2181" s="760" t="s">
        <v>1865</v>
      </c>
      <c r="C2181" s="701"/>
      <c r="D2181" s="746" t="s">
        <v>3218</v>
      </c>
      <c r="E2181" s="761">
        <v>2419</v>
      </c>
      <c r="F2181" s="746" t="s">
        <v>3219</v>
      </c>
      <c r="G2181" s="743" t="s">
        <v>1691</v>
      </c>
      <c r="H2181" s="745" t="s">
        <v>3220</v>
      </c>
      <c r="I2181" s="707"/>
      <c r="J2181" s="1145" t="s">
        <v>2648</v>
      </c>
    </row>
    <row r="2182" spans="1:10" ht="39.950000000000003" customHeight="1" x14ac:dyDescent="0.2">
      <c r="A2182" s="1216" t="s">
        <v>3204</v>
      </c>
      <c r="B2182" s="760" t="s">
        <v>1865</v>
      </c>
      <c r="C2182" s="701"/>
      <c r="D2182" s="746" t="s">
        <v>3221</v>
      </c>
      <c r="E2182" s="761">
        <v>2421.36</v>
      </c>
      <c r="F2182" s="746" t="s">
        <v>3206</v>
      </c>
      <c r="G2182" s="743" t="s">
        <v>1691</v>
      </c>
      <c r="H2182" s="745" t="s">
        <v>3220</v>
      </c>
      <c r="I2182" s="707"/>
      <c r="J2182" s="1145" t="s">
        <v>2648</v>
      </c>
    </row>
    <row r="2183" spans="1:10" ht="39.950000000000003" customHeight="1" x14ac:dyDescent="0.2">
      <c r="A2183" s="1216" t="s">
        <v>3204</v>
      </c>
      <c r="B2183" s="760" t="s">
        <v>1865</v>
      </c>
      <c r="C2183" s="701"/>
      <c r="D2183" s="746" t="s">
        <v>3222</v>
      </c>
      <c r="E2183" s="761">
        <v>2097.4499999999998</v>
      </c>
      <c r="F2183" s="746" t="s">
        <v>3217</v>
      </c>
      <c r="G2183" s="743" t="s">
        <v>1691</v>
      </c>
      <c r="H2183" s="745" t="s">
        <v>3223</v>
      </c>
      <c r="I2183" s="707"/>
      <c r="J2183" s="1145" t="s">
        <v>2648</v>
      </c>
    </row>
    <row r="2184" spans="1:10" ht="39.950000000000003" customHeight="1" x14ac:dyDescent="0.2">
      <c r="A2184" s="1216" t="s">
        <v>3204</v>
      </c>
      <c r="B2184" s="760" t="s">
        <v>1865</v>
      </c>
      <c r="C2184" s="701"/>
      <c r="D2184" s="746" t="s">
        <v>3224</v>
      </c>
      <c r="E2184" s="761">
        <v>2199.52</v>
      </c>
      <c r="F2184" s="746" t="s">
        <v>3215</v>
      </c>
      <c r="G2184" s="743" t="s">
        <v>1691</v>
      </c>
      <c r="H2184" s="745" t="s">
        <v>3225</v>
      </c>
      <c r="I2184" s="707"/>
      <c r="J2184" s="1145" t="s">
        <v>2648</v>
      </c>
    </row>
    <row r="2185" spans="1:10" ht="39.950000000000003" customHeight="1" x14ac:dyDescent="0.2">
      <c r="A2185" s="1216" t="s">
        <v>3204</v>
      </c>
      <c r="B2185" s="760" t="s">
        <v>1865</v>
      </c>
      <c r="C2185" s="701"/>
      <c r="D2185" s="746" t="s">
        <v>3226</v>
      </c>
      <c r="E2185" s="761">
        <v>21535</v>
      </c>
      <c r="F2185" s="746" t="s">
        <v>3227</v>
      </c>
      <c r="G2185" s="743" t="s">
        <v>1691</v>
      </c>
      <c r="H2185" s="745" t="s">
        <v>3228</v>
      </c>
      <c r="I2185" s="707"/>
      <c r="J2185" s="1145" t="s">
        <v>2648</v>
      </c>
    </row>
    <row r="2186" spans="1:10" ht="39.950000000000003" customHeight="1" x14ac:dyDescent="0.2">
      <c r="A2186" s="1216" t="s">
        <v>3204</v>
      </c>
      <c r="B2186" s="760" t="s">
        <v>1865</v>
      </c>
      <c r="C2186" s="701"/>
      <c r="D2186" s="746" t="s">
        <v>3229</v>
      </c>
      <c r="E2186" s="761">
        <v>8917.85</v>
      </c>
      <c r="F2186" s="746" t="s">
        <v>3230</v>
      </c>
      <c r="G2186" s="743" t="s">
        <v>1691</v>
      </c>
      <c r="H2186" s="745" t="s">
        <v>3228</v>
      </c>
      <c r="I2186" s="707"/>
      <c r="J2186" s="1145" t="s">
        <v>2648</v>
      </c>
    </row>
    <row r="2187" spans="1:10" ht="39.950000000000003" customHeight="1" x14ac:dyDescent="0.2">
      <c r="A2187" s="1216" t="s">
        <v>3204</v>
      </c>
      <c r="B2187" s="760" t="s">
        <v>1865</v>
      </c>
      <c r="C2187" s="701"/>
      <c r="D2187" s="746" t="s">
        <v>3231</v>
      </c>
      <c r="E2187" s="761">
        <v>3563.6</v>
      </c>
      <c r="F2187" s="746" t="s">
        <v>3212</v>
      </c>
      <c r="G2187" s="743" t="s">
        <v>1691</v>
      </c>
      <c r="H2187" s="745" t="s">
        <v>3228</v>
      </c>
      <c r="I2187" s="707"/>
      <c r="J2187" s="1145" t="s">
        <v>2648</v>
      </c>
    </row>
    <row r="2188" spans="1:10" ht="39.950000000000003" customHeight="1" x14ac:dyDescent="0.2">
      <c r="A2188" s="1216" t="s">
        <v>3204</v>
      </c>
      <c r="B2188" s="760" t="s">
        <v>1865</v>
      </c>
      <c r="C2188" s="701"/>
      <c r="D2188" s="746" t="s">
        <v>3232</v>
      </c>
      <c r="E2188" s="761">
        <v>16461</v>
      </c>
      <c r="F2188" s="746" t="s">
        <v>3215</v>
      </c>
      <c r="G2188" s="743" t="s">
        <v>1691</v>
      </c>
      <c r="H2188" s="745" t="s">
        <v>3228</v>
      </c>
      <c r="I2188" s="707"/>
      <c r="J2188" s="1145" t="s">
        <v>2648</v>
      </c>
    </row>
    <row r="2189" spans="1:10" ht="39.950000000000003" customHeight="1" x14ac:dyDescent="0.2">
      <c r="A2189" s="1216" t="s">
        <v>3204</v>
      </c>
      <c r="B2189" s="760" t="s">
        <v>1865</v>
      </c>
      <c r="C2189" s="701"/>
      <c r="D2189" s="746" t="s">
        <v>3233</v>
      </c>
      <c r="E2189" s="761">
        <v>3150.6</v>
      </c>
      <c r="F2189" s="746" t="s">
        <v>3234</v>
      </c>
      <c r="G2189" s="743" t="s">
        <v>1691</v>
      </c>
      <c r="H2189" s="745" t="s">
        <v>3228</v>
      </c>
      <c r="I2189" s="707"/>
      <c r="J2189" s="1145" t="s">
        <v>2648</v>
      </c>
    </row>
    <row r="2190" spans="1:10" ht="39.950000000000003" customHeight="1" x14ac:dyDescent="0.2">
      <c r="A2190" s="1216" t="s">
        <v>3204</v>
      </c>
      <c r="B2190" s="760" t="s">
        <v>1865</v>
      </c>
      <c r="C2190" s="701"/>
      <c r="D2190" s="746" t="s">
        <v>3235</v>
      </c>
      <c r="E2190" s="761">
        <v>16086.94</v>
      </c>
      <c r="F2190" s="746" t="s">
        <v>3215</v>
      </c>
      <c r="G2190" s="743" t="s">
        <v>1691</v>
      </c>
      <c r="H2190" s="745" t="s">
        <v>3228</v>
      </c>
      <c r="I2190" s="707"/>
      <c r="J2190" s="1145" t="s">
        <v>2648</v>
      </c>
    </row>
    <row r="2191" spans="1:10" ht="39.950000000000003" customHeight="1" x14ac:dyDescent="0.2">
      <c r="A2191" s="1216" t="s">
        <v>3204</v>
      </c>
      <c r="B2191" s="760" t="s">
        <v>1865</v>
      </c>
      <c r="C2191" s="701"/>
      <c r="D2191" s="746" t="s">
        <v>3236</v>
      </c>
      <c r="E2191" s="761">
        <v>15452.1</v>
      </c>
      <c r="F2191" s="746" t="s">
        <v>3237</v>
      </c>
      <c r="G2191" s="743" t="s">
        <v>1691</v>
      </c>
      <c r="H2191" s="745" t="s">
        <v>3238</v>
      </c>
      <c r="I2191" s="707"/>
      <c r="J2191" s="1145" t="s">
        <v>2648</v>
      </c>
    </row>
    <row r="2192" spans="1:10" ht="39.950000000000003" customHeight="1" x14ac:dyDescent="0.2">
      <c r="A2192" s="1216" t="s">
        <v>3204</v>
      </c>
      <c r="B2192" s="760" t="s">
        <v>1865</v>
      </c>
      <c r="C2192" s="701"/>
      <c r="D2192" s="746" t="s">
        <v>3239</v>
      </c>
      <c r="E2192" s="761">
        <v>55566.2</v>
      </c>
      <c r="F2192" s="746" t="s">
        <v>3215</v>
      </c>
      <c r="G2192" s="743" t="s">
        <v>1691</v>
      </c>
      <c r="H2192" s="745" t="s">
        <v>3238</v>
      </c>
      <c r="I2192" s="707"/>
      <c r="J2192" s="1145" t="s">
        <v>2648</v>
      </c>
    </row>
    <row r="2193" spans="1:10" ht="39.950000000000003" customHeight="1" x14ac:dyDescent="0.2">
      <c r="A2193" s="1216" t="s">
        <v>3204</v>
      </c>
      <c r="B2193" s="760" t="s">
        <v>1865</v>
      </c>
      <c r="C2193" s="701"/>
      <c r="D2193" s="746" t="s">
        <v>3240</v>
      </c>
      <c r="E2193" s="761">
        <v>19164.68</v>
      </c>
      <c r="F2193" s="746" t="s">
        <v>3234</v>
      </c>
      <c r="G2193" s="743" t="s">
        <v>1691</v>
      </c>
      <c r="H2193" s="745" t="s">
        <v>3238</v>
      </c>
      <c r="I2193" s="707"/>
      <c r="J2193" s="1145" t="s">
        <v>2648</v>
      </c>
    </row>
    <row r="2194" spans="1:10" ht="39.950000000000003" customHeight="1" x14ac:dyDescent="0.2">
      <c r="A2194" s="1216" t="s">
        <v>3204</v>
      </c>
      <c r="B2194" s="760" t="s">
        <v>1865</v>
      </c>
      <c r="C2194" s="701"/>
      <c r="D2194" s="746" t="s">
        <v>3241</v>
      </c>
      <c r="E2194" s="761">
        <v>15859.2</v>
      </c>
      <c r="F2194" s="746" t="s">
        <v>3242</v>
      </c>
      <c r="G2194" s="743" t="s">
        <v>1691</v>
      </c>
      <c r="H2194" s="745" t="s">
        <v>3238</v>
      </c>
      <c r="I2194" s="707"/>
      <c r="J2194" s="1145" t="s">
        <v>2648</v>
      </c>
    </row>
    <row r="2195" spans="1:10" ht="39.950000000000003" customHeight="1" x14ac:dyDescent="0.2">
      <c r="A2195" s="1216" t="s">
        <v>3204</v>
      </c>
      <c r="B2195" s="760" t="s">
        <v>1865</v>
      </c>
      <c r="C2195" s="701"/>
      <c r="D2195" s="746" t="s">
        <v>3243</v>
      </c>
      <c r="E2195" s="761">
        <v>10938.6</v>
      </c>
      <c r="F2195" s="746" t="s">
        <v>3206</v>
      </c>
      <c r="G2195" s="743" t="s">
        <v>1691</v>
      </c>
      <c r="H2195" s="745" t="s">
        <v>3238</v>
      </c>
      <c r="I2195" s="707"/>
      <c r="J2195" s="1145" t="s">
        <v>2648</v>
      </c>
    </row>
    <row r="2196" spans="1:10" ht="39.950000000000003" customHeight="1" x14ac:dyDescent="0.2">
      <c r="A2196" s="1216" t="s">
        <v>3204</v>
      </c>
      <c r="B2196" s="760" t="s">
        <v>1865</v>
      </c>
      <c r="C2196" s="701"/>
      <c r="D2196" s="746" t="s">
        <v>3244</v>
      </c>
      <c r="E2196" s="761">
        <v>251.34</v>
      </c>
      <c r="F2196" s="746" t="s">
        <v>3245</v>
      </c>
      <c r="G2196" s="743" t="s">
        <v>1691</v>
      </c>
      <c r="H2196" s="745" t="s">
        <v>3199</v>
      </c>
      <c r="I2196" s="707"/>
      <c r="J2196" s="1145" t="s">
        <v>2648</v>
      </c>
    </row>
    <row r="2197" spans="1:10" ht="39.950000000000003" customHeight="1" x14ac:dyDescent="0.2">
      <c r="A2197" s="1216" t="s">
        <v>3204</v>
      </c>
      <c r="B2197" s="760" t="s">
        <v>1865</v>
      </c>
      <c r="C2197" s="701"/>
      <c r="D2197" s="746" t="s">
        <v>3246</v>
      </c>
      <c r="E2197" s="761">
        <v>3376.51</v>
      </c>
      <c r="F2197" s="746" t="s">
        <v>3245</v>
      </c>
      <c r="G2197" s="743" t="s">
        <v>1691</v>
      </c>
      <c r="H2197" s="745" t="s">
        <v>3199</v>
      </c>
      <c r="I2197" s="707"/>
      <c r="J2197" s="1145" t="s">
        <v>2648</v>
      </c>
    </row>
    <row r="2198" spans="1:10" ht="39.950000000000003" customHeight="1" x14ac:dyDescent="0.2">
      <c r="A2198" s="1216" t="s">
        <v>3204</v>
      </c>
      <c r="B2198" s="760" t="s">
        <v>1865</v>
      </c>
      <c r="C2198" s="701"/>
      <c r="D2198" s="746" t="s">
        <v>3247</v>
      </c>
      <c r="E2198" s="761">
        <v>244.25</v>
      </c>
      <c r="F2198" s="746" t="s">
        <v>3215</v>
      </c>
      <c r="G2198" s="743" t="s">
        <v>1691</v>
      </c>
      <c r="H2198" s="745" t="s">
        <v>3199</v>
      </c>
      <c r="I2198" s="707"/>
      <c r="J2198" s="1145" t="s">
        <v>2648</v>
      </c>
    </row>
    <row r="2199" spans="1:10" ht="39.950000000000003" customHeight="1" x14ac:dyDescent="0.2">
      <c r="A2199" s="1216" t="s">
        <v>3248</v>
      </c>
      <c r="B2199" s="760" t="s">
        <v>1865</v>
      </c>
      <c r="C2199" s="701"/>
      <c r="D2199" s="762" t="s">
        <v>3249</v>
      </c>
      <c r="E2199" s="763">
        <v>4407.91</v>
      </c>
      <c r="F2199" s="763" t="s">
        <v>3250</v>
      </c>
      <c r="G2199" s="743" t="s">
        <v>1691</v>
      </c>
      <c r="H2199" s="764">
        <v>43999</v>
      </c>
      <c r="I2199" s="707"/>
      <c r="J2199" s="1145" t="s">
        <v>2648</v>
      </c>
    </row>
    <row r="2200" spans="1:10" ht="39.950000000000003" customHeight="1" x14ac:dyDescent="0.2">
      <c r="A2200" s="1216" t="s">
        <v>3248</v>
      </c>
      <c r="B2200" s="760" t="s">
        <v>1865</v>
      </c>
      <c r="C2200" s="701"/>
      <c r="D2200" s="762" t="s">
        <v>3251</v>
      </c>
      <c r="E2200" s="763">
        <v>1137.3800000000001</v>
      </c>
      <c r="F2200" s="763" t="s">
        <v>3252</v>
      </c>
      <c r="G2200" s="743" t="s">
        <v>1691</v>
      </c>
      <c r="H2200" s="764">
        <v>43999</v>
      </c>
      <c r="I2200" s="707"/>
      <c r="J2200" s="1145" t="s">
        <v>2648</v>
      </c>
    </row>
    <row r="2201" spans="1:10" ht="39.950000000000003" customHeight="1" x14ac:dyDescent="0.2">
      <c r="A2201" s="1216" t="s">
        <v>3248</v>
      </c>
      <c r="B2201" s="760" t="s">
        <v>1865</v>
      </c>
      <c r="C2201" s="701"/>
      <c r="D2201" s="762" t="s">
        <v>3253</v>
      </c>
      <c r="E2201" s="763">
        <v>1996.69</v>
      </c>
      <c r="F2201" s="763" t="s">
        <v>3254</v>
      </c>
      <c r="G2201" s="743" t="s">
        <v>1691</v>
      </c>
      <c r="H2201" s="764">
        <v>43999</v>
      </c>
      <c r="I2201" s="707"/>
      <c r="J2201" s="1145" t="s">
        <v>2648</v>
      </c>
    </row>
    <row r="2202" spans="1:10" ht="39.950000000000003" customHeight="1" x14ac:dyDescent="0.2">
      <c r="A2202" s="1216" t="s">
        <v>3248</v>
      </c>
      <c r="B2202" s="760" t="s">
        <v>1865</v>
      </c>
      <c r="C2202" s="701"/>
      <c r="D2202" s="762" t="s">
        <v>3255</v>
      </c>
      <c r="E2202" s="763">
        <v>13351.89</v>
      </c>
      <c r="F2202" s="763" t="s">
        <v>3256</v>
      </c>
      <c r="G2202" s="743" t="s">
        <v>1691</v>
      </c>
      <c r="H2202" s="764">
        <v>43999</v>
      </c>
      <c r="I2202" s="707"/>
      <c r="J2202" s="1145" t="s">
        <v>2648</v>
      </c>
    </row>
    <row r="2203" spans="1:10" ht="39.950000000000003" customHeight="1" x14ac:dyDescent="0.2">
      <c r="A2203" s="1216" t="s">
        <v>3248</v>
      </c>
      <c r="B2203" s="760" t="s">
        <v>1865</v>
      </c>
      <c r="C2203" s="701"/>
      <c r="D2203" s="762" t="s">
        <v>3257</v>
      </c>
      <c r="E2203" s="763">
        <v>4545.29</v>
      </c>
      <c r="F2203" s="763" t="s">
        <v>3258</v>
      </c>
      <c r="G2203" s="743" t="s">
        <v>1691</v>
      </c>
      <c r="H2203" s="764">
        <v>43999</v>
      </c>
      <c r="I2203" s="707"/>
      <c r="J2203" s="1145" t="s">
        <v>2648</v>
      </c>
    </row>
    <row r="2204" spans="1:10" ht="39.950000000000003" customHeight="1" x14ac:dyDescent="0.2">
      <c r="A2204" s="1216" t="s">
        <v>3248</v>
      </c>
      <c r="B2204" s="760" t="s">
        <v>1865</v>
      </c>
      <c r="C2204" s="701"/>
      <c r="D2204" s="762" t="s">
        <v>3259</v>
      </c>
      <c r="E2204" s="763">
        <v>4175.83</v>
      </c>
      <c r="F2204" s="763" t="s">
        <v>3260</v>
      </c>
      <c r="G2204" s="743" t="s">
        <v>1691</v>
      </c>
      <c r="H2204" s="764">
        <v>43783</v>
      </c>
      <c r="I2204" s="707"/>
      <c r="J2204" s="1145" t="s">
        <v>2648</v>
      </c>
    </row>
    <row r="2205" spans="1:10" ht="39.950000000000003" customHeight="1" x14ac:dyDescent="0.2">
      <c r="A2205" s="1216" t="s">
        <v>3248</v>
      </c>
      <c r="B2205" s="760" t="s">
        <v>1865</v>
      </c>
      <c r="C2205" s="701"/>
      <c r="D2205" s="762" t="s">
        <v>3261</v>
      </c>
      <c r="E2205" s="763">
        <v>2691.25</v>
      </c>
      <c r="F2205" s="763" t="s">
        <v>3262</v>
      </c>
      <c r="G2205" s="743" t="s">
        <v>1691</v>
      </c>
      <c r="H2205" s="764">
        <v>43742</v>
      </c>
      <c r="I2205" s="707"/>
      <c r="J2205" s="1145" t="s">
        <v>2648</v>
      </c>
    </row>
    <row r="2206" spans="1:10" ht="39.950000000000003" customHeight="1" x14ac:dyDescent="0.2">
      <c r="A2206" s="1216" t="s">
        <v>3248</v>
      </c>
      <c r="B2206" s="760" t="s">
        <v>1865</v>
      </c>
      <c r="C2206" s="701"/>
      <c r="D2206" s="762" t="s">
        <v>3263</v>
      </c>
      <c r="E2206" s="763">
        <v>934.86</v>
      </c>
      <c r="F2206" s="763" t="s">
        <v>3264</v>
      </c>
      <c r="G2206" s="743" t="s">
        <v>1691</v>
      </c>
      <c r="H2206" s="764">
        <v>43907</v>
      </c>
      <c r="I2206" s="707"/>
      <c r="J2206" s="1145" t="s">
        <v>2648</v>
      </c>
    </row>
    <row r="2207" spans="1:10" ht="39.950000000000003" customHeight="1" x14ac:dyDescent="0.2">
      <c r="A2207" s="1216" t="s">
        <v>3248</v>
      </c>
      <c r="B2207" s="760" t="s">
        <v>1865</v>
      </c>
      <c r="C2207" s="701"/>
      <c r="D2207" s="762" t="s">
        <v>3265</v>
      </c>
      <c r="E2207" s="763">
        <v>54830.5</v>
      </c>
      <c r="F2207" s="763" t="s">
        <v>3266</v>
      </c>
      <c r="G2207" s="743" t="s">
        <v>1691</v>
      </c>
      <c r="H2207" s="764">
        <v>43999</v>
      </c>
      <c r="I2207" s="707"/>
      <c r="J2207" s="1145" t="s">
        <v>2648</v>
      </c>
    </row>
    <row r="2208" spans="1:10" ht="39.950000000000003" customHeight="1" x14ac:dyDescent="0.2">
      <c r="A2208" s="1216" t="s">
        <v>3248</v>
      </c>
      <c r="B2208" s="760" t="s">
        <v>1865</v>
      </c>
      <c r="C2208" s="701"/>
      <c r="D2208" s="762" t="s">
        <v>3267</v>
      </c>
      <c r="E2208" s="763">
        <v>22937.01</v>
      </c>
      <c r="F2208" s="763" t="s">
        <v>3268</v>
      </c>
      <c r="G2208" s="743" t="s">
        <v>1691</v>
      </c>
      <c r="H2208" s="764">
        <v>43907</v>
      </c>
      <c r="I2208" s="707"/>
      <c r="J2208" s="1145" t="s">
        <v>2648</v>
      </c>
    </row>
    <row r="2209" spans="1:10" ht="39.950000000000003" customHeight="1" x14ac:dyDescent="0.2">
      <c r="A2209" s="1216" t="s">
        <v>3248</v>
      </c>
      <c r="B2209" s="760" t="s">
        <v>1865</v>
      </c>
      <c r="C2209" s="701"/>
      <c r="D2209" s="762" t="s">
        <v>3269</v>
      </c>
      <c r="E2209" s="763">
        <v>17735.400000000001</v>
      </c>
      <c r="F2209" s="763" t="s">
        <v>3270</v>
      </c>
      <c r="G2209" s="743" t="s">
        <v>1691</v>
      </c>
      <c r="H2209" s="764">
        <v>43696</v>
      </c>
      <c r="I2209" s="707"/>
      <c r="J2209" s="1145" t="s">
        <v>2648</v>
      </c>
    </row>
    <row r="2210" spans="1:10" ht="39.950000000000003" customHeight="1" x14ac:dyDescent="0.2">
      <c r="A2210" s="1209" t="s">
        <v>3271</v>
      </c>
      <c r="B2210" s="701"/>
      <c r="C2210" s="701" t="s">
        <v>3272</v>
      </c>
      <c r="D2210" s="701"/>
      <c r="E2210" s="748">
        <v>142200</v>
      </c>
      <c r="F2210" s="701"/>
      <c r="G2210" s="701" t="s">
        <v>3273</v>
      </c>
      <c r="H2210" s="701" t="s">
        <v>3274</v>
      </c>
      <c r="I2210" s="707"/>
      <c r="J2210" s="1145" t="s">
        <v>2648</v>
      </c>
    </row>
    <row r="2211" spans="1:10" ht="39.950000000000003" customHeight="1" x14ac:dyDescent="0.2">
      <c r="A2211" s="1209" t="s">
        <v>3275</v>
      </c>
      <c r="B2211" s="701"/>
      <c r="C2211" s="701" t="s">
        <v>3272</v>
      </c>
      <c r="D2211" s="701"/>
      <c r="E2211" s="748">
        <v>380680</v>
      </c>
      <c r="F2211" s="701"/>
      <c r="G2211" s="701" t="s">
        <v>3273</v>
      </c>
      <c r="H2211" s="701" t="s">
        <v>3274</v>
      </c>
      <c r="I2211" s="707"/>
      <c r="J2211" s="1145" t="s">
        <v>2648</v>
      </c>
    </row>
    <row r="2212" spans="1:10" ht="39.950000000000003" customHeight="1" x14ac:dyDescent="0.2">
      <c r="A2212" s="1209" t="s">
        <v>3276</v>
      </c>
      <c r="B2212" s="701"/>
      <c r="C2212" s="701" t="s">
        <v>3277</v>
      </c>
      <c r="D2212" s="701"/>
      <c r="E2212" s="749">
        <v>601696</v>
      </c>
      <c r="F2212" s="701" t="s">
        <v>3278</v>
      </c>
      <c r="G2212" s="506"/>
      <c r="H2212" s="701" t="s">
        <v>3279</v>
      </c>
      <c r="I2212" s="707"/>
      <c r="J2212" s="1212" t="s">
        <v>3280</v>
      </c>
    </row>
    <row r="2213" spans="1:10" ht="39.950000000000003" customHeight="1" x14ac:dyDescent="0.2">
      <c r="A2213" s="1209" t="s">
        <v>3281</v>
      </c>
      <c r="B2213" s="701"/>
      <c r="C2213" s="701" t="s">
        <v>3277</v>
      </c>
      <c r="D2213" s="701"/>
      <c r="E2213" s="749">
        <v>55383.6</v>
      </c>
      <c r="F2213" s="701" t="s">
        <v>3282</v>
      </c>
      <c r="G2213" s="506"/>
      <c r="H2213" s="701" t="s">
        <v>3279</v>
      </c>
      <c r="I2213" s="707"/>
      <c r="J2213" s="1212" t="s">
        <v>3280</v>
      </c>
    </row>
    <row r="2214" spans="1:10" ht="39.950000000000003" customHeight="1" x14ac:dyDescent="0.2">
      <c r="A2214" s="1209" t="s">
        <v>3283</v>
      </c>
      <c r="B2214" s="701"/>
      <c r="C2214" s="701" t="s">
        <v>3277</v>
      </c>
      <c r="D2214" s="701"/>
      <c r="E2214" s="749">
        <v>43757.26</v>
      </c>
      <c r="F2214" s="701" t="s">
        <v>3284</v>
      </c>
      <c r="G2214" s="506"/>
      <c r="H2214" s="701" t="s">
        <v>3279</v>
      </c>
      <c r="I2214" s="707"/>
      <c r="J2214" s="1212" t="s">
        <v>3280</v>
      </c>
    </row>
    <row r="2215" spans="1:10" ht="39.950000000000003" customHeight="1" x14ac:dyDescent="0.2">
      <c r="A2215" s="1217" t="s">
        <v>1932</v>
      </c>
      <c r="B2215" s="758"/>
      <c r="C2215" s="701" t="s">
        <v>3277</v>
      </c>
      <c r="D2215" s="758"/>
      <c r="E2215" s="750">
        <v>41380</v>
      </c>
      <c r="F2215" s="765" t="s">
        <v>3285</v>
      </c>
      <c r="G2215" s="766"/>
      <c r="H2215" s="701" t="s">
        <v>3279</v>
      </c>
      <c r="I2215" s="751"/>
      <c r="J2215" s="1212" t="s">
        <v>3280</v>
      </c>
    </row>
    <row r="2216" spans="1:10" ht="39.950000000000003" customHeight="1" x14ac:dyDescent="0.2">
      <c r="A2216" s="1218" t="s">
        <v>3286</v>
      </c>
      <c r="B2216" s="767" t="s">
        <v>2084</v>
      </c>
      <c r="C2216" s="701" t="s">
        <v>618</v>
      </c>
      <c r="D2216" s="767" t="s">
        <v>3287</v>
      </c>
      <c r="E2216" s="734">
        <v>79299.5</v>
      </c>
      <c r="F2216" s="737" t="s">
        <v>3288</v>
      </c>
      <c r="G2216" s="743" t="s">
        <v>1691</v>
      </c>
      <c r="H2216" s="733">
        <v>44077</v>
      </c>
      <c r="I2216" s="707"/>
      <c r="J2216" s="1145" t="s">
        <v>2648</v>
      </c>
    </row>
    <row r="2217" spans="1:10" ht="39.950000000000003" customHeight="1" x14ac:dyDescent="0.2">
      <c r="A2217" s="1218" t="s">
        <v>3286</v>
      </c>
      <c r="B2217" s="767" t="s">
        <v>2084</v>
      </c>
      <c r="C2217" s="701" t="s">
        <v>618</v>
      </c>
      <c r="D2217" s="767" t="s">
        <v>3287</v>
      </c>
      <c r="E2217" s="768">
        <v>792000</v>
      </c>
      <c r="F2217" s="737" t="s">
        <v>3289</v>
      </c>
      <c r="G2217" s="743" t="s">
        <v>1691</v>
      </c>
      <c r="H2217" s="733">
        <v>44077</v>
      </c>
      <c r="I2217" s="707"/>
      <c r="J2217" s="1145" t="s">
        <v>2648</v>
      </c>
    </row>
    <row r="2218" spans="1:10" ht="39.950000000000003" customHeight="1" x14ac:dyDescent="0.2">
      <c r="A2218" s="1218" t="s">
        <v>3286</v>
      </c>
      <c r="B2218" s="767" t="s">
        <v>2084</v>
      </c>
      <c r="C2218" s="701" t="s">
        <v>618</v>
      </c>
      <c r="D2218" s="767" t="s">
        <v>3287</v>
      </c>
      <c r="E2218" s="768">
        <v>93000</v>
      </c>
      <c r="F2218" s="737" t="s">
        <v>3290</v>
      </c>
      <c r="G2218" s="743" t="s">
        <v>1691</v>
      </c>
      <c r="H2218" s="733">
        <v>44078</v>
      </c>
      <c r="I2218" s="707"/>
      <c r="J2218" s="1145" t="s">
        <v>2648</v>
      </c>
    </row>
    <row r="2219" spans="1:10" ht="39.950000000000003" customHeight="1" x14ac:dyDescent="0.2">
      <c r="A2219" s="1218" t="s">
        <v>3286</v>
      </c>
      <c r="B2219" s="767" t="s">
        <v>2084</v>
      </c>
      <c r="C2219" s="701" t="s">
        <v>618</v>
      </c>
      <c r="D2219" s="767" t="s">
        <v>3287</v>
      </c>
      <c r="E2219" s="734">
        <v>207000</v>
      </c>
      <c r="F2219" s="737" t="s">
        <v>3291</v>
      </c>
      <c r="G2219" s="743" t="s">
        <v>1691</v>
      </c>
      <c r="H2219" s="733">
        <v>44077</v>
      </c>
      <c r="I2219" s="707"/>
      <c r="J2219" s="1145" t="s">
        <v>2648</v>
      </c>
    </row>
    <row r="2220" spans="1:10" ht="39.950000000000003" customHeight="1" x14ac:dyDescent="0.2">
      <c r="A2220" s="1214" t="s">
        <v>3292</v>
      </c>
      <c r="B2220" s="767" t="s">
        <v>2084</v>
      </c>
      <c r="C2220" s="701" t="s">
        <v>618</v>
      </c>
      <c r="D2220" s="738" t="s">
        <v>3293</v>
      </c>
      <c r="E2220" s="752">
        <v>211000</v>
      </c>
      <c r="F2220" s="738"/>
      <c r="G2220" s="743" t="s">
        <v>3294</v>
      </c>
      <c r="H2220" s="733"/>
      <c r="I2220" s="707"/>
      <c r="J2220" s="1212" t="s">
        <v>3295</v>
      </c>
    </row>
    <row r="2221" spans="1:10" ht="39.950000000000003" customHeight="1" x14ac:dyDescent="0.2">
      <c r="A2221" s="1214" t="s">
        <v>3296</v>
      </c>
      <c r="B2221" s="738" t="s">
        <v>1218</v>
      </c>
      <c r="C2221" s="701" t="s">
        <v>618</v>
      </c>
      <c r="D2221" s="738" t="s">
        <v>3297</v>
      </c>
      <c r="E2221" s="734">
        <v>52000</v>
      </c>
      <c r="F2221" s="737"/>
      <c r="G2221" s="743" t="s">
        <v>3294</v>
      </c>
      <c r="H2221" s="733"/>
      <c r="I2221" s="707" t="s">
        <v>3298</v>
      </c>
      <c r="J2221" s="1215" t="s">
        <v>3299</v>
      </c>
    </row>
    <row r="2222" spans="1:10" ht="39.950000000000003" customHeight="1" x14ac:dyDescent="0.2">
      <c r="A2222" s="1214" t="s">
        <v>3166</v>
      </c>
      <c r="B2222" s="738" t="s">
        <v>1218</v>
      </c>
      <c r="C2222" s="701" t="s">
        <v>618</v>
      </c>
      <c r="D2222" s="738" t="s">
        <v>3300</v>
      </c>
      <c r="E2222" s="734">
        <v>397567.35</v>
      </c>
      <c r="F2222" s="737"/>
      <c r="G2222" s="743"/>
      <c r="H2222" s="733"/>
      <c r="I2222" s="707"/>
      <c r="J2222" s="1215" t="s">
        <v>3301</v>
      </c>
    </row>
    <row r="2223" spans="1:10" ht="39.950000000000003" customHeight="1" x14ac:dyDescent="0.2">
      <c r="A2223" s="1214" t="s">
        <v>3302</v>
      </c>
      <c r="B2223" s="738" t="s">
        <v>1218</v>
      </c>
      <c r="C2223" s="701" t="s">
        <v>618</v>
      </c>
      <c r="D2223" s="738" t="s">
        <v>3300</v>
      </c>
      <c r="E2223" s="734">
        <v>295000</v>
      </c>
      <c r="F2223" s="737"/>
      <c r="G2223" s="743"/>
      <c r="H2223" s="733"/>
      <c r="I2223" s="707"/>
      <c r="J2223" s="1215" t="s">
        <v>3301</v>
      </c>
    </row>
    <row r="2224" spans="1:10" ht="39.950000000000003" customHeight="1" x14ac:dyDescent="0.2">
      <c r="A2224" s="1214" t="s">
        <v>3303</v>
      </c>
      <c r="B2224" s="738" t="s">
        <v>1218</v>
      </c>
      <c r="C2224" s="701" t="s">
        <v>618</v>
      </c>
      <c r="D2224" s="738" t="s">
        <v>3304</v>
      </c>
      <c r="E2224" s="734">
        <v>188269</v>
      </c>
      <c r="F2224" s="738" t="s">
        <v>3305</v>
      </c>
      <c r="G2224" s="743" t="s">
        <v>3294</v>
      </c>
      <c r="H2224" s="733"/>
      <c r="I2224" s="707"/>
      <c r="J2224" s="1215" t="s">
        <v>3306</v>
      </c>
    </row>
    <row r="2225" spans="1:10" ht="39.950000000000003" customHeight="1" x14ac:dyDescent="0.2">
      <c r="A2225" s="1214" t="s">
        <v>3303</v>
      </c>
      <c r="B2225" s="738" t="s">
        <v>1218</v>
      </c>
      <c r="C2225" s="701" t="s">
        <v>618</v>
      </c>
      <c r="D2225" s="738" t="s">
        <v>3304</v>
      </c>
      <c r="E2225" s="734">
        <v>127800</v>
      </c>
      <c r="F2225" s="737" t="s">
        <v>3307</v>
      </c>
      <c r="G2225" s="743" t="s">
        <v>3294</v>
      </c>
      <c r="H2225" s="733"/>
      <c r="I2225" s="707"/>
      <c r="J2225" s="1215" t="s">
        <v>3306</v>
      </c>
    </row>
    <row r="2226" spans="1:10" ht="39.950000000000003" customHeight="1" x14ac:dyDescent="0.2">
      <c r="A2226" s="1214" t="s">
        <v>3303</v>
      </c>
      <c r="B2226" s="738" t="s">
        <v>1218</v>
      </c>
      <c r="C2226" s="701" t="s">
        <v>618</v>
      </c>
      <c r="D2226" s="738" t="s">
        <v>3304</v>
      </c>
      <c r="E2226" s="734">
        <v>49257</v>
      </c>
      <c r="F2226" s="736" t="s">
        <v>3308</v>
      </c>
      <c r="G2226" s="743" t="s">
        <v>3294</v>
      </c>
      <c r="H2226" s="733"/>
      <c r="I2226" s="707"/>
      <c r="J2226" s="1215" t="s">
        <v>3306</v>
      </c>
    </row>
    <row r="2227" spans="1:10" ht="39.950000000000003" customHeight="1" x14ac:dyDescent="0.2">
      <c r="A2227" s="1214" t="s">
        <v>3309</v>
      </c>
      <c r="B2227" s="738" t="s">
        <v>1218</v>
      </c>
      <c r="C2227" s="701" t="s">
        <v>618</v>
      </c>
      <c r="D2227" s="738" t="s">
        <v>3310</v>
      </c>
      <c r="E2227" s="734">
        <v>99000</v>
      </c>
      <c r="F2227" s="736" t="s">
        <v>3311</v>
      </c>
      <c r="G2227" s="743" t="s">
        <v>3294</v>
      </c>
      <c r="H2227" s="733"/>
      <c r="I2227" s="707"/>
      <c r="J2227" s="1215" t="s">
        <v>3306</v>
      </c>
    </row>
    <row r="2228" spans="1:10" ht="39.950000000000003" customHeight="1" x14ac:dyDescent="0.2">
      <c r="A2228" s="1214" t="s">
        <v>3312</v>
      </c>
      <c r="B2228" s="738" t="s">
        <v>1218</v>
      </c>
      <c r="C2228" s="701" t="s">
        <v>618</v>
      </c>
      <c r="D2228" s="738" t="s">
        <v>3313</v>
      </c>
      <c r="E2228" s="734">
        <v>103800</v>
      </c>
      <c r="F2228" s="736" t="s">
        <v>3314</v>
      </c>
      <c r="G2228" s="743" t="s">
        <v>1691</v>
      </c>
      <c r="H2228" s="733"/>
      <c r="I2228" s="707"/>
      <c r="J2228" s="1215" t="s">
        <v>3315</v>
      </c>
    </row>
    <row r="2229" spans="1:10" ht="39.950000000000003" customHeight="1" x14ac:dyDescent="0.2">
      <c r="A2229" s="1214" t="s">
        <v>3316</v>
      </c>
      <c r="B2229" s="738" t="s">
        <v>1218</v>
      </c>
      <c r="C2229" s="701" t="s">
        <v>618</v>
      </c>
      <c r="D2229" s="738" t="s">
        <v>3317</v>
      </c>
      <c r="E2229" s="741">
        <v>183160</v>
      </c>
      <c r="F2229" s="739" t="s">
        <v>3185</v>
      </c>
      <c r="G2229" s="743" t="s">
        <v>1691</v>
      </c>
      <c r="H2229" s="733">
        <v>44043</v>
      </c>
      <c r="I2229" s="707"/>
      <c r="J2229" s="1145" t="s">
        <v>2648</v>
      </c>
    </row>
    <row r="2230" spans="1:10" ht="39.950000000000003" customHeight="1" x14ac:dyDescent="0.2">
      <c r="A2230" s="1214" t="s">
        <v>3318</v>
      </c>
      <c r="B2230" s="767" t="s">
        <v>2084</v>
      </c>
      <c r="C2230" s="701" t="s">
        <v>618</v>
      </c>
      <c r="D2230" s="738" t="s">
        <v>3319</v>
      </c>
      <c r="E2230" s="734">
        <v>49500</v>
      </c>
      <c r="F2230" s="735" t="s">
        <v>3320</v>
      </c>
      <c r="G2230" s="743" t="s">
        <v>1691</v>
      </c>
      <c r="H2230" s="733">
        <v>43971</v>
      </c>
      <c r="I2230" s="707"/>
      <c r="J2230" s="1145" t="s">
        <v>2648</v>
      </c>
    </row>
    <row r="2231" spans="1:10" ht="39.950000000000003" customHeight="1" x14ac:dyDescent="0.2">
      <c r="A2231" s="1214" t="s">
        <v>3321</v>
      </c>
      <c r="B2231" s="767" t="s">
        <v>2084</v>
      </c>
      <c r="C2231" s="701" t="s">
        <v>618</v>
      </c>
      <c r="D2231" s="738" t="s">
        <v>3322</v>
      </c>
      <c r="E2231" s="734">
        <v>64750</v>
      </c>
      <c r="F2231" s="735" t="s">
        <v>3185</v>
      </c>
      <c r="G2231" s="743" t="s">
        <v>1691</v>
      </c>
      <c r="H2231" s="733">
        <v>43951</v>
      </c>
      <c r="I2231" s="707"/>
      <c r="J2231" s="1145" t="s">
        <v>2648</v>
      </c>
    </row>
    <row r="2232" spans="1:10" ht="39.950000000000003" customHeight="1" x14ac:dyDescent="0.2">
      <c r="A2232" s="1214" t="s">
        <v>3321</v>
      </c>
      <c r="B2232" s="767" t="s">
        <v>2084</v>
      </c>
      <c r="C2232" s="701" t="s">
        <v>618</v>
      </c>
      <c r="D2232" s="738" t="s">
        <v>3322</v>
      </c>
      <c r="E2232" s="734">
        <v>82400</v>
      </c>
      <c r="F2232" s="735" t="s">
        <v>3323</v>
      </c>
      <c r="G2232" s="743" t="s">
        <v>1691</v>
      </c>
      <c r="H2232" s="733" t="s">
        <v>3324</v>
      </c>
      <c r="I2232" s="707"/>
      <c r="J2232" s="1145" t="s">
        <v>2648</v>
      </c>
    </row>
    <row r="2233" spans="1:10" ht="39.950000000000003" customHeight="1" x14ac:dyDescent="0.2">
      <c r="A2233" s="1214" t="s">
        <v>3325</v>
      </c>
      <c r="B2233" s="738" t="s">
        <v>1218</v>
      </c>
      <c r="C2233" s="701" t="s">
        <v>618</v>
      </c>
      <c r="D2233" s="738" t="s">
        <v>3326</v>
      </c>
      <c r="E2233" s="741">
        <v>129330</v>
      </c>
      <c r="F2233" s="735" t="s">
        <v>3193</v>
      </c>
      <c r="G2233" s="743" t="s">
        <v>1691</v>
      </c>
      <c r="H2233" s="733">
        <v>43999</v>
      </c>
      <c r="I2233" s="707"/>
      <c r="J2233" s="1145" t="s">
        <v>2648</v>
      </c>
    </row>
    <row r="2234" spans="1:10" ht="39.950000000000003" customHeight="1" x14ac:dyDescent="0.2">
      <c r="A2234" s="1214" t="s">
        <v>3327</v>
      </c>
      <c r="B2234" s="738" t="s">
        <v>1218</v>
      </c>
      <c r="C2234" s="701" t="s">
        <v>618</v>
      </c>
      <c r="D2234" s="738" t="s">
        <v>3328</v>
      </c>
      <c r="E2234" s="734">
        <v>264000</v>
      </c>
      <c r="F2234" s="735" t="s">
        <v>3329</v>
      </c>
      <c r="G2234" s="743" t="s">
        <v>1691</v>
      </c>
      <c r="H2234" s="733">
        <v>43999</v>
      </c>
      <c r="I2234" s="707"/>
      <c r="J2234" s="1215" t="s">
        <v>3315</v>
      </c>
    </row>
    <row r="2235" spans="1:10" ht="39.950000000000003" customHeight="1" x14ac:dyDescent="0.2">
      <c r="A2235" s="1214" t="s">
        <v>3330</v>
      </c>
      <c r="B2235" s="738" t="s">
        <v>1291</v>
      </c>
      <c r="C2235" s="701" t="s">
        <v>618</v>
      </c>
      <c r="D2235" s="738" t="s">
        <v>3331</v>
      </c>
      <c r="E2235" s="741">
        <v>137500</v>
      </c>
      <c r="F2235" s="735" t="s">
        <v>3332</v>
      </c>
      <c r="G2235" s="743" t="s">
        <v>1691</v>
      </c>
      <c r="H2235" s="733"/>
      <c r="I2235" s="707"/>
      <c r="J2235" s="1215" t="s">
        <v>3315</v>
      </c>
    </row>
    <row r="2236" spans="1:10" ht="39.950000000000003" customHeight="1" x14ac:dyDescent="0.2">
      <c r="A2236" s="1214" t="s">
        <v>3333</v>
      </c>
      <c r="B2236" s="738" t="s">
        <v>1776</v>
      </c>
      <c r="C2236" s="701"/>
      <c r="D2236" s="746" t="s">
        <v>3334</v>
      </c>
      <c r="E2236" s="769">
        <v>68817.600000000006</v>
      </c>
      <c r="F2236" s="746" t="s">
        <v>3335</v>
      </c>
      <c r="G2236" s="770" t="s">
        <v>3336</v>
      </c>
      <c r="H2236" s="745" t="s">
        <v>3337</v>
      </c>
      <c r="I2236" s="707"/>
      <c r="J2236" s="1145" t="s">
        <v>2648</v>
      </c>
    </row>
    <row r="2237" spans="1:10" ht="39.950000000000003" customHeight="1" x14ac:dyDescent="0.2">
      <c r="A2237" s="1214" t="s">
        <v>3333</v>
      </c>
      <c r="B2237" s="738" t="s">
        <v>1776</v>
      </c>
      <c r="C2237" s="701"/>
      <c r="D2237" s="746" t="s">
        <v>3338</v>
      </c>
      <c r="E2237" s="769">
        <v>43075.02</v>
      </c>
      <c r="F2237" s="746" t="s">
        <v>3234</v>
      </c>
      <c r="G2237" s="770" t="s">
        <v>3336</v>
      </c>
      <c r="H2237" s="745" t="s">
        <v>3339</v>
      </c>
      <c r="I2237" s="707"/>
      <c r="J2237" s="1145" t="s">
        <v>2648</v>
      </c>
    </row>
    <row r="2238" spans="1:10" ht="39.950000000000003" customHeight="1" x14ac:dyDescent="0.2">
      <c r="A2238" s="1214" t="s">
        <v>3333</v>
      </c>
      <c r="B2238" s="738" t="s">
        <v>1776</v>
      </c>
      <c r="C2238" s="701"/>
      <c r="D2238" s="746" t="s">
        <v>3340</v>
      </c>
      <c r="E2238" s="769">
        <v>59891.49</v>
      </c>
      <c r="F2238" s="746" t="s">
        <v>3335</v>
      </c>
      <c r="G2238" s="770" t="s">
        <v>3336</v>
      </c>
      <c r="H2238" s="745" t="s">
        <v>3339</v>
      </c>
      <c r="I2238" s="707"/>
      <c r="J2238" s="1145" t="s">
        <v>2648</v>
      </c>
    </row>
    <row r="2239" spans="1:10" ht="39.950000000000003" customHeight="1" x14ac:dyDescent="0.2">
      <c r="A2239" s="1214" t="s">
        <v>3333</v>
      </c>
      <c r="B2239" s="738" t="s">
        <v>1776</v>
      </c>
      <c r="C2239" s="701"/>
      <c r="D2239" s="746" t="s">
        <v>3341</v>
      </c>
      <c r="E2239" s="769">
        <v>26534.07</v>
      </c>
      <c r="F2239" s="746" t="s">
        <v>3342</v>
      </c>
      <c r="G2239" s="770" t="s">
        <v>3336</v>
      </c>
      <c r="H2239" s="745" t="s">
        <v>3339</v>
      </c>
      <c r="I2239" s="707"/>
      <c r="J2239" s="1145" t="s">
        <v>2648</v>
      </c>
    </row>
    <row r="2240" spans="1:10" ht="39.950000000000003" customHeight="1" x14ac:dyDescent="0.2">
      <c r="A2240" s="1214" t="s">
        <v>3333</v>
      </c>
      <c r="B2240" s="738" t="s">
        <v>1776</v>
      </c>
      <c r="C2240" s="701"/>
      <c r="D2240" s="746" t="s">
        <v>3343</v>
      </c>
      <c r="E2240" s="769">
        <v>9908.0499999999993</v>
      </c>
      <c r="F2240" s="746" t="s">
        <v>3219</v>
      </c>
      <c r="G2240" s="770" t="s">
        <v>3336</v>
      </c>
      <c r="H2240" s="745" t="s">
        <v>3339</v>
      </c>
      <c r="I2240" s="707"/>
      <c r="J2240" s="1145" t="s">
        <v>2648</v>
      </c>
    </row>
    <row r="2241" spans="1:10" ht="39.950000000000003" customHeight="1" x14ac:dyDescent="0.2">
      <c r="A2241" s="1214" t="s">
        <v>3344</v>
      </c>
      <c r="B2241" s="738" t="s">
        <v>1776</v>
      </c>
      <c r="C2241" s="701"/>
      <c r="D2241" s="762" t="s">
        <v>3345</v>
      </c>
      <c r="E2241" s="771">
        <v>18198.43</v>
      </c>
      <c r="F2241" s="762" t="s">
        <v>3346</v>
      </c>
      <c r="G2241" s="770" t="s">
        <v>3336</v>
      </c>
      <c r="H2241" s="753" t="s">
        <v>3347</v>
      </c>
      <c r="I2241" s="707"/>
      <c r="J2241" s="1145" t="s">
        <v>2648</v>
      </c>
    </row>
    <row r="2242" spans="1:10" ht="39.950000000000003" customHeight="1" x14ac:dyDescent="0.2">
      <c r="A2242" s="1214" t="s">
        <v>3344</v>
      </c>
      <c r="B2242" s="738" t="s">
        <v>1776</v>
      </c>
      <c r="C2242" s="701"/>
      <c r="D2242" s="762" t="s">
        <v>3348</v>
      </c>
      <c r="E2242" s="771">
        <v>12634.97</v>
      </c>
      <c r="F2242" s="762" t="s">
        <v>3349</v>
      </c>
      <c r="G2242" s="770" t="s">
        <v>3336</v>
      </c>
      <c r="H2242" s="753" t="s">
        <v>3347</v>
      </c>
      <c r="I2242" s="707"/>
      <c r="J2242" s="1145" t="s">
        <v>2648</v>
      </c>
    </row>
    <row r="2243" spans="1:10" ht="39.950000000000003" customHeight="1" x14ac:dyDescent="0.2">
      <c r="A2243" s="1214" t="s">
        <v>3344</v>
      </c>
      <c r="B2243" s="738" t="s">
        <v>1776</v>
      </c>
      <c r="C2243" s="701"/>
      <c r="D2243" s="762" t="s">
        <v>3350</v>
      </c>
      <c r="E2243" s="771">
        <v>2527.56</v>
      </c>
      <c r="F2243" s="762" t="s">
        <v>3351</v>
      </c>
      <c r="G2243" s="770" t="s">
        <v>3336</v>
      </c>
      <c r="H2243" s="753" t="s">
        <v>3347</v>
      </c>
      <c r="I2243" s="707"/>
      <c r="J2243" s="1145" t="s">
        <v>2648</v>
      </c>
    </row>
    <row r="2244" spans="1:10" ht="39.950000000000003" customHeight="1" x14ac:dyDescent="0.2">
      <c r="A2244" s="1214" t="s">
        <v>3344</v>
      </c>
      <c r="B2244" s="738" t="s">
        <v>1776</v>
      </c>
      <c r="C2244" s="701"/>
      <c r="D2244" s="762" t="s">
        <v>3352</v>
      </c>
      <c r="E2244" s="771">
        <v>1094.43</v>
      </c>
      <c r="F2244" s="762" t="s">
        <v>3353</v>
      </c>
      <c r="G2244" s="770" t="s">
        <v>3336</v>
      </c>
      <c r="H2244" s="753" t="s">
        <v>3347</v>
      </c>
      <c r="I2244" s="707"/>
      <c r="J2244" s="1145" t="s">
        <v>2648</v>
      </c>
    </row>
    <row r="2245" spans="1:10" ht="39.950000000000003" customHeight="1" x14ac:dyDescent="0.2">
      <c r="A2245" s="1214" t="s">
        <v>3344</v>
      </c>
      <c r="B2245" s="738" t="s">
        <v>1776</v>
      </c>
      <c r="C2245" s="701"/>
      <c r="D2245" s="762" t="s">
        <v>3354</v>
      </c>
      <c r="E2245" s="771">
        <v>40041.65</v>
      </c>
      <c r="F2245" s="762" t="s">
        <v>3355</v>
      </c>
      <c r="G2245" s="770" t="s">
        <v>3336</v>
      </c>
      <c r="H2245" s="753" t="s">
        <v>3347</v>
      </c>
      <c r="I2245" s="707"/>
      <c r="J2245" s="1145" t="s">
        <v>2648</v>
      </c>
    </row>
    <row r="2246" spans="1:10" ht="39.950000000000003" customHeight="1" x14ac:dyDescent="0.2">
      <c r="A2246" s="1214" t="s">
        <v>3344</v>
      </c>
      <c r="B2246" s="738" t="s">
        <v>1776</v>
      </c>
      <c r="C2246" s="701"/>
      <c r="D2246" s="762" t="s">
        <v>3356</v>
      </c>
      <c r="E2246" s="771">
        <v>15291.92</v>
      </c>
      <c r="F2246" s="762" t="s">
        <v>3346</v>
      </c>
      <c r="G2246" s="770" t="s">
        <v>3336</v>
      </c>
      <c r="H2246" s="753" t="s">
        <v>3347</v>
      </c>
      <c r="I2246" s="707"/>
      <c r="J2246" s="1145" t="s">
        <v>2648</v>
      </c>
    </row>
    <row r="2247" spans="1:10" ht="39.950000000000003" customHeight="1" x14ac:dyDescent="0.2">
      <c r="A2247" s="1214" t="s">
        <v>3344</v>
      </c>
      <c r="B2247" s="738" t="s">
        <v>1776</v>
      </c>
      <c r="C2247" s="701"/>
      <c r="D2247" s="762" t="s">
        <v>3357</v>
      </c>
      <c r="E2247" s="771">
        <v>23039.82</v>
      </c>
      <c r="F2247" s="762" t="s">
        <v>3346</v>
      </c>
      <c r="G2247" s="770" t="s">
        <v>3336</v>
      </c>
      <c r="H2247" s="753" t="s">
        <v>3347</v>
      </c>
      <c r="I2247" s="707"/>
      <c r="J2247" s="1145" t="s">
        <v>2648</v>
      </c>
    </row>
    <row r="2248" spans="1:10" ht="39.950000000000003" customHeight="1" x14ac:dyDescent="0.2">
      <c r="A2248" s="1216" t="s">
        <v>3358</v>
      </c>
      <c r="B2248" s="738" t="s">
        <v>1776</v>
      </c>
      <c r="C2248" s="701"/>
      <c r="D2248" s="762" t="s">
        <v>3359</v>
      </c>
      <c r="E2248" s="769">
        <v>9090.7199999999993</v>
      </c>
      <c r="F2248" s="762" t="s">
        <v>3360</v>
      </c>
      <c r="G2248" s="754" t="s">
        <v>3336</v>
      </c>
      <c r="H2248" s="753" t="s">
        <v>3339</v>
      </c>
      <c r="I2248" s="707"/>
      <c r="J2248" s="1145" t="s">
        <v>2648</v>
      </c>
    </row>
    <row r="2249" spans="1:10" ht="39.950000000000003" customHeight="1" x14ac:dyDescent="0.2">
      <c r="A2249" s="1216" t="s">
        <v>3358</v>
      </c>
      <c r="B2249" s="738" t="s">
        <v>1776</v>
      </c>
      <c r="C2249" s="701"/>
      <c r="D2249" s="762" t="s">
        <v>3361</v>
      </c>
      <c r="E2249" s="769">
        <v>44840</v>
      </c>
      <c r="F2249" s="762" t="s">
        <v>3362</v>
      </c>
      <c r="G2249" s="754" t="s">
        <v>3363</v>
      </c>
      <c r="H2249" s="753" t="s">
        <v>3364</v>
      </c>
      <c r="I2249" s="707"/>
      <c r="J2249" s="1145" t="s">
        <v>2648</v>
      </c>
    </row>
    <row r="2250" spans="1:10" ht="39.950000000000003" customHeight="1" x14ac:dyDescent="0.2">
      <c r="A2250" s="1216" t="s">
        <v>3358</v>
      </c>
      <c r="B2250" s="738" t="s">
        <v>1776</v>
      </c>
      <c r="C2250" s="701"/>
      <c r="D2250" s="762" t="s">
        <v>3365</v>
      </c>
      <c r="E2250" s="769">
        <v>25577.09</v>
      </c>
      <c r="F2250" s="762" t="s">
        <v>3362</v>
      </c>
      <c r="G2250" s="754" t="s">
        <v>3363</v>
      </c>
      <c r="H2250" s="753" t="s">
        <v>3364</v>
      </c>
      <c r="I2250" s="707"/>
      <c r="J2250" s="1145" t="s">
        <v>2648</v>
      </c>
    </row>
    <row r="2251" spans="1:10" ht="39.950000000000003" customHeight="1" x14ac:dyDescent="0.2">
      <c r="A2251" s="1216" t="s">
        <v>3366</v>
      </c>
      <c r="B2251" s="738" t="s">
        <v>1776</v>
      </c>
      <c r="C2251" s="701"/>
      <c r="D2251" s="762" t="s">
        <v>3367</v>
      </c>
      <c r="E2251" s="769">
        <v>62215.5</v>
      </c>
      <c r="F2251" s="762" t="s">
        <v>3368</v>
      </c>
      <c r="G2251" s="755" t="s">
        <v>3336</v>
      </c>
      <c r="H2251" s="753" t="s">
        <v>3347</v>
      </c>
      <c r="I2251" s="707"/>
      <c r="J2251" s="1145" t="s">
        <v>2648</v>
      </c>
    </row>
    <row r="2252" spans="1:10" ht="39.950000000000003" customHeight="1" x14ac:dyDescent="0.2">
      <c r="A2252" s="1216" t="s">
        <v>3366</v>
      </c>
      <c r="B2252" s="738" t="s">
        <v>1776</v>
      </c>
      <c r="C2252" s="701"/>
      <c r="D2252" s="762" t="s">
        <v>3369</v>
      </c>
      <c r="E2252" s="769">
        <v>2100.4</v>
      </c>
      <c r="F2252" s="762" t="s">
        <v>3370</v>
      </c>
      <c r="G2252" s="755" t="s">
        <v>3336</v>
      </c>
      <c r="H2252" s="753" t="s">
        <v>3347</v>
      </c>
      <c r="I2252" s="707"/>
      <c r="J2252" s="1145" t="s">
        <v>2648</v>
      </c>
    </row>
    <row r="2253" spans="1:10" ht="39.950000000000003" customHeight="1" x14ac:dyDescent="0.2">
      <c r="A2253" s="1216" t="s">
        <v>3366</v>
      </c>
      <c r="B2253" s="738" t="s">
        <v>1776</v>
      </c>
      <c r="C2253" s="701"/>
      <c r="D2253" s="762" t="s">
        <v>3371</v>
      </c>
      <c r="E2253" s="769">
        <v>986.19</v>
      </c>
      <c r="F2253" s="762" t="s">
        <v>3372</v>
      </c>
      <c r="G2253" s="755" t="s">
        <v>3336</v>
      </c>
      <c r="H2253" s="753" t="s">
        <v>3373</v>
      </c>
      <c r="I2253" s="707"/>
      <c r="J2253" s="1145" t="s">
        <v>2648</v>
      </c>
    </row>
    <row r="2254" spans="1:10" ht="39.950000000000003" customHeight="1" x14ac:dyDescent="0.2">
      <c r="A2254" s="1216" t="s">
        <v>3366</v>
      </c>
      <c r="B2254" s="738" t="s">
        <v>1776</v>
      </c>
      <c r="C2254" s="701"/>
      <c r="D2254" s="762" t="s">
        <v>3374</v>
      </c>
      <c r="E2254" s="769">
        <v>442.5</v>
      </c>
      <c r="F2254" s="762" t="s">
        <v>3375</v>
      </c>
      <c r="G2254" s="755" t="s">
        <v>3363</v>
      </c>
      <c r="H2254" s="753" t="s">
        <v>3376</v>
      </c>
      <c r="I2254" s="707"/>
      <c r="J2254" s="1145" t="s">
        <v>2648</v>
      </c>
    </row>
    <row r="2255" spans="1:10" ht="39.950000000000003" customHeight="1" x14ac:dyDescent="0.2">
      <c r="A2255" s="1216" t="s">
        <v>3366</v>
      </c>
      <c r="B2255" s="738" t="s">
        <v>1776</v>
      </c>
      <c r="C2255" s="701"/>
      <c r="D2255" s="762" t="s">
        <v>3377</v>
      </c>
      <c r="E2255" s="769">
        <v>2832</v>
      </c>
      <c r="F2255" s="762" t="s">
        <v>3378</v>
      </c>
      <c r="G2255" s="755" t="s">
        <v>3363</v>
      </c>
      <c r="H2255" s="753" t="s">
        <v>3379</v>
      </c>
      <c r="I2255" s="707"/>
      <c r="J2255" s="1145" t="s">
        <v>2648</v>
      </c>
    </row>
    <row r="2256" spans="1:10" ht="39.950000000000003" customHeight="1" x14ac:dyDescent="0.2">
      <c r="A2256" s="1216" t="s">
        <v>3366</v>
      </c>
      <c r="B2256" s="738" t="s">
        <v>1776</v>
      </c>
      <c r="C2256" s="701"/>
      <c r="D2256" s="762" t="s">
        <v>3380</v>
      </c>
      <c r="E2256" s="769">
        <v>6262.26</v>
      </c>
      <c r="F2256" s="762" t="s">
        <v>3381</v>
      </c>
      <c r="G2256" s="755" t="s">
        <v>3363</v>
      </c>
      <c r="H2256" s="753" t="s">
        <v>3379</v>
      </c>
      <c r="I2256" s="707"/>
      <c r="J2256" s="1145" t="s">
        <v>2648</v>
      </c>
    </row>
    <row r="2257" spans="1:10" ht="39.950000000000003" customHeight="1" x14ac:dyDescent="0.2">
      <c r="A2257" s="1216" t="s">
        <v>3366</v>
      </c>
      <c r="B2257" s="738" t="s">
        <v>1776</v>
      </c>
      <c r="C2257" s="701"/>
      <c r="D2257" s="762" t="s">
        <v>3382</v>
      </c>
      <c r="E2257" s="769">
        <v>733.35</v>
      </c>
      <c r="F2257" s="762" t="s">
        <v>3383</v>
      </c>
      <c r="G2257" s="755" t="s">
        <v>3363</v>
      </c>
      <c r="H2257" s="753" t="s">
        <v>3384</v>
      </c>
      <c r="I2257" s="707"/>
      <c r="J2257" s="1145" t="s">
        <v>2648</v>
      </c>
    </row>
    <row r="2258" spans="1:10" ht="39.950000000000003" customHeight="1" x14ac:dyDescent="0.2">
      <c r="A2258" s="1216" t="s">
        <v>3366</v>
      </c>
      <c r="B2258" s="738" t="s">
        <v>1776</v>
      </c>
      <c r="C2258" s="701"/>
      <c r="D2258" s="762" t="s">
        <v>3385</v>
      </c>
      <c r="E2258" s="769">
        <v>71915.88</v>
      </c>
      <c r="F2258" s="762" t="s">
        <v>3383</v>
      </c>
      <c r="G2258" s="755" t="s">
        <v>3363</v>
      </c>
      <c r="H2258" s="753" t="s">
        <v>3373</v>
      </c>
      <c r="I2258" s="707"/>
      <c r="J2258" s="1145" t="s">
        <v>2648</v>
      </c>
    </row>
    <row r="2259" spans="1:10" ht="39.950000000000003" customHeight="1" x14ac:dyDescent="0.2">
      <c r="A2259" s="1216" t="s">
        <v>3366</v>
      </c>
      <c r="B2259" s="738" t="s">
        <v>1776</v>
      </c>
      <c r="C2259" s="701"/>
      <c r="D2259" s="762" t="s">
        <v>3386</v>
      </c>
      <c r="E2259" s="769">
        <v>4063.92</v>
      </c>
      <c r="F2259" s="762" t="s">
        <v>3387</v>
      </c>
      <c r="G2259" s="755" t="s">
        <v>3363</v>
      </c>
      <c r="H2259" s="753" t="s">
        <v>3388</v>
      </c>
      <c r="I2259" s="707"/>
      <c r="J2259" s="1145" t="s">
        <v>2648</v>
      </c>
    </row>
    <row r="2260" spans="1:10" ht="39.950000000000003" customHeight="1" x14ac:dyDescent="0.2">
      <c r="A2260" s="1216" t="s">
        <v>3366</v>
      </c>
      <c r="B2260" s="738" t="s">
        <v>1776</v>
      </c>
      <c r="C2260" s="701"/>
      <c r="D2260" s="762" t="s">
        <v>3389</v>
      </c>
      <c r="E2260" s="769">
        <v>11872.1</v>
      </c>
      <c r="F2260" s="762" t="s">
        <v>3383</v>
      </c>
      <c r="G2260" s="755" t="s">
        <v>3363</v>
      </c>
      <c r="H2260" s="753" t="s">
        <v>3390</v>
      </c>
      <c r="I2260" s="707"/>
      <c r="J2260" s="1145" t="s">
        <v>2648</v>
      </c>
    </row>
    <row r="2261" spans="1:10" ht="39.950000000000003" customHeight="1" x14ac:dyDescent="0.2">
      <c r="A2261" s="1216" t="s">
        <v>3366</v>
      </c>
      <c r="B2261" s="738" t="s">
        <v>1776</v>
      </c>
      <c r="C2261" s="701"/>
      <c r="D2261" s="762" t="s">
        <v>3391</v>
      </c>
      <c r="E2261" s="769">
        <v>20514.3</v>
      </c>
      <c r="F2261" s="762" t="s">
        <v>3392</v>
      </c>
      <c r="G2261" s="755" t="s">
        <v>3336</v>
      </c>
      <c r="H2261" s="753" t="s">
        <v>3393</v>
      </c>
      <c r="I2261" s="707"/>
      <c r="J2261" s="1145" t="s">
        <v>2648</v>
      </c>
    </row>
    <row r="2262" spans="1:10" ht="39.950000000000003" customHeight="1" x14ac:dyDescent="0.2">
      <c r="A2262" s="1216" t="s">
        <v>3394</v>
      </c>
      <c r="B2262" s="738" t="s">
        <v>1776</v>
      </c>
      <c r="C2262" s="701"/>
      <c r="D2262" s="762" t="s">
        <v>3395</v>
      </c>
      <c r="E2262" s="771">
        <v>12951.59</v>
      </c>
      <c r="F2262" s="762" t="s">
        <v>3212</v>
      </c>
      <c r="G2262" s="755" t="s">
        <v>3336</v>
      </c>
      <c r="H2262" s="772" t="s">
        <v>3396</v>
      </c>
      <c r="I2262" s="707"/>
      <c r="J2262" s="1145" t="s">
        <v>2648</v>
      </c>
    </row>
    <row r="2263" spans="1:10" ht="39.950000000000003" customHeight="1" x14ac:dyDescent="0.2">
      <c r="A2263" s="1216" t="s">
        <v>3397</v>
      </c>
      <c r="B2263" s="738" t="s">
        <v>1776</v>
      </c>
      <c r="C2263" s="701"/>
      <c r="D2263" s="746" t="s">
        <v>3398</v>
      </c>
      <c r="E2263" s="771">
        <v>1793.6</v>
      </c>
      <c r="F2263" s="762" t="s">
        <v>3399</v>
      </c>
      <c r="G2263" s="755" t="s">
        <v>3336</v>
      </c>
      <c r="H2263" s="772" t="s">
        <v>3400</v>
      </c>
      <c r="I2263" s="707"/>
      <c r="J2263" s="1145" t="s">
        <v>2648</v>
      </c>
    </row>
    <row r="2264" spans="1:10" ht="39.950000000000003" customHeight="1" x14ac:dyDescent="0.2">
      <c r="A2264" s="1216" t="s">
        <v>3401</v>
      </c>
      <c r="B2264" s="760"/>
      <c r="C2264" s="701"/>
      <c r="D2264" s="746"/>
      <c r="E2264" s="752">
        <v>56694.18</v>
      </c>
      <c r="F2264" s="746" t="s">
        <v>3402</v>
      </c>
      <c r="G2264" s="755" t="s">
        <v>3363</v>
      </c>
      <c r="H2264" s="745"/>
      <c r="I2264" s="707"/>
      <c r="J2264" s="1145" t="s">
        <v>2648</v>
      </c>
    </row>
    <row r="2265" spans="1:10" ht="39.950000000000003" customHeight="1" x14ac:dyDescent="0.2">
      <c r="A2265" s="1216" t="s">
        <v>3403</v>
      </c>
      <c r="B2265" s="760"/>
      <c r="C2265" s="701"/>
      <c r="D2265" s="762"/>
      <c r="E2265" s="769">
        <v>597085.84</v>
      </c>
      <c r="F2265" s="762" t="s">
        <v>1996</v>
      </c>
      <c r="G2265" s="743"/>
      <c r="H2265" s="764"/>
      <c r="I2265" s="707"/>
      <c r="J2265" s="1212" t="s">
        <v>3404</v>
      </c>
    </row>
    <row r="2266" spans="1:10" ht="39.950000000000003" customHeight="1" x14ac:dyDescent="0.2">
      <c r="A2266" s="1209" t="s">
        <v>3271</v>
      </c>
      <c r="B2266" s="701"/>
      <c r="C2266" s="701" t="s">
        <v>3272</v>
      </c>
      <c r="D2266" s="701" t="s">
        <v>3405</v>
      </c>
      <c r="E2266" s="749">
        <v>155200</v>
      </c>
      <c r="F2266" s="762" t="s">
        <v>1996</v>
      </c>
      <c r="G2266" s="701" t="s">
        <v>3273</v>
      </c>
      <c r="H2266" s="701" t="s">
        <v>3274</v>
      </c>
      <c r="I2266" s="707"/>
      <c r="J2266" s="1212" t="s">
        <v>3404</v>
      </c>
    </row>
    <row r="2267" spans="1:10" ht="39.950000000000003" customHeight="1" x14ac:dyDescent="0.2">
      <c r="A2267" s="1209" t="s">
        <v>3275</v>
      </c>
      <c r="B2267" s="701"/>
      <c r="C2267" s="701" t="s">
        <v>3272</v>
      </c>
      <c r="D2267" s="701" t="s">
        <v>3405</v>
      </c>
      <c r="E2267" s="749">
        <v>386800</v>
      </c>
      <c r="F2267" s="762" t="s">
        <v>1996</v>
      </c>
      <c r="G2267" s="701" t="s">
        <v>3273</v>
      </c>
      <c r="H2267" s="701" t="s">
        <v>3274</v>
      </c>
      <c r="I2267" s="707"/>
      <c r="J2267" s="1212" t="s">
        <v>3404</v>
      </c>
    </row>
    <row r="2268" spans="1:10" ht="39.950000000000003" customHeight="1" x14ac:dyDescent="0.2">
      <c r="A2268" s="1209" t="s">
        <v>3276</v>
      </c>
      <c r="B2268" s="701"/>
      <c r="C2268" s="701" t="s">
        <v>3277</v>
      </c>
      <c r="D2268" s="701"/>
      <c r="E2268" s="749">
        <v>686014.6</v>
      </c>
      <c r="F2268" s="701" t="s">
        <v>3278</v>
      </c>
      <c r="G2268" s="506"/>
      <c r="H2268" s="701" t="s">
        <v>3279</v>
      </c>
      <c r="I2268" s="707"/>
      <c r="J2268" s="1212" t="s">
        <v>3280</v>
      </c>
    </row>
    <row r="2269" spans="1:10" ht="39.950000000000003" customHeight="1" x14ac:dyDescent="0.2">
      <c r="A2269" s="1209" t="s">
        <v>3281</v>
      </c>
      <c r="B2269" s="701"/>
      <c r="C2269" s="701" t="s">
        <v>3277</v>
      </c>
      <c r="D2269" s="701"/>
      <c r="E2269" s="749">
        <v>56000</v>
      </c>
      <c r="F2269" s="701" t="s">
        <v>3282</v>
      </c>
      <c r="G2269" s="506"/>
      <c r="H2269" s="701" t="s">
        <v>3279</v>
      </c>
      <c r="I2269" s="707"/>
      <c r="J2269" s="1212" t="s">
        <v>3280</v>
      </c>
    </row>
    <row r="2270" spans="1:10" ht="39.950000000000003" customHeight="1" x14ac:dyDescent="0.2">
      <c r="A2270" s="1209" t="s">
        <v>3283</v>
      </c>
      <c r="B2270" s="701"/>
      <c r="C2270" s="701" t="s">
        <v>3277</v>
      </c>
      <c r="D2270" s="701"/>
      <c r="E2270" s="749">
        <v>51717.15</v>
      </c>
      <c r="F2270" s="701" t="s">
        <v>3284</v>
      </c>
      <c r="G2270" s="506"/>
      <c r="H2270" s="701" t="s">
        <v>3279</v>
      </c>
      <c r="I2270" s="707"/>
      <c r="J2270" s="1212" t="s">
        <v>3280</v>
      </c>
    </row>
    <row r="2271" spans="1:10" ht="39.950000000000003" customHeight="1" x14ac:dyDescent="0.2">
      <c r="A2271" s="1217" t="s">
        <v>1932</v>
      </c>
      <c r="B2271" s="758"/>
      <c r="C2271" s="701" t="s">
        <v>3277</v>
      </c>
      <c r="D2271" s="758"/>
      <c r="E2271" s="750">
        <v>42000</v>
      </c>
      <c r="F2271" s="773" t="s">
        <v>3285</v>
      </c>
      <c r="G2271" s="766"/>
      <c r="H2271" s="701" t="s">
        <v>3279</v>
      </c>
      <c r="I2271" s="751"/>
      <c r="J2271" s="1212" t="s">
        <v>3280</v>
      </c>
    </row>
    <row r="2272" spans="1:10" ht="39.950000000000003" customHeight="1" x14ac:dyDescent="0.2">
      <c r="A2272" s="1219" t="s">
        <v>3194</v>
      </c>
      <c r="B2272" s="738" t="s">
        <v>1291</v>
      </c>
      <c r="C2272" s="701" t="s">
        <v>618</v>
      </c>
      <c r="D2272" s="737" t="s">
        <v>3406</v>
      </c>
      <c r="E2272" s="756">
        <v>220000</v>
      </c>
      <c r="F2272" s="735"/>
      <c r="G2272" s="743"/>
      <c r="H2272" s="733"/>
      <c r="I2272" s="707"/>
      <c r="J2272" s="1145" t="s">
        <v>2648</v>
      </c>
    </row>
    <row r="2273" spans="1:10" ht="39.950000000000003" customHeight="1" x14ac:dyDescent="0.2">
      <c r="A2273" s="1219" t="s">
        <v>3166</v>
      </c>
      <c r="B2273" s="738" t="s">
        <v>1218</v>
      </c>
      <c r="C2273" s="701" t="s">
        <v>618</v>
      </c>
      <c r="D2273" s="737" t="s">
        <v>3407</v>
      </c>
      <c r="E2273" s="756">
        <v>395000</v>
      </c>
      <c r="F2273" s="735"/>
      <c r="G2273" s="743"/>
      <c r="H2273" s="733"/>
      <c r="I2273" s="707"/>
      <c r="J2273" s="1145" t="s">
        <v>2648</v>
      </c>
    </row>
    <row r="2274" spans="1:10" ht="39.950000000000003" customHeight="1" x14ac:dyDescent="0.2">
      <c r="A2274" s="1219" t="s">
        <v>3183</v>
      </c>
      <c r="B2274" s="738" t="s">
        <v>1218</v>
      </c>
      <c r="C2274" s="701" t="s">
        <v>618</v>
      </c>
      <c r="D2274" s="737" t="s">
        <v>3408</v>
      </c>
      <c r="E2274" s="756">
        <v>398000</v>
      </c>
      <c r="F2274" s="735"/>
      <c r="G2274" s="743"/>
      <c r="H2274" s="733"/>
      <c r="I2274" s="707"/>
      <c r="J2274" s="1145" t="s">
        <v>2648</v>
      </c>
    </row>
    <row r="2275" spans="1:10" ht="39.950000000000003" customHeight="1" x14ac:dyDescent="0.2">
      <c r="A2275" s="1219" t="s">
        <v>3191</v>
      </c>
      <c r="B2275" s="738" t="s">
        <v>1218</v>
      </c>
      <c r="C2275" s="701" t="s">
        <v>618</v>
      </c>
      <c r="D2275" s="737" t="s">
        <v>3409</v>
      </c>
      <c r="E2275" s="756">
        <v>125000</v>
      </c>
      <c r="F2275" s="739"/>
      <c r="G2275" s="743"/>
      <c r="H2275" s="732"/>
      <c r="I2275" s="707"/>
      <c r="J2275" s="1145" t="s">
        <v>2648</v>
      </c>
    </row>
    <row r="2276" spans="1:10" ht="39.950000000000003" customHeight="1" x14ac:dyDescent="0.2">
      <c r="A2276" s="1219" t="s">
        <v>3187</v>
      </c>
      <c r="B2276" s="738" t="s">
        <v>1218</v>
      </c>
      <c r="C2276" s="701" t="s">
        <v>618</v>
      </c>
      <c r="D2276" s="737" t="s">
        <v>3410</v>
      </c>
      <c r="E2276" s="756">
        <v>300000</v>
      </c>
      <c r="F2276" s="735"/>
      <c r="G2276" s="743"/>
      <c r="H2276" s="733"/>
      <c r="I2276" s="707"/>
      <c r="J2276" s="1145" t="s">
        <v>2648</v>
      </c>
    </row>
    <row r="2277" spans="1:10" ht="39.950000000000003" customHeight="1" x14ac:dyDescent="0.2">
      <c r="A2277" s="1219" t="s">
        <v>3177</v>
      </c>
      <c r="B2277" s="738" t="s">
        <v>1218</v>
      </c>
      <c r="C2277" s="701" t="s">
        <v>618</v>
      </c>
      <c r="D2277" s="737" t="s">
        <v>3411</v>
      </c>
      <c r="E2277" s="756">
        <v>110000</v>
      </c>
      <c r="F2277" s="739"/>
      <c r="G2277" s="743"/>
      <c r="H2277" s="733"/>
      <c r="I2277" s="707"/>
      <c r="J2277" s="1145" t="s">
        <v>2648</v>
      </c>
    </row>
    <row r="2278" spans="1:10" ht="39.950000000000003" customHeight="1" x14ac:dyDescent="0.2">
      <c r="A2278" s="1219" t="s">
        <v>3412</v>
      </c>
      <c r="B2278" s="738" t="s">
        <v>1218</v>
      </c>
      <c r="C2278" s="701" t="s">
        <v>618</v>
      </c>
      <c r="D2278" s="737" t="s">
        <v>3413</v>
      </c>
      <c r="E2278" s="756">
        <v>210000</v>
      </c>
      <c r="F2278" s="739"/>
      <c r="G2278" s="743"/>
      <c r="H2278" s="733"/>
      <c r="I2278" s="707"/>
      <c r="J2278" s="1145" t="s">
        <v>2648</v>
      </c>
    </row>
    <row r="2279" spans="1:10" ht="39.950000000000003" customHeight="1" x14ac:dyDescent="0.2">
      <c r="A2279" s="1219" t="s">
        <v>3414</v>
      </c>
      <c r="B2279" s="738" t="s">
        <v>1218</v>
      </c>
      <c r="C2279" s="701" t="s">
        <v>618</v>
      </c>
      <c r="D2279" s="737" t="s">
        <v>3415</v>
      </c>
      <c r="E2279" s="756">
        <v>395000</v>
      </c>
      <c r="F2279" s="735"/>
      <c r="G2279" s="743"/>
      <c r="H2279" s="733"/>
      <c r="I2279" s="707"/>
      <c r="J2279" s="1145" t="s">
        <v>2648</v>
      </c>
    </row>
    <row r="2280" spans="1:10" ht="39.950000000000003" customHeight="1" x14ac:dyDescent="0.2">
      <c r="A2280" s="1219" t="s">
        <v>3416</v>
      </c>
      <c r="B2280" s="738" t="s">
        <v>1218</v>
      </c>
      <c r="C2280" s="701" t="s">
        <v>618</v>
      </c>
      <c r="D2280" s="737" t="s">
        <v>3417</v>
      </c>
      <c r="E2280" s="756">
        <v>140000</v>
      </c>
      <c r="F2280" s="739"/>
      <c r="G2280" s="743"/>
      <c r="H2280" s="733"/>
      <c r="I2280" s="707"/>
      <c r="J2280" s="1145" t="s">
        <v>2648</v>
      </c>
    </row>
    <row r="2281" spans="1:10" ht="39.950000000000003" customHeight="1" x14ac:dyDescent="0.2">
      <c r="A2281" s="1219" t="s">
        <v>3418</v>
      </c>
      <c r="B2281" s="738" t="s">
        <v>1218</v>
      </c>
      <c r="C2281" s="701" t="s">
        <v>618</v>
      </c>
      <c r="D2281" s="737" t="s">
        <v>3419</v>
      </c>
      <c r="E2281" s="731">
        <v>130000</v>
      </c>
      <c r="F2281" s="735"/>
      <c r="G2281" s="743"/>
      <c r="H2281" s="733"/>
      <c r="I2281" s="707"/>
      <c r="J2281" s="1145" t="s">
        <v>2648</v>
      </c>
    </row>
    <row r="2282" spans="1:10" ht="39.950000000000003" customHeight="1" x14ac:dyDescent="0.2">
      <c r="A2282" s="1219" t="s">
        <v>3420</v>
      </c>
      <c r="B2282" s="738" t="s">
        <v>1218</v>
      </c>
      <c r="C2282" s="701" t="s">
        <v>618</v>
      </c>
      <c r="D2282" s="737" t="s">
        <v>3421</v>
      </c>
      <c r="E2282" s="731">
        <v>340000</v>
      </c>
      <c r="F2282" s="735"/>
      <c r="G2282" s="743"/>
      <c r="H2282" s="733"/>
      <c r="I2282" s="707"/>
      <c r="J2282" s="1145" t="s">
        <v>2648</v>
      </c>
    </row>
    <row r="2283" spans="1:10" ht="39.950000000000003" customHeight="1" x14ac:dyDescent="0.2">
      <c r="A2283" s="1216" t="s">
        <v>3422</v>
      </c>
      <c r="B2283" s="760" t="s">
        <v>1865</v>
      </c>
      <c r="C2283" s="701"/>
      <c r="D2283" s="760" t="s">
        <v>3423</v>
      </c>
      <c r="E2283" s="744">
        <v>345000</v>
      </c>
      <c r="F2283" s="736"/>
      <c r="G2283" s="743"/>
      <c r="H2283" s="745"/>
      <c r="I2283" s="707"/>
      <c r="J2283" s="1145" t="s">
        <v>2648</v>
      </c>
    </row>
    <row r="2284" spans="1:10" ht="39.950000000000003" customHeight="1" x14ac:dyDescent="0.2">
      <c r="A2284" s="1216" t="s">
        <v>3424</v>
      </c>
      <c r="B2284" s="760" t="s">
        <v>1865</v>
      </c>
      <c r="C2284" s="701"/>
      <c r="D2284" s="760" t="s">
        <v>3423</v>
      </c>
      <c r="E2284" s="744">
        <v>250000</v>
      </c>
      <c r="F2284" s="736"/>
      <c r="G2284" s="743"/>
      <c r="H2284" s="745"/>
      <c r="I2284" s="707"/>
      <c r="J2284" s="1145" t="s">
        <v>2648</v>
      </c>
    </row>
    <row r="2285" spans="1:10" ht="39.950000000000003" customHeight="1" x14ac:dyDescent="0.2">
      <c r="A2285" s="1216" t="s">
        <v>3200</v>
      </c>
      <c r="B2285" s="760" t="s">
        <v>1865</v>
      </c>
      <c r="C2285" s="701"/>
      <c r="D2285" s="760" t="s">
        <v>3423</v>
      </c>
      <c r="E2285" s="744">
        <v>30000</v>
      </c>
      <c r="F2285" s="736"/>
      <c r="G2285" s="743"/>
      <c r="H2285" s="745"/>
      <c r="I2285" s="707"/>
      <c r="J2285" s="1145" t="s">
        <v>2648</v>
      </c>
    </row>
    <row r="2286" spans="1:10" ht="39.950000000000003" customHeight="1" x14ac:dyDescent="0.2">
      <c r="A2286" s="1216" t="s">
        <v>3196</v>
      </c>
      <c r="B2286" s="760" t="s">
        <v>1865</v>
      </c>
      <c r="C2286" s="701"/>
      <c r="D2286" s="760" t="s">
        <v>3423</v>
      </c>
      <c r="E2286" s="744">
        <v>30000</v>
      </c>
      <c r="F2286" s="746"/>
      <c r="G2286" s="743"/>
      <c r="H2286" s="745"/>
      <c r="I2286" s="707"/>
      <c r="J2286" s="1145" t="s">
        <v>2648</v>
      </c>
    </row>
    <row r="2287" spans="1:10" ht="39.950000000000003" customHeight="1" x14ac:dyDescent="0.2">
      <c r="A2287" s="1216" t="s">
        <v>3425</v>
      </c>
      <c r="B2287" s="760" t="s">
        <v>1865</v>
      </c>
      <c r="C2287" s="701"/>
      <c r="D2287" s="760" t="s">
        <v>3423</v>
      </c>
      <c r="E2287" s="744">
        <v>25000</v>
      </c>
      <c r="F2287" s="746"/>
      <c r="G2287" s="743"/>
      <c r="H2287" s="747"/>
      <c r="I2287" s="707"/>
      <c r="J2287" s="1145" t="s">
        <v>2648</v>
      </c>
    </row>
    <row r="2288" spans="1:10" ht="39.950000000000003" customHeight="1" x14ac:dyDescent="0.2">
      <c r="A2288" s="1216" t="s">
        <v>3426</v>
      </c>
      <c r="B2288" s="760" t="s">
        <v>1865</v>
      </c>
      <c r="C2288" s="701"/>
      <c r="D2288" s="760" t="s">
        <v>3423</v>
      </c>
      <c r="E2288" s="744">
        <v>35000</v>
      </c>
      <c r="F2288" s="746"/>
      <c r="G2288" s="743"/>
      <c r="H2288" s="745"/>
      <c r="I2288" s="707"/>
      <c r="J2288" s="1145" t="s">
        <v>2648</v>
      </c>
    </row>
    <row r="2289" spans="1:10" ht="39.950000000000003" customHeight="1" x14ac:dyDescent="0.2">
      <c r="A2289" s="1216" t="s">
        <v>3427</v>
      </c>
      <c r="B2289" s="760" t="s">
        <v>1865</v>
      </c>
      <c r="C2289" s="701"/>
      <c r="D2289" s="760" t="s">
        <v>3423</v>
      </c>
      <c r="E2289" s="744">
        <v>16000</v>
      </c>
      <c r="F2289" s="746"/>
      <c r="G2289" s="743"/>
      <c r="H2289" s="745"/>
      <c r="I2289" s="707"/>
      <c r="J2289" s="1145" t="s">
        <v>2648</v>
      </c>
    </row>
    <row r="2290" spans="1:10" ht="39.950000000000003" customHeight="1" x14ac:dyDescent="0.2">
      <c r="A2290" s="1216" t="s">
        <v>3428</v>
      </c>
      <c r="B2290" s="760" t="s">
        <v>1865</v>
      </c>
      <c r="C2290" s="701"/>
      <c r="D2290" s="760" t="s">
        <v>3423</v>
      </c>
      <c r="E2290" s="744">
        <v>5000</v>
      </c>
      <c r="F2290" s="746"/>
      <c r="G2290" s="743"/>
      <c r="H2290" s="745"/>
      <c r="I2290" s="707"/>
      <c r="J2290" s="1145" t="s">
        <v>2648</v>
      </c>
    </row>
    <row r="2291" spans="1:10" ht="39.950000000000003" customHeight="1" x14ac:dyDescent="0.2">
      <c r="A2291" s="1216" t="s">
        <v>3429</v>
      </c>
      <c r="B2291" s="760" t="s">
        <v>1865</v>
      </c>
      <c r="C2291" s="701"/>
      <c r="D2291" s="760" t="s">
        <v>3423</v>
      </c>
      <c r="E2291" s="744">
        <v>85000</v>
      </c>
      <c r="F2291" s="746"/>
      <c r="G2291" s="743"/>
      <c r="H2291" s="745"/>
      <c r="I2291" s="707"/>
      <c r="J2291" s="1145" t="s">
        <v>2648</v>
      </c>
    </row>
    <row r="2292" spans="1:10" ht="39.950000000000003" customHeight="1" x14ac:dyDescent="0.2">
      <c r="A2292" s="1216" t="s">
        <v>3429</v>
      </c>
      <c r="B2292" s="760" t="s">
        <v>1865</v>
      </c>
      <c r="C2292" s="701"/>
      <c r="D2292" s="760" t="s">
        <v>3423</v>
      </c>
      <c r="E2292" s="757">
        <v>210000</v>
      </c>
      <c r="F2292" s="746"/>
      <c r="G2292" s="743"/>
      <c r="H2292" s="745"/>
      <c r="I2292" s="707"/>
      <c r="J2292" s="1145" t="s">
        <v>2648</v>
      </c>
    </row>
    <row r="2293" spans="1:10" ht="39.950000000000003" customHeight="1" x14ac:dyDescent="0.2">
      <c r="A2293" s="1216" t="s">
        <v>3401</v>
      </c>
      <c r="B2293" s="760"/>
      <c r="C2293" s="701"/>
      <c r="D2293" s="746"/>
      <c r="E2293" s="752">
        <v>140000</v>
      </c>
      <c r="F2293" s="746"/>
      <c r="G2293" s="743"/>
      <c r="H2293" s="745"/>
      <c r="I2293" s="707"/>
      <c r="J2293" s="1145" t="s">
        <v>2648</v>
      </c>
    </row>
    <row r="2294" spans="1:10" ht="39.950000000000003" customHeight="1" x14ac:dyDescent="0.2">
      <c r="A2294" s="1216" t="s">
        <v>3403</v>
      </c>
      <c r="B2294" s="760"/>
      <c r="C2294" s="701"/>
      <c r="D2294" s="762"/>
      <c r="E2294" s="769">
        <v>800000</v>
      </c>
      <c r="F2294" s="746"/>
      <c r="G2294" s="743"/>
      <c r="H2294" s="745"/>
      <c r="I2294" s="707"/>
      <c r="J2294" s="1145" t="s">
        <v>2648</v>
      </c>
    </row>
    <row r="2295" spans="1:10" ht="39.950000000000003" customHeight="1" x14ac:dyDescent="0.2">
      <c r="A2295" s="1209" t="s">
        <v>3271</v>
      </c>
      <c r="B2295" s="701"/>
      <c r="C2295" s="701" t="s">
        <v>3272</v>
      </c>
      <c r="D2295" s="701"/>
      <c r="E2295" s="748">
        <v>160000</v>
      </c>
      <c r="F2295" s="701"/>
      <c r="G2295" s="701" t="s">
        <v>3273</v>
      </c>
      <c r="H2295" s="701" t="s">
        <v>3274</v>
      </c>
      <c r="I2295" s="707"/>
      <c r="J2295" s="1145" t="s">
        <v>2648</v>
      </c>
    </row>
    <row r="2296" spans="1:10" ht="39.950000000000003" customHeight="1" x14ac:dyDescent="0.2">
      <c r="A2296" s="1209" t="s">
        <v>3275</v>
      </c>
      <c r="B2296" s="701"/>
      <c r="C2296" s="701" t="s">
        <v>3272</v>
      </c>
      <c r="D2296" s="701"/>
      <c r="E2296" s="748">
        <v>390000</v>
      </c>
      <c r="F2296" s="701"/>
      <c r="G2296" s="701" t="s">
        <v>3273</v>
      </c>
      <c r="H2296" s="701" t="s">
        <v>3274</v>
      </c>
      <c r="I2296" s="707"/>
      <c r="J2296" s="1145" t="s">
        <v>2648</v>
      </c>
    </row>
    <row r="2297" spans="1:10" ht="39.950000000000003" customHeight="1" x14ac:dyDescent="0.2">
      <c r="A2297" s="1209" t="s">
        <v>3276</v>
      </c>
      <c r="B2297" s="701"/>
      <c r="C2297" s="701" t="s">
        <v>3277</v>
      </c>
      <c r="D2297" s="701"/>
      <c r="E2297" s="749">
        <v>550000</v>
      </c>
      <c r="F2297" s="701" t="s">
        <v>3278</v>
      </c>
      <c r="G2297" s="506"/>
      <c r="H2297" s="701" t="s">
        <v>3279</v>
      </c>
      <c r="I2297" s="707"/>
      <c r="J2297" s="1212" t="s">
        <v>3280</v>
      </c>
    </row>
    <row r="2298" spans="1:10" ht="39.950000000000003" customHeight="1" x14ac:dyDescent="0.2">
      <c r="A2298" s="1209" t="s">
        <v>3281</v>
      </c>
      <c r="B2298" s="701"/>
      <c r="C2298" s="701" t="s">
        <v>3277</v>
      </c>
      <c r="D2298" s="701"/>
      <c r="E2298" s="749">
        <v>60000</v>
      </c>
      <c r="F2298" s="701" t="s">
        <v>3282</v>
      </c>
      <c r="G2298" s="506"/>
      <c r="H2298" s="701"/>
      <c r="I2298" s="707"/>
      <c r="J2298" s="1212" t="s">
        <v>3280</v>
      </c>
    </row>
    <row r="2299" spans="1:10" ht="39.950000000000003" customHeight="1" x14ac:dyDescent="0.2">
      <c r="A2299" s="1209" t="s">
        <v>3283</v>
      </c>
      <c r="B2299" s="701"/>
      <c r="C2299" s="701" t="s">
        <v>3277</v>
      </c>
      <c r="D2299" s="701"/>
      <c r="E2299" s="749">
        <v>45000</v>
      </c>
      <c r="F2299" s="701" t="s">
        <v>3284</v>
      </c>
      <c r="G2299" s="506"/>
      <c r="H2299" s="701"/>
      <c r="I2299" s="707"/>
      <c r="J2299" s="1212" t="s">
        <v>3280</v>
      </c>
    </row>
    <row r="2300" spans="1:10" ht="39.950000000000003" customHeight="1" thickBot="1" x14ac:dyDescent="0.25">
      <c r="A2300" s="1217" t="s">
        <v>1932</v>
      </c>
      <c r="B2300" s="758"/>
      <c r="C2300" s="701" t="s">
        <v>3277</v>
      </c>
      <c r="D2300" s="758"/>
      <c r="E2300" s="750">
        <v>45000</v>
      </c>
      <c r="F2300" s="765" t="s">
        <v>3285</v>
      </c>
      <c r="G2300" s="766"/>
      <c r="H2300" s="758"/>
      <c r="I2300" s="751"/>
      <c r="J2300" s="1212" t="s">
        <v>3280</v>
      </c>
    </row>
    <row r="2301" spans="1:10" ht="30" customHeight="1" x14ac:dyDescent="0.2">
      <c r="A2301" s="692" t="s">
        <v>3430</v>
      </c>
      <c r="B2301" s="693"/>
      <c r="C2301" s="693"/>
      <c r="D2301" s="693"/>
      <c r="E2301" s="693"/>
      <c r="F2301" s="693"/>
      <c r="G2301" s="693"/>
      <c r="H2301" s="693"/>
      <c r="I2301" s="693"/>
      <c r="J2301" s="694"/>
    </row>
    <row r="2302" spans="1:10" ht="50.1" customHeight="1" x14ac:dyDescent="0.2">
      <c r="A2302" s="1220" t="s">
        <v>13062</v>
      </c>
      <c r="B2302" s="985" t="s">
        <v>1784</v>
      </c>
      <c r="C2302" s="985" t="s">
        <v>13063</v>
      </c>
      <c r="D2302" s="1037">
        <v>1</v>
      </c>
      <c r="E2302" s="1039">
        <v>2464.19</v>
      </c>
      <c r="F2302" s="1037" t="s">
        <v>13064</v>
      </c>
      <c r="G2302" s="1037" t="s">
        <v>1842</v>
      </c>
      <c r="H2302" s="1037" t="s">
        <v>13065</v>
      </c>
      <c r="I2302" s="1036"/>
      <c r="J2302" s="1199"/>
    </row>
    <row r="2303" spans="1:10" s="81" customFormat="1" ht="50.1" customHeight="1" x14ac:dyDescent="0.2">
      <c r="A2303" s="1220" t="s">
        <v>13066</v>
      </c>
      <c r="B2303" s="985" t="s">
        <v>1784</v>
      </c>
      <c r="C2303" s="985" t="s">
        <v>13063</v>
      </c>
      <c r="D2303" s="1037">
        <v>2</v>
      </c>
      <c r="E2303" s="1039">
        <v>780.92</v>
      </c>
      <c r="F2303" s="1037" t="s">
        <v>13067</v>
      </c>
      <c r="G2303" s="1037" t="s">
        <v>1842</v>
      </c>
      <c r="H2303" s="1037" t="s">
        <v>13065</v>
      </c>
      <c r="I2303" s="1036"/>
      <c r="J2303" s="1199"/>
    </row>
    <row r="2304" spans="1:10" s="81" customFormat="1" ht="50.1" customHeight="1" x14ac:dyDescent="0.2">
      <c r="A2304" s="1220" t="s">
        <v>13068</v>
      </c>
      <c r="B2304" s="985" t="s">
        <v>1784</v>
      </c>
      <c r="C2304" s="985" t="s">
        <v>13063</v>
      </c>
      <c r="D2304" s="1037">
        <v>3</v>
      </c>
      <c r="E2304" s="1039">
        <v>423.03</v>
      </c>
      <c r="F2304" s="1037" t="s">
        <v>13069</v>
      </c>
      <c r="G2304" s="1037" t="s">
        <v>1842</v>
      </c>
      <c r="H2304" s="1037" t="s">
        <v>13065</v>
      </c>
      <c r="I2304" s="1036"/>
      <c r="J2304" s="1199"/>
    </row>
    <row r="2305" spans="1:10" s="81" customFormat="1" ht="50.1" customHeight="1" x14ac:dyDescent="0.2">
      <c r="A2305" s="1220" t="s">
        <v>13070</v>
      </c>
      <c r="B2305" s="985" t="s">
        <v>1784</v>
      </c>
      <c r="C2305" s="985" t="s">
        <v>13063</v>
      </c>
      <c r="D2305" s="1037">
        <v>5</v>
      </c>
      <c r="E2305" s="1039">
        <v>7780</v>
      </c>
      <c r="F2305" s="1037" t="s">
        <v>13071</v>
      </c>
      <c r="G2305" s="1037" t="s">
        <v>1842</v>
      </c>
      <c r="H2305" s="1037" t="s">
        <v>13072</v>
      </c>
      <c r="I2305" s="1036"/>
      <c r="J2305" s="1199"/>
    </row>
    <row r="2306" spans="1:10" s="81" customFormat="1" ht="50.1" customHeight="1" x14ac:dyDescent="0.2">
      <c r="A2306" s="1220" t="s">
        <v>13073</v>
      </c>
      <c r="B2306" s="985" t="s">
        <v>1784</v>
      </c>
      <c r="C2306" s="985" t="s">
        <v>13063</v>
      </c>
      <c r="D2306" s="1037">
        <v>6</v>
      </c>
      <c r="E2306" s="1039">
        <v>510</v>
      </c>
      <c r="F2306" s="1037" t="s">
        <v>13074</v>
      </c>
      <c r="G2306" s="1037" t="s">
        <v>1842</v>
      </c>
      <c r="H2306" s="1037" t="s">
        <v>13072</v>
      </c>
      <c r="I2306" s="1036"/>
      <c r="J2306" s="1199"/>
    </row>
    <row r="2307" spans="1:10" s="81" customFormat="1" ht="50.1" customHeight="1" x14ac:dyDescent="0.2">
      <c r="A2307" s="1220" t="s">
        <v>13075</v>
      </c>
      <c r="B2307" s="985" t="s">
        <v>1784</v>
      </c>
      <c r="C2307" s="985" t="s">
        <v>13063</v>
      </c>
      <c r="D2307" s="1037">
        <v>7</v>
      </c>
      <c r="E2307" s="1039">
        <v>372</v>
      </c>
      <c r="F2307" s="1037" t="s">
        <v>13076</v>
      </c>
      <c r="G2307" s="1037" t="s">
        <v>1842</v>
      </c>
      <c r="H2307" s="1037" t="s">
        <v>13072</v>
      </c>
      <c r="I2307" s="1036"/>
      <c r="J2307" s="1199"/>
    </row>
    <row r="2308" spans="1:10" s="81" customFormat="1" ht="50.1" customHeight="1" x14ac:dyDescent="0.2">
      <c r="A2308" s="1220" t="s">
        <v>13077</v>
      </c>
      <c r="B2308" s="985" t="s">
        <v>1784</v>
      </c>
      <c r="C2308" s="985" t="s">
        <v>13063</v>
      </c>
      <c r="D2308" s="1037">
        <v>8</v>
      </c>
      <c r="E2308" s="1039">
        <v>1672</v>
      </c>
      <c r="F2308" s="1037" t="s">
        <v>13078</v>
      </c>
      <c r="G2308" s="1037" t="s">
        <v>1842</v>
      </c>
      <c r="H2308" s="1037" t="s">
        <v>13079</v>
      </c>
      <c r="I2308" s="1036"/>
      <c r="J2308" s="1199"/>
    </row>
    <row r="2309" spans="1:10" s="81" customFormat="1" ht="50.1" customHeight="1" x14ac:dyDescent="0.2">
      <c r="A2309" s="1220" t="s">
        <v>13077</v>
      </c>
      <c r="B2309" s="985" t="s">
        <v>1784</v>
      </c>
      <c r="C2309" s="985" t="s">
        <v>13063</v>
      </c>
      <c r="D2309" s="1037">
        <v>9</v>
      </c>
      <c r="E2309" s="1039">
        <v>860</v>
      </c>
      <c r="F2309" s="1037" t="s">
        <v>13080</v>
      </c>
      <c r="G2309" s="1037" t="s">
        <v>1842</v>
      </c>
      <c r="H2309" s="1037" t="s">
        <v>13079</v>
      </c>
      <c r="I2309" s="1036"/>
      <c r="J2309" s="1199"/>
    </row>
    <row r="2310" spans="1:10" s="81" customFormat="1" ht="50.1" customHeight="1" x14ac:dyDescent="0.2">
      <c r="A2310" s="1220" t="s">
        <v>13081</v>
      </c>
      <c r="B2310" s="985" t="s">
        <v>1784</v>
      </c>
      <c r="C2310" s="985" t="s">
        <v>13063</v>
      </c>
      <c r="D2310" s="1037">
        <v>10</v>
      </c>
      <c r="E2310" s="1039">
        <v>2249.5</v>
      </c>
      <c r="F2310" s="1037" t="s">
        <v>13080</v>
      </c>
      <c r="G2310" s="1037" t="s">
        <v>1842</v>
      </c>
      <c r="H2310" s="1037" t="s">
        <v>13082</v>
      </c>
      <c r="I2310" s="1036"/>
      <c r="J2310" s="1199"/>
    </row>
    <row r="2311" spans="1:10" s="81" customFormat="1" ht="50.1" customHeight="1" x14ac:dyDescent="0.2">
      <c r="A2311" s="1220" t="s">
        <v>13083</v>
      </c>
      <c r="B2311" s="985" t="s">
        <v>1784</v>
      </c>
      <c r="C2311" s="985" t="s">
        <v>13063</v>
      </c>
      <c r="D2311" s="1037">
        <v>11</v>
      </c>
      <c r="E2311" s="1039">
        <v>1512.2</v>
      </c>
      <c r="F2311" s="1037" t="s">
        <v>13080</v>
      </c>
      <c r="G2311" s="1037" t="s">
        <v>1842</v>
      </c>
      <c r="H2311" s="1037" t="s">
        <v>2232</v>
      </c>
      <c r="I2311" s="1036"/>
      <c r="J2311" s="1199"/>
    </row>
    <row r="2312" spans="1:10" s="81" customFormat="1" ht="50.1" customHeight="1" x14ac:dyDescent="0.2">
      <c r="A2312" s="1220" t="s">
        <v>13084</v>
      </c>
      <c r="B2312" s="985" t="s">
        <v>1784</v>
      </c>
      <c r="C2312" s="985" t="s">
        <v>13063</v>
      </c>
      <c r="D2312" s="1037">
        <v>12</v>
      </c>
      <c r="E2312" s="1039">
        <v>224.65</v>
      </c>
      <c r="F2312" s="1037" t="s">
        <v>13080</v>
      </c>
      <c r="G2312" s="1037" t="s">
        <v>1842</v>
      </c>
      <c r="H2312" s="1037" t="s">
        <v>2232</v>
      </c>
      <c r="I2312" s="1036"/>
      <c r="J2312" s="1199"/>
    </row>
    <row r="2313" spans="1:10" s="81" customFormat="1" ht="50.1" customHeight="1" x14ac:dyDescent="0.2">
      <c r="A2313" s="1220" t="s">
        <v>13085</v>
      </c>
      <c r="B2313" s="985" t="s">
        <v>1784</v>
      </c>
      <c r="C2313" s="985" t="s">
        <v>13063</v>
      </c>
      <c r="D2313" s="1037">
        <v>13</v>
      </c>
      <c r="E2313" s="1039">
        <v>3417.49</v>
      </c>
      <c r="F2313" s="1037" t="s">
        <v>13086</v>
      </c>
      <c r="G2313" s="1037" t="s">
        <v>1842</v>
      </c>
      <c r="H2313" s="1037" t="s">
        <v>13087</v>
      </c>
      <c r="I2313" s="1036"/>
      <c r="J2313" s="1199"/>
    </row>
    <row r="2314" spans="1:10" s="81" customFormat="1" ht="50.1" customHeight="1" x14ac:dyDescent="0.2">
      <c r="A2314" s="1220" t="s">
        <v>13088</v>
      </c>
      <c r="B2314" s="985" t="s">
        <v>1784</v>
      </c>
      <c r="C2314" s="985" t="s">
        <v>13063</v>
      </c>
      <c r="D2314" s="1037">
        <v>14</v>
      </c>
      <c r="E2314" s="1039">
        <v>3634.4</v>
      </c>
      <c r="F2314" s="1037" t="s">
        <v>13089</v>
      </c>
      <c r="G2314" s="1037" t="s">
        <v>1842</v>
      </c>
      <c r="H2314" s="1037" t="s">
        <v>13087</v>
      </c>
      <c r="I2314" s="1036"/>
      <c r="J2314" s="1199"/>
    </row>
    <row r="2315" spans="1:10" s="81" customFormat="1" ht="50.1" customHeight="1" x14ac:dyDescent="0.2">
      <c r="A2315" s="1220" t="s">
        <v>13075</v>
      </c>
      <c r="B2315" s="985" t="s">
        <v>1784</v>
      </c>
      <c r="C2315" s="985" t="s">
        <v>13063</v>
      </c>
      <c r="D2315" s="1037">
        <v>15</v>
      </c>
      <c r="E2315" s="1039">
        <v>360</v>
      </c>
      <c r="F2315" s="1037" t="s">
        <v>13076</v>
      </c>
      <c r="G2315" s="1037" t="s">
        <v>1842</v>
      </c>
      <c r="H2315" s="1037" t="s">
        <v>13090</v>
      </c>
      <c r="I2315" s="1036"/>
      <c r="J2315" s="1199"/>
    </row>
    <row r="2316" spans="1:10" s="81" customFormat="1" ht="50.1" customHeight="1" x14ac:dyDescent="0.2">
      <c r="A2316" s="1220" t="s">
        <v>13077</v>
      </c>
      <c r="B2316" s="985" t="s">
        <v>1784</v>
      </c>
      <c r="C2316" s="985" t="s">
        <v>13063</v>
      </c>
      <c r="D2316" s="1037">
        <v>16</v>
      </c>
      <c r="E2316" s="1039">
        <v>1672</v>
      </c>
      <c r="F2316" s="1037" t="s">
        <v>13078</v>
      </c>
      <c r="G2316" s="1037" t="s">
        <v>1842</v>
      </c>
      <c r="H2316" s="1037" t="s">
        <v>13090</v>
      </c>
      <c r="I2316" s="1036"/>
      <c r="J2316" s="1199"/>
    </row>
    <row r="2317" spans="1:10" s="81" customFormat="1" ht="50.1" customHeight="1" x14ac:dyDescent="0.2">
      <c r="A2317" s="1220" t="s">
        <v>13077</v>
      </c>
      <c r="B2317" s="985" t="s">
        <v>1784</v>
      </c>
      <c r="C2317" s="985" t="s">
        <v>13063</v>
      </c>
      <c r="D2317" s="1037">
        <v>17</v>
      </c>
      <c r="E2317" s="1039">
        <v>860</v>
      </c>
      <c r="F2317" s="1037" t="s">
        <v>13080</v>
      </c>
      <c r="G2317" s="1037" t="s">
        <v>1842</v>
      </c>
      <c r="H2317" s="1037" t="s">
        <v>13090</v>
      </c>
      <c r="I2317" s="1036"/>
      <c r="J2317" s="1199"/>
    </row>
    <row r="2318" spans="1:10" s="81" customFormat="1" ht="50.1" customHeight="1" x14ac:dyDescent="0.2">
      <c r="A2318" s="1220" t="s">
        <v>13081</v>
      </c>
      <c r="B2318" s="985" t="s">
        <v>1784</v>
      </c>
      <c r="C2318" s="985" t="s">
        <v>13063</v>
      </c>
      <c r="D2318" s="1037">
        <v>18</v>
      </c>
      <c r="E2318" s="1039">
        <v>2227</v>
      </c>
      <c r="F2318" s="1037" t="s">
        <v>13080</v>
      </c>
      <c r="G2318" s="1037" t="s">
        <v>1842</v>
      </c>
      <c r="H2318" s="1037" t="s">
        <v>13090</v>
      </c>
      <c r="I2318" s="1036"/>
      <c r="J2318" s="1199"/>
    </row>
    <row r="2319" spans="1:10" s="81" customFormat="1" ht="50.1" customHeight="1" x14ac:dyDescent="0.2">
      <c r="A2319" s="1220" t="s">
        <v>13091</v>
      </c>
      <c r="B2319" s="985" t="s">
        <v>13092</v>
      </c>
      <c r="C2319" s="985" t="s">
        <v>13093</v>
      </c>
      <c r="D2319" s="1037">
        <v>19</v>
      </c>
      <c r="E2319" s="1039">
        <v>2331.63</v>
      </c>
      <c r="F2319" s="1037" t="s">
        <v>13094</v>
      </c>
      <c r="G2319" s="1037" t="s">
        <v>1842</v>
      </c>
      <c r="H2319" s="1037" t="s">
        <v>13095</v>
      </c>
      <c r="I2319" s="1036"/>
      <c r="J2319" s="1199"/>
    </row>
    <row r="2320" spans="1:10" s="81" customFormat="1" ht="50.1" customHeight="1" x14ac:dyDescent="0.2">
      <c r="A2320" s="1220" t="s">
        <v>13091</v>
      </c>
      <c r="B2320" s="985" t="s">
        <v>13092</v>
      </c>
      <c r="C2320" s="985" t="s">
        <v>13093</v>
      </c>
      <c r="D2320" s="1037">
        <v>20</v>
      </c>
      <c r="E2320" s="1039">
        <v>2498.1799999999998</v>
      </c>
      <c r="F2320" s="1037" t="s">
        <v>13094</v>
      </c>
      <c r="G2320" s="1037" t="s">
        <v>1842</v>
      </c>
      <c r="H2320" s="1037" t="s">
        <v>13095</v>
      </c>
      <c r="I2320" s="1036"/>
      <c r="J2320" s="1199"/>
    </row>
    <row r="2321" spans="1:10" s="81" customFormat="1" ht="50.1" customHeight="1" x14ac:dyDescent="0.2">
      <c r="A2321" s="1220" t="s">
        <v>13091</v>
      </c>
      <c r="B2321" s="985" t="s">
        <v>13092</v>
      </c>
      <c r="C2321" s="985" t="s">
        <v>13093</v>
      </c>
      <c r="D2321" s="1037">
        <v>21</v>
      </c>
      <c r="E2321" s="1039">
        <v>5162.8999999999996</v>
      </c>
      <c r="F2321" s="1037" t="s">
        <v>13094</v>
      </c>
      <c r="G2321" s="1037" t="s">
        <v>1842</v>
      </c>
      <c r="H2321" s="1037" t="s">
        <v>13095</v>
      </c>
      <c r="I2321" s="1036"/>
      <c r="J2321" s="1199"/>
    </row>
    <row r="2322" spans="1:10" s="81" customFormat="1" ht="50.1" customHeight="1" x14ac:dyDescent="0.2">
      <c r="A2322" s="1220" t="s">
        <v>13091</v>
      </c>
      <c r="B2322" s="985" t="s">
        <v>13092</v>
      </c>
      <c r="C2322" s="985" t="s">
        <v>13093</v>
      </c>
      <c r="D2322" s="1037">
        <v>22</v>
      </c>
      <c r="E2322" s="1039">
        <v>499.64</v>
      </c>
      <c r="F2322" s="1037" t="s">
        <v>13094</v>
      </c>
      <c r="G2322" s="1037" t="s">
        <v>1842</v>
      </c>
      <c r="H2322" s="1037" t="s">
        <v>13095</v>
      </c>
      <c r="I2322" s="1036"/>
      <c r="J2322" s="1199"/>
    </row>
    <row r="2323" spans="1:10" s="81" customFormat="1" ht="50.1" customHeight="1" x14ac:dyDescent="0.2">
      <c r="A2323" s="1220" t="s">
        <v>13091</v>
      </c>
      <c r="B2323" s="985" t="s">
        <v>13092</v>
      </c>
      <c r="C2323" s="985" t="s">
        <v>13093</v>
      </c>
      <c r="D2323" s="1037">
        <v>23</v>
      </c>
      <c r="E2323" s="1039">
        <v>666.18</v>
      </c>
      <c r="F2323" s="1037" t="s">
        <v>13094</v>
      </c>
      <c r="G2323" s="1037" t="s">
        <v>1842</v>
      </c>
      <c r="H2323" s="1037" t="s">
        <v>13095</v>
      </c>
      <c r="I2323" s="1036"/>
      <c r="J2323" s="1199"/>
    </row>
    <row r="2324" spans="1:10" s="81" customFormat="1" ht="50.1" customHeight="1" x14ac:dyDescent="0.2">
      <c r="A2324" s="1220" t="s">
        <v>13091</v>
      </c>
      <c r="B2324" s="985" t="s">
        <v>13092</v>
      </c>
      <c r="C2324" s="985" t="s">
        <v>13093</v>
      </c>
      <c r="D2324" s="1037">
        <v>24</v>
      </c>
      <c r="E2324" s="1039">
        <v>2664.72</v>
      </c>
      <c r="F2324" s="1037" t="s">
        <v>13094</v>
      </c>
      <c r="G2324" s="1037" t="s">
        <v>1842</v>
      </c>
      <c r="H2324" s="1037" t="s">
        <v>13095</v>
      </c>
      <c r="I2324" s="1036"/>
      <c r="J2324" s="1199"/>
    </row>
    <row r="2325" spans="1:10" s="81" customFormat="1" ht="50.1" customHeight="1" x14ac:dyDescent="0.2">
      <c r="A2325" s="1220" t="s">
        <v>13096</v>
      </c>
      <c r="B2325" s="985" t="s">
        <v>1784</v>
      </c>
      <c r="C2325" s="985" t="s">
        <v>13063</v>
      </c>
      <c r="D2325" s="1037">
        <v>25</v>
      </c>
      <c r="E2325" s="1039">
        <v>630</v>
      </c>
      <c r="F2325" s="1037" t="s">
        <v>13071</v>
      </c>
      <c r="G2325" s="1037" t="s">
        <v>1842</v>
      </c>
      <c r="H2325" s="1037" t="s">
        <v>13097</v>
      </c>
      <c r="I2325" s="1036"/>
      <c r="J2325" s="1199"/>
    </row>
    <row r="2326" spans="1:10" s="81" customFormat="1" ht="50.1" customHeight="1" x14ac:dyDescent="0.2">
      <c r="A2326" s="1220" t="s">
        <v>13096</v>
      </c>
      <c r="B2326" s="985" t="s">
        <v>1784</v>
      </c>
      <c r="C2326" s="985" t="s">
        <v>13063</v>
      </c>
      <c r="D2326" s="1037">
        <v>26</v>
      </c>
      <c r="E2326" s="1039">
        <v>8400</v>
      </c>
      <c r="F2326" s="1037" t="s">
        <v>13098</v>
      </c>
      <c r="G2326" s="1037" t="s">
        <v>1842</v>
      </c>
      <c r="H2326" s="1037" t="s">
        <v>13097</v>
      </c>
      <c r="I2326" s="1036"/>
      <c r="J2326" s="1199"/>
    </row>
    <row r="2327" spans="1:10" s="81" customFormat="1" ht="50.1" customHeight="1" x14ac:dyDescent="0.2">
      <c r="A2327" s="1220" t="s">
        <v>13099</v>
      </c>
      <c r="B2327" s="985" t="s">
        <v>1784</v>
      </c>
      <c r="C2327" s="985" t="s">
        <v>13063</v>
      </c>
      <c r="D2327" s="1037">
        <v>27</v>
      </c>
      <c r="E2327" s="1039">
        <v>2445</v>
      </c>
      <c r="F2327" s="1037" t="s">
        <v>13100</v>
      </c>
      <c r="G2327" s="1037" t="s">
        <v>1842</v>
      </c>
      <c r="H2327" s="1037" t="s">
        <v>13097</v>
      </c>
      <c r="I2327" s="1036"/>
      <c r="J2327" s="1199"/>
    </row>
    <row r="2328" spans="1:10" s="81" customFormat="1" ht="50.1" customHeight="1" x14ac:dyDescent="0.2">
      <c r="A2328" s="1220" t="s">
        <v>13101</v>
      </c>
      <c r="B2328" s="985" t="s">
        <v>1784</v>
      </c>
      <c r="C2328" s="985" t="s">
        <v>13063</v>
      </c>
      <c r="D2328" s="1037">
        <v>28</v>
      </c>
      <c r="E2328" s="1039">
        <v>3658.47</v>
      </c>
      <c r="F2328" s="1037" t="s">
        <v>13102</v>
      </c>
      <c r="G2328" s="1037" t="s">
        <v>1842</v>
      </c>
      <c r="H2328" s="1037" t="s">
        <v>13103</v>
      </c>
      <c r="I2328" s="1036"/>
      <c r="J2328" s="1199"/>
    </row>
    <row r="2329" spans="1:10" s="81" customFormat="1" ht="50.1" customHeight="1" x14ac:dyDescent="0.2">
      <c r="A2329" s="1220" t="s">
        <v>13104</v>
      </c>
      <c r="B2329" s="985" t="s">
        <v>1784</v>
      </c>
      <c r="C2329" s="985" t="s">
        <v>13063</v>
      </c>
      <c r="D2329" s="1037">
        <v>29</v>
      </c>
      <c r="E2329" s="1039">
        <v>1661.02</v>
      </c>
      <c r="F2329" s="1037" t="s">
        <v>13105</v>
      </c>
      <c r="G2329" s="1037" t="s">
        <v>1842</v>
      </c>
      <c r="H2329" s="1037" t="s">
        <v>13103</v>
      </c>
      <c r="I2329" s="1036"/>
      <c r="J2329" s="1199"/>
    </row>
    <row r="2330" spans="1:10" s="81" customFormat="1" ht="50.1" customHeight="1" x14ac:dyDescent="0.2">
      <c r="A2330" s="1220" t="s">
        <v>13083</v>
      </c>
      <c r="B2330" s="985" t="s">
        <v>1784</v>
      </c>
      <c r="C2330" s="985" t="s">
        <v>13063</v>
      </c>
      <c r="D2330" s="1037">
        <v>30</v>
      </c>
      <c r="E2330" s="1039">
        <v>1883.8</v>
      </c>
      <c r="F2330" s="1037" t="s">
        <v>13080</v>
      </c>
      <c r="G2330" s="1037" t="s">
        <v>1842</v>
      </c>
      <c r="H2330" s="1037" t="s">
        <v>13106</v>
      </c>
      <c r="I2330" s="1036"/>
      <c r="J2330" s="1199"/>
    </row>
    <row r="2331" spans="1:10" s="81" customFormat="1" ht="50.1" customHeight="1" x14ac:dyDescent="0.2">
      <c r="A2331" s="1220" t="s">
        <v>13084</v>
      </c>
      <c r="B2331" s="985" t="s">
        <v>1784</v>
      </c>
      <c r="C2331" s="985" t="s">
        <v>13063</v>
      </c>
      <c r="D2331" s="1037">
        <v>31</v>
      </c>
      <c r="E2331" s="1039">
        <v>404.65</v>
      </c>
      <c r="F2331" s="1037" t="s">
        <v>13080</v>
      </c>
      <c r="G2331" s="1037" t="s">
        <v>1842</v>
      </c>
      <c r="H2331" s="1037" t="s">
        <v>13106</v>
      </c>
      <c r="I2331" s="1036"/>
      <c r="J2331" s="1199"/>
    </row>
    <row r="2332" spans="1:10" s="81" customFormat="1" ht="50.1" customHeight="1" x14ac:dyDescent="0.2">
      <c r="A2332" s="1220" t="s">
        <v>13073</v>
      </c>
      <c r="B2332" s="985" t="s">
        <v>1784</v>
      </c>
      <c r="C2332" s="985" t="s">
        <v>13063</v>
      </c>
      <c r="D2332" s="1037">
        <v>32</v>
      </c>
      <c r="E2332" s="1039">
        <v>850</v>
      </c>
      <c r="F2332" s="1037" t="s">
        <v>13074</v>
      </c>
      <c r="G2332" s="1037" t="s">
        <v>1842</v>
      </c>
      <c r="H2332" s="1037" t="s">
        <v>13107</v>
      </c>
      <c r="I2332" s="1036"/>
      <c r="J2332" s="1199"/>
    </row>
    <row r="2333" spans="1:10" s="81" customFormat="1" ht="50.1" customHeight="1" x14ac:dyDescent="0.2">
      <c r="A2333" s="1220" t="s">
        <v>13108</v>
      </c>
      <c r="B2333" s="985" t="s">
        <v>1784</v>
      </c>
      <c r="C2333" s="985" t="s">
        <v>13063</v>
      </c>
      <c r="D2333" s="1037">
        <v>33</v>
      </c>
      <c r="E2333" s="1039">
        <v>3500</v>
      </c>
      <c r="F2333" s="1037" t="s">
        <v>13109</v>
      </c>
      <c r="G2333" s="1037" t="s">
        <v>1842</v>
      </c>
      <c r="H2333" s="1037" t="s">
        <v>13110</v>
      </c>
      <c r="I2333" s="1036"/>
      <c r="J2333" s="1199"/>
    </row>
    <row r="2334" spans="1:10" s="81" customFormat="1" ht="50.1" customHeight="1" x14ac:dyDescent="0.2">
      <c r="A2334" s="1220" t="s">
        <v>13111</v>
      </c>
      <c r="B2334" s="985" t="s">
        <v>1784</v>
      </c>
      <c r="C2334" s="985" t="s">
        <v>13063</v>
      </c>
      <c r="D2334" s="1037">
        <v>34</v>
      </c>
      <c r="E2334" s="1039">
        <v>8331</v>
      </c>
      <c r="F2334" s="1037" t="s">
        <v>13112</v>
      </c>
      <c r="G2334" s="1037" t="s">
        <v>1842</v>
      </c>
      <c r="H2334" s="1037" t="s">
        <v>13110</v>
      </c>
      <c r="I2334" s="1036"/>
      <c r="J2334" s="1199"/>
    </row>
    <row r="2335" spans="1:10" s="81" customFormat="1" ht="50.1" customHeight="1" x14ac:dyDescent="0.2">
      <c r="A2335" s="1220" t="s">
        <v>13113</v>
      </c>
      <c r="B2335" s="985" t="s">
        <v>1784</v>
      </c>
      <c r="C2335" s="985" t="s">
        <v>13063</v>
      </c>
      <c r="D2335" s="1037">
        <v>35</v>
      </c>
      <c r="E2335" s="1039">
        <v>2085</v>
      </c>
      <c r="F2335" s="1037" t="s">
        <v>13114</v>
      </c>
      <c r="G2335" s="1037" t="s">
        <v>1842</v>
      </c>
      <c r="H2335" s="1037" t="s">
        <v>13115</v>
      </c>
      <c r="I2335" s="1036"/>
      <c r="J2335" s="1199"/>
    </row>
    <row r="2336" spans="1:10" s="81" customFormat="1" ht="50.1" customHeight="1" x14ac:dyDescent="0.2">
      <c r="A2336" s="1220" t="s">
        <v>13075</v>
      </c>
      <c r="B2336" s="985" t="s">
        <v>1784</v>
      </c>
      <c r="C2336" s="985" t="s">
        <v>13063</v>
      </c>
      <c r="D2336" s="1037">
        <v>36</v>
      </c>
      <c r="E2336" s="1039">
        <v>372</v>
      </c>
      <c r="F2336" s="1037" t="s">
        <v>13076</v>
      </c>
      <c r="G2336" s="1037" t="s">
        <v>1842</v>
      </c>
      <c r="H2336" s="1037" t="s">
        <v>13116</v>
      </c>
      <c r="I2336" s="1036"/>
      <c r="J2336" s="1199"/>
    </row>
    <row r="2337" spans="1:10" s="81" customFormat="1" ht="50.1" customHeight="1" x14ac:dyDescent="0.2">
      <c r="A2337" s="1220" t="s">
        <v>13077</v>
      </c>
      <c r="B2337" s="985" t="s">
        <v>1784</v>
      </c>
      <c r="C2337" s="985" t="s">
        <v>13063</v>
      </c>
      <c r="D2337" s="1037">
        <v>37</v>
      </c>
      <c r="E2337" s="1039">
        <v>2068</v>
      </c>
      <c r="F2337" s="1037" t="s">
        <v>13078</v>
      </c>
      <c r="G2337" s="1037" t="s">
        <v>1842</v>
      </c>
      <c r="H2337" s="1037" t="s">
        <v>13116</v>
      </c>
      <c r="I2337" s="1036"/>
      <c r="J2337" s="1199"/>
    </row>
    <row r="2338" spans="1:10" s="81" customFormat="1" ht="50.1" customHeight="1" x14ac:dyDescent="0.2">
      <c r="A2338" s="1220" t="s">
        <v>13077</v>
      </c>
      <c r="B2338" s="985" t="s">
        <v>1784</v>
      </c>
      <c r="C2338" s="985" t="s">
        <v>13063</v>
      </c>
      <c r="D2338" s="1037">
        <v>38</v>
      </c>
      <c r="E2338" s="1039">
        <v>1023</v>
      </c>
      <c r="F2338" s="1037" t="s">
        <v>13080</v>
      </c>
      <c r="G2338" s="1037" t="s">
        <v>1842</v>
      </c>
      <c r="H2338" s="1037" t="s">
        <v>13116</v>
      </c>
      <c r="I2338" s="1036"/>
      <c r="J2338" s="1199"/>
    </row>
    <row r="2339" spans="1:10" s="81" customFormat="1" ht="50.1" customHeight="1" x14ac:dyDescent="0.2">
      <c r="A2339" s="1220" t="s">
        <v>13081</v>
      </c>
      <c r="B2339" s="985" t="s">
        <v>1784</v>
      </c>
      <c r="C2339" s="985" t="s">
        <v>13063</v>
      </c>
      <c r="D2339" s="1037">
        <v>39</v>
      </c>
      <c r="E2339" s="1039">
        <v>2764.6</v>
      </c>
      <c r="F2339" s="1037" t="s">
        <v>13080</v>
      </c>
      <c r="G2339" s="1037" t="s">
        <v>1842</v>
      </c>
      <c r="H2339" s="1037" t="s">
        <v>13116</v>
      </c>
      <c r="I2339" s="1036"/>
      <c r="J2339" s="1199"/>
    </row>
    <row r="2340" spans="1:10" s="81" customFormat="1" ht="50.1" customHeight="1" x14ac:dyDescent="0.2">
      <c r="A2340" s="1220" t="s">
        <v>13117</v>
      </c>
      <c r="B2340" s="985" t="s">
        <v>1784</v>
      </c>
      <c r="C2340" s="985" t="s">
        <v>13063</v>
      </c>
      <c r="D2340" s="1037">
        <v>40</v>
      </c>
      <c r="E2340" s="1039">
        <v>6348</v>
      </c>
      <c r="F2340" s="1037" t="s">
        <v>13118</v>
      </c>
      <c r="G2340" s="1037" t="s">
        <v>1842</v>
      </c>
      <c r="H2340" s="1037" t="s">
        <v>13119</v>
      </c>
      <c r="I2340" s="1036"/>
      <c r="J2340" s="1199"/>
    </row>
    <row r="2341" spans="1:10" s="81" customFormat="1" ht="50.1" customHeight="1" x14ac:dyDescent="0.2">
      <c r="A2341" s="1220" t="s">
        <v>13117</v>
      </c>
      <c r="B2341" s="985" t="s">
        <v>1784</v>
      </c>
      <c r="C2341" s="985" t="s">
        <v>13063</v>
      </c>
      <c r="D2341" s="1037">
        <v>41</v>
      </c>
      <c r="E2341" s="1039">
        <v>200</v>
      </c>
      <c r="F2341" s="1037" t="s">
        <v>13118</v>
      </c>
      <c r="G2341" s="1037" t="s">
        <v>1842</v>
      </c>
      <c r="H2341" s="1037" t="s">
        <v>13119</v>
      </c>
      <c r="I2341" s="1036"/>
      <c r="J2341" s="1199"/>
    </row>
    <row r="2342" spans="1:10" s="81" customFormat="1" ht="50.1" customHeight="1" x14ac:dyDescent="0.2">
      <c r="A2342" s="1220" t="s">
        <v>13117</v>
      </c>
      <c r="B2342" s="985" t="s">
        <v>1784</v>
      </c>
      <c r="C2342" s="985" t="s">
        <v>13063</v>
      </c>
      <c r="D2342" s="1037">
        <v>42</v>
      </c>
      <c r="E2342" s="1039">
        <v>4056</v>
      </c>
      <c r="F2342" s="1037" t="s">
        <v>13120</v>
      </c>
      <c r="G2342" s="1037" t="s">
        <v>1842</v>
      </c>
      <c r="H2342" s="1037" t="s">
        <v>13119</v>
      </c>
      <c r="I2342" s="1036"/>
      <c r="J2342" s="1199"/>
    </row>
    <row r="2343" spans="1:10" s="81" customFormat="1" ht="50.1" customHeight="1" x14ac:dyDescent="0.2">
      <c r="A2343" s="1220" t="s">
        <v>13117</v>
      </c>
      <c r="B2343" s="985" t="s">
        <v>1784</v>
      </c>
      <c r="C2343" s="985" t="s">
        <v>13063</v>
      </c>
      <c r="D2343" s="1037">
        <v>44</v>
      </c>
      <c r="E2343" s="1039">
        <v>4060</v>
      </c>
      <c r="F2343" s="1037" t="s">
        <v>13121</v>
      </c>
      <c r="G2343" s="1037" t="s">
        <v>1842</v>
      </c>
      <c r="H2343" s="1037" t="s">
        <v>13119</v>
      </c>
      <c r="I2343" s="1036"/>
      <c r="J2343" s="1199"/>
    </row>
    <row r="2344" spans="1:10" s="81" customFormat="1" ht="50.1" customHeight="1" x14ac:dyDescent="0.2">
      <c r="A2344" s="1220" t="s">
        <v>13117</v>
      </c>
      <c r="B2344" s="985" t="s">
        <v>1784</v>
      </c>
      <c r="C2344" s="985" t="s">
        <v>13063</v>
      </c>
      <c r="D2344" s="1037">
        <v>45</v>
      </c>
      <c r="E2344" s="1039">
        <v>7500</v>
      </c>
      <c r="F2344" s="1037" t="s">
        <v>13122</v>
      </c>
      <c r="G2344" s="1037" t="s">
        <v>1842</v>
      </c>
      <c r="H2344" s="1037" t="s">
        <v>13119</v>
      </c>
      <c r="I2344" s="1036"/>
      <c r="J2344" s="1199"/>
    </row>
    <row r="2345" spans="1:10" s="81" customFormat="1" ht="50.1" customHeight="1" x14ac:dyDescent="0.2">
      <c r="A2345" s="1220" t="s">
        <v>13123</v>
      </c>
      <c r="B2345" s="985" t="s">
        <v>1784</v>
      </c>
      <c r="C2345" s="985" t="s">
        <v>13063</v>
      </c>
      <c r="D2345" s="1037">
        <v>46</v>
      </c>
      <c r="E2345" s="1039">
        <v>900</v>
      </c>
      <c r="F2345" s="1037" t="s">
        <v>13124</v>
      </c>
      <c r="G2345" s="1037" t="s">
        <v>1842</v>
      </c>
      <c r="H2345" s="1037" t="s">
        <v>13119</v>
      </c>
      <c r="I2345" s="1036"/>
      <c r="J2345" s="1199"/>
    </row>
    <row r="2346" spans="1:10" s="81" customFormat="1" ht="50.1" customHeight="1" x14ac:dyDescent="0.2">
      <c r="A2346" s="1220" t="s">
        <v>13125</v>
      </c>
      <c r="B2346" s="985" t="s">
        <v>1784</v>
      </c>
      <c r="C2346" s="985" t="s">
        <v>13063</v>
      </c>
      <c r="D2346" s="1037">
        <v>47</v>
      </c>
      <c r="E2346" s="1039">
        <v>1440</v>
      </c>
      <c r="F2346" s="1037" t="s">
        <v>13126</v>
      </c>
      <c r="G2346" s="1037" t="s">
        <v>1842</v>
      </c>
      <c r="H2346" s="1037" t="s">
        <v>13127</v>
      </c>
      <c r="I2346" s="1036"/>
      <c r="J2346" s="1199"/>
    </row>
    <row r="2347" spans="1:10" s="81" customFormat="1" ht="50.1" customHeight="1" x14ac:dyDescent="0.2">
      <c r="A2347" s="1220" t="s">
        <v>13128</v>
      </c>
      <c r="B2347" s="985" t="s">
        <v>1784</v>
      </c>
      <c r="C2347" s="985" t="s">
        <v>13063</v>
      </c>
      <c r="D2347" s="1037">
        <v>48</v>
      </c>
      <c r="E2347" s="1039">
        <v>2500</v>
      </c>
      <c r="F2347" s="1037" t="s">
        <v>13129</v>
      </c>
      <c r="G2347" s="1037" t="s">
        <v>1842</v>
      </c>
      <c r="H2347" s="1037" t="s">
        <v>13127</v>
      </c>
      <c r="I2347" s="1036"/>
      <c r="J2347" s="1199"/>
    </row>
    <row r="2348" spans="1:10" s="81" customFormat="1" ht="50.1" customHeight="1" x14ac:dyDescent="0.2">
      <c r="A2348" s="1220" t="s">
        <v>13130</v>
      </c>
      <c r="B2348" s="985" t="s">
        <v>1784</v>
      </c>
      <c r="C2348" s="985" t="s">
        <v>13063</v>
      </c>
      <c r="D2348" s="1037">
        <v>49</v>
      </c>
      <c r="E2348" s="1039">
        <v>422.5</v>
      </c>
      <c r="F2348" s="1037" t="s">
        <v>13071</v>
      </c>
      <c r="G2348" s="1037" t="s">
        <v>1842</v>
      </c>
      <c r="H2348" s="1037" t="s">
        <v>13131</v>
      </c>
      <c r="I2348" s="1036"/>
      <c r="J2348" s="1199"/>
    </row>
    <row r="2349" spans="1:10" s="81" customFormat="1" ht="50.1" customHeight="1" x14ac:dyDescent="0.2">
      <c r="A2349" s="1220" t="s">
        <v>13130</v>
      </c>
      <c r="B2349" s="985" t="s">
        <v>1784</v>
      </c>
      <c r="C2349" s="985" t="s">
        <v>13063</v>
      </c>
      <c r="D2349" s="1037">
        <v>51</v>
      </c>
      <c r="E2349" s="1039">
        <v>1600</v>
      </c>
      <c r="F2349" s="1037" t="s">
        <v>13132</v>
      </c>
      <c r="G2349" s="1037" t="s">
        <v>1842</v>
      </c>
      <c r="H2349" s="1037" t="s">
        <v>13131</v>
      </c>
      <c r="I2349" s="1036"/>
      <c r="J2349" s="1199"/>
    </row>
    <row r="2350" spans="1:10" s="81" customFormat="1" ht="50.1" customHeight="1" x14ac:dyDescent="0.2">
      <c r="A2350" s="1220" t="s">
        <v>13133</v>
      </c>
      <c r="B2350" s="985" t="s">
        <v>1784</v>
      </c>
      <c r="C2350" s="985" t="s">
        <v>13063</v>
      </c>
      <c r="D2350" s="1037">
        <v>52</v>
      </c>
      <c r="E2350" s="1039">
        <v>9976</v>
      </c>
      <c r="F2350" s="1037" t="s">
        <v>13100</v>
      </c>
      <c r="G2350" s="1037" t="s">
        <v>1842</v>
      </c>
      <c r="H2350" s="1037" t="s">
        <v>13131</v>
      </c>
      <c r="I2350" s="1036"/>
      <c r="J2350" s="1199"/>
    </row>
    <row r="2351" spans="1:10" s="81" customFormat="1" ht="50.1" customHeight="1" x14ac:dyDescent="0.2">
      <c r="A2351" s="1220" t="s">
        <v>13083</v>
      </c>
      <c r="B2351" s="985" t="s">
        <v>1784</v>
      </c>
      <c r="C2351" s="985" t="s">
        <v>13063</v>
      </c>
      <c r="D2351" s="1037">
        <v>53</v>
      </c>
      <c r="E2351" s="1039">
        <v>1655.2</v>
      </c>
      <c r="F2351" s="1037" t="s">
        <v>13080</v>
      </c>
      <c r="G2351" s="1037" t="s">
        <v>1842</v>
      </c>
      <c r="H2351" s="1037" t="s">
        <v>13134</v>
      </c>
      <c r="I2351" s="1036"/>
      <c r="J2351" s="1199"/>
    </row>
    <row r="2352" spans="1:10" s="81" customFormat="1" ht="50.1" customHeight="1" x14ac:dyDescent="0.2">
      <c r="A2352" s="1220" t="s">
        <v>13084</v>
      </c>
      <c r="B2352" s="985" t="s">
        <v>1784</v>
      </c>
      <c r="C2352" s="985" t="s">
        <v>13063</v>
      </c>
      <c r="D2352" s="1037">
        <v>54</v>
      </c>
      <c r="E2352" s="1039">
        <v>566.65</v>
      </c>
      <c r="F2352" s="1037" t="s">
        <v>13080</v>
      </c>
      <c r="G2352" s="1037" t="s">
        <v>1842</v>
      </c>
      <c r="H2352" s="1037" t="s">
        <v>13134</v>
      </c>
      <c r="I2352" s="1036"/>
      <c r="J2352" s="1199"/>
    </row>
    <row r="2353" spans="1:10" s="81" customFormat="1" ht="50.1" customHeight="1" x14ac:dyDescent="0.2">
      <c r="A2353" s="1220" t="s">
        <v>13135</v>
      </c>
      <c r="B2353" s="985" t="s">
        <v>1784</v>
      </c>
      <c r="C2353" s="985" t="s">
        <v>13063</v>
      </c>
      <c r="D2353" s="1037">
        <v>55</v>
      </c>
      <c r="E2353" s="1039">
        <v>950</v>
      </c>
      <c r="F2353" s="1037" t="s">
        <v>13136</v>
      </c>
      <c r="G2353" s="1037" t="s">
        <v>1842</v>
      </c>
      <c r="H2353" s="1037" t="s">
        <v>13137</v>
      </c>
      <c r="I2353" s="1036"/>
      <c r="J2353" s="1199"/>
    </row>
    <row r="2354" spans="1:10" s="81" customFormat="1" ht="50.1" customHeight="1" x14ac:dyDescent="0.2">
      <c r="A2354" s="1220" t="s">
        <v>13138</v>
      </c>
      <c r="B2354" s="985" t="s">
        <v>1784</v>
      </c>
      <c r="C2354" s="985" t="s">
        <v>13063</v>
      </c>
      <c r="D2354" s="1037">
        <v>56</v>
      </c>
      <c r="E2354" s="1039">
        <v>860</v>
      </c>
      <c r="F2354" s="1037" t="s">
        <v>13136</v>
      </c>
      <c r="G2354" s="1037" t="s">
        <v>1842</v>
      </c>
      <c r="H2354" s="1037" t="s">
        <v>13137</v>
      </c>
      <c r="I2354" s="1036"/>
      <c r="J2354" s="1199"/>
    </row>
    <row r="2355" spans="1:10" s="81" customFormat="1" ht="50.1" customHeight="1" x14ac:dyDescent="0.2">
      <c r="A2355" s="1220" t="s">
        <v>13139</v>
      </c>
      <c r="B2355" s="985" t="s">
        <v>1784</v>
      </c>
      <c r="C2355" s="985" t="s">
        <v>13063</v>
      </c>
      <c r="D2355" s="1037">
        <v>57</v>
      </c>
      <c r="E2355" s="1039">
        <v>2251.5</v>
      </c>
      <c r="F2355" s="1037" t="s">
        <v>13140</v>
      </c>
      <c r="G2355" s="1037" t="s">
        <v>1842</v>
      </c>
      <c r="H2355" s="1037" t="s">
        <v>13137</v>
      </c>
      <c r="I2355" s="1036"/>
      <c r="J2355" s="1199"/>
    </row>
    <row r="2356" spans="1:10" s="81" customFormat="1" ht="50.1" customHeight="1" x14ac:dyDescent="0.2">
      <c r="A2356" s="1220" t="s">
        <v>13139</v>
      </c>
      <c r="B2356" s="985" t="s">
        <v>1784</v>
      </c>
      <c r="C2356" s="985" t="s">
        <v>13063</v>
      </c>
      <c r="D2356" s="1037">
        <v>58</v>
      </c>
      <c r="E2356" s="1039">
        <v>1852.81</v>
      </c>
      <c r="F2356" s="1037" t="s">
        <v>13124</v>
      </c>
      <c r="G2356" s="1037" t="s">
        <v>1842</v>
      </c>
      <c r="H2356" s="1037" t="s">
        <v>13137</v>
      </c>
      <c r="I2356" s="1036"/>
      <c r="J2356" s="1199"/>
    </row>
    <row r="2357" spans="1:10" s="81" customFormat="1" ht="50.1" customHeight="1" x14ac:dyDescent="0.2">
      <c r="A2357" s="1220" t="s">
        <v>13139</v>
      </c>
      <c r="B2357" s="985" t="s">
        <v>1784</v>
      </c>
      <c r="C2357" s="985" t="s">
        <v>13063</v>
      </c>
      <c r="D2357" s="1037">
        <v>59</v>
      </c>
      <c r="E2357" s="1039">
        <v>1060</v>
      </c>
      <c r="F2357" s="1037" t="s">
        <v>13141</v>
      </c>
      <c r="G2357" s="1037" t="s">
        <v>1842</v>
      </c>
      <c r="H2357" s="1037" t="s">
        <v>13137</v>
      </c>
      <c r="I2357" s="1036"/>
      <c r="J2357" s="1199"/>
    </row>
    <row r="2358" spans="1:10" s="81" customFormat="1" ht="50.1" customHeight="1" x14ac:dyDescent="0.2">
      <c r="A2358" s="1220" t="s">
        <v>13073</v>
      </c>
      <c r="B2358" s="985" t="s">
        <v>1784</v>
      </c>
      <c r="C2358" s="985" t="s">
        <v>13063</v>
      </c>
      <c r="D2358" s="1037">
        <v>63</v>
      </c>
      <c r="E2358" s="1039">
        <v>850</v>
      </c>
      <c r="F2358" s="1037" t="s">
        <v>13074</v>
      </c>
      <c r="G2358" s="1037" t="s">
        <v>1842</v>
      </c>
      <c r="H2358" s="1037" t="s">
        <v>13142</v>
      </c>
      <c r="I2358" s="1036"/>
      <c r="J2358" s="1199"/>
    </row>
    <row r="2359" spans="1:10" s="81" customFormat="1" ht="50.1" customHeight="1" x14ac:dyDescent="0.2">
      <c r="A2359" s="1220" t="s">
        <v>13143</v>
      </c>
      <c r="B2359" s="985" t="s">
        <v>655</v>
      </c>
      <c r="C2359" s="985" t="s">
        <v>13144</v>
      </c>
      <c r="D2359" s="1037">
        <v>64</v>
      </c>
      <c r="E2359" s="1039">
        <v>39268.800000000003</v>
      </c>
      <c r="F2359" s="1037" t="s">
        <v>13145</v>
      </c>
      <c r="G2359" s="1037" t="s">
        <v>1842</v>
      </c>
      <c r="H2359" s="1037" t="s">
        <v>13146</v>
      </c>
      <c r="I2359" s="1036"/>
      <c r="J2359" s="1199"/>
    </row>
    <row r="2360" spans="1:10" s="81" customFormat="1" ht="50.1" customHeight="1" x14ac:dyDescent="0.2">
      <c r="A2360" s="1220" t="s">
        <v>13147</v>
      </c>
      <c r="B2360" s="985" t="s">
        <v>1784</v>
      </c>
      <c r="C2360" s="985" t="s">
        <v>13063</v>
      </c>
      <c r="D2360" s="1037">
        <v>65</v>
      </c>
      <c r="E2360" s="1039">
        <v>12474</v>
      </c>
      <c r="F2360" s="1037" t="s">
        <v>13148</v>
      </c>
      <c r="G2360" s="1037" t="s">
        <v>1842</v>
      </c>
      <c r="H2360" s="1037" t="s">
        <v>13149</v>
      </c>
      <c r="I2360" s="1036"/>
      <c r="J2360" s="1199"/>
    </row>
    <row r="2361" spans="1:10" s="81" customFormat="1" ht="50.1" customHeight="1" x14ac:dyDescent="0.2">
      <c r="A2361" s="1220" t="s">
        <v>13150</v>
      </c>
      <c r="B2361" s="985" t="s">
        <v>1784</v>
      </c>
      <c r="C2361" s="985" t="s">
        <v>13063</v>
      </c>
      <c r="D2361" s="1037">
        <v>66</v>
      </c>
      <c r="E2361" s="1039">
        <v>2801.07</v>
      </c>
      <c r="F2361" s="1037" t="s">
        <v>13151</v>
      </c>
      <c r="G2361" s="1037" t="s">
        <v>1842</v>
      </c>
      <c r="H2361" s="1037" t="s">
        <v>13149</v>
      </c>
      <c r="I2361" s="1036"/>
      <c r="J2361" s="1199"/>
    </row>
    <row r="2362" spans="1:10" s="81" customFormat="1" ht="50.1" customHeight="1" x14ac:dyDescent="0.2">
      <c r="A2362" s="1220" t="s">
        <v>13152</v>
      </c>
      <c r="B2362" s="985" t="s">
        <v>1784</v>
      </c>
      <c r="C2362" s="985" t="s">
        <v>13063</v>
      </c>
      <c r="D2362" s="1037">
        <v>67</v>
      </c>
      <c r="E2362" s="1039">
        <v>438.03</v>
      </c>
      <c r="F2362" s="1037" t="s">
        <v>13151</v>
      </c>
      <c r="G2362" s="1037" t="s">
        <v>1842</v>
      </c>
      <c r="H2362" s="1037" t="s">
        <v>13149</v>
      </c>
      <c r="I2362" s="1036"/>
      <c r="J2362" s="1199"/>
    </row>
    <row r="2363" spans="1:10" s="81" customFormat="1" ht="50.1" customHeight="1" x14ac:dyDescent="0.2">
      <c r="A2363" s="1220" t="s">
        <v>13130</v>
      </c>
      <c r="B2363" s="985" t="s">
        <v>1784</v>
      </c>
      <c r="C2363" s="985" t="s">
        <v>13063</v>
      </c>
      <c r="D2363" s="1037">
        <v>68</v>
      </c>
      <c r="E2363" s="1039">
        <v>8945</v>
      </c>
      <c r="F2363" s="1037" t="s">
        <v>13153</v>
      </c>
      <c r="G2363" s="1037" t="s">
        <v>1842</v>
      </c>
      <c r="H2363" s="1037" t="s">
        <v>2479</v>
      </c>
      <c r="I2363" s="1036"/>
      <c r="J2363" s="1199"/>
    </row>
    <row r="2364" spans="1:10" s="81" customFormat="1" ht="50.1" customHeight="1" x14ac:dyDescent="0.2">
      <c r="A2364" s="1220" t="s">
        <v>13075</v>
      </c>
      <c r="B2364" s="985" t="s">
        <v>1784</v>
      </c>
      <c r="C2364" s="985" t="s">
        <v>13063</v>
      </c>
      <c r="D2364" s="1037">
        <v>69</v>
      </c>
      <c r="E2364" s="1039">
        <v>360</v>
      </c>
      <c r="F2364" s="1037" t="s">
        <v>13076</v>
      </c>
      <c r="G2364" s="1037" t="s">
        <v>1842</v>
      </c>
      <c r="H2364" s="1037" t="s">
        <v>13154</v>
      </c>
      <c r="I2364" s="1036"/>
      <c r="J2364" s="1199"/>
    </row>
    <row r="2365" spans="1:10" s="81" customFormat="1" ht="50.1" customHeight="1" x14ac:dyDescent="0.2">
      <c r="A2365" s="1220" t="s">
        <v>13077</v>
      </c>
      <c r="B2365" s="985" t="s">
        <v>1784</v>
      </c>
      <c r="C2365" s="985" t="s">
        <v>13063</v>
      </c>
      <c r="D2365" s="1037">
        <v>70</v>
      </c>
      <c r="E2365" s="1039">
        <v>1672</v>
      </c>
      <c r="F2365" s="1037" t="s">
        <v>13078</v>
      </c>
      <c r="G2365" s="1037" t="s">
        <v>1842</v>
      </c>
      <c r="H2365" s="1037" t="s">
        <v>13154</v>
      </c>
      <c r="I2365" s="1036"/>
      <c r="J2365" s="1199"/>
    </row>
    <row r="2366" spans="1:10" s="81" customFormat="1" ht="50.1" customHeight="1" x14ac:dyDescent="0.2">
      <c r="A2366" s="1220" t="s">
        <v>13077</v>
      </c>
      <c r="B2366" s="985" t="s">
        <v>1784</v>
      </c>
      <c r="C2366" s="985" t="s">
        <v>13063</v>
      </c>
      <c r="D2366" s="1037">
        <v>71</v>
      </c>
      <c r="E2366" s="1039">
        <v>860</v>
      </c>
      <c r="F2366" s="1037" t="s">
        <v>13080</v>
      </c>
      <c r="G2366" s="1037" t="s">
        <v>1842</v>
      </c>
      <c r="H2366" s="1037" t="s">
        <v>13154</v>
      </c>
      <c r="I2366" s="1036"/>
      <c r="J2366" s="1199"/>
    </row>
    <row r="2367" spans="1:10" s="81" customFormat="1" ht="50.1" customHeight="1" x14ac:dyDescent="0.2">
      <c r="A2367" s="1220" t="s">
        <v>13081</v>
      </c>
      <c r="B2367" s="985" t="s">
        <v>1784</v>
      </c>
      <c r="C2367" s="985" t="s">
        <v>13063</v>
      </c>
      <c r="D2367" s="1037">
        <v>72</v>
      </c>
      <c r="E2367" s="1039">
        <v>2227</v>
      </c>
      <c r="F2367" s="1037" t="s">
        <v>13080</v>
      </c>
      <c r="G2367" s="1037" t="s">
        <v>1842</v>
      </c>
      <c r="H2367" s="1037" t="s">
        <v>13154</v>
      </c>
      <c r="I2367" s="1036"/>
      <c r="J2367" s="1199"/>
    </row>
    <row r="2368" spans="1:10" s="81" customFormat="1" ht="50.1" customHeight="1" x14ac:dyDescent="0.2">
      <c r="A2368" s="1220" t="s">
        <v>13070</v>
      </c>
      <c r="B2368" s="985" t="s">
        <v>1784</v>
      </c>
      <c r="C2368" s="985" t="s">
        <v>13063</v>
      </c>
      <c r="D2368" s="1037">
        <v>73</v>
      </c>
      <c r="E2368" s="1039">
        <v>7780</v>
      </c>
      <c r="F2368" s="1037" t="s">
        <v>13071</v>
      </c>
      <c r="G2368" s="1037" t="s">
        <v>1842</v>
      </c>
      <c r="H2368" s="1037" t="s">
        <v>13155</v>
      </c>
      <c r="I2368" s="1036"/>
      <c r="J2368" s="1199"/>
    </row>
    <row r="2369" spans="1:10" s="81" customFormat="1" ht="50.1" customHeight="1" x14ac:dyDescent="0.2">
      <c r="A2369" s="1220" t="s">
        <v>13084</v>
      </c>
      <c r="B2369" s="985" t="s">
        <v>1784</v>
      </c>
      <c r="C2369" s="985" t="s">
        <v>13063</v>
      </c>
      <c r="D2369" s="1037">
        <v>74</v>
      </c>
      <c r="E2369" s="1039">
        <v>404.65</v>
      </c>
      <c r="F2369" s="1037" t="s">
        <v>13080</v>
      </c>
      <c r="G2369" s="1037" t="s">
        <v>1842</v>
      </c>
      <c r="H2369" s="1037" t="s">
        <v>2480</v>
      </c>
      <c r="I2369" s="1036"/>
      <c r="J2369" s="1199"/>
    </row>
    <row r="2370" spans="1:10" s="81" customFormat="1" ht="50.1" customHeight="1" x14ac:dyDescent="0.2">
      <c r="A2370" s="1220" t="s">
        <v>13083</v>
      </c>
      <c r="B2370" s="985" t="s">
        <v>1784</v>
      </c>
      <c r="C2370" s="985" t="s">
        <v>13063</v>
      </c>
      <c r="D2370" s="1037">
        <v>75</v>
      </c>
      <c r="E2370" s="1039">
        <v>1772.8</v>
      </c>
      <c r="F2370" s="1037" t="s">
        <v>13080</v>
      </c>
      <c r="G2370" s="1037" t="s">
        <v>1842</v>
      </c>
      <c r="H2370" s="1037" t="s">
        <v>2480</v>
      </c>
      <c r="I2370" s="1036"/>
      <c r="J2370" s="1199"/>
    </row>
    <row r="2371" spans="1:10" s="81" customFormat="1" ht="50.1" customHeight="1" x14ac:dyDescent="0.2">
      <c r="A2371" s="1220" t="s">
        <v>13113</v>
      </c>
      <c r="B2371" s="985" t="s">
        <v>1784</v>
      </c>
      <c r="C2371" s="985" t="s">
        <v>13063</v>
      </c>
      <c r="D2371" s="1037">
        <v>76</v>
      </c>
      <c r="E2371" s="1039">
        <v>2085</v>
      </c>
      <c r="F2371" s="1037" t="s">
        <v>13114</v>
      </c>
      <c r="G2371" s="1037" t="s">
        <v>1842</v>
      </c>
      <c r="H2371" s="1037" t="s">
        <v>2481</v>
      </c>
      <c r="I2371" s="1036"/>
      <c r="J2371" s="1199"/>
    </row>
    <row r="2372" spans="1:10" s="81" customFormat="1" ht="50.1" customHeight="1" x14ac:dyDescent="0.2">
      <c r="A2372" s="1220" t="s">
        <v>13073</v>
      </c>
      <c r="B2372" s="985" t="s">
        <v>1784</v>
      </c>
      <c r="C2372" s="985" t="s">
        <v>13063</v>
      </c>
      <c r="D2372" s="1037">
        <v>77</v>
      </c>
      <c r="E2372" s="1039">
        <v>1020</v>
      </c>
      <c r="F2372" s="1037" t="s">
        <v>13074</v>
      </c>
      <c r="G2372" s="1037" t="s">
        <v>1842</v>
      </c>
      <c r="H2372" s="1037" t="s">
        <v>13156</v>
      </c>
      <c r="I2372" s="1036"/>
      <c r="J2372" s="1199"/>
    </row>
    <row r="2373" spans="1:10" s="81" customFormat="1" ht="50.1" customHeight="1" x14ac:dyDescent="0.2">
      <c r="A2373" s="1220" t="s">
        <v>13075</v>
      </c>
      <c r="B2373" s="985" t="s">
        <v>1784</v>
      </c>
      <c r="C2373" s="985" t="s">
        <v>13063</v>
      </c>
      <c r="D2373" s="1037">
        <v>78</v>
      </c>
      <c r="E2373" s="1039">
        <v>372</v>
      </c>
      <c r="F2373" s="1037" t="s">
        <v>13076</v>
      </c>
      <c r="G2373" s="1037" t="s">
        <v>1842</v>
      </c>
      <c r="H2373" s="1037" t="s">
        <v>13156</v>
      </c>
      <c r="I2373" s="1036"/>
      <c r="J2373" s="1199"/>
    </row>
    <row r="2374" spans="1:10" s="81" customFormat="1" ht="50.1" customHeight="1" x14ac:dyDescent="0.2">
      <c r="A2374" s="1220" t="s">
        <v>13077</v>
      </c>
      <c r="B2374" s="985" t="s">
        <v>1784</v>
      </c>
      <c r="C2374" s="985" t="s">
        <v>13063</v>
      </c>
      <c r="D2374" s="1037">
        <v>79</v>
      </c>
      <c r="E2374" s="1039">
        <v>2068</v>
      </c>
      <c r="F2374" s="1037" t="s">
        <v>13078</v>
      </c>
      <c r="G2374" s="1037" t="s">
        <v>1842</v>
      </c>
      <c r="H2374" s="1037" t="s">
        <v>13156</v>
      </c>
      <c r="I2374" s="1036"/>
      <c r="J2374" s="1199"/>
    </row>
    <row r="2375" spans="1:10" s="81" customFormat="1" ht="50.1" customHeight="1" x14ac:dyDescent="0.2">
      <c r="A2375" s="1220" t="s">
        <v>13077</v>
      </c>
      <c r="B2375" s="985" t="s">
        <v>1784</v>
      </c>
      <c r="C2375" s="985" t="s">
        <v>13063</v>
      </c>
      <c r="D2375" s="1037">
        <v>80</v>
      </c>
      <c r="E2375" s="1039">
        <v>1023</v>
      </c>
      <c r="F2375" s="1037" t="s">
        <v>13080</v>
      </c>
      <c r="G2375" s="1037" t="s">
        <v>1842</v>
      </c>
      <c r="H2375" s="1037" t="s">
        <v>13156</v>
      </c>
      <c r="I2375" s="1036"/>
      <c r="J2375" s="1199"/>
    </row>
    <row r="2376" spans="1:10" s="81" customFormat="1" ht="50.1" customHeight="1" x14ac:dyDescent="0.2">
      <c r="A2376" s="1220" t="s">
        <v>13081</v>
      </c>
      <c r="B2376" s="985" t="s">
        <v>1784</v>
      </c>
      <c r="C2376" s="985" t="s">
        <v>13063</v>
      </c>
      <c r="D2376" s="1037">
        <v>81</v>
      </c>
      <c r="E2376" s="1039">
        <v>2764.6</v>
      </c>
      <c r="F2376" s="1037" t="s">
        <v>13080</v>
      </c>
      <c r="G2376" s="1037" t="s">
        <v>1842</v>
      </c>
      <c r="H2376" s="1037" t="s">
        <v>13156</v>
      </c>
      <c r="I2376" s="1036"/>
      <c r="J2376" s="1199"/>
    </row>
    <row r="2377" spans="1:10" s="81" customFormat="1" ht="50.1" customHeight="1" x14ac:dyDescent="0.2">
      <c r="A2377" s="1220" t="s">
        <v>13157</v>
      </c>
      <c r="B2377" s="985" t="s">
        <v>13092</v>
      </c>
      <c r="C2377" s="985" t="s">
        <v>13093</v>
      </c>
      <c r="D2377" s="1037">
        <v>82</v>
      </c>
      <c r="E2377" s="1039">
        <v>1738.85</v>
      </c>
      <c r="F2377" s="1037" t="s">
        <v>13158</v>
      </c>
      <c r="G2377" s="1037" t="s">
        <v>1842</v>
      </c>
      <c r="H2377" s="1037" t="s">
        <v>13159</v>
      </c>
      <c r="I2377" s="1036"/>
      <c r="J2377" s="1199"/>
    </row>
    <row r="2378" spans="1:10" s="81" customFormat="1" ht="50.1" customHeight="1" x14ac:dyDescent="0.2">
      <c r="A2378" s="1220" t="s">
        <v>13157</v>
      </c>
      <c r="B2378" s="985" t="s">
        <v>13092</v>
      </c>
      <c r="C2378" s="985" t="s">
        <v>13093</v>
      </c>
      <c r="D2378" s="1037">
        <v>83</v>
      </c>
      <c r="E2378" s="1039">
        <v>857.51</v>
      </c>
      <c r="F2378" s="1037" t="s">
        <v>2115</v>
      </c>
      <c r="G2378" s="1037" t="s">
        <v>1842</v>
      </c>
      <c r="H2378" s="1037" t="s">
        <v>13159</v>
      </c>
      <c r="I2378" s="1036"/>
      <c r="J2378" s="1199"/>
    </row>
    <row r="2379" spans="1:10" s="81" customFormat="1" ht="50.1" customHeight="1" x14ac:dyDescent="0.2">
      <c r="A2379" s="1220" t="s">
        <v>13157</v>
      </c>
      <c r="B2379" s="985" t="s">
        <v>13092</v>
      </c>
      <c r="C2379" s="985" t="s">
        <v>13093</v>
      </c>
      <c r="D2379" s="1037">
        <v>84</v>
      </c>
      <c r="E2379" s="1039">
        <v>263.73</v>
      </c>
      <c r="F2379" s="1037" t="s">
        <v>13160</v>
      </c>
      <c r="G2379" s="1037" t="s">
        <v>1842</v>
      </c>
      <c r="H2379" s="1037" t="s">
        <v>13159</v>
      </c>
      <c r="I2379" s="1036"/>
      <c r="J2379" s="1199"/>
    </row>
    <row r="2380" spans="1:10" s="81" customFormat="1" ht="50.1" customHeight="1" x14ac:dyDescent="0.2">
      <c r="A2380" s="1220" t="s">
        <v>13157</v>
      </c>
      <c r="B2380" s="985" t="s">
        <v>13092</v>
      </c>
      <c r="C2380" s="985" t="s">
        <v>13093</v>
      </c>
      <c r="D2380" s="1037">
        <v>85</v>
      </c>
      <c r="E2380" s="1039">
        <v>340.43</v>
      </c>
      <c r="F2380" s="1037" t="s">
        <v>13161</v>
      </c>
      <c r="G2380" s="1037" t="s">
        <v>1842</v>
      </c>
      <c r="H2380" s="1037" t="s">
        <v>13159</v>
      </c>
      <c r="I2380" s="1036"/>
      <c r="J2380" s="1199"/>
    </row>
    <row r="2381" spans="1:10" s="81" customFormat="1" ht="50.1" customHeight="1" x14ac:dyDescent="0.2">
      <c r="A2381" s="1220" t="s">
        <v>13157</v>
      </c>
      <c r="B2381" s="985" t="s">
        <v>13092</v>
      </c>
      <c r="C2381" s="985" t="s">
        <v>13093</v>
      </c>
      <c r="D2381" s="1037">
        <v>86</v>
      </c>
      <c r="E2381" s="1039">
        <v>726.41</v>
      </c>
      <c r="F2381" s="1037" t="s">
        <v>13162</v>
      </c>
      <c r="G2381" s="1037" t="s">
        <v>1842</v>
      </c>
      <c r="H2381" s="1037" t="s">
        <v>13159</v>
      </c>
      <c r="I2381" s="1036"/>
      <c r="J2381" s="1199"/>
    </row>
    <row r="2382" spans="1:10" s="81" customFormat="1" ht="50.1" customHeight="1" x14ac:dyDescent="0.2">
      <c r="A2382" s="1220" t="s">
        <v>13157</v>
      </c>
      <c r="B2382" s="985" t="s">
        <v>13092</v>
      </c>
      <c r="C2382" s="985" t="s">
        <v>13093</v>
      </c>
      <c r="D2382" s="1037">
        <v>87</v>
      </c>
      <c r="E2382" s="1039">
        <v>1199.3499999999999</v>
      </c>
      <c r="F2382" s="1037" t="s">
        <v>13163</v>
      </c>
      <c r="G2382" s="1037" t="s">
        <v>1842</v>
      </c>
      <c r="H2382" s="1037" t="s">
        <v>13159</v>
      </c>
      <c r="I2382" s="1036"/>
      <c r="J2382" s="1199"/>
    </row>
    <row r="2383" spans="1:10" s="81" customFormat="1" ht="50.1" customHeight="1" x14ac:dyDescent="0.2">
      <c r="A2383" s="1220" t="s">
        <v>13157</v>
      </c>
      <c r="B2383" s="985" t="s">
        <v>13092</v>
      </c>
      <c r="C2383" s="985" t="s">
        <v>13093</v>
      </c>
      <c r="D2383" s="1037">
        <v>88</v>
      </c>
      <c r="E2383" s="1039">
        <v>272.45999999999998</v>
      </c>
      <c r="F2383" s="1037" t="s">
        <v>13164</v>
      </c>
      <c r="G2383" s="1037" t="s">
        <v>1842</v>
      </c>
      <c r="H2383" s="1037" t="s">
        <v>13159</v>
      </c>
      <c r="I2383" s="1036"/>
      <c r="J2383" s="1199"/>
    </row>
    <row r="2384" spans="1:10" s="81" customFormat="1" ht="50.1" customHeight="1" x14ac:dyDescent="0.2">
      <c r="A2384" s="1220" t="s">
        <v>13165</v>
      </c>
      <c r="B2384" s="985" t="s">
        <v>1784</v>
      </c>
      <c r="C2384" s="985" t="s">
        <v>13063</v>
      </c>
      <c r="D2384" s="1037">
        <v>90</v>
      </c>
      <c r="E2384" s="1039">
        <v>340</v>
      </c>
      <c r="F2384" s="1037" t="s">
        <v>13078</v>
      </c>
      <c r="G2384" s="1037" t="s">
        <v>1842</v>
      </c>
      <c r="H2384" s="1037" t="s">
        <v>1974</v>
      </c>
      <c r="I2384" s="1036"/>
      <c r="J2384" s="1199"/>
    </row>
    <row r="2385" spans="1:10" s="81" customFormat="1" ht="50.1" customHeight="1" x14ac:dyDescent="0.2">
      <c r="A2385" s="1220" t="s">
        <v>13165</v>
      </c>
      <c r="B2385" s="985" t="s">
        <v>1784</v>
      </c>
      <c r="C2385" s="985" t="s">
        <v>13063</v>
      </c>
      <c r="D2385" s="1037">
        <v>91</v>
      </c>
      <c r="E2385" s="1039">
        <v>660</v>
      </c>
      <c r="F2385" s="1037" t="s">
        <v>13080</v>
      </c>
      <c r="G2385" s="1037" t="s">
        <v>1842</v>
      </c>
      <c r="H2385" s="1037" t="s">
        <v>1974</v>
      </c>
      <c r="I2385" s="1036"/>
      <c r="J2385" s="1199"/>
    </row>
    <row r="2386" spans="1:10" s="81" customFormat="1" ht="50.1" customHeight="1" x14ac:dyDescent="0.2">
      <c r="A2386" s="1220" t="s">
        <v>13166</v>
      </c>
      <c r="B2386" s="985" t="s">
        <v>1784</v>
      </c>
      <c r="C2386" s="985" t="s">
        <v>13063</v>
      </c>
      <c r="D2386" s="1037">
        <v>92</v>
      </c>
      <c r="E2386" s="1039">
        <v>360</v>
      </c>
      <c r="F2386" s="1037" t="s">
        <v>13167</v>
      </c>
      <c r="G2386" s="1037" t="s">
        <v>1842</v>
      </c>
      <c r="H2386" s="1037" t="s">
        <v>1974</v>
      </c>
      <c r="I2386" s="1036"/>
      <c r="J2386" s="1199"/>
    </row>
    <row r="2387" spans="1:10" s="81" customFormat="1" ht="50.1" customHeight="1" x14ac:dyDescent="0.2">
      <c r="A2387" s="1220" t="s">
        <v>13166</v>
      </c>
      <c r="B2387" s="985" t="s">
        <v>1784</v>
      </c>
      <c r="C2387" s="985" t="s">
        <v>13063</v>
      </c>
      <c r="D2387" s="1037">
        <v>93</v>
      </c>
      <c r="E2387" s="1039">
        <v>277</v>
      </c>
      <c r="F2387" s="1037" t="s">
        <v>13168</v>
      </c>
      <c r="G2387" s="1037" t="s">
        <v>1842</v>
      </c>
      <c r="H2387" s="1037" t="s">
        <v>1974</v>
      </c>
      <c r="I2387" s="1036"/>
      <c r="J2387" s="1199"/>
    </row>
    <row r="2388" spans="1:10" s="81" customFormat="1" ht="50.1" customHeight="1" x14ac:dyDescent="0.2">
      <c r="A2388" s="1220" t="s">
        <v>13166</v>
      </c>
      <c r="B2388" s="985" t="s">
        <v>1784</v>
      </c>
      <c r="C2388" s="985" t="s">
        <v>13063</v>
      </c>
      <c r="D2388" s="1037">
        <v>94</v>
      </c>
      <c r="E2388" s="1039">
        <v>1937.3</v>
      </c>
      <c r="F2388" s="1037" t="s">
        <v>13169</v>
      </c>
      <c r="G2388" s="1037" t="s">
        <v>1842</v>
      </c>
      <c r="H2388" s="1037" t="s">
        <v>1974</v>
      </c>
      <c r="I2388" s="1036"/>
      <c r="J2388" s="1199"/>
    </row>
    <row r="2389" spans="1:10" s="81" customFormat="1" ht="50.1" customHeight="1" x14ac:dyDescent="0.2">
      <c r="A2389" s="1220" t="s">
        <v>13166</v>
      </c>
      <c r="B2389" s="985" t="s">
        <v>1784</v>
      </c>
      <c r="C2389" s="985" t="s">
        <v>13063</v>
      </c>
      <c r="D2389" s="1037">
        <v>95</v>
      </c>
      <c r="E2389" s="1039">
        <v>3248.76</v>
      </c>
      <c r="F2389" s="1037" t="s">
        <v>13153</v>
      </c>
      <c r="G2389" s="1037" t="s">
        <v>1842</v>
      </c>
      <c r="H2389" s="1037" t="s">
        <v>1974</v>
      </c>
      <c r="I2389" s="1036"/>
      <c r="J2389" s="1199"/>
    </row>
    <row r="2390" spans="1:10" s="81" customFormat="1" ht="50.1" customHeight="1" x14ac:dyDescent="0.2">
      <c r="A2390" s="1220" t="s">
        <v>13170</v>
      </c>
      <c r="B2390" s="985" t="s">
        <v>1784</v>
      </c>
      <c r="C2390" s="985" t="s">
        <v>13063</v>
      </c>
      <c r="D2390" s="1037">
        <v>96</v>
      </c>
      <c r="E2390" s="1039">
        <v>21466.3</v>
      </c>
      <c r="F2390" s="1037" t="s">
        <v>13171</v>
      </c>
      <c r="G2390" s="1037" t="s">
        <v>1842</v>
      </c>
      <c r="H2390" s="1037" t="s">
        <v>2238</v>
      </c>
      <c r="I2390" s="1036"/>
      <c r="J2390" s="1199"/>
    </row>
    <row r="2391" spans="1:10" s="81" customFormat="1" ht="50.1" customHeight="1" x14ac:dyDescent="0.2">
      <c r="A2391" s="1220" t="s">
        <v>13172</v>
      </c>
      <c r="B2391" s="985" t="s">
        <v>1784</v>
      </c>
      <c r="C2391" s="985" t="s">
        <v>13063</v>
      </c>
      <c r="D2391" s="1037">
        <v>97</v>
      </c>
      <c r="E2391" s="1039">
        <v>3659</v>
      </c>
      <c r="F2391" s="1037" t="s">
        <v>13168</v>
      </c>
      <c r="G2391" s="1037" t="s">
        <v>1842</v>
      </c>
      <c r="H2391" s="1037" t="s">
        <v>2238</v>
      </c>
      <c r="I2391" s="1036"/>
      <c r="J2391" s="1199"/>
    </row>
    <row r="2392" spans="1:10" s="81" customFormat="1" ht="50.1" customHeight="1" x14ac:dyDescent="0.2">
      <c r="A2392" s="1220" t="s">
        <v>13172</v>
      </c>
      <c r="B2392" s="985" t="s">
        <v>1784</v>
      </c>
      <c r="C2392" s="985" t="s">
        <v>13063</v>
      </c>
      <c r="D2392" s="1037">
        <v>98</v>
      </c>
      <c r="E2392" s="1039">
        <v>160</v>
      </c>
      <c r="F2392" s="1037" t="s">
        <v>13167</v>
      </c>
      <c r="G2392" s="1037" t="s">
        <v>1842</v>
      </c>
      <c r="H2392" s="1037" t="s">
        <v>2238</v>
      </c>
      <c r="I2392" s="1036"/>
      <c r="J2392" s="1199"/>
    </row>
    <row r="2393" spans="1:10" s="81" customFormat="1" ht="50.1" customHeight="1" x14ac:dyDescent="0.2">
      <c r="A2393" s="1220" t="s">
        <v>13172</v>
      </c>
      <c r="B2393" s="985" t="s">
        <v>1784</v>
      </c>
      <c r="C2393" s="985" t="s">
        <v>13063</v>
      </c>
      <c r="D2393" s="1037">
        <v>99</v>
      </c>
      <c r="E2393" s="1039">
        <v>1595</v>
      </c>
      <c r="F2393" s="1037" t="s">
        <v>13129</v>
      </c>
      <c r="G2393" s="1037" t="s">
        <v>1842</v>
      </c>
      <c r="H2393" s="1037" t="s">
        <v>2238</v>
      </c>
      <c r="I2393" s="1036"/>
      <c r="J2393" s="1199"/>
    </row>
    <row r="2394" spans="1:10" s="81" customFormat="1" ht="50.1" customHeight="1" x14ac:dyDescent="0.2">
      <c r="A2394" s="1220" t="s">
        <v>13173</v>
      </c>
      <c r="B2394" s="985" t="s">
        <v>1784</v>
      </c>
      <c r="C2394" s="985" t="s">
        <v>13063</v>
      </c>
      <c r="D2394" s="1037">
        <v>100</v>
      </c>
      <c r="E2394" s="1039">
        <v>2700</v>
      </c>
      <c r="F2394" s="1037" t="s">
        <v>13112</v>
      </c>
      <c r="G2394" s="1037" t="s">
        <v>1842</v>
      </c>
      <c r="H2394" s="1037" t="s">
        <v>2238</v>
      </c>
      <c r="I2394" s="1036"/>
      <c r="J2394" s="1199"/>
    </row>
    <row r="2395" spans="1:10" s="81" customFormat="1" ht="50.1" customHeight="1" x14ac:dyDescent="0.2">
      <c r="A2395" s="1220" t="s">
        <v>13174</v>
      </c>
      <c r="B2395" s="985" t="s">
        <v>1784</v>
      </c>
      <c r="C2395" s="985" t="s">
        <v>13063</v>
      </c>
      <c r="D2395" s="1037">
        <v>101</v>
      </c>
      <c r="E2395" s="1039">
        <v>2384.4</v>
      </c>
      <c r="F2395" s="1037" t="s">
        <v>13175</v>
      </c>
      <c r="G2395" s="1037" t="s">
        <v>1842</v>
      </c>
      <c r="H2395" s="1037" t="s">
        <v>2238</v>
      </c>
      <c r="I2395" s="1036"/>
      <c r="J2395" s="1199"/>
    </row>
    <row r="2396" spans="1:10" s="81" customFormat="1" ht="50.1" customHeight="1" x14ac:dyDescent="0.2">
      <c r="A2396" s="1220" t="s">
        <v>13174</v>
      </c>
      <c r="B2396" s="985" t="s">
        <v>1784</v>
      </c>
      <c r="C2396" s="985" t="s">
        <v>13063</v>
      </c>
      <c r="D2396" s="1037">
        <v>102</v>
      </c>
      <c r="E2396" s="1039">
        <v>612.96</v>
      </c>
      <c r="F2396" s="1037" t="s">
        <v>13100</v>
      </c>
      <c r="G2396" s="1037" t="s">
        <v>1842</v>
      </c>
      <c r="H2396" s="1037" t="s">
        <v>2238</v>
      </c>
      <c r="I2396" s="1036"/>
      <c r="J2396" s="1199"/>
    </row>
    <row r="2397" spans="1:10" s="81" customFormat="1" ht="50.1" customHeight="1" x14ac:dyDescent="0.2">
      <c r="A2397" s="1220" t="s">
        <v>13176</v>
      </c>
      <c r="B2397" s="985" t="s">
        <v>1784</v>
      </c>
      <c r="C2397" s="985" t="s">
        <v>13063</v>
      </c>
      <c r="D2397" s="1037">
        <v>103</v>
      </c>
      <c r="E2397" s="1039">
        <v>1200</v>
      </c>
      <c r="F2397" s="1037" t="s">
        <v>13177</v>
      </c>
      <c r="G2397" s="1037" t="s">
        <v>1842</v>
      </c>
      <c r="H2397" s="1037" t="s">
        <v>2239</v>
      </c>
      <c r="I2397" s="1036"/>
      <c r="J2397" s="1199"/>
    </row>
    <row r="2398" spans="1:10" s="81" customFormat="1" ht="50.1" customHeight="1" x14ac:dyDescent="0.2">
      <c r="A2398" s="1220" t="s">
        <v>13178</v>
      </c>
      <c r="B2398" s="985" t="s">
        <v>1784</v>
      </c>
      <c r="C2398" s="985" t="s">
        <v>13063</v>
      </c>
      <c r="D2398" s="1037">
        <v>104</v>
      </c>
      <c r="E2398" s="1039">
        <v>390.8</v>
      </c>
      <c r="F2398" s="1037" t="s">
        <v>13080</v>
      </c>
      <c r="G2398" s="1037" t="s">
        <v>1842</v>
      </c>
      <c r="H2398" s="1037" t="s">
        <v>13179</v>
      </c>
      <c r="I2398" s="1036"/>
      <c r="J2398" s="1199"/>
    </row>
    <row r="2399" spans="1:10" s="81" customFormat="1" ht="50.1" customHeight="1" x14ac:dyDescent="0.2">
      <c r="A2399" s="1220" t="s">
        <v>13083</v>
      </c>
      <c r="B2399" s="985" t="s">
        <v>1784</v>
      </c>
      <c r="C2399" s="985" t="s">
        <v>13063</v>
      </c>
      <c r="D2399" s="1037">
        <v>105</v>
      </c>
      <c r="E2399" s="1039">
        <v>1747.7</v>
      </c>
      <c r="F2399" s="1037" t="s">
        <v>13080</v>
      </c>
      <c r="G2399" s="1037" t="s">
        <v>1842</v>
      </c>
      <c r="H2399" s="1037" t="s">
        <v>13179</v>
      </c>
      <c r="I2399" s="1036"/>
      <c r="J2399" s="1199"/>
    </row>
    <row r="2400" spans="1:10" s="81" customFormat="1" ht="50.1" customHeight="1" x14ac:dyDescent="0.2">
      <c r="A2400" s="1220" t="s">
        <v>13084</v>
      </c>
      <c r="B2400" s="985" t="s">
        <v>1784</v>
      </c>
      <c r="C2400" s="985" t="s">
        <v>13063</v>
      </c>
      <c r="D2400" s="1037">
        <v>106</v>
      </c>
      <c r="E2400" s="1039">
        <v>564.65</v>
      </c>
      <c r="F2400" s="1037" t="s">
        <v>13080</v>
      </c>
      <c r="G2400" s="1037" t="s">
        <v>1842</v>
      </c>
      <c r="H2400" s="1037" t="s">
        <v>13179</v>
      </c>
      <c r="I2400" s="1036"/>
      <c r="J2400" s="1199"/>
    </row>
    <row r="2401" spans="1:10" s="81" customFormat="1" ht="50.1" customHeight="1" x14ac:dyDescent="0.2">
      <c r="A2401" s="1220" t="s">
        <v>13172</v>
      </c>
      <c r="B2401" s="985" t="s">
        <v>1784</v>
      </c>
      <c r="C2401" s="985" t="s">
        <v>13063</v>
      </c>
      <c r="D2401" s="1037">
        <v>107</v>
      </c>
      <c r="E2401" s="1039">
        <v>900</v>
      </c>
      <c r="F2401" s="1037" t="s">
        <v>13180</v>
      </c>
      <c r="G2401" s="1037" t="s">
        <v>1842</v>
      </c>
      <c r="H2401" s="1037" t="s">
        <v>2003</v>
      </c>
      <c r="I2401" s="1036"/>
      <c r="J2401" s="1199"/>
    </row>
    <row r="2402" spans="1:10" s="81" customFormat="1" ht="50.1" customHeight="1" x14ac:dyDescent="0.2">
      <c r="A2402" s="1220" t="s">
        <v>13113</v>
      </c>
      <c r="B2402" s="985" t="s">
        <v>1784</v>
      </c>
      <c r="C2402" s="985" t="s">
        <v>13063</v>
      </c>
      <c r="D2402" s="1037">
        <v>108</v>
      </c>
      <c r="E2402" s="1039">
        <v>2085</v>
      </c>
      <c r="F2402" s="1037" t="s">
        <v>13114</v>
      </c>
      <c r="G2402" s="1037" t="s">
        <v>1842</v>
      </c>
      <c r="H2402" s="1037" t="s">
        <v>2003</v>
      </c>
      <c r="I2402" s="1036"/>
      <c r="J2402" s="1199"/>
    </row>
    <row r="2403" spans="1:10" s="81" customFormat="1" ht="50.1" customHeight="1" x14ac:dyDescent="0.2">
      <c r="A2403" s="1220" t="s">
        <v>13181</v>
      </c>
      <c r="B2403" s="985" t="s">
        <v>1784</v>
      </c>
      <c r="C2403" s="985" t="s">
        <v>13063</v>
      </c>
      <c r="D2403" s="1037">
        <v>109</v>
      </c>
      <c r="E2403" s="1039">
        <v>1379.73</v>
      </c>
      <c r="F2403" s="1037" t="s">
        <v>13182</v>
      </c>
      <c r="G2403" s="1037" t="s">
        <v>1842</v>
      </c>
      <c r="H2403" s="1037" t="s">
        <v>2003</v>
      </c>
      <c r="I2403" s="1036"/>
      <c r="J2403" s="1199"/>
    </row>
    <row r="2404" spans="1:10" s="81" customFormat="1" ht="50.1" customHeight="1" x14ac:dyDescent="0.2">
      <c r="A2404" s="1220" t="s">
        <v>13183</v>
      </c>
      <c r="B2404" s="985" t="s">
        <v>1784</v>
      </c>
      <c r="C2404" s="985" t="s">
        <v>13063</v>
      </c>
      <c r="D2404" s="1037">
        <v>110</v>
      </c>
      <c r="E2404" s="1039">
        <v>5620</v>
      </c>
      <c r="F2404" s="1037" t="s">
        <v>13184</v>
      </c>
      <c r="G2404" s="1037" t="s">
        <v>1842</v>
      </c>
      <c r="H2404" s="1037" t="s">
        <v>13185</v>
      </c>
      <c r="I2404" s="1036"/>
      <c r="J2404" s="1199"/>
    </row>
    <row r="2405" spans="1:10" s="81" customFormat="1" ht="50.1" customHeight="1" x14ac:dyDescent="0.2">
      <c r="A2405" s="1220" t="s">
        <v>13186</v>
      </c>
      <c r="B2405" s="985" t="s">
        <v>1784</v>
      </c>
      <c r="C2405" s="985" t="s">
        <v>13063</v>
      </c>
      <c r="D2405" s="1037">
        <v>111</v>
      </c>
      <c r="E2405" s="1039">
        <v>14000</v>
      </c>
      <c r="F2405" s="1037" t="s">
        <v>13187</v>
      </c>
      <c r="G2405" s="1037" t="s">
        <v>1842</v>
      </c>
      <c r="H2405" s="1037" t="s">
        <v>13185</v>
      </c>
      <c r="I2405" s="1036"/>
      <c r="J2405" s="1199"/>
    </row>
    <row r="2406" spans="1:10" s="81" customFormat="1" ht="50.1" customHeight="1" x14ac:dyDescent="0.2">
      <c r="A2406" s="1220" t="s">
        <v>13188</v>
      </c>
      <c r="B2406" s="985" t="s">
        <v>1784</v>
      </c>
      <c r="C2406" s="985" t="s">
        <v>13063</v>
      </c>
      <c r="D2406" s="1037">
        <v>112</v>
      </c>
      <c r="E2406" s="1039">
        <v>8800</v>
      </c>
      <c r="F2406" s="1037" t="s">
        <v>13126</v>
      </c>
      <c r="G2406" s="1037" t="s">
        <v>1842</v>
      </c>
      <c r="H2406" s="1037" t="s">
        <v>13185</v>
      </c>
      <c r="I2406" s="1036"/>
      <c r="J2406" s="1199"/>
    </row>
    <row r="2407" spans="1:10" s="81" customFormat="1" ht="50.1" customHeight="1" x14ac:dyDescent="0.2">
      <c r="A2407" s="1220" t="s">
        <v>13073</v>
      </c>
      <c r="B2407" s="985" t="s">
        <v>1784</v>
      </c>
      <c r="C2407" s="985" t="s">
        <v>13063</v>
      </c>
      <c r="D2407" s="1037">
        <v>113</v>
      </c>
      <c r="E2407" s="1039">
        <v>850</v>
      </c>
      <c r="F2407" s="1037" t="s">
        <v>13074</v>
      </c>
      <c r="G2407" s="1037" t="s">
        <v>1842</v>
      </c>
      <c r="H2407" s="1037" t="s">
        <v>13189</v>
      </c>
      <c r="I2407" s="1036"/>
      <c r="J2407" s="1199"/>
    </row>
    <row r="2408" spans="1:10" s="81" customFormat="1" ht="50.1" customHeight="1" x14ac:dyDescent="0.2">
      <c r="A2408" s="1220" t="s">
        <v>13190</v>
      </c>
      <c r="B2408" s="985" t="s">
        <v>1784</v>
      </c>
      <c r="C2408" s="985" t="s">
        <v>13063</v>
      </c>
      <c r="D2408" s="1037">
        <v>114</v>
      </c>
      <c r="E2408" s="1039">
        <v>1725</v>
      </c>
      <c r="F2408" s="1037" t="s">
        <v>13129</v>
      </c>
      <c r="G2408" s="1037" t="s">
        <v>1842</v>
      </c>
      <c r="H2408" s="1037" t="s">
        <v>13191</v>
      </c>
      <c r="I2408" s="1036"/>
      <c r="J2408" s="1199"/>
    </row>
    <row r="2409" spans="1:10" s="81" customFormat="1" ht="50.1" customHeight="1" x14ac:dyDescent="0.2">
      <c r="A2409" s="1220" t="s">
        <v>13190</v>
      </c>
      <c r="B2409" s="985" t="s">
        <v>1784</v>
      </c>
      <c r="C2409" s="985" t="s">
        <v>13063</v>
      </c>
      <c r="D2409" s="1037">
        <v>115</v>
      </c>
      <c r="E2409" s="1039">
        <v>1500</v>
      </c>
      <c r="F2409" s="1037" t="s">
        <v>13180</v>
      </c>
      <c r="G2409" s="1037" t="s">
        <v>1842</v>
      </c>
      <c r="H2409" s="1037" t="s">
        <v>13191</v>
      </c>
      <c r="I2409" s="1036"/>
      <c r="J2409" s="1199"/>
    </row>
    <row r="2410" spans="1:10" s="81" customFormat="1" ht="50.1" customHeight="1" x14ac:dyDescent="0.2">
      <c r="A2410" s="1220" t="s">
        <v>13190</v>
      </c>
      <c r="B2410" s="985" t="s">
        <v>1784</v>
      </c>
      <c r="C2410" s="985" t="s">
        <v>13063</v>
      </c>
      <c r="D2410" s="1037">
        <v>116</v>
      </c>
      <c r="E2410" s="1039">
        <v>4139</v>
      </c>
      <c r="F2410" s="1037" t="s">
        <v>13167</v>
      </c>
      <c r="G2410" s="1037" t="s">
        <v>1842</v>
      </c>
      <c r="H2410" s="1037" t="s">
        <v>13191</v>
      </c>
      <c r="I2410" s="1036"/>
      <c r="J2410" s="1199"/>
    </row>
    <row r="2411" spans="1:10" s="81" customFormat="1" ht="50.1" customHeight="1" x14ac:dyDescent="0.2">
      <c r="A2411" s="1220" t="s">
        <v>13190</v>
      </c>
      <c r="B2411" s="985" t="s">
        <v>1784</v>
      </c>
      <c r="C2411" s="985" t="s">
        <v>13063</v>
      </c>
      <c r="D2411" s="1037">
        <v>117</v>
      </c>
      <c r="E2411" s="1039">
        <v>2785</v>
      </c>
      <c r="F2411" s="1037" t="s">
        <v>13192</v>
      </c>
      <c r="G2411" s="1037" t="s">
        <v>1842</v>
      </c>
      <c r="H2411" s="1037" t="s">
        <v>13191</v>
      </c>
      <c r="I2411" s="1036"/>
      <c r="J2411" s="1199"/>
    </row>
    <row r="2412" spans="1:10" s="81" customFormat="1" ht="50.1" customHeight="1" x14ac:dyDescent="0.2">
      <c r="A2412" s="1220" t="s">
        <v>13190</v>
      </c>
      <c r="B2412" s="985" t="s">
        <v>1784</v>
      </c>
      <c r="C2412" s="985" t="s">
        <v>13063</v>
      </c>
      <c r="D2412" s="1037">
        <v>120</v>
      </c>
      <c r="E2412" s="1039">
        <v>160</v>
      </c>
      <c r="F2412" s="1037" t="s">
        <v>13192</v>
      </c>
      <c r="G2412" s="1037" t="s">
        <v>1842</v>
      </c>
      <c r="H2412" s="1037" t="s">
        <v>13193</v>
      </c>
      <c r="I2412" s="1036"/>
      <c r="J2412" s="1199"/>
    </row>
    <row r="2413" spans="1:10" s="81" customFormat="1" ht="50.1" customHeight="1" x14ac:dyDescent="0.2">
      <c r="A2413" s="1220" t="s">
        <v>13190</v>
      </c>
      <c r="B2413" s="985" t="s">
        <v>1784</v>
      </c>
      <c r="C2413" s="985" t="s">
        <v>13063</v>
      </c>
      <c r="D2413" s="1037">
        <v>121</v>
      </c>
      <c r="E2413" s="1039">
        <v>2929</v>
      </c>
      <c r="F2413" s="1037" t="s">
        <v>13168</v>
      </c>
      <c r="G2413" s="1037" t="s">
        <v>1842</v>
      </c>
      <c r="H2413" s="1037" t="s">
        <v>13193</v>
      </c>
      <c r="I2413" s="1036"/>
      <c r="J2413" s="1199"/>
    </row>
    <row r="2414" spans="1:10" s="81" customFormat="1" ht="50.1" customHeight="1" x14ac:dyDescent="0.2">
      <c r="A2414" s="1220" t="s">
        <v>13075</v>
      </c>
      <c r="B2414" s="985" t="s">
        <v>1784</v>
      </c>
      <c r="C2414" s="985" t="s">
        <v>13063</v>
      </c>
      <c r="D2414" s="1037">
        <v>122</v>
      </c>
      <c r="E2414" s="1039">
        <v>372</v>
      </c>
      <c r="F2414" s="1037" t="s">
        <v>13076</v>
      </c>
      <c r="G2414" s="1037" t="s">
        <v>1842</v>
      </c>
      <c r="H2414" s="1037" t="s">
        <v>13194</v>
      </c>
      <c r="I2414" s="1036"/>
      <c r="J2414" s="1199"/>
    </row>
    <row r="2415" spans="1:10" s="81" customFormat="1" ht="50.1" customHeight="1" x14ac:dyDescent="0.2">
      <c r="A2415" s="1220" t="s">
        <v>13077</v>
      </c>
      <c r="B2415" s="985" t="s">
        <v>1784</v>
      </c>
      <c r="C2415" s="985" t="s">
        <v>13063</v>
      </c>
      <c r="D2415" s="1037">
        <v>123</v>
      </c>
      <c r="E2415" s="1039">
        <v>1672</v>
      </c>
      <c r="F2415" s="1037" t="s">
        <v>13078</v>
      </c>
      <c r="G2415" s="1037" t="s">
        <v>1842</v>
      </c>
      <c r="H2415" s="1037" t="s">
        <v>13194</v>
      </c>
      <c r="I2415" s="1036"/>
      <c r="J2415" s="1199"/>
    </row>
    <row r="2416" spans="1:10" s="81" customFormat="1" ht="50.1" customHeight="1" x14ac:dyDescent="0.2">
      <c r="A2416" s="1220" t="s">
        <v>13077</v>
      </c>
      <c r="B2416" s="985" t="s">
        <v>1784</v>
      </c>
      <c r="C2416" s="985" t="s">
        <v>13063</v>
      </c>
      <c r="D2416" s="1037">
        <v>124</v>
      </c>
      <c r="E2416" s="1039">
        <v>860</v>
      </c>
      <c r="F2416" s="1037" t="s">
        <v>13080</v>
      </c>
      <c r="G2416" s="1037" t="s">
        <v>1842</v>
      </c>
      <c r="H2416" s="1037" t="s">
        <v>13194</v>
      </c>
      <c r="I2416" s="1036"/>
      <c r="J2416" s="1199"/>
    </row>
    <row r="2417" spans="1:10" s="81" customFormat="1" ht="50.1" customHeight="1" x14ac:dyDescent="0.2">
      <c r="A2417" s="1220" t="s">
        <v>13081</v>
      </c>
      <c r="B2417" s="985" t="s">
        <v>1784</v>
      </c>
      <c r="C2417" s="985" t="s">
        <v>13063</v>
      </c>
      <c r="D2417" s="1037">
        <v>125</v>
      </c>
      <c r="E2417" s="1039">
        <v>2227</v>
      </c>
      <c r="F2417" s="1037" t="s">
        <v>13080</v>
      </c>
      <c r="G2417" s="1037" t="s">
        <v>1842</v>
      </c>
      <c r="H2417" s="1037" t="s">
        <v>13194</v>
      </c>
      <c r="I2417" s="1036"/>
      <c r="J2417" s="1199"/>
    </row>
    <row r="2418" spans="1:10" s="81" customFormat="1" ht="50.1" customHeight="1" x14ac:dyDescent="0.2">
      <c r="A2418" s="1220" t="s">
        <v>13113</v>
      </c>
      <c r="B2418" s="985" t="s">
        <v>1784</v>
      </c>
      <c r="C2418" s="985" t="s">
        <v>13063</v>
      </c>
      <c r="D2418" s="1037">
        <v>126</v>
      </c>
      <c r="E2418" s="1039">
        <v>2085</v>
      </c>
      <c r="F2418" s="1037" t="s">
        <v>13114</v>
      </c>
      <c r="G2418" s="1037" t="s">
        <v>1842</v>
      </c>
      <c r="H2418" s="1037" t="s">
        <v>13195</v>
      </c>
      <c r="I2418" s="1036"/>
      <c r="J2418" s="1199"/>
    </row>
    <row r="2419" spans="1:10" s="81" customFormat="1" ht="50.1" customHeight="1" x14ac:dyDescent="0.2">
      <c r="A2419" s="1220" t="s">
        <v>13196</v>
      </c>
      <c r="B2419" s="985" t="s">
        <v>1784</v>
      </c>
      <c r="C2419" s="985" t="s">
        <v>13063</v>
      </c>
      <c r="D2419" s="1037">
        <v>127</v>
      </c>
      <c r="E2419" s="1039">
        <v>4207</v>
      </c>
      <c r="F2419" s="1037" t="s">
        <v>13100</v>
      </c>
      <c r="G2419" s="1037" t="s">
        <v>1842</v>
      </c>
      <c r="H2419" s="1037" t="s">
        <v>13195</v>
      </c>
      <c r="I2419" s="1036"/>
      <c r="J2419" s="1199"/>
    </row>
    <row r="2420" spans="1:10" s="81" customFormat="1" ht="50.1" customHeight="1" x14ac:dyDescent="0.2">
      <c r="A2420" s="1220" t="s">
        <v>13197</v>
      </c>
      <c r="B2420" s="985" t="s">
        <v>1784</v>
      </c>
      <c r="C2420" s="985" t="s">
        <v>13063</v>
      </c>
      <c r="D2420" s="1037">
        <v>128</v>
      </c>
      <c r="E2420" s="1039">
        <v>4800</v>
      </c>
      <c r="F2420" s="1037" t="s">
        <v>13100</v>
      </c>
      <c r="G2420" s="1037" t="s">
        <v>1842</v>
      </c>
      <c r="H2420" s="1037" t="s">
        <v>13195</v>
      </c>
      <c r="I2420" s="1036"/>
      <c r="J2420" s="1199"/>
    </row>
    <row r="2421" spans="1:10" s="81" customFormat="1" ht="50.1" customHeight="1" x14ac:dyDescent="0.2">
      <c r="A2421" s="1220" t="s">
        <v>13198</v>
      </c>
      <c r="B2421" s="985" t="s">
        <v>1784</v>
      </c>
      <c r="C2421" s="985" t="s">
        <v>13063</v>
      </c>
      <c r="D2421" s="1037">
        <v>129</v>
      </c>
      <c r="E2421" s="1039">
        <v>990</v>
      </c>
      <c r="F2421" s="1037" t="s">
        <v>13199</v>
      </c>
      <c r="G2421" s="1037" t="s">
        <v>1842</v>
      </c>
      <c r="H2421" s="1037" t="s">
        <v>13195</v>
      </c>
      <c r="I2421" s="1036"/>
      <c r="J2421" s="1199"/>
    </row>
    <row r="2422" spans="1:10" s="81" customFormat="1" ht="50.1" customHeight="1" x14ac:dyDescent="0.2">
      <c r="A2422" s="1220" t="s">
        <v>13200</v>
      </c>
      <c r="B2422" s="985" t="s">
        <v>1784</v>
      </c>
      <c r="C2422" s="985" t="s">
        <v>13063</v>
      </c>
      <c r="D2422" s="1037">
        <v>130</v>
      </c>
      <c r="E2422" s="1039">
        <v>480</v>
      </c>
      <c r="F2422" s="1037" t="s">
        <v>13076</v>
      </c>
      <c r="G2422" s="1037" t="s">
        <v>1842</v>
      </c>
      <c r="H2422" s="1037" t="s">
        <v>13195</v>
      </c>
      <c r="I2422" s="1036"/>
      <c r="J2422" s="1199"/>
    </row>
    <row r="2423" spans="1:10" s="81" customFormat="1" ht="50.1" customHeight="1" x14ac:dyDescent="0.2">
      <c r="A2423" s="1220" t="s">
        <v>13165</v>
      </c>
      <c r="B2423" s="985" t="s">
        <v>1784</v>
      </c>
      <c r="C2423" s="985" t="s">
        <v>13063</v>
      </c>
      <c r="D2423" s="1037">
        <v>131</v>
      </c>
      <c r="E2423" s="1039">
        <v>660</v>
      </c>
      <c r="F2423" s="1037" t="s">
        <v>13080</v>
      </c>
      <c r="G2423" s="1037" t="s">
        <v>1842</v>
      </c>
      <c r="H2423" s="1037" t="s">
        <v>13201</v>
      </c>
      <c r="I2423" s="1036"/>
      <c r="J2423" s="1199"/>
    </row>
    <row r="2424" spans="1:10" s="81" customFormat="1" ht="50.1" customHeight="1" x14ac:dyDescent="0.2">
      <c r="A2424" s="1220" t="s">
        <v>13202</v>
      </c>
      <c r="B2424" s="985" t="s">
        <v>1784</v>
      </c>
      <c r="C2424" s="985" t="s">
        <v>13063</v>
      </c>
      <c r="D2424" s="1037">
        <v>132</v>
      </c>
      <c r="E2424" s="1039">
        <v>407.5</v>
      </c>
      <c r="F2424" s="1037" t="s">
        <v>13203</v>
      </c>
      <c r="G2424" s="1037" t="s">
        <v>1842</v>
      </c>
      <c r="H2424" s="1037" t="s">
        <v>13204</v>
      </c>
      <c r="I2424" s="1036"/>
      <c r="J2424" s="1199"/>
    </row>
    <row r="2425" spans="1:10" s="81" customFormat="1" ht="50.1" customHeight="1" x14ac:dyDescent="0.2">
      <c r="A2425" s="1220" t="s">
        <v>13070</v>
      </c>
      <c r="B2425" s="985" t="s">
        <v>1784</v>
      </c>
      <c r="C2425" s="985" t="s">
        <v>13063</v>
      </c>
      <c r="D2425" s="1037">
        <v>133</v>
      </c>
      <c r="E2425" s="1039">
        <v>7780</v>
      </c>
      <c r="F2425" s="1037" t="s">
        <v>13071</v>
      </c>
      <c r="G2425" s="1037" t="s">
        <v>1842</v>
      </c>
      <c r="H2425" s="1037" t="s">
        <v>13205</v>
      </c>
      <c r="I2425" s="1036"/>
      <c r="J2425" s="1199"/>
    </row>
    <row r="2426" spans="1:10" s="81" customFormat="1" ht="50.1" customHeight="1" x14ac:dyDescent="0.2">
      <c r="A2426" s="1220" t="s">
        <v>13206</v>
      </c>
      <c r="B2426" s="985" t="s">
        <v>1784</v>
      </c>
      <c r="C2426" s="985" t="s">
        <v>13063</v>
      </c>
      <c r="D2426" s="1037">
        <v>134</v>
      </c>
      <c r="E2426" s="1039">
        <v>419</v>
      </c>
      <c r="F2426" s="1037" t="s">
        <v>13207</v>
      </c>
      <c r="G2426" s="1037" t="s">
        <v>1842</v>
      </c>
      <c r="H2426" s="1037" t="s">
        <v>13205</v>
      </c>
      <c r="I2426" s="1036"/>
      <c r="J2426" s="1199"/>
    </row>
    <row r="2427" spans="1:10" s="81" customFormat="1" ht="50.1" customHeight="1" x14ac:dyDescent="0.2">
      <c r="A2427" s="1220" t="s">
        <v>13208</v>
      </c>
      <c r="B2427" s="985" t="s">
        <v>1784</v>
      </c>
      <c r="C2427" s="985" t="s">
        <v>13063</v>
      </c>
      <c r="D2427" s="1037">
        <v>135</v>
      </c>
      <c r="E2427" s="1039">
        <v>1050</v>
      </c>
      <c r="F2427" s="1037" t="s">
        <v>13071</v>
      </c>
      <c r="G2427" s="1037" t="s">
        <v>1842</v>
      </c>
      <c r="H2427" s="1037" t="s">
        <v>13209</v>
      </c>
      <c r="I2427" s="1036"/>
      <c r="J2427" s="1199"/>
    </row>
    <row r="2428" spans="1:10" s="81" customFormat="1" ht="50.1" customHeight="1" x14ac:dyDescent="0.2">
      <c r="A2428" s="1220" t="s">
        <v>13083</v>
      </c>
      <c r="B2428" s="985" t="s">
        <v>1784</v>
      </c>
      <c r="C2428" s="985" t="s">
        <v>13063</v>
      </c>
      <c r="D2428" s="1037">
        <v>136</v>
      </c>
      <c r="E2428" s="1039">
        <v>1756.3</v>
      </c>
      <c r="F2428" s="1037" t="s">
        <v>13080</v>
      </c>
      <c r="G2428" s="1037" t="s">
        <v>1842</v>
      </c>
      <c r="H2428" s="1037" t="s">
        <v>2137</v>
      </c>
      <c r="I2428" s="1036"/>
      <c r="J2428" s="1199"/>
    </row>
    <row r="2429" spans="1:10" s="81" customFormat="1" ht="50.1" customHeight="1" x14ac:dyDescent="0.2">
      <c r="A2429" s="1220" t="s">
        <v>13084</v>
      </c>
      <c r="B2429" s="985" t="s">
        <v>1784</v>
      </c>
      <c r="C2429" s="985" t="s">
        <v>13063</v>
      </c>
      <c r="D2429" s="1037">
        <v>137</v>
      </c>
      <c r="E2429" s="1039">
        <v>406.65</v>
      </c>
      <c r="F2429" s="1037" t="s">
        <v>13080</v>
      </c>
      <c r="G2429" s="1037" t="s">
        <v>1842</v>
      </c>
      <c r="H2429" s="1037" t="s">
        <v>2137</v>
      </c>
      <c r="I2429" s="1036"/>
      <c r="J2429" s="1199"/>
    </row>
    <row r="2430" spans="1:10" s="81" customFormat="1" ht="50.1" customHeight="1" x14ac:dyDescent="0.2">
      <c r="A2430" s="1220" t="s">
        <v>13178</v>
      </c>
      <c r="B2430" s="985" t="s">
        <v>1784</v>
      </c>
      <c r="C2430" s="985" t="s">
        <v>13063</v>
      </c>
      <c r="D2430" s="1037">
        <v>138</v>
      </c>
      <c r="E2430" s="1039">
        <v>390.8</v>
      </c>
      <c r="F2430" s="1037" t="s">
        <v>13080</v>
      </c>
      <c r="G2430" s="1037" t="s">
        <v>1842</v>
      </c>
      <c r="H2430" s="1037" t="s">
        <v>2137</v>
      </c>
      <c r="I2430" s="510"/>
      <c r="J2430" s="1221"/>
    </row>
    <row r="2431" spans="1:10" s="81" customFormat="1" ht="50.1" customHeight="1" x14ac:dyDescent="0.2">
      <c r="A2431" s="1220" t="s">
        <v>13210</v>
      </c>
      <c r="B2431" s="985" t="s">
        <v>1784</v>
      </c>
      <c r="C2431" s="985" t="s">
        <v>13063</v>
      </c>
      <c r="D2431" s="1037">
        <v>139</v>
      </c>
      <c r="E2431" s="1039">
        <v>1400</v>
      </c>
      <c r="F2431" s="1037" t="s">
        <v>13167</v>
      </c>
      <c r="G2431" s="1037" t="s">
        <v>1842</v>
      </c>
      <c r="H2431" s="1037" t="s">
        <v>13211</v>
      </c>
      <c r="I2431" s="1038"/>
      <c r="J2431" s="1222"/>
    </row>
    <row r="2432" spans="1:10" s="81" customFormat="1" ht="50.1" customHeight="1" x14ac:dyDescent="0.2">
      <c r="A2432" s="1220" t="s">
        <v>13113</v>
      </c>
      <c r="B2432" s="985" t="s">
        <v>1784</v>
      </c>
      <c r="C2432" s="985" t="s">
        <v>13063</v>
      </c>
      <c r="D2432" s="1037">
        <v>140</v>
      </c>
      <c r="E2432" s="1039">
        <v>2085</v>
      </c>
      <c r="F2432" s="1037" t="s">
        <v>13114</v>
      </c>
      <c r="G2432" s="1037" t="s">
        <v>1842</v>
      </c>
      <c r="H2432" s="1037" t="s">
        <v>13212</v>
      </c>
      <c r="I2432" s="508"/>
      <c r="J2432" s="1223"/>
    </row>
    <row r="2433" spans="1:10" s="81" customFormat="1" ht="50.1" customHeight="1" x14ac:dyDescent="0.2">
      <c r="A2433" s="1220" t="s">
        <v>13073</v>
      </c>
      <c r="B2433" s="985" t="s">
        <v>1784</v>
      </c>
      <c r="C2433" s="985" t="s">
        <v>13063</v>
      </c>
      <c r="D2433" s="1037">
        <v>141</v>
      </c>
      <c r="E2433" s="1039">
        <v>850</v>
      </c>
      <c r="F2433" s="1037" t="s">
        <v>13074</v>
      </c>
      <c r="G2433" s="1037" t="s">
        <v>1842</v>
      </c>
      <c r="H2433" s="1037" t="s">
        <v>2250</v>
      </c>
      <c r="I2433" s="508"/>
      <c r="J2433" s="1223"/>
    </row>
    <row r="2434" spans="1:10" s="81" customFormat="1" ht="50.1" customHeight="1" x14ac:dyDescent="0.2">
      <c r="A2434" s="1220" t="s">
        <v>13075</v>
      </c>
      <c r="B2434" s="985" t="s">
        <v>1784</v>
      </c>
      <c r="C2434" s="985" t="s">
        <v>13063</v>
      </c>
      <c r="D2434" s="1037">
        <v>142</v>
      </c>
      <c r="E2434" s="1039">
        <v>360</v>
      </c>
      <c r="F2434" s="1037" t="s">
        <v>13076</v>
      </c>
      <c r="G2434" s="1037" t="s">
        <v>1842</v>
      </c>
      <c r="H2434" s="1037" t="s">
        <v>13213</v>
      </c>
      <c r="I2434" s="508"/>
      <c r="J2434" s="1223"/>
    </row>
    <row r="2435" spans="1:10" s="81" customFormat="1" ht="50.1" customHeight="1" x14ac:dyDescent="0.2">
      <c r="A2435" s="1220" t="s">
        <v>13077</v>
      </c>
      <c r="B2435" s="985" t="s">
        <v>1784</v>
      </c>
      <c r="C2435" s="985" t="s">
        <v>13063</v>
      </c>
      <c r="D2435" s="1037">
        <v>143</v>
      </c>
      <c r="E2435" s="1039">
        <v>1672</v>
      </c>
      <c r="F2435" s="1037" t="s">
        <v>13078</v>
      </c>
      <c r="G2435" s="1037" t="s">
        <v>1842</v>
      </c>
      <c r="H2435" s="1037" t="s">
        <v>13213</v>
      </c>
      <c r="I2435" s="508"/>
      <c r="J2435" s="1223"/>
    </row>
    <row r="2436" spans="1:10" s="81" customFormat="1" ht="50.1" customHeight="1" x14ac:dyDescent="0.2">
      <c r="A2436" s="1220" t="s">
        <v>13077</v>
      </c>
      <c r="B2436" s="985" t="s">
        <v>1784</v>
      </c>
      <c r="C2436" s="985" t="s">
        <v>13063</v>
      </c>
      <c r="D2436" s="1037">
        <v>144</v>
      </c>
      <c r="E2436" s="1039">
        <v>860</v>
      </c>
      <c r="F2436" s="1037" t="s">
        <v>13080</v>
      </c>
      <c r="G2436" s="1037" t="s">
        <v>1842</v>
      </c>
      <c r="H2436" s="1037" t="s">
        <v>13213</v>
      </c>
      <c r="I2436" s="508"/>
      <c r="J2436" s="1223"/>
    </row>
    <row r="2437" spans="1:10" s="81" customFormat="1" ht="50.1" customHeight="1" x14ac:dyDescent="0.2">
      <c r="A2437" s="1220" t="s">
        <v>13081</v>
      </c>
      <c r="B2437" s="985" t="s">
        <v>1784</v>
      </c>
      <c r="C2437" s="985" t="s">
        <v>13063</v>
      </c>
      <c r="D2437" s="1037">
        <v>145</v>
      </c>
      <c r="E2437" s="1039">
        <v>2249.5</v>
      </c>
      <c r="F2437" s="1037" t="s">
        <v>13080</v>
      </c>
      <c r="G2437" s="1037" t="s">
        <v>1842</v>
      </c>
      <c r="H2437" s="1037" t="s">
        <v>13213</v>
      </c>
      <c r="I2437" s="508"/>
      <c r="J2437" s="1223"/>
    </row>
    <row r="2438" spans="1:10" s="81" customFormat="1" ht="50.1" customHeight="1" x14ac:dyDescent="0.2">
      <c r="A2438" s="1220" t="s">
        <v>13214</v>
      </c>
      <c r="B2438" s="985" t="s">
        <v>1784</v>
      </c>
      <c r="C2438" s="985" t="s">
        <v>13063</v>
      </c>
      <c r="D2438" s="1037">
        <v>146</v>
      </c>
      <c r="E2438" s="1039">
        <v>240</v>
      </c>
      <c r="F2438" s="1037" t="s">
        <v>13199</v>
      </c>
      <c r="G2438" s="1037" t="s">
        <v>1842</v>
      </c>
      <c r="H2438" s="1037" t="s">
        <v>13215</v>
      </c>
      <c r="I2438" s="508"/>
      <c r="J2438" s="1223"/>
    </row>
    <row r="2439" spans="1:10" s="81" customFormat="1" ht="50.1" customHeight="1" x14ac:dyDescent="0.2">
      <c r="A2439" s="1220" t="s">
        <v>13216</v>
      </c>
      <c r="B2439" s="985" t="s">
        <v>1784</v>
      </c>
      <c r="C2439" s="985" t="s">
        <v>13063</v>
      </c>
      <c r="D2439" s="1037">
        <v>147</v>
      </c>
      <c r="E2439" s="1039">
        <v>1020</v>
      </c>
      <c r="F2439" s="1037" t="s">
        <v>13199</v>
      </c>
      <c r="G2439" s="1037" t="s">
        <v>1842</v>
      </c>
      <c r="H2439" s="1037" t="s">
        <v>13215</v>
      </c>
      <c r="I2439" s="508"/>
      <c r="J2439" s="1223"/>
    </row>
    <row r="2440" spans="1:10" s="81" customFormat="1" ht="50.1" customHeight="1" x14ac:dyDescent="0.2">
      <c r="A2440" s="1220" t="s">
        <v>13217</v>
      </c>
      <c r="B2440" s="985" t="s">
        <v>1784</v>
      </c>
      <c r="C2440" s="985" t="s">
        <v>13063</v>
      </c>
      <c r="D2440" s="1037">
        <v>148</v>
      </c>
      <c r="E2440" s="1039">
        <v>500</v>
      </c>
      <c r="F2440" s="1037" t="s">
        <v>13071</v>
      </c>
      <c r="G2440" s="1037" t="s">
        <v>1842</v>
      </c>
      <c r="H2440" s="1037" t="s">
        <v>13215</v>
      </c>
      <c r="I2440" s="508"/>
      <c r="J2440" s="1223"/>
    </row>
    <row r="2441" spans="1:10" s="81" customFormat="1" ht="50.1" customHeight="1" x14ac:dyDescent="0.2">
      <c r="A2441" s="1220" t="s">
        <v>13218</v>
      </c>
      <c r="B2441" s="985" t="s">
        <v>1784</v>
      </c>
      <c r="C2441" s="985" t="s">
        <v>13063</v>
      </c>
      <c r="D2441" s="1037">
        <v>149</v>
      </c>
      <c r="E2441" s="1039">
        <v>1750</v>
      </c>
      <c r="F2441" s="1037" t="s">
        <v>13129</v>
      </c>
      <c r="G2441" s="1037" t="s">
        <v>1842</v>
      </c>
      <c r="H2441" s="1037" t="s">
        <v>13215</v>
      </c>
      <c r="I2441" s="508"/>
      <c r="J2441" s="1223"/>
    </row>
    <row r="2442" spans="1:10" s="81" customFormat="1" ht="50.1" customHeight="1" x14ac:dyDescent="0.2">
      <c r="A2442" s="1220" t="s">
        <v>13219</v>
      </c>
      <c r="B2442" s="985" t="s">
        <v>1784</v>
      </c>
      <c r="C2442" s="985" t="s">
        <v>13063</v>
      </c>
      <c r="D2442" s="1037">
        <v>150</v>
      </c>
      <c r="E2442" s="1039">
        <v>1650</v>
      </c>
      <c r="F2442" s="1037" t="s">
        <v>13220</v>
      </c>
      <c r="G2442" s="1037" t="s">
        <v>1842</v>
      </c>
      <c r="H2442" s="1037" t="s">
        <v>13215</v>
      </c>
      <c r="I2442" s="508"/>
      <c r="J2442" s="1223"/>
    </row>
    <row r="2443" spans="1:10" s="81" customFormat="1" ht="50.1" customHeight="1" x14ac:dyDescent="0.2">
      <c r="A2443" s="1220" t="s">
        <v>13221</v>
      </c>
      <c r="B2443" s="985" t="s">
        <v>1784</v>
      </c>
      <c r="C2443" s="985" t="s">
        <v>13063</v>
      </c>
      <c r="D2443" s="1037">
        <v>151</v>
      </c>
      <c r="E2443" s="1039">
        <v>830</v>
      </c>
      <c r="F2443" s="1037" t="s">
        <v>13222</v>
      </c>
      <c r="G2443" s="1037" t="s">
        <v>1842</v>
      </c>
      <c r="H2443" s="1037" t="s">
        <v>13215</v>
      </c>
      <c r="I2443" s="508"/>
      <c r="J2443" s="1223"/>
    </row>
    <row r="2444" spans="1:10" s="81" customFormat="1" ht="50.1" customHeight="1" x14ac:dyDescent="0.2">
      <c r="A2444" s="1220" t="s">
        <v>13223</v>
      </c>
      <c r="B2444" s="985" t="s">
        <v>1784</v>
      </c>
      <c r="C2444" s="985" t="s">
        <v>13063</v>
      </c>
      <c r="D2444" s="1037">
        <v>152</v>
      </c>
      <c r="E2444" s="1039">
        <v>2860</v>
      </c>
      <c r="F2444" s="1037" t="s">
        <v>13071</v>
      </c>
      <c r="G2444" s="1037" t="s">
        <v>1842</v>
      </c>
      <c r="H2444" s="1037" t="s">
        <v>13215</v>
      </c>
      <c r="I2444" s="508"/>
      <c r="J2444" s="1223"/>
    </row>
    <row r="2445" spans="1:10" s="81" customFormat="1" ht="50.1" customHeight="1" x14ac:dyDescent="0.2">
      <c r="A2445" s="1220" t="s">
        <v>13224</v>
      </c>
      <c r="B2445" s="985" t="s">
        <v>1784</v>
      </c>
      <c r="C2445" s="985" t="s">
        <v>13063</v>
      </c>
      <c r="D2445" s="1037">
        <v>153</v>
      </c>
      <c r="E2445" s="1039">
        <v>985</v>
      </c>
      <c r="F2445" s="1037" t="s">
        <v>13071</v>
      </c>
      <c r="G2445" s="1037" t="s">
        <v>1842</v>
      </c>
      <c r="H2445" s="1037" t="s">
        <v>13215</v>
      </c>
      <c r="I2445" s="508"/>
      <c r="J2445" s="1223"/>
    </row>
    <row r="2446" spans="1:10" s="81" customFormat="1" ht="50.1" customHeight="1" x14ac:dyDescent="0.2">
      <c r="A2446" s="1220" t="s">
        <v>13225</v>
      </c>
      <c r="B2446" s="985" t="s">
        <v>1784</v>
      </c>
      <c r="C2446" s="985" t="s">
        <v>13063</v>
      </c>
      <c r="D2446" s="1037">
        <v>154</v>
      </c>
      <c r="E2446" s="1039">
        <v>510</v>
      </c>
      <c r="F2446" s="1037" t="s">
        <v>13168</v>
      </c>
      <c r="G2446" s="1037" t="s">
        <v>1842</v>
      </c>
      <c r="H2446" s="1037" t="s">
        <v>13215</v>
      </c>
      <c r="I2446" s="508"/>
      <c r="J2446" s="1223"/>
    </row>
    <row r="2447" spans="1:10" s="81" customFormat="1" ht="50.1" customHeight="1" x14ac:dyDescent="0.2">
      <c r="A2447" s="1220" t="s">
        <v>13226</v>
      </c>
      <c r="B2447" s="985" t="s">
        <v>1784</v>
      </c>
      <c r="C2447" s="985" t="s">
        <v>13063</v>
      </c>
      <c r="D2447" s="1037">
        <v>155</v>
      </c>
      <c r="E2447" s="1039">
        <v>972.8</v>
      </c>
      <c r="F2447" s="1037" t="s">
        <v>13227</v>
      </c>
      <c r="G2447" s="1037" t="s">
        <v>1842</v>
      </c>
      <c r="H2447" s="1037" t="s">
        <v>13215</v>
      </c>
      <c r="I2447" s="508"/>
      <c r="J2447" s="1223"/>
    </row>
    <row r="2448" spans="1:10" s="81" customFormat="1" ht="50.1" customHeight="1" x14ac:dyDescent="0.2">
      <c r="A2448" s="1220" t="s">
        <v>13228</v>
      </c>
      <c r="B2448" s="985" t="s">
        <v>1784</v>
      </c>
      <c r="C2448" s="985" t="s">
        <v>13063</v>
      </c>
      <c r="D2448" s="1037">
        <v>156</v>
      </c>
      <c r="E2448" s="1039">
        <v>200</v>
      </c>
      <c r="F2448" s="1037" t="s">
        <v>13076</v>
      </c>
      <c r="G2448" s="1037" t="s">
        <v>1842</v>
      </c>
      <c r="H2448" s="1037" t="s">
        <v>13215</v>
      </c>
      <c r="I2448" s="508"/>
      <c r="J2448" s="1223"/>
    </row>
    <row r="2449" spans="1:10" s="81" customFormat="1" ht="50.1" customHeight="1" x14ac:dyDescent="0.2">
      <c r="A2449" s="1220" t="s">
        <v>13165</v>
      </c>
      <c r="B2449" s="985" t="s">
        <v>1784</v>
      </c>
      <c r="C2449" s="985" t="s">
        <v>13063</v>
      </c>
      <c r="D2449" s="1037">
        <v>157</v>
      </c>
      <c r="E2449" s="1039">
        <v>660</v>
      </c>
      <c r="F2449" s="1037" t="s">
        <v>13080</v>
      </c>
      <c r="G2449" s="1037" t="s">
        <v>1842</v>
      </c>
      <c r="H2449" s="1037" t="s">
        <v>13215</v>
      </c>
      <c r="I2449" s="508"/>
      <c r="J2449" s="1223"/>
    </row>
    <row r="2450" spans="1:10" s="81" customFormat="1" ht="50.1" customHeight="1" x14ac:dyDescent="0.2">
      <c r="A2450" s="1220" t="s">
        <v>13165</v>
      </c>
      <c r="B2450" s="985" t="s">
        <v>1784</v>
      </c>
      <c r="C2450" s="985" t="s">
        <v>13063</v>
      </c>
      <c r="D2450" s="1037">
        <v>158</v>
      </c>
      <c r="E2450" s="1039">
        <v>340</v>
      </c>
      <c r="F2450" s="1037" t="s">
        <v>13078</v>
      </c>
      <c r="G2450" s="1037" t="s">
        <v>1842</v>
      </c>
      <c r="H2450" s="1037" t="s">
        <v>13215</v>
      </c>
      <c r="I2450" s="508"/>
      <c r="J2450" s="1223"/>
    </row>
    <row r="2451" spans="1:10" s="81" customFormat="1" ht="50.1" customHeight="1" x14ac:dyDescent="0.2">
      <c r="A2451" s="1220" t="s">
        <v>13229</v>
      </c>
      <c r="B2451" s="985" t="s">
        <v>1784</v>
      </c>
      <c r="C2451" s="985" t="s">
        <v>13063</v>
      </c>
      <c r="D2451" s="1037">
        <v>159</v>
      </c>
      <c r="E2451" s="1039">
        <v>688</v>
      </c>
      <c r="F2451" s="1037" t="s">
        <v>13227</v>
      </c>
      <c r="G2451" s="1037" t="s">
        <v>1842</v>
      </c>
      <c r="H2451" s="1037" t="s">
        <v>13230</v>
      </c>
      <c r="I2451" s="508"/>
      <c r="J2451" s="1223"/>
    </row>
    <row r="2452" spans="1:10" s="81" customFormat="1" ht="50.1" customHeight="1" x14ac:dyDescent="0.2">
      <c r="A2452" s="1220" t="s">
        <v>13231</v>
      </c>
      <c r="B2452" s="985" t="s">
        <v>1784</v>
      </c>
      <c r="C2452" s="985" t="s">
        <v>13063</v>
      </c>
      <c r="D2452" s="1037">
        <v>161</v>
      </c>
      <c r="E2452" s="1039">
        <v>1417.5</v>
      </c>
      <c r="F2452" s="1037" t="s">
        <v>13074</v>
      </c>
      <c r="G2452" s="1037" t="s">
        <v>1842</v>
      </c>
      <c r="H2452" s="1037" t="s">
        <v>13230</v>
      </c>
      <c r="I2452" s="508"/>
      <c r="J2452" s="1223"/>
    </row>
    <row r="2453" spans="1:10" s="81" customFormat="1" ht="50.1" customHeight="1" x14ac:dyDescent="0.2">
      <c r="A2453" s="1220" t="s">
        <v>13232</v>
      </c>
      <c r="B2453" s="985" t="s">
        <v>1784</v>
      </c>
      <c r="C2453" s="985" t="s">
        <v>13063</v>
      </c>
      <c r="D2453" s="1037">
        <v>163</v>
      </c>
      <c r="E2453" s="1039">
        <v>13940</v>
      </c>
      <c r="F2453" s="1037" t="s">
        <v>13199</v>
      </c>
      <c r="G2453" s="1037" t="s">
        <v>1842</v>
      </c>
      <c r="H2453" s="1037" t="s">
        <v>2005</v>
      </c>
      <c r="I2453" s="508"/>
      <c r="J2453" s="1223"/>
    </row>
    <row r="2454" spans="1:10" s="81" customFormat="1" ht="50.1" customHeight="1" x14ac:dyDescent="0.2">
      <c r="A2454" s="1220" t="s">
        <v>13233</v>
      </c>
      <c r="B2454" s="985" t="s">
        <v>1784</v>
      </c>
      <c r="C2454" s="985" t="s">
        <v>13063</v>
      </c>
      <c r="D2454" s="1037">
        <v>164</v>
      </c>
      <c r="E2454" s="1039">
        <v>33092</v>
      </c>
      <c r="F2454" s="1037" t="s">
        <v>13175</v>
      </c>
      <c r="G2454" s="1037" t="s">
        <v>1842</v>
      </c>
      <c r="H2454" s="1037" t="s">
        <v>2251</v>
      </c>
      <c r="I2454" s="508"/>
      <c r="J2454" s="1223"/>
    </row>
    <row r="2455" spans="1:10" s="81" customFormat="1" ht="50.1" customHeight="1" x14ac:dyDescent="0.2">
      <c r="A2455" s="1220" t="s">
        <v>13073</v>
      </c>
      <c r="B2455" s="985" t="s">
        <v>1784</v>
      </c>
      <c r="C2455" s="985" t="s">
        <v>13063</v>
      </c>
      <c r="D2455" s="1037">
        <v>165</v>
      </c>
      <c r="E2455" s="1039">
        <v>680</v>
      </c>
      <c r="F2455" s="1037" t="s">
        <v>13074</v>
      </c>
      <c r="G2455" s="1037" t="s">
        <v>1842</v>
      </c>
      <c r="H2455" s="1037" t="s">
        <v>13234</v>
      </c>
      <c r="I2455" s="508"/>
      <c r="J2455" s="1223"/>
    </row>
    <row r="2456" spans="1:10" s="81" customFormat="1" ht="50.1" customHeight="1" x14ac:dyDescent="0.2">
      <c r="A2456" s="1220" t="s">
        <v>13083</v>
      </c>
      <c r="B2456" s="985" t="s">
        <v>1784</v>
      </c>
      <c r="C2456" s="985" t="s">
        <v>13063</v>
      </c>
      <c r="D2456" s="1037">
        <v>166</v>
      </c>
      <c r="E2456" s="1039">
        <v>1696.7</v>
      </c>
      <c r="F2456" s="1037" t="s">
        <v>13080</v>
      </c>
      <c r="G2456" s="1037" t="s">
        <v>1842</v>
      </c>
      <c r="H2456" s="1037" t="s">
        <v>13234</v>
      </c>
      <c r="I2456" s="508"/>
      <c r="J2456" s="1223"/>
    </row>
    <row r="2457" spans="1:10" s="81" customFormat="1" ht="50.1" customHeight="1" x14ac:dyDescent="0.2">
      <c r="A2457" s="1220" t="s">
        <v>13084</v>
      </c>
      <c r="B2457" s="985" t="s">
        <v>1784</v>
      </c>
      <c r="C2457" s="985" t="s">
        <v>13063</v>
      </c>
      <c r="D2457" s="1037">
        <v>167</v>
      </c>
      <c r="E2457" s="1039">
        <v>564.65</v>
      </c>
      <c r="F2457" s="1037" t="s">
        <v>13080</v>
      </c>
      <c r="G2457" s="1037" t="s">
        <v>1842</v>
      </c>
      <c r="H2457" s="1037" t="s">
        <v>13234</v>
      </c>
      <c r="I2457" s="508"/>
      <c r="J2457" s="1223"/>
    </row>
    <row r="2458" spans="1:10" s="81" customFormat="1" ht="50.1" customHeight="1" x14ac:dyDescent="0.2">
      <c r="A2458" s="1220" t="s">
        <v>13178</v>
      </c>
      <c r="B2458" s="985" t="s">
        <v>1784</v>
      </c>
      <c r="C2458" s="985" t="s">
        <v>13063</v>
      </c>
      <c r="D2458" s="1037">
        <v>168</v>
      </c>
      <c r="E2458" s="1039">
        <v>390.8</v>
      </c>
      <c r="F2458" s="1037" t="s">
        <v>13080</v>
      </c>
      <c r="G2458" s="1037" t="s">
        <v>1842</v>
      </c>
      <c r="H2458" s="1037" t="s">
        <v>13234</v>
      </c>
      <c r="I2458" s="508"/>
      <c r="J2458" s="1223"/>
    </row>
    <row r="2459" spans="1:10" s="81" customFormat="1" ht="50.1" customHeight="1" x14ac:dyDescent="0.2">
      <c r="A2459" s="1220" t="s">
        <v>13235</v>
      </c>
      <c r="B2459" s="985" t="s">
        <v>1784</v>
      </c>
      <c r="C2459" s="985" t="s">
        <v>13063</v>
      </c>
      <c r="D2459" s="1037">
        <v>169</v>
      </c>
      <c r="E2459" s="1039">
        <v>11220</v>
      </c>
      <c r="F2459" s="1037" t="s">
        <v>13236</v>
      </c>
      <c r="G2459" s="1037" t="s">
        <v>1842</v>
      </c>
      <c r="H2459" s="1037" t="s">
        <v>13237</v>
      </c>
      <c r="I2459" s="508"/>
      <c r="J2459" s="1223"/>
    </row>
    <row r="2460" spans="1:10" s="81" customFormat="1" ht="50.1" customHeight="1" x14ac:dyDescent="0.2">
      <c r="A2460" s="1220" t="s">
        <v>13235</v>
      </c>
      <c r="B2460" s="985" t="s">
        <v>1784</v>
      </c>
      <c r="C2460" s="985" t="s">
        <v>13063</v>
      </c>
      <c r="D2460" s="1037">
        <v>170</v>
      </c>
      <c r="E2460" s="1039">
        <v>1600</v>
      </c>
      <c r="F2460" s="1037" t="s">
        <v>13236</v>
      </c>
      <c r="G2460" s="1037" t="s">
        <v>1842</v>
      </c>
      <c r="H2460" s="1037" t="s">
        <v>13237</v>
      </c>
      <c r="I2460" s="508"/>
      <c r="J2460" s="1223"/>
    </row>
    <row r="2461" spans="1:10" s="81" customFormat="1" ht="50.1" customHeight="1" x14ac:dyDescent="0.2">
      <c r="A2461" s="1220" t="s">
        <v>13238</v>
      </c>
      <c r="B2461" s="985" t="s">
        <v>1784</v>
      </c>
      <c r="C2461" s="985" t="s">
        <v>13063</v>
      </c>
      <c r="D2461" s="1037">
        <v>171</v>
      </c>
      <c r="E2461" s="1039">
        <v>12000</v>
      </c>
      <c r="F2461" s="1037" t="s">
        <v>13175</v>
      </c>
      <c r="G2461" s="1037" t="s">
        <v>1842</v>
      </c>
      <c r="H2461" s="1037" t="s">
        <v>13237</v>
      </c>
      <c r="I2461" s="508"/>
      <c r="J2461" s="1223"/>
    </row>
    <row r="2462" spans="1:10" s="81" customFormat="1" ht="50.1" customHeight="1" x14ac:dyDescent="0.2">
      <c r="A2462" s="1220" t="s">
        <v>13239</v>
      </c>
      <c r="B2462" s="985" t="s">
        <v>1784</v>
      </c>
      <c r="C2462" s="985" t="s">
        <v>13063</v>
      </c>
      <c r="D2462" s="1037">
        <v>172</v>
      </c>
      <c r="E2462" s="1039">
        <v>1733.09</v>
      </c>
      <c r="F2462" s="1037" t="s">
        <v>13240</v>
      </c>
      <c r="G2462" s="1037" t="s">
        <v>1842</v>
      </c>
      <c r="H2462" s="1037" t="s">
        <v>13237</v>
      </c>
      <c r="I2462" s="508"/>
      <c r="J2462" s="1223"/>
    </row>
    <row r="2463" spans="1:10" s="81" customFormat="1" ht="50.1" customHeight="1" x14ac:dyDescent="0.2">
      <c r="A2463" s="1220" t="s">
        <v>13241</v>
      </c>
      <c r="B2463" s="985" t="s">
        <v>640</v>
      </c>
      <c r="C2463" s="985" t="s">
        <v>13242</v>
      </c>
      <c r="D2463" s="1037">
        <v>173</v>
      </c>
      <c r="E2463" s="1039">
        <v>40200</v>
      </c>
      <c r="F2463" s="1037" t="s">
        <v>13243</v>
      </c>
      <c r="G2463" s="1037" t="s">
        <v>1842</v>
      </c>
      <c r="H2463" s="1037" t="s">
        <v>2486</v>
      </c>
      <c r="I2463" s="508"/>
      <c r="J2463" s="1223"/>
    </row>
    <row r="2464" spans="1:10" s="81" customFormat="1" ht="50.1" customHeight="1" x14ac:dyDescent="0.2">
      <c r="A2464" s="1220" t="s">
        <v>13244</v>
      </c>
      <c r="B2464" s="985" t="s">
        <v>640</v>
      </c>
      <c r="C2464" s="985" t="s">
        <v>13245</v>
      </c>
      <c r="D2464" s="1037">
        <v>174</v>
      </c>
      <c r="E2464" s="1039">
        <v>43700</v>
      </c>
      <c r="F2464" s="1037" t="s">
        <v>13246</v>
      </c>
      <c r="G2464" s="1037" t="s">
        <v>1842</v>
      </c>
      <c r="H2464" s="1037" t="s">
        <v>13247</v>
      </c>
      <c r="I2464" s="508"/>
      <c r="J2464" s="1223"/>
    </row>
    <row r="2465" spans="1:10" s="81" customFormat="1" ht="50.1" customHeight="1" x14ac:dyDescent="0.2">
      <c r="A2465" s="1220" t="s">
        <v>13244</v>
      </c>
      <c r="B2465" s="985" t="s">
        <v>640</v>
      </c>
      <c r="C2465" s="985" t="s">
        <v>13245</v>
      </c>
      <c r="D2465" s="1037">
        <v>175</v>
      </c>
      <c r="E2465" s="1039">
        <v>49000</v>
      </c>
      <c r="F2465" s="1037" t="s">
        <v>13248</v>
      </c>
      <c r="G2465" s="1037" t="s">
        <v>1842</v>
      </c>
      <c r="H2465" s="1037" t="s">
        <v>13247</v>
      </c>
      <c r="I2465" s="508"/>
      <c r="J2465" s="1223"/>
    </row>
    <row r="2466" spans="1:10" s="81" customFormat="1" ht="50.1" customHeight="1" x14ac:dyDescent="0.2">
      <c r="A2466" s="1220" t="s">
        <v>13075</v>
      </c>
      <c r="B2466" s="985" t="s">
        <v>1784</v>
      </c>
      <c r="C2466" s="985" t="s">
        <v>13063</v>
      </c>
      <c r="D2466" s="1037">
        <v>176</v>
      </c>
      <c r="E2466" s="1039">
        <v>372</v>
      </c>
      <c r="F2466" s="1037" t="s">
        <v>13076</v>
      </c>
      <c r="G2466" s="1037" t="s">
        <v>1842</v>
      </c>
      <c r="H2466" s="1037" t="s">
        <v>13247</v>
      </c>
      <c r="I2466" s="508"/>
      <c r="J2466" s="1223"/>
    </row>
    <row r="2467" spans="1:10" s="81" customFormat="1" ht="50.1" customHeight="1" x14ac:dyDescent="0.2">
      <c r="A2467" s="1220" t="s">
        <v>13077</v>
      </c>
      <c r="B2467" s="985" t="s">
        <v>1784</v>
      </c>
      <c r="C2467" s="985" t="s">
        <v>13063</v>
      </c>
      <c r="D2467" s="1037">
        <v>177</v>
      </c>
      <c r="E2467" s="1039">
        <v>2068</v>
      </c>
      <c r="F2467" s="1037" t="s">
        <v>13078</v>
      </c>
      <c r="G2467" s="1037" t="s">
        <v>1842</v>
      </c>
      <c r="H2467" s="1037" t="s">
        <v>13247</v>
      </c>
      <c r="I2467" s="508"/>
      <c r="J2467" s="1223"/>
    </row>
    <row r="2468" spans="1:10" s="81" customFormat="1" ht="50.1" customHeight="1" x14ac:dyDescent="0.2">
      <c r="A2468" s="1220" t="s">
        <v>13077</v>
      </c>
      <c r="B2468" s="985" t="s">
        <v>1784</v>
      </c>
      <c r="C2468" s="985" t="s">
        <v>13063</v>
      </c>
      <c r="D2468" s="1037">
        <v>178</v>
      </c>
      <c r="E2468" s="1039">
        <v>1023</v>
      </c>
      <c r="F2468" s="1037" t="s">
        <v>13080</v>
      </c>
      <c r="G2468" s="1037" t="s">
        <v>1842</v>
      </c>
      <c r="H2468" s="1037" t="s">
        <v>13247</v>
      </c>
      <c r="I2468" s="508"/>
      <c r="J2468" s="1223"/>
    </row>
    <row r="2469" spans="1:10" s="81" customFormat="1" ht="50.1" customHeight="1" x14ac:dyDescent="0.2">
      <c r="A2469" s="1220" t="s">
        <v>13081</v>
      </c>
      <c r="B2469" s="985" t="s">
        <v>1784</v>
      </c>
      <c r="C2469" s="985" t="s">
        <v>13063</v>
      </c>
      <c r="D2469" s="1037">
        <v>179</v>
      </c>
      <c r="E2469" s="1039">
        <v>2742.1</v>
      </c>
      <c r="F2469" s="1037" t="s">
        <v>13080</v>
      </c>
      <c r="G2469" s="1037" t="s">
        <v>1842</v>
      </c>
      <c r="H2469" s="1037" t="s">
        <v>13247</v>
      </c>
      <c r="I2469" s="508"/>
      <c r="J2469" s="1223"/>
    </row>
    <row r="2470" spans="1:10" s="81" customFormat="1" ht="50.1" customHeight="1" x14ac:dyDescent="0.2">
      <c r="A2470" s="1220" t="s">
        <v>13165</v>
      </c>
      <c r="B2470" s="985" t="s">
        <v>1784</v>
      </c>
      <c r="C2470" s="985" t="s">
        <v>13063</v>
      </c>
      <c r="D2470" s="1037">
        <v>180</v>
      </c>
      <c r="E2470" s="1039">
        <v>340</v>
      </c>
      <c r="F2470" s="1037" t="s">
        <v>13078</v>
      </c>
      <c r="G2470" s="1037" t="s">
        <v>1842</v>
      </c>
      <c r="H2470" s="1037" t="s">
        <v>13247</v>
      </c>
      <c r="I2470" s="508"/>
      <c r="J2470" s="1223"/>
    </row>
    <row r="2471" spans="1:10" s="81" customFormat="1" ht="50.1" customHeight="1" x14ac:dyDescent="0.2">
      <c r="A2471" s="1220" t="s">
        <v>13165</v>
      </c>
      <c r="B2471" s="985" t="s">
        <v>1784</v>
      </c>
      <c r="C2471" s="985" t="s">
        <v>13063</v>
      </c>
      <c r="D2471" s="1037">
        <v>181</v>
      </c>
      <c r="E2471" s="1039">
        <v>480</v>
      </c>
      <c r="F2471" s="1037" t="s">
        <v>13080</v>
      </c>
      <c r="G2471" s="1037" t="s">
        <v>1842</v>
      </c>
      <c r="H2471" s="1037" t="s">
        <v>13247</v>
      </c>
      <c r="I2471" s="508"/>
      <c r="J2471" s="1223"/>
    </row>
    <row r="2472" spans="1:10" s="81" customFormat="1" ht="50.1" customHeight="1" x14ac:dyDescent="0.2">
      <c r="A2472" s="1220" t="s">
        <v>13249</v>
      </c>
      <c r="B2472" s="985" t="s">
        <v>1784</v>
      </c>
      <c r="C2472" s="985" t="s">
        <v>13063</v>
      </c>
      <c r="D2472" s="1037">
        <v>182</v>
      </c>
      <c r="E2472" s="1039">
        <v>4320</v>
      </c>
      <c r="F2472" s="1037" t="s">
        <v>13199</v>
      </c>
      <c r="G2472" s="1037" t="s">
        <v>1842</v>
      </c>
      <c r="H2472" s="1037" t="s">
        <v>13250</v>
      </c>
      <c r="I2472" s="508"/>
      <c r="J2472" s="1223"/>
    </row>
    <row r="2473" spans="1:10" s="81" customFormat="1" ht="50.1" customHeight="1" x14ac:dyDescent="0.2">
      <c r="A2473" s="1220" t="s">
        <v>13251</v>
      </c>
      <c r="B2473" s="985" t="s">
        <v>1784</v>
      </c>
      <c r="C2473" s="985" t="s">
        <v>13063</v>
      </c>
      <c r="D2473" s="1037">
        <v>183</v>
      </c>
      <c r="E2473" s="1039">
        <v>1000</v>
      </c>
      <c r="F2473" s="1037" t="s">
        <v>13252</v>
      </c>
      <c r="G2473" s="1037" t="s">
        <v>1842</v>
      </c>
      <c r="H2473" s="1037" t="s">
        <v>13250</v>
      </c>
      <c r="I2473" s="508"/>
      <c r="J2473" s="1223"/>
    </row>
    <row r="2474" spans="1:10" s="81" customFormat="1" ht="50.1" customHeight="1" x14ac:dyDescent="0.2">
      <c r="A2474" s="1220" t="s">
        <v>13253</v>
      </c>
      <c r="B2474" s="985" t="s">
        <v>1784</v>
      </c>
      <c r="C2474" s="985" t="s">
        <v>13063</v>
      </c>
      <c r="D2474" s="1037">
        <v>184</v>
      </c>
      <c r="E2474" s="1039">
        <v>1134</v>
      </c>
      <c r="F2474" s="1037" t="s">
        <v>13227</v>
      </c>
      <c r="G2474" s="1037" t="s">
        <v>1842</v>
      </c>
      <c r="H2474" s="1037" t="s">
        <v>13250</v>
      </c>
      <c r="I2474" s="508"/>
      <c r="J2474" s="1223"/>
    </row>
    <row r="2475" spans="1:10" s="81" customFormat="1" ht="50.1" customHeight="1" x14ac:dyDescent="0.2">
      <c r="A2475" s="1220" t="s">
        <v>13254</v>
      </c>
      <c r="B2475" s="985" t="s">
        <v>1784</v>
      </c>
      <c r="C2475" s="985" t="s">
        <v>13063</v>
      </c>
      <c r="D2475" s="1037">
        <v>185</v>
      </c>
      <c r="E2475" s="1039">
        <v>840</v>
      </c>
      <c r="F2475" s="1037" t="s">
        <v>13168</v>
      </c>
      <c r="G2475" s="1037" t="s">
        <v>1842</v>
      </c>
      <c r="H2475" s="1037" t="s">
        <v>13250</v>
      </c>
      <c r="I2475" s="508"/>
      <c r="J2475" s="1223"/>
    </row>
    <row r="2476" spans="1:10" s="81" customFormat="1" ht="50.1" customHeight="1" x14ac:dyDescent="0.2">
      <c r="A2476" s="1220" t="s">
        <v>13255</v>
      </c>
      <c r="B2476" s="985" t="s">
        <v>1784</v>
      </c>
      <c r="C2476" s="985" t="s">
        <v>13063</v>
      </c>
      <c r="D2476" s="1037">
        <v>186</v>
      </c>
      <c r="E2476" s="1039">
        <v>245.5</v>
      </c>
      <c r="F2476" s="1037" t="s">
        <v>13256</v>
      </c>
      <c r="G2476" s="1037" t="s">
        <v>1842</v>
      </c>
      <c r="H2476" s="1037" t="s">
        <v>13250</v>
      </c>
      <c r="I2476" s="508"/>
      <c r="J2476" s="1223"/>
    </row>
    <row r="2477" spans="1:10" s="81" customFormat="1" ht="50.1" customHeight="1" x14ac:dyDescent="0.2">
      <c r="A2477" s="1220" t="s">
        <v>13255</v>
      </c>
      <c r="B2477" s="985" t="s">
        <v>1784</v>
      </c>
      <c r="C2477" s="985" t="s">
        <v>13063</v>
      </c>
      <c r="D2477" s="1037">
        <v>187</v>
      </c>
      <c r="E2477" s="1039">
        <v>250</v>
      </c>
      <c r="F2477" s="1037" t="s">
        <v>13257</v>
      </c>
      <c r="G2477" s="1037" t="s">
        <v>1842</v>
      </c>
      <c r="H2477" s="1037" t="s">
        <v>13250</v>
      </c>
      <c r="I2477" s="508"/>
      <c r="J2477" s="1223"/>
    </row>
    <row r="2478" spans="1:10" s="81" customFormat="1" ht="50.1" customHeight="1" x14ac:dyDescent="0.2">
      <c r="A2478" s="1220" t="s">
        <v>13258</v>
      </c>
      <c r="B2478" s="985" t="s">
        <v>1784</v>
      </c>
      <c r="C2478" s="985" t="s">
        <v>13063</v>
      </c>
      <c r="D2478" s="1037">
        <v>188</v>
      </c>
      <c r="E2478" s="1039">
        <v>6625</v>
      </c>
      <c r="F2478" s="1037" t="s">
        <v>13259</v>
      </c>
      <c r="G2478" s="1037" t="s">
        <v>1842</v>
      </c>
      <c r="H2478" s="1037" t="s">
        <v>13250</v>
      </c>
      <c r="I2478" s="508"/>
      <c r="J2478" s="1223"/>
    </row>
    <row r="2479" spans="1:10" s="81" customFormat="1" ht="50.1" customHeight="1" x14ac:dyDescent="0.2">
      <c r="A2479" s="1220" t="s">
        <v>13258</v>
      </c>
      <c r="B2479" s="985" t="s">
        <v>1784</v>
      </c>
      <c r="C2479" s="985" t="s">
        <v>13063</v>
      </c>
      <c r="D2479" s="1037">
        <v>189</v>
      </c>
      <c r="E2479" s="1039">
        <v>6136.8</v>
      </c>
      <c r="F2479" s="1037" t="s">
        <v>13260</v>
      </c>
      <c r="G2479" s="1037" t="s">
        <v>1842</v>
      </c>
      <c r="H2479" s="1037" t="s">
        <v>13250</v>
      </c>
      <c r="I2479" s="508"/>
      <c r="J2479" s="1223"/>
    </row>
    <row r="2480" spans="1:10" s="81" customFormat="1" ht="50.1" customHeight="1" x14ac:dyDescent="0.2">
      <c r="A2480" s="1220" t="s">
        <v>13261</v>
      </c>
      <c r="B2480" s="985" t="s">
        <v>1784</v>
      </c>
      <c r="C2480" s="985" t="s">
        <v>13063</v>
      </c>
      <c r="D2480" s="1037">
        <v>190</v>
      </c>
      <c r="E2480" s="1039">
        <v>1419</v>
      </c>
      <c r="F2480" s="1037" t="s">
        <v>13262</v>
      </c>
      <c r="G2480" s="1037" t="s">
        <v>1842</v>
      </c>
      <c r="H2480" s="1037" t="s">
        <v>13263</v>
      </c>
      <c r="I2480" s="508"/>
      <c r="J2480" s="1223"/>
    </row>
    <row r="2481" spans="1:10" s="81" customFormat="1" ht="50.1" customHeight="1" x14ac:dyDescent="0.2">
      <c r="A2481" s="1220" t="s">
        <v>13264</v>
      </c>
      <c r="B2481" s="985" t="s">
        <v>1784</v>
      </c>
      <c r="C2481" s="985" t="s">
        <v>13063</v>
      </c>
      <c r="D2481" s="1037">
        <v>191</v>
      </c>
      <c r="E2481" s="1039">
        <v>4200</v>
      </c>
      <c r="F2481" s="1037" t="s">
        <v>13227</v>
      </c>
      <c r="G2481" s="1037" t="s">
        <v>1842</v>
      </c>
      <c r="H2481" s="1037" t="s">
        <v>13265</v>
      </c>
      <c r="I2481" s="508"/>
      <c r="J2481" s="1223"/>
    </row>
    <row r="2482" spans="1:10" s="81" customFormat="1" ht="50.1" customHeight="1" x14ac:dyDescent="0.2">
      <c r="A2482" s="1220" t="s">
        <v>13266</v>
      </c>
      <c r="B2482" s="985" t="s">
        <v>1784</v>
      </c>
      <c r="C2482" s="985" t="s">
        <v>13063</v>
      </c>
      <c r="D2482" s="1037">
        <v>192</v>
      </c>
      <c r="E2482" s="1039">
        <v>2364</v>
      </c>
      <c r="F2482" s="1037" t="s">
        <v>13168</v>
      </c>
      <c r="G2482" s="1037" t="s">
        <v>1842</v>
      </c>
      <c r="H2482" s="1037" t="s">
        <v>13265</v>
      </c>
      <c r="I2482" s="508"/>
      <c r="J2482" s="1223"/>
    </row>
    <row r="2483" spans="1:10" s="81" customFormat="1" ht="50.1" customHeight="1" x14ac:dyDescent="0.2">
      <c r="A2483" s="1220" t="s">
        <v>13267</v>
      </c>
      <c r="B2483" s="985" t="s">
        <v>1784</v>
      </c>
      <c r="C2483" s="985" t="s">
        <v>13063</v>
      </c>
      <c r="D2483" s="1037">
        <v>193</v>
      </c>
      <c r="E2483" s="1039">
        <v>964</v>
      </c>
      <c r="F2483" s="1037" t="s">
        <v>13168</v>
      </c>
      <c r="G2483" s="1037" t="s">
        <v>1842</v>
      </c>
      <c r="H2483" s="1037" t="s">
        <v>13265</v>
      </c>
      <c r="I2483" s="508"/>
      <c r="J2483" s="1223"/>
    </row>
    <row r="2484" spans="1:10" s="81" customFormat="1" ht="50.1" customHeight="1" x14ac:dyDescent="0.2">
      <c r="A2484" s="1220" t="s">
        <v>13268</v>
      </c>
      <c r="B2484" s="985" t="s">
        <v>1784</v>
      </c>
      <c r="C2484" s="985" t="s">
        <v>13063</v>
      </c>
      <c r="D2484" s="1037">
        <v>194</v>
      </c>
      <c r="E2484" s="1039">
        <v>13960</v>
      </c>
      <c r="F2484" s="1037" t="s">
        <v>13126</v>
      </c>
      <c r="G2484" s="1037" t="s">
        <v>1842</v>
      </c>
      <c r="H2484" s="1037" t="s">
        <v>13269</v>
      </c>
      <c r="I2484" s="508"/>
      <c r="J2484" s="1223"/>
    </row>
    <row r="2485" spans="1:10" s="81" customFormat="1" ht="50.1" customHeight="1" x14ac:dyDescent="0.2">
      <c r="A2485" s="1220" t="s">
        <v>13270</v>
      </c>
      <c r="B2485" s="985" t="s">
        <v>1784</v>
      </c>
      <c r="C2485" s="985" t="s">
        <v>13063</v>
      </c>
      <c r="D2485" s="1037">
        <v>195</v>
      </c>
      <c r="E2485" s="1039">
        <v>5000</v>
      </c>
      <c r="F2485" s="1037" t="s">
        <v>13126</v>
      </c>
      <c r="G2485" s="1037" t="s">
        <v>1842</v>
      </c>
      <c r="H2485" s="1037" t="s">
        <v>13269</v>
      </c>
      <c r="I2485" s="508"/>
      <c r="J2485" s="1223"/>
    </row>
    <row r="2486" spans="1:10" s="81" customFormat="1" ht="50.1" customHeight="1" x14ac:dyDescent="0.2">
      <c r="A2486" s="1220" t="s">
        <v>13271</v>
      </c>
      <c r="B2486" s="985" t="s">
        <v>1784</v>
      </c>
      <c r="C2486" s="985" t="s">
        <v>13063</v>
      </c>
      <c r="D2486" s="1037">
        <v>196</v>
      </c>
      <c r="E2486" s="1039">
        <v>1699.2</v>
      </c>
      <c r="F2486" s="1037" t="s">
        <v>13272</v>
      </c>
      <c r="G2486" s="1037" t="s">
        <v>1842</v>
      </c>
      <c r="H2486" s="1037" t="s">
        <v>13269</v>
      </c>
      <c r="I2486" s="508"/>
      <c r="J2486" s="1223"/>
    </row>
    <row r="2487" spans="1:10" s="81" customFormat="1" ht="50.1" customHeight="1" x14ac:dyDescent="0.2">
      <c r="A2487" s="1220" t="s">
        <v>13113</v>
      </c>
      <c r="B2487" s="985" t="s">
        <v>1784</v>
      </c>
      <c r="C2487" s="985" t="s">
        <v>13063</v>
      </c>
      <c r="D2487" s="1037">
        <v>197</v>
      </c>
      <c r="E2487" s="1039">
        <v>2085</v>
      </c>
      <c r="F2487" s="1037" t="s">
        <v>13114</v>
      </c>
      <c r="G2487" s="1037" t="s">
        <v>1842</v>
      </c>
      <c r="H2487" s="1037" t="s">
        <v>1975</v>
      </c>
      <c r="I2487" s="508"/>
      <c r="J2487" s="1223"/>
    </row>
    <row r="2488" spans="1:10" s="81" customFormat="1" ht="50.1" customHeight="1" x14ac:dyDescent="0.2">
      <c r="A2488" s="1220" t="s">
        <v>13273</v>
      </c>
      <c r="B2488" s="985" t="s">
        <v>1784</v>
      </c>
      <c r="C2488" s="985" t="s">
        <v>13063</v>
      </c>
      <c r="D2488" s="1037">
        <v>198</v>
      </c>
      <c r="E2488" s="1039">
        <v>1770.3</v>
      </c>
      <c r="F2488" s="1037" t="s">
        <v>13252</v>
      </c>
      <c r="G2488" s="1037" t="s">
        <v>1842</v>
      </c>
      <c r="H2488" s="1037" t="s">
        <v>2255</v>
      </c>
      <c r="I2488" s="508"/>
      <c r="J2488" s="1223"/>
    </row>
    <row r="2489" spans="1:10" s="81" customFormat="1" ht="50.1" customHeight="1" x14ac:dyDescent="0.2">
      <c r="A2489" s="1220" t="s">
        <v>13273</v>
      </c>
      <c r="B2489" s="985" t="s">
        <v>1784</v>
      </c>
      <c r="C2489" s="985" t="s">
        <v>13063</v>
      </c>
      <c r="D2489" s="1037">
        <v>199</v>
      </c>
      <c r="E2489" s="1039">
        <v>985</v>
      </c>
      <c r="F2489" s="1037" t="s">
        <v>13257</v>
      </c>
      <c r="G2489" s="1037" t="s">
        <v>1842</v>
      </c>
      <c r="H2489" s="1037" t="s">
        <v>2255</v>
      </c>
      <c r="I2489" s="508"/>
      <c r="J2489" s="1223"/>
    </row>
    <row r="2490" spans="1:10" s="81" customFormat="1" ht="50.1" customHeight="1" x14ac:dyDescent="0.2">
      <c r="A2490" s="1220" t="s">
        <v>13273</v>
      </c>
      <c r="B2490" s="985" t="s">
        <v>1784</v>
      </c>
      <c r="C2490" s="985" t="s">
        <v>13063</v>
      </c>
      <c r="D2490" s="1037">
        <v>200</v>
      </c>
      <c r="E2490" s="1039">
        <v>741</v>
      </c>
      <c r="F2490" s="1037" t="s">
        <v>13256</v>
      </c>
      <c r="G2490" s="1037" t="s">
        <v>1842</v>
      </c>
      <c r="H2490" s="1037" t="s">
        <v>2255</v>
      </c>
      <c r="I2490" s="508"/>
      <c r="J2490" s="1223"/>
    </row>
    <row r="2491" spans="1:10" s="81" customFormat="1" ht="50.1" customHeight="1" x14ac:dyDescent="0.2">
      <c r="A2491" s="1220" t="s">
        <v>13274</v>
      </c>
      <c r="B2491" s="985" t="s">
        <v>1784</v>
      </c>
      <c r="C2491" s="985" t="s">
        <v>13063</v>
      </c>
      <c r="D2491" s="1037">
        <v>201</v>
      </c>
      <c r="E2491" s="1039">
        <v>1189.3</v>
      </c>
      <c r="F2491" s="1037" t="s">
        <v>13275</v>
      </c>
      <c r="G2491" s="1037" t="s">
        <v>1842</v>
      </c>
      <c r="H2491" s="1037" t="s">
        <v>2255</v>
      </c>
      <c r="I2491" s="508"/>
      <c r="J2491" s="1223"/>
    </row>
    <row r="2492" spans="1:10" s="81" customFormat="1" ht="50.1" customHeight="1" x14ac:dyDescent="0.2">
      <c r="A2492" s="1220" t="s">
        <v>13276</v>
      </c>
      <c r="B2492" s="985" t="s">
        <v>1784</v>
      </c>
      <c r="C2492" s="985" t="s">
        <v>13063</v>
      </c>
      <c r="D2492" s="1037">
        <v>202</v>
      </c>
      <c r="E2492" s="1039">
        <v>837</v>
      </c>
      <c r="F2492" s="1037" t="s">
        <v>13275</v>
      </c>
      <c r="G2492" s="1037" t="s">
        <v>1842</v>
      </c>
      <c r="H2492" s="1037" t="s">
        <v>2255</v>
      </c>
      <c r="I2492" s="508"/>
      <c r="J2492" s="1223"/>
    </row>
    <row r="2493" spans="1:10" s="81" customFormat="1" ht="50.1" customHeight="1" x14ac:dyDescent="0.2">
      <c r="A2493" s="1220" t="s">
        <v>13277</v>
      </c>
      <c r="B2493" s="985" t="s">
        <v>1784</v>
      </c>
      <c r="C2493" s="985" t="s">
        <v>13063</v>
      </c>
      <c r="D2493" s="1037">
        <v>203</v>
      </c>
      <c r="E2493" s="1039">
        <v>4022.62</v>
      </c>
      <c r="F2493" s="1037" t="s">
        <v>13278</v>
      </c>
      <c r="G2493" s="1037" t="s">
        <v>1842</v>
      </c>
      <c r="H2493" s="1037" t="s">
        <v>2255</v>
      </c>
      <c r="I2493" s="508"/>
      <c r="J2493" s="1223"/>
    </row>
    <row r="2494" spans="1:10" s="81" customFormat="1" ht="50.1" customHeight="1" x14ac:dyDescent="0.2">
      <c r="A2494" s="1220" t="s">
        <v>13279</v>
      </c>
      <c r="B2494" s="985" t="s">
        <v>1784</v>
      </c>
      <c r="C2494" s="985" t="s">
        <v>13063</v>
      </c>
      <c r="D2494" s="1037">
        <v>204</v>
      </c>
      <c r="E2494" s="1039">
        <v>1000</v>
      </c>
      <c r="F2494" s="1037" t="s">
        <v>2004</v>
      </c>
      <c r="G2494" s="1037" t="s">
        <v>1842</v>
      </c>
      <c r="H2494" s="1037" t="s">
        <v>2255</v>
      </c>
      <c r="I2494" s="508"/>
      <c r="J2494" s="1223"/>
    </row>
    <row r="2495" spans="1:10" s="81" customFormat="1" ht="50.1" customHeight="1" x14ac:dyDescent="0.2">
      <c r="A2495" s="1220" t="s">
        <v>13280</v>
      </c>
      <c r="B2495" s="985" t="s">
        <v>1784</v>
      </c>
      <c r="C2495" s="985" t="s">
        <v>13063</v>
      </c>
      <c r="D2495" s="1037">
        <v>205</v>
      </c>
      <c r="E2495" s="1039">
        <v>2332.5</v>
      </c>
      <c r="F2495" s="1037" t="s">
        <v>13114</v>
      </c>
      <c r="G2495" s="1037" t="s">
        <v>1842</v>
      </c>
      <c r="H2495" s="1037" t="s">
        <v>2255</v>
      </c>
      <c r="I2495" s="508"/>
      <c r="J2495" s="1223"/>
    </row>
    <row r="2496" spans="1:10" s="81" customFormat="1" ht="50.1" customHeight="1" x14ac:dyDescent="0.2">
      <c r="A2496" s="1220" t="s">
        <v>13281</v>
      </c>
      <c r="B2496" s="985" t="s">
        <v>1784</v>
      </c>
      <c r="C2496" s="985" t="s">
        <v>13063</v>
      </c>
      <c r="D2496" s="1037">
        <v>206</v>
      </c>
      <c r="E2496" s="1039">
        <v>270</v>
      </c>
      <c r="F2496" s="1037" t="s">
        <v>13114</v>
      </c>
      <c r="G2496" s="1037" t="s">
        <v>1842</v>
      </c>
      <c r="H2496" s="1037" t="s">
        <v>2255</v>
      </c>
      <c r="I2496" s="508"/>
      <c r="J2496" s="1223"/>
    </row>
    <row r="2497" spans="1:10" s="81" customFormat="1" ht="50.1" customHeight="1" x14ac:dyDescent="0.2">
      <c r="A2497" s="1220" t="s">
        <v>13083</v>
      </c>
      <c r="B2497" s="985" t="s">
        <v>1784</v>
      </c>
      <c r="C2497" s="985" t="s">
        <v>13063</v>
      </c>
      <c r="D2497" s="1037">
        <v>208</v>
      </c>
      <c r="E2497" s="1039">
        <v>1858.8</v>
      </c>
      <c r="F2497" s="1037" t="s">
        <v>13080</v>
      </c>
      <c r="G2497" s="1037" t="s">
        <v>1842</v>
      </c>
      <c r="H2497" s="1037" t="s">
        <v>1986</v>
      </c>
      <c r="I2497" s="508"/>
      <c r="J2497" s="1223"/>
    </row>
    <row r="2498" spans="1:10" s="81" customFormat="1" ht="50.1" customHeight="1" x14ac:dyDescent="0.2">
      <c r="A2498" s="1220" t="s">
        <v>13084</v>
      </c>
      <c r="B2498" s="985" t="s">
        <v>1784</v>
      </c>
      <c r="C2498" s="985" t="s">
        <v>13063</v>
      </c>
      <c r="D2498" s="1037">
        <v>209</v>
      </c>
      <c r="E2498" s="1039">
        <v>406.65</v>
      </c>
      <c r="F2498" s="1037" t="s">
        <v>13080</v>
      </c>
      <c r="G2498" s="1037" t="s">
        <v>1842</v>
      </c>
      <c r="H2498" s="1037" t="s">
        <v>1986</v>
      </c>
      <c r="I2498" s="508"/>
      <c r="J2498" s="1223"/>
    </row>
    <row r="2499" spans="1:10" s="81" customFormat="1" ht="50.1" customHeight="1" x14ac:dyDescent="0.2">
      <c r="A2499" s="1220" t="s">
        <v>13178</v>
      </c>
      <c r="B2499" s="985" t="s">
        <v>1784</v>
      </c>
      <c r="C2499" s="985" t="s">
        <v>13063</v>
      </c>
      <c r="D2499" s="1037">
        <v>210</v>
      </c>
      <c r="E2499" s="1039">
        <v>390.8</v>
      </c>
      <c r="F2499" s="1037" t="s">
        <v>13080</v>
      </c>
      <c r="G2499" s="1037" t="s">
        <v>1842</v>
      </c>
      <c r="H2499" s="1037" t="s">
        <v>1986</v>
      </c>
      <c r="I2499" s="508"/>
      <c r="J2499" s="1223"/>
    </row>
    <row r="2500" spans="1:10" s="81" customFormat="1" ht="50.1" customHeight="1" x14ac:dyDescent="0.2">
      <c r="A2500" s="1220" t="s">
        <v>13073</v>
      </c>
      <c r="B2500" s="985" t="s">
        <v>1784</v>
      </c>
      <c r="C2500" s="985" t="s">
        <v>13063</v>
      </c>
      <c r="D2500" s="1037">
        <v>211</v>
      </c>
      <c r="E2500" s="1039">
        <v>680</v>
      </c>
      <c r="F2500" s="1037" t="s">
        <v>13074</v>
      </c>
      <c r="G2500" s="1037" t="s">
        <v>1842</v>
      </c>
      <c r="H2500" s="1037" t="s">
        <v>13282</v>
      </c>
      <c r="I2500" s="508"/>
      <c r="J2500" s="1223"/>
    </row>
    <row r="2501" spans="1:10" s="81" customFormat="1" ht="50.1" customHeight="1" x14ac:dyDescent="0.2">
      <c r="A2501" s="1220" t="s">
        <v>13283</v>
      </c>
      <c r="B2501" s="985" t="s">
        <v>1784</v>
      </c>
      <c r="C2501" s="985" t="s">
        <v>13063</v>
      </c>
      <c r="D2501" s="1037">
        <v>212</v>
      </c>
      <c r="E2501" s="1039">
        <v>1850</v>
      </c>
      <c r="F2501" s="1037" t="s">
        <v>13284</v>
      </c>
      <c r="G2501" s="1037" t="s">
        <v>1842</v>
      </c>
      <c r="H2501" s="1037" t="s">
        <v>2259</v>
      </c>
      <c r="I2501" s="508"/>
      <c r="J2501" s="1223"/>
    </row>
    <row r="2502" spans="1:10" s="81" customFormat="1" ht="50.1" customHeight="1" x14ac:dyDescent="0.2">
      <c r="A2502" s="1220" t="s">
        <v>13285</v>
      </c>
      <c r="B2502" s="985" t="s">
        <v>1784</v>
      </c>
      <c r="C2502" s="985" t="s">
        <v>13063</v>
      </c>
      <c r="D2502" s="1037">
        <v>213</v>
      </c>
      <c r="E2502" s="1039">
        <v>29832.3</v>
      </c>
      <c r="F2502" s="1037" t="s">
        <v>13286</v>
      </c>
      <c r="G2502" s="1037" t="s">
        <v>1842</v>
      </c>
      <c r="H2502" s="1037" t="s">
        <v>2259</v>
      </c>
      <c r="I2502" s="508"/>
      <c r="J2502" s="1223"/>
    </row>
    <row r="2503" spans="1:10" s="81" customFormat="1" ht="50.1" customHeight="1" x14ac:dyDescent="0.2">
      <c r="A2503" s="1220" t="s">
        <v>13287</v>
      </c>
      <c r="B2503" s="985" t="s">
        <v>1784</v>
      </c>
      <c r="C2503" s="985" t="s">
        <v>13063</v>
      </c>
      <c r="D2503" s="1037">
        <v>214</v>
      </c>
      <c r="E2503" s="1039">
        <v>2255</v>
      </c>
      <c r="F2503" s="1037" t="s">
        <v>13071</v>
      </c>
      <c r="G2503" s="1037" t="s">
        <v>1842</v>
      </c>
      <c r="H2503" s="1037" t="s">
        <v>2259</v>
      </c>
      <c r="I2503" s="508"/>
      <c r="J2503" s="1223"/>
    </row>
    <row r="2504" spans="1:10" s="81" customFormat="1" ht="50.1" customHeight="1" x14ac:dyDescent="0.2">
      <c r="A2504" s="1220" t="s">
        <v>13288</v>
      </c>
      <c r="B2504" s="985" t="s">
        <v>1784</v>
      </c>
      <c r="C2504" s="985" t="s">
        <v>13063</v>
      </c>
      <c r="D2504" s="1037">
        <v>215</v>
      </c>
      <c r="E2504" s="1039">
        <v>25908</v>
      </c>
      <c r="F2504" s="1037" t="s">
        <v>13289</v>
      </c>
      <c r="G2504" s="1037" t="s">
        <v>1842</v>
      </c>
      <c r="H2504" s="1037" t="s">
        <v>2259</v>
      </c>
      <c r="I2504" s="508"/>
      <c r="J2504" s="1223"/>
    </row>
    <row r="2505" spans="1:10" s="81" customFormat="1" ht="50.1" customHeight="1" x14ac:dyDescent="0.2">
      <c r="A2505" s="1220" t="s">
        <v>13075</v>
      </c>
      <c r="B2505" s="985" t="s">
        <v>1784</v>
      </c>
      <c r="C2505" s="985" t="s">
        <v>13063</v>
      </c>
      <c r="D2505" s="1037">
        <v>216</v>
      </c>
      <c r="E2505" s="1039">
        <v>360</v>
      </c>
      <c r="F2505" s="1037" t="s">
        <v>13076</v>
      </c>
      <c r="G2505" s="1037" t="s">
        <v>1842</v>
      </c>
      <c r="H2505" s="1037" t="s">
        <v>13290</v>
      </c>
      <c r="I2505" s="508"/>
      <c r="J2505" s="1223"/>
    </row>
    <row r="2506" spans="1:10" s="81" customFormat="1" ht="50.1" customHeight="1" x14ac:dyDescent="0.2">
      <c r="A2506" s="1220" t="s">
        <v>13077</v>
      </c>
      <c r="B2506" s="985" t="s">
        <v>1784</v>
      </c>
      <c r="C2506" s="985" t="s">
        <v>13063</v>
      </c>
      <c r="D2506" s="1037">
        <v>217</v>
      </c>
      <c r="E2506" s="1039">
        <v>1672</v>
      </c>
      <c r="F2506" s="1037" t="s">
        <v>13078</v>
      </c>
      <c r="G2506" s="1037" t="s">
        <v>1842</v>
      </c>
      <c r="H2506" s="1037" t="s">
        <v>13290</v>
      </c>
      <c r="I2506" s="508"/>
      <c r="J2506" s="1223"/>
    </row>
    <row r="2507" spans="1:10" s="81" customFormat="1" ht="50.1" customHeight="1" x14ac:dyDescent="0.2">
      <c r="A2507" s="1220" t="s">
        <v>13077</v>
      </c>
      <c r="B2507" s="985" t="s">
        <v>1784</v>
      </c>
      <c r="C2507" s="985" t="s">
        <v>13063</v>
      </c>
      <c r="D2507" s="1037">
        <v>218</v>
      </c>
      <c r="E2507" s="1039">
        <v>860</v>
      </c>
      <c r="F2507" s="1037" t="s">
        <v>13080</v>
      </c>
      <c r="G2507" s="1037" t="s">
        <v>1842</v>
      </c>
      <c r="H2507" s="1037" t="s">
        <v>13290</v>
      </c>
      <c r="I2507" s="508"/>
      <c r="J2507" s="1223"/>
    </row>
    <row r="2508" spans="1:10" s="81" customFormat="1" ht="50.1" customHeight="1" x14ac:dyDescent="0.2">
      <c r="A2508" s="1220" t="s">
        <v>13081</v>
      </c>
      <c r="B2508" s="985" t="s">
        <v>1784</v>
      </c>
      <c r="C2508" s="985" t="s">
        <v>13063</v>
      </c>
      <c r="D2508" s="1037">
        <v>219</v>
      </c>
      <c r="E2508" s="1039">
        <v>2249.5</v>
      </c>
      <c r="F2508" s="1037" t="s">
        <v>13080</v>
      </c>
      <c r="G2508" s="1037" t="s">
        <v>1842</v>
      </c>
      <c r="H2508" s="1037" t="s">
        <v>13290</v>
      </c>
      <c r="I2508" s="508"/>
      <c r="J2508" s="1223"/>
    </row>
    <row r="2509" spans="1:10" s="81" customFormat="1" ht="50.1" customHeight="1" x14ac:dyDescent="0.2">
      <c r="A2509" s="1220" t="s">
        <v>13165</v>
      </c>
      <c r="B2509" s="985" t="s">
        <v>1784</v>
      </c>
      <c r="C2509" s="985" t="s">
        <v>13063</v>
      </c>
      <c r="D2509" s="1037">
        <v>220</v>
      </c>
      <c r="E2509" s="1039">
        <v>340</v>
      </c>
      <c r="F2509" s="1037" t="s">
        <v>13078</v>
      </c>
      <c r="G2509" s="1037" t="s">
        <v>1842</v>
      </c>
      <c r="H2509" s="1037" t="s">
        <v>13290</v>
      </c>
      <c r="I2509" s="508"/>
      <c r="J2509" s="1223"/>
    </row>
    <row r="2510" spans="1:10" s="81" customFormat="1" ht="50.1" customHeight="1" x14ac:dyDescent="0.2">
      <c r="A2510" s="1220" t="s">
        <v>13165</v>
      </c>
      <c r="B2510" s="985" t="s">
        <v>1784</v>
      </c>
      <c r="C2510" s="985" t="s">
        <v>13063</v>
      </c>
      <c r="D2510" s="1037">
        <v>221</v>
      </c>
      <c r="E2510" s="1039">
        <v>580</v>
      </c>
      <c r="F2510" s="1037" t="s">
        <v>13080</v>
      </c>
      <c r="G2510" s="1037" t="s">
        <v>1842</v>
      </c>
      <c r="H2510" s="1037" t="s">
        <v>13290</v>
      </c>
      <c r="I2510" s="508"/>
      <c r="J2510" s="1223"/>
    </row>
    <row r="2511" spans="1:10" s="81" customFormat="1" ht="50.1" customHeight="1" x14ac:dyDescent="0.2">
      <c r="A2511" s="1220" t="s">
        <v>13291</v>
      </c>
      <c r="B2511" s="985" t="s">
        <v>1784</v>
      </c>
      <c r="C2511" s="985" t="s">
        <v>13063</v>
      </c>
      <c r="D2511" s="1037">
        <v>222</v>
      </c>
      <c r="E2511" s="1039">
        <v>6600</v>
      </c>
      <c r="F2511" s="1037" t="s">
        <v>13236</v>
      </c>
      <c r="G2511" s="1037" t="s">
        <v>1842</v>
      </c>
      <c r="H2511" s="1037" t="s">
        <v>13292</v>
      </c>
      <c r="I2511" s="508"/>
      <c r="J2511" s="1223"/>
    </row>
    <row r="2512" spans="1:10" s="81" customFormat="1" ht="50.1" customHeight="1" x14ac:dyDescent="0.2">
      <c r="A2512" s="1220" t="s">
        <v>13291</v>
      </c>
      <c r="B2512" s="985" t="s">
        <v>1784</v>
      </c>
      <c r="C2512" s="985" t="s">
        <v>13063</v>
      </c>
      <c r="D2512" s="1037">
        <v>223</v>
      </c>
      <c r="E2512" s="1039">
        <v>690</v>
      </c>
      <c r="F2512" s="1037" t="s">
        <v>13236</v>
      </c>
      <c r="G2512" s="1037" t="s">
        <v>1842</v>
      </c>
      <c r="H2512" s="1037" t="s">
        <v>13292</v>
      </c>
      <c r="I2512" s="508"/>
      <c r="J2512" s="1223"/>
    </row>
    <row r="2513" spans="1:10" s="81" customFormat="1" ht="50.1" customHeight="1" x14ac:dyDescent="0.2">
      <c r="A2513" s="1220" t="s">
        <v>13291</v>
      </c>
      <c r="B2513" s="985" t="s">
        <v>1784</v>
      </c>
      <c r="C2513" s="985" t="s">
        <v>13063</v>
      </c>
      <c r="D2513" s="1037">
        <v>224</v>
      </c>
      <c r="E2513" s="1039">
        <v>1380</v>
      </c>
      <c r="F2513" s="1037" t="s">
        <v>13236</v>
      </c>
      <c r="G2513" s="1037" t="s">
        <v>1842</v>
      </c>
      <c r="H2513" s="1037" t="s">
        <v>13292</v>
      </c>
      <c r="I2513" s="508"/>
      <c r="J2513" s="1223"/>
    </row>
    <row r="2514" spans="1:10" s="81" customFormat="1" ht="50.1" customHeight="1" x14ac:dyDescent="0.2">
      <c r="A2514" s="1220" t="s">
        <v>13293</v>
      </c>
      <c r="B2514" s="985" t="s">
        <v>1784</v>
      </c>
      <c r="C2514" s="985" t="s">
        <v>13063</v>
      </c>
      <c r="D2514" s="1037">
        <v>225</v>
      </c>
      <c r="E2514" s="1039">
        <v>2000</v>
      </c>
      <c r="F2514" s="1037" t="s">
        <v>13236</v>
      </c>
      <c r="G2514" s="1037" t="s">
        <v>1842</v>
      </c>
      <c r="H2514" s="1037" t="s">
        <v>13292</v>
      </c>
      <c r="I2514" s="508"/>
      <c r="J2514" s="1223"/>
    </row>
    <row r="2515" spans="1:10" s="81" customFormat="1" ht="50.1" customHeight="1" x14ac:dyDescent="0.2">
      <c r="A2515" s="1220" t="s">
        <v>13244</v>
      </c>
      <c r="B2515" s="985" t="s">
        <v>640</v>
      </c>
      <c r="C2515" s="985" t="s">
        <v>13245</v>
      </c>
      <c r="D2515" s="1037">
        <v>226</v>
      </c>
      <c r="E2515" s="1039">
        <v>160000</v>
      </c>
      <c r="F2515" s="1037" t="s">
        <v>13294</v>
      </c>
      <c r="G2515" s="1037" t="s">
        <v>1842</v>
      </c>
      <c r="H2515" s="1037" t="s">
        <v>13295</v>
      </c>
      <c r="I2515" s="508"/>
      <c r="J2515" s="1223"/>
    </row>
    <row r="2516" spans="1:10" s="81" customFormat="1" ht="50.1" customHeight="1" x14ac:dyDescent="0.2">
      <c r="A2516" s="1220" t="s">
        <v>13296</v>
      </c>
      <c r="B2516" s="985" t="s">
        <v>1784</v>
      </c>
      <c r="C2516" s="985" t="s">
        <v>13063</v>
      </c>
      <c r="D2516" s="1037">
        <v>228</v>
      </c>
      <c r="E2516" s="1039">
        <v>2316</v>
      </c>
      <c r="F2516" s="1037" t="s">
        <v>13297</v>
      </c>
      <c r="G2516" s="1037" t="s">
        <v>1842</v>
      </c>
      <c r="H2516" s="1037" t="s">
        <v>13298</v>
      </c>
      <c r="I2516" s="508"/>
      <c r="J2516" s="1223"/>
    </row>
    <row r="2517" spans="1:10" s="81" customFormat="1" ht="50.1" customHeight="1" x14ac:dyDescent="0.2">
      <c r="A2517" s="1220" t="s">
        <v>13299</v>
      </c>
      <c r="B2517" s="985" t="s">
        <v>1784</v>
      </c>
      <c r="C2517" s="985" t="s">
        <v>13063</v>
      </c>
      <c r="D2517" s="1037">
        <v>229</v>
      </c>
      <c r="E2517" s="1039">
        <v>3150</v>
      </c>
      <c r="F2517" s="1037" t="s">
        <v>13121</v>
      </c>
      <c r="G2517" s="1037" t="s">
        <v>1842</v>
      </c>
      <c r="H2517" s="1037" t="s">
        <v>13298</v>
      </c>
      <c r="I2517" s="508"/>
      <c r="J2517" s="1223"/>
    </row>
    <row r="2518" spans="1:10" s="81" customFormat="1" ht="50.1" customHeight="1" x14ac:dyDescent="0.2">
      <c r="A2518" s="1220" t="s">
        <v>13299</v>
      </c>
      <c r="B2518" s="985" t="s">
        <v>1784</v>
      </c>
      <c r="C2518" s="985" t="s">
        <v>13063</v>
      </c>
      <c r="D2518" s="1037">
        <v>230</v>
      </c>
      <c r="E2518" s="1039">
        <v>2600</v>
      </c>
      <c r="F2518" s="1037" t="s">
        <v>13121</v>
      </c>
      <c r="G2518" s="1037" t="s">
        <v>1842</v>
      </c>
      <c r="H2518" s="1037" t="s">
        <v>13298</v>
      </c>
      <c r="I2518" s="508"/>
      <c r="J2518" s="1223"/>
    </row>
    <row r="2519" spans="1:10" s="81" customFormat="1" ht="50.1" customHeight="1" x14ac:dyDescent="0.2">
      <c r="A2519" s="1220" t="s">
        <v>13166</v>
      </c>
      <c r="B2519" s="985" t="s">
        <v>1784</v>
      </c>
      <c r="C2519" s="985" t="s">
        <v>13063</v>
      </c>
      <c r="D2519" s="1037">
        <v>231</v>
      </c>
      <c r="E2519" s="1039">
        <v>656</v>
      </c>
      <c r="F2519" s="1037" t="s">
        <v>13168</v>
      </c>
      <c r="G2519" s="1037" t="s">
        <v>1842</v>
      </c>
      <c r="H2519" s="1037" t="s">
        <v>13298</v>
      </c>
      <c r="I2519" s="508"/>
      <c r="J2519" s="1223"/>
    </row>
    <row r="2520" spans="1:10" s="81" customFormat="1" ht="50.1" customHeight="1" x14ac:dyDescent="0.2">
      <c r="A2520" s="1220" t="s">
        <v>13166</v>
      </c>
      <c r="B2520" s="985" t="s">
        <v>1784</v>
      </c>
      <c r="C2520" s="985" t="s">
        <v>13063</v>
      </c>
      <c r="D2520" s="1037">
        <v>232</v>
      </c>
      <c r="E2520" s="1039">
        <v>2699.7</v>
      </c>
      <c r="F2520" s="1037" t="s">
        <v>13169</v>
      </c>
      <c r="G2520" s="1037" t="s">
        <v>1842</v>
      </c>
      <c r="H2520" s="1037" t="s">
        <v>13298</v>
      </c>
      <c r="I2520" s="508"/>
      <c r="J2520" s="1223"/>
    </row>
    <row r="2521" spans="1:10" s="81" customFormat="1" ht="50.1" customHeight="1" x14ac:dyDescent="0.2">
      <c r="A2521" s="1220" t="s">
        <v>13166</v>
      </c>
      <c r="B2521" s="985" t="s">
        <v>1784</v>
      </c>
      <c r="C2521" s="985" t="s">
        <v>13063</v>
      </c>
      <c r="D2521" s="1037">
        <v>233</v>
      </c>
      <c r="E2521" s="1039">
        <v>3677.04</v>
      </c>
      <c r="F2521" s="1037" t="s">
        <v>13153</v>
      </c>
      <c r="G2521" s="1037" t="s">
        <v>1842</v>
      </c>
      <c r="H2521" s="1037" t="s">
        <v>13298</v>
      </c>
      <c r="I2521" s="508"/>
      <c r="J2521" s="1223"/>
    </row>
    <row r="2522" spans="1:10" s="81" customFormat="1" ht="50.1" customHeight="1" x14ac:dyDescent="0.2">
      <c r="A2522" s="1220" t="s">
        <v>13172</v>
      </c>
      <c r="B2522" s="985" t="s">
        <v>1784</v>
      </c>
      <c r="C2522" s="985" t="s">
        <v>13063</v>
      </c>
      <c r="D2522" s="1037">
        <v>234</v>
      </c>
      <c r="E2522" s="1039">
        <v>3639</v>
      </c>
      <c r="F2522" s="1037" t="s">
        <v>13168</v>
      </c>
      <c r="G2522" s="1037" t="s">
        <v>1842</v>
      </c>
      <c r="H2522" s="1037" t="s">
        <v>13298</v>
      </c>
      <c r="I2522" s="508"/>
      <c r="J2522" s="1223"/>
    </row>
    <row r="2523" spans="1:10" s="81" customFormat="1" ht="50.1" customHeight="1" x14ac:dyDescent="0.2">
      <c r="A2523" s="1220" t="s">
        <v>13172</v>
      </c>
      <c r="B2523" s="985" t="s">
        <v>1784</v>
      </c>
      <c r="C2523" s="985" t="s">
        <v>13063</v>
      </c>
      <c r="D2523" s="1037">
        <v>235</v>
      </c>
      <c r="E2523" s="1039">
        <v>700</v>
      </c>
      <c r="F2523" s="1037" t="s">
        <v>13167</v>
      </c>
      <c r="G2523" s="1037" t="s">
        <v>1842</v>
      </c>
      <c r="H2523" s="1037" t="s">
        <v>13298</v>
      </c>
      <c r="I2523" s="508"/>
      <c r="J2523" s="1223"/>
    </row>
    <row r="2524" spans="1:10" s="81" customFormat="1" ht="50.1" customHeight="1" x14ac:dyDescent="0.2">
      <c r="A2524" s="1220" t="s">
        <v>13172</v>
      </c>
      <c r="B2524" s="985" t="s">
        <v>1784</v>
      </c>
      <c r="C2524" s="985" t="s">
        <v>13063</v>
      </c>
      <c r="D2524" s="1037">
        <v>236</v>
      </c>
      <c r="E2524" s="1039">
        <v>1285</v>
      </c>
      <c r="F2524" s="1037" t="s">
        <v>13129</v>
      </c>
      <c r="G2524" s="1037" t="s">
        <v>1842</v>
      </c>
      <c r="H2524" s="1037" t="s">
        <v>13298</v>
      </c>
      <c r="I2524" s="508"/>
      <c r="J2524" s="1223"/>
    </row>
    <row r="2525" spans="1:10" s="81" customFormat="1" ht="50.1" customHeight="1" x14ac:dyDescent="0.2">
      <c r="A2525" s="1220" t="s">
        <v>13172</v>
      </c>
      <c r="B2525" s="985" t="s">
        <v>1784</v>
      </c>
      <c r="C2525" s="985" t="s">
        <v>13063</v>
      </c>
      <c r="D2525" s="1037">
        <v>237</v>
      </c>
      <c r="E2525" s="1039">
        <v>750</v>
      </c>
      <c r="F2525" s="1037" t="s">
        <v>13180</v>
      </c>
      <c r="G2525" s="1037" t="s">
        <v>1842</v>
      </c>
      <c r="H2525" s="1037" t="s">
        <v>13298</v>
      </c>
      <c r="I2525" s="508"/>
      <c r="J2525" s="1223"/>
    </row>
    <row r="2526" spans="1:10" s="81" customFormat="1" ht="50.1" customHeight="1" x14ac:dyDescent="0.2">
      <c r="A2526" s="1220" t="s">
        <v>13300</v>
      </c>
      <c r="B2526" s="985" t="s">
        <v>1784</v>
      </c>
      <c r="C2526" s="985" t="s">
        <v>13063</v>
      </c>
      <c r="D2526" s="1037">
        <v>238</v>
      </c>
      <c r="E2526" s="1039">
        <v>600</v>
      </c>
      <c r="F2526" s="1037" t="s">
        <v>13121</v>
      </c>
      <c r="G2526" s="1037" t="s">
        <v>1842</v>
      </c>
      <c r="H2526" s="1037" t="s">
        <v>13301</v>
      </c>
      <c r="I2526" s="508"/>
      <c r="J2526" s="1223"/>
    </row>
    <row r="2527" spans="1:10" s="81" customFormat="1" ht="50.1" customHeight="1" x14ac:dyDescent="0.2">
      <c r="A2527" s="1220" t="s">
        <v>13302</v>
      </c>
      <c r="B2527" s="985" t="s">
        <v>1784</v>
      </c>
      <c r="C2527" s="985" t="s">
        <v>13063</v>
      </c>
      <c r="D2527" s="1037">
        <v>239</v>
      </c>
      <c r="E2527" s="1039">
        <v>2590.8000000000002</v>
      </c>
      <c r="F2527" s="1037" t="s">
        <v>13286</v>
      </c>
      <c r="G2527" s="1037" t="s">
        <v>1842</v>
      </c>
      <c r="H2527" s="1037" t="s">
        <v>13301</v>
      </c>
      <c r="I2527" s="508"/>
      <c r="J2527" s="1223"/>
    </row>
    <row r="2528" spans="1:10" s="81" customFormat="1" ht="50.1" customHeight="1" x14ac:dyDescent="0.2">
      <c r="A2528" s="1220" t="s">
        <v>13303</v>
      </c>
      <c r="B2528" s="985" t="s">
        <v>1784</v>
      </c>
      <c r="C2528" s="985" t="s">
        <v>13063</v>
      </c>
      <c r="D2528" s="1037">
        <v>241</v>
      </c>
      <c r="E2528" s="1039">
        <v>6000</v>
      </c>
      <c r="F2528" s="1037" t="s">
        <v>13304</v>
      </c>
      <c r="G2528" s="1037" t="s">
        <v>1842</v>
      </c>
      <c r="H2528" s="1037" t="s">
        <v>13305</v>
      </c>
      <c r="I2528" s="508"/>
      <c r="J2528" s="1223"/>
    </row>
    <row r="2529" spans="1:10" s="81" customFormat="1" ht="50.1" customHeight="1" x14ac:dyDescent="0.2">
      <c r="A2529" s="1220" t="s">
        <v>13303</v>
      </c>
      <c r="B2529" s="985" t="s">
        <v>1784</v>
      </c>
      <c r="C2529" s="985" t="s">
        <v>13063</v>
      </c>
      <c r="D2529" s="1037">
        <v>242</v>
      </c>
      <c r="E2529" s="1039">
        <v>2390</v>
      </c>
      <c r="F2529" s="1037" t="s">
        <v>13153</v>
      </c>
      <c r="G2529" s="1037" t="s">
        <v>1842</v>
      </c>
      <c r="H2529" s="1037" t="s">
        <v>13305</v>
      </c>
      <c r="I2529" s="508"/>
      <c r="J2529" s="1223"/>
    </row>
    <row r="2530" spans="1:10" s="81" customFormat="1" ht="50.1" customHeight="1" x14ac:dyDescent="0.2">
      <c r="A2530" s="1220" t="s">
        <v>13306</v>
      </c>
      <c r="B2530" s="985" t="s">
        <v>1784</v>
      </c>
      <c r="C2530" s="985" t="s">
        <v>13063</v>
      </c>
      <c r="D2530" s="1037">
        <v>243</v>
      </c>
      <c r="E2530" s="1039">
        <v>4510</v>
      </c>
      <c r="F2530" s="1037" t="s">
        <v>13307</v>
      </c>
      <c r="G2530" s="1037" t="s">
        <v>1842</v>
      </c>
      <c r="H2530" s="1037" t="s">
        <v>13308</v>
      </c>
      <c r="I2530" s="508"/>
      <c r="J2530" s="1223"/>
    </row>
    <row r="2531" spans="1:10" s="81" customFormat="1" ht="50.1" customHeight="1" x14ac:dyDescent="0.2">
      <c r="A2531" s="1220" t="s">
        <v>13309</v>
      </c>
      <c r="B2531" s="985" t="s">
        <v>1784</v>
      </c>
      <c r="C2531" s="985" t="s">
        <v>13063</v>
      </c>
      <c r="D2531" s="1037">
        <v>244</v>
      </c>
      <c r="E2531" s="1039">
        <v>6566.25</v>
      </c>
      <c r="F2531" s="1037" t="s">
        <v>13153</v>
      </c>
      <c r="G2531" s="1037" t="s">
        <v>1842</v>
      </c>
      <c r="H2531" s="1037" t="s">
        <v>2014</v>
      </c>
      <c r="I2531" s="508"/>
      <c r="J2531" s="1223"/>
    </row>
    <row r="2532" spans="1:10" s="81" customFormat="1" ht="50.1" customHeight="1" x14ac:dyDescent="0.2">
      <c r="A2532" s="1220" t="s">
        <v>13309</v>
      </c>
      <c r="B2532" s="985" t="s">
        <v>1784</v>
      </c>
      <c r="C2532" s="985" t="s">
        <v>13063</v>
      </c>
      <c r="D2532" s="1037">
        <v>245</v>
      </c>
      <c r="E2532" s="1039">
        <v>8505</v>
      </c>
      <c r="F2532" s="1037" t="s">
        <v>13153</v>
      </c>
      <c r="G2532" s="1037" t="s">
        <v>1842</v>
      </c>
      <c r="H2532" s="1037" t="s">
        <v>2014</v>
      </c>
      <c r="I2532" s="508"/>
      <c r="J2532" s="1223"/>
    </row>
    <row r="2533" spans="1:10" s="81" customFormat="1" ht="50.1" customHeight="1" x14ac:dyDescent="0.2">
      <c r="A2533" s="1220" t="s">
        <v>13309</v>
      </c>
      <c r="B2533" s="985" t="s">
        <v>1784</v>
      </c>
      <c r="C2533" s="985" t="s">
        <v>13063</v>
      </c>
      <c r="D2533" s="1037">
        <v>246</v>
      </c>
      <c r="E2533" s="1039">
        <v>2571.5</v>
      </c>
      <c r="F2533" s="1037" t="s">
        <v>13153</v>
      </c>
      <c r="G2533" s="1037" t="s">
        <v>1842</v>
      </c>
      <c r="H2533" s="1037" t="s">
        <v>2014</v>
      </c>
      <c r="I2533" s="508"/>
      <c r="J2533" s="1223"/>
    </row>
    <row r="2534" spans="1:10" s="81" customFormat="1" ht="50.1" customHeight="1" x14ac:dyDescent="0.2">
      <c r="A2534" s="1220" t="s">
        <v>13309</v>
      </c>
      <c r="B2534" s="985" t="s">
        <v>1784</v>
      </c>
      <c r="C2534" s="985" t="s">
        <v>13063</v>
      </c>
      <c r="D2534" s="1037">
        <v>247</v>
      </c>
      <c r="E2534" s="1039">
        <v>3294.3</v>
      </c>
      <c r="F2534" s="1037" t="s">
        <v>13153</v>
      </c>
      <c r="G2534" s="1037" t="s">
        <v>1842</v>
      </c>
      <c r="H2534" s="1037" t="s">
        <v>2014</v>
      </c>
      <c r="I2534" s="508"/>
      <c r="J2534" s="1223"/>
    </row>
    <row r="2535" spans="1:10" s="81" customFormat="1" ht="50.1" customHeight="1" x14ac:dyDescent="0.2">
      <c r="A2535" s="1220" t="s">
        <v>13309</v>
      </c>
      <c r="B2535" s="985" t="s">
        <v>1784</v>
      </c>
      <c r="C2535" s="985" t="s">
        <v>13063</v>
      </c>
      <c r="D2535" s="1037">
        <v>248</v>
      </c>
      <c r="E2535" s="1039">
        <v>3739.2</v>
      </c>
      <c r="F2535" s="1037" t="s">
        <v>13071</v>
      </c>
      <c r="G2535" s="1037" t="s">
        <v>1842</v>
      </c>
      <c r="H2535" s="1037" t="s">
        <v>2014</v>
      </c>
      <c r="I2535" s="508"/>
      <c r="J2535" s="1223"/>
    </row>
    <row r="2536" spans="1:10" s="81" customFormat="1" ht="50.1" customHeight="1" x14ac:dyDescent="0.2">
      <c r="A2536" s="1220" t="s">
        <v>13083</v>
      </c>
      <c r="B2536" s="985" t="s">
        <v>1784</v>
      </c>
      <c r="C2536" s="985" t="s">
        <v>13063</v>
      </c>
      <c r="D2536" s="1037">
        <v>249</v>
      </c>
      <c r="E2536" s="1039">
        <v>1760.2</v>
      </c>
      <c r="F2536" s="1037" t="s">
        <v>13080</v>
      </c>
      <c r="G2536" s="1037" t="s">
        <v>1842</v>
      </c>
      <c r="H2536" s="1037" t="s">
        <v>2014</v>
      </c>
      <c r="I2536" s="508"/>
      <c r="J2536" s="1223"/>
    </row>
    <row r="2537" spans="1:10" s="81" customFormat="1" ht="50.1" customHeight="1" x14ac:dyDescent="0.2">
      <c r="A2537" s="1220" t="s">
        <v>13084</v>
      </c>
      <c r="B2537" s="985" t="s">
        <v>1784</v>
      </c>
      <c r="C2537" s="985" t="s">
        <v>13063</v>
      </c>
      <c r="D2537" s="1037">
        <v>250</v>
      </c>
      <c r="E2537" s="1039">
        <v>564.65</v>
      </c>
      <c r="F2537" s="1037" t="s">
        <v>13080</v>
      </c>
      <c r="G2537" s="1037" t="s">
        <v>1842</v>
      </c>
      <c r="H2537" s="1037" t="s">
        <v>2014</v>
      </c>
      <c r="I2537" s="508"/>
      <c r="J2537" s="1223"/>
    </row>
    <row r="2538" spans="1:10" s="81" customFormat="1" ht="50.1" customHeight="1" x14ac:dyDescent="0.2">
      <c r="A2538" s="1220" t="s">
        <v>13178</v>
      </c>
      <c r="B2538" s="985" t="s">
        <v>1784</v>
      </c>
      <c r="C2538" s="985" t="s">
        <v>13063</v>
      </c>
      <c r="D2538" s="1037">
        <v>251</v>
      </c>
      <c r="E2538" s="1039">
        <v>390.8</v>
      </c>
      <c r="F2538" s="1037" t="s">
        <v>13080</v>
      </c>
      <c r="G2538" s="1037" t="s">
        <v>1842</v>
      </c>
      <c r="H2538" s="1037" t="s">
        <v>2014</v>
      </c>
      <c r="I2538" s="508"/>
      <c r="J2538" s="1223"/>
    </row>
    <row r="2539" spans="1:10" s="81" customFormat="1" ht="50.1" customHeight="1" x14ac:dyDescent="0.2">
      <c r="A2539" s="1220" t="s">
        <v>13239</v>
      </c>
      <c r="B2539" s="985" t="s">
        <v>1784</v>
      </c>
      <c r="C2539" s="985" t="s">
        <v>13063</v>
      </c>
      <c r="D2539" s="1037">
        <v>252</v>
      </c>
      <c r="E2539" s="1039">
        <v>1853</v>
      </c>
      <c r="F2539" s="1037" t="s">
        <v>13310</v>
      </c>
      <c r="G2539" s="1037" t="s">
        <v>1842</v>
      </c>
      <c r="H2539" s="1037" t="s">
        <v>13311</v>
      </c>
      <c r="I2539" s="508"/>
      <c r="J2539" s="1223"/>
    </row>
    <row r="2540" spans="1:10" s="81" customFormat="1" ht="50.1" customHeight="1" x14ac:dyDescent="0.2">
      <c r="A2540" s="1220" t="s">
        <v>13312</v>
      </c>
      <c r="B2540" s="985" t="s">
        <v>1784</v>
      </c>
      <c r="C2540" s="985" t="s">
        <v>13063</v>
      </c>
      <c r="D2540" s="1037">
        <v>253</v>
      </c>
      <c r="E2540" s="1039">
        <v>6262</v>
      </c>
      <c r="F2540" s="1037" t="s">
        <v>13313</v>
      </c>
      <c r="G2540" s="1037" t="s">
        <v>1842</v>
      </c>
      <c r="H2540" s="1037" t="s">
        <v>2169</v>
      </c>
      <c r="I2540" s="508"/>
      <c r="J2540" s="1223"/>
    </row>
    <row r="2541" spans="1:10" s="81" customFormat="1" ht="50.1" customHeight="1" x14ac:dyDescent="0.2">
      <c r="A2541" s="1220" t="s">
        <v>13314</v>
      </c>
      <c r="B2541" s="985" t="s">
        <v>1784</v>
      </c>
      <c r="C2541" s="985" t="s">
        <v>13063</v>
      </c>
      <c r="D2541" s="1037">
        <v>254</v>
      </c>
      <c r="E2541" s="1039">
        <v>4774.75</v>
      </c>
      <c r="F2541" s="1037" t="s">
        <v>13315</v>
      </c>
      <c r="G2541" s="1037" t="s">
        <v>1842</v>
      </c>
      <c r="H2541" s="1037" t="s">
        <v>1964</v>
      </c>
      <c r="I2541" s="508"/>
      <c r="J2541" s="1223"/>
    </row>
    <row r="2542" spans="1:10" s="81" customFormat="1" ht="50.1" customHeight="1" x14ac:dyDescent="0.2">
      <c r="A2542" s="1220" t="s">
        <v>13316</v>
      </c>
      <c r="B2542" s="985" t="s">
        <v>1784</v>
      </c>
      <c r="C2542" s="985" t="s">
        <v>13063</v>
      </c>
      <c r="D2542" s="1037">
        <v>255</v>
      </c>
      <c r="E2542" s="1039">
        <v>1444.23</v>
      </c>
      <c r="F2542" s="1037" t="s">
        <v>13317</v>
      </c>
      <c r="G2542" s="1037" t="s">
        <v>1842</v>
      </c>
      <c r="H2542" s="1037" t="s">
        <v>1964</v>
      </c>
      <c r="I2542" s="508"/>
      <c r="J2542" s="1223"/>
    </row>
    <row r="2543" spans="1:10" s="81" customFormat="1" ht="50.1" customHeight="1" x14ac:dyDescent="0.2">
      <c r="A2543" s="1220" t="s">
        <v>13073</v>
      </c>
      <c r="B2543" s="985" t="s">
        <v>1784</v>
      </c>
      <c r="C2543" s="985" t="s">
        <v>13063</v>
      </c>
      <c r="D2543" s="1037">
        <v>256</v>
      </c>
      <c r="E2543" s="1039">
        <v>850</v>
      </c>
      <c r="F2543" s="1037" t="s">
        <v>13074</v>
      </c>
      <c r="G2543" s="1037" t="s">
        <v>1842</v>
      </c>
      <c r="H2543" s="1037" t="s">
        <v>1964</v>
      </c>
      <c r="I2543" s="508"/>
      <c r="J2543" s="1223"/>
    </row>
    <row r="2544" spans="1:10" s="81" customFormat="1" ht="50.1" customHeight="1" x14ac:dyDescent="0.2">
      <c r="A2544" s="1220" t="s">
        <v>13113</v>
      </c>
      <c r="B2544" s="985" t="s">
        <v>1784</v>
      </c>
      <c r="C2544" s="985" t="s">
        <v>13063</v>
      </c>
      <c r="D2544" s="1037">
        <v>257</v>
      </c>
      <c r="E2544" s="1039">
        <v>806.2</v>
      </c>
      <c r="F2544" s="1037" t="s">
        <v>13114</v>
      </c>
      <c r="G2544" s="1037" t="s">
        <v>1842</v>
      </c>
      <c r="H2544" s="1037" t="s">
        <v>2162</v>
      </c>
      <c r="I2544" s="508"/>
      <c r="J2544" s="1223"/>
    </row>
    <row r="2545" spans="1:10" s="81" customFormat="1" ht="50.1" customHeight="1" x14ac:dyDescent="0.2">
      <c r="A2545" s="1220" t="s">
        <v>13113</v>
      </c>
      <c r="B2545" s="985" t="s">
        <v>1784</v>
      </c>
      <c r="C2545" s="985" t="s">
        <v>13063</v>
      </c>
      <c r="D2545" s="1037">
        <v>258</v>
      </c>
      <c r="E2545" s="1039">
        <v>1278.8</v>
      </c>
      <c r="F2545" s="1037" t="s">
        <v>13114</v>
      </c>
      <c r="G2545" s="1037" t="s">
        <v>1842</v>
      </c>
      <c r="H2545" s="1037" t="s">
        <v>2162</v>
      </c>
      <c r="I2545" s="508"/>
      <c r="J2545" s="1223"/>
    </row>
    <row r="2546" spans="1:10" s="81" customFormat="1" ht="50.1" customHeight="1" x14ac:dyDescent="0.2">
      <c r="A2546" s="1220" t="s">
        <v>13075</v>
      </c>
      <c r="B2546" s="985" t="s">
        <v>1784</v>
      </c>
      <c r="C2546" s="985" t="s">
        <v>13063</v>
      </c>
      <c r="D2546" s="1037">
        <v>259</v>
      </c>
      <c r="E2546" s="1039">
        <v>744</v>
      </c>
      <c r="F2546" s="1037" t="s">
        <v>13076</v>
      </c>
      <c r="G2546" s="1037" t="s">
        <v>1842</v>
      </c>
      <c r="H2546" s="1037" t="s">
        <v>13318</v>
      </c>
      <c r="I2546" s="508"/>
      <c r="J2546" s="1223"/>
    </row>
    <row r="2547" spans="1:10" s="81" customFormat="1" ht="50.1" customHeight="1" x14ac:dyDescent="0.2">
      <c r="A2547" s="1220" t="s">
        <v>13077</v>
      </c>
      <c r="B2547" s="985" t="s">
        <v>1784</v>
      </c>
      <c r="C2547" s="985" t="s">
        <v>13063</v>
      </c>
      <c r="D2547" s="1037">
        <v>260</v>
      </c>
      <c r="E2547" s="1039">
        <v>5412</v>
      </c>
      <c r="F2547" s="1037" t="s">
        <v>13078</v>
      </c>
      <c r="G2547" s="1037" t="s">
        <v>1842</v>
      </c>
      <c r="H2547" s="1037" t="s">
        <v>13318</v>
      </c>
      <c r="I2547" s="508"/>
      <c r="J2547" s="1223"/>
    </row>
    <row r="2548" spans="1:10" s="81" customFormat="1" ht="50.1" customHeight="1" x14ac:dyDescent="0.2">
      <c r="A2548" s="1220" t="s">
        <v>13077</v>
      </c>
      <c r="B2548" s="985" t="s">
        <v>1784</v>
      </c>
      <c r="C2548" s="985" t="s">
        <v>13063</v>
      </c>
      <c r="D2548" s="1037">
        <v>261</v>
      </c>
      <c r="E2548" s="1039">
        <v>2743</v>
      </c>
      <c r="F2548" s="1037" t="s">
        <v>13080</v>
      </c>
      <c r="G2548" s="1037" t="s">
        <v>1842</v>
      </c>
      <c r="H2548" s="1037" t="s">
        <v>13318</v>
      </c>
      <c r="I2548" s="508"/>
      <c r="J2548" s="1223"/>
    </row>
    <row r="2549" spans="1:10" s="81" customFormat="1" ht="50.1" customHeight="1" x14ac:dyDescent="0.2">
      <c r="A2549" s="1220" t="s">
        <v>13081</v>
      </c>
      <c r="B2549" s="985" t="s">
        <v>1784</v>
      </c>
      <c r="C2549" s="985" t="s">
        <v>13063</v>
      </c>
      <c r="D2549" s="1037">
        <v>262</v>
      </c>
      <c r="E2549" s="1039">
        <v>7199.1</v>
      </c>
      <c r="F2549" s="1037" t="s">
        <v>13080</v>
      </c>
      <c r="G2549" s="1037" t="s">
        <v>1842</v>
      </c>
      <c r="H2549" s="1037" t="s">
        <v>13318</v>
      </c>
      <c r="I2549" s="508"/>
      <c r="J2549" s="1223"/>
    </row>
    <row r="2550" spans="1:10" s="81" customFormat="1" ht="50.1" customHeight="1" x14ac:dyDescent="0.2">
      <c r="A2550" s="1220" t="s">
        <v>13165</v>
      </c>
      <c r="B2550" s="985" t="s">
        <v>1784</v>
      </c>
      <c r="C2550" s="985" t="s">
        <v>13063</v>
      </c>
      <c r="D2550" s="1037">
        <v>263</v>
      </c>
      <c r="E2550" s="1039">
        <v>340</v>
      </c>
      <c r="F2550" s="1037" t="s">
        <v>13078</v>
      </c>
      <c r="G2550" s="1037" t="s">
        <v>1842</v>
      </c>
      <c r="H2550" s="1037" t="s">
        <v>13318</v>
      </c>
      <c r="I2550" s="508"/>
      <c r="J2550" s="1223"/>
    </row>
    <row r="2551" spans="1:10" s="81" customFormat="1" ht="50.1" customHeight="1" x14ac:dyDescent="0.2">
      <c r="A2551" s="1220" t="s">
        <v>13165</v>
      </c>
      <c r="B2551" s="985" t="s">
        <v>1784</v>
      </c>
      <c r="C2551" s="985" t="s">
        <v>13063</v>
      </c>
      <c r="D2551" s="1037">
        <v>264</v>
      </c>
      <c r="E2551" s="1039">
        <v>260</v>
      </c>
      <c r="F2551" s="1037" t="s">
        <v>13080</v>
      </c>
      <c r="G2551" s="1037" t="s">
        <v>1842</v>
      </c>
      <c r="H2551" s="1037" t="s">
        <v>13318</v>
      </c>
      <c r="I2551" s="508"/>
      <c r="J2551" s="1223"/>
    </row>
    <row r="2552" spans="1:10" s="81" customFormat="1" ht="50.1" customHeight="1" x14ac:dyDescent="0.2">
      <c r="A2552" s="1220" t="s">
        <v>13309</v>
      </c>
      <c r="B2552" s="985" t="s">
        <v>1784</v>
      </c>
      <c r="C2552" s="985" t="s">
        <v>13063</v>
      </c>
      <c r="D2552" s="1037">
        <v>265</v>
      </c>
      <c r="E2552" s="1039">
        <v>704</v>
      </c>
      <c r="F2552" s="1037" t="s">
        <v>13262</v>
      </c>
      <c r="G2552" s="1037" t="s">
        <v>1842</v>
      </c>
      <c r="H2552" s="1037" t="s">
        <v>13318</v>
      </c>
      <c r="I2552" s="508"/>
      <c r="J2552" s="1223"/>
    </row>
    <row r="2553" spans="1:10" s="81" customFormat="1" ht="50.1" customHeight="1" x14ac:dyDescent="0.2">
      <c r="A2553" s="1220" t="s">
        <v>13309</v>
      </c>
      <c r="B2553" s="985" t="s">
        <v>1784</v>
      </c>
      <c r="C2553" s="985" t="s">
        <v>13063</v>
      </c>
      <c r="D2553" s="1037">
        <v>266</v>
      </c>
      <c r="E2553" s="1039">
        <v>2201.58</v>
      </c>
      <c r="F2553" s="1037" t="s">
        <v>13262</v>
      </c>
      <c r="G2553" s="1037" t="s">
        <v>1842</v>
      </c>
      <c r="H2553" s="1037" t="s">
        <v>13318</v>
      </c>
      <c r="I2553" s="508"/>
      <c r="J2553" s="1223"/>
    </row>
    <row r="2554" spans="1:10" s="81" customFormat="1" ht="50.1" customHeight="1" x14ac:dyDescent="0.2">
      <c r="A2554" s="1220" t="s">
        <v>13309</v>
      </c>
      <c r="B2554" s="985" t="s">
        <v>1784</v>
      </c>
      <c r="C2554" s="985" t="s">
        <v>13063</v>
      </c>
      <c r="D2554" s="1037">
        <v>267</v>
      </c>
      <c r="E2554" s="1039">
        <v>2343.94</v>
      </c>
      <c r="F2554" s="1037" t="s">
        <v>13262</v>
      </c>
      <c r="G2554" s="1037" t="s">
        <v>1842</v>
      </c>
      <c r="H2554" s="1037" t="s">
        <v>13318</v>
      </c>
      <c r="I2554" s="508"/>
      <c r="J2554" s="1223"/>
    </row>
    <row r="2555" spans="1:10" s="81" customFormat="1" ht="50.1" customHeight="1" x14ac:dyDescent="0.2">
      <c r="A2555" s="1220" t="s">
        <v>13309</v>
      </c>
      <c r="B2555" s="985" t="s">
        <v>1784</v>
      </c>
      <c r="C2555" s="985" t="s">
        <v>13063</v>
      </c>
      <c r="D2555" s="1037">
        <v>268</v>
      </c>
      <c r="E2555" s="1039">
        <v>1058.48</v>
      </c>
      <c r="F2555" s="1037" t="s">
        <v>13262</v>
      </c>
      <c r="G2555" s="1037" t="s">
        <v>1842</v>
      </c>
      <c r="H2555" s="1037" t="s">
        <v>13318</v>
      </c>
      <c r="I2555" s="508"/>
      <c r="J2555" s="1223"/>
    </row>
    <row r="2556" spans="1:10" s="81" customFormat="1" ht="50.1" customHeight="1" x14ac:dyDescent="0.2">
      <c r="A2556" s="1220" t="s">
        <v>13319</v>
      </c>
      <c r="B2556" s="985" t="s">
        <v>1784</v>
      </c>
      <c r="C2556" s="985" t="s">
        <v>13063</v>
      </c>
      <c r="D2556" s="1037">
        <v>269</v>
      </c>
      <c r="E2556" s="1039">
        <v>790</v>
      </c>
      <c r="F2556" s="1037" t="s">
        <v>13320</v>
      </c>
      <c r="G2556" s="1037" t="s">
        <v>1842</v>
      </c>
      <c r="H2556" s="1037" t="s">
        <v>2188</v>
      </c>
      <c r="I2556" s="508"/>
      <c r="J2556" s="1223"/>
    </row>
    <row r="2557" spans="1:10" s="81" customFormat="1" ht="50.1" customHeight="1" x14ac:dyDescent="0.2">
      <c r="A2557" s="1220" t="s">
        <v>13321</v>
      </c>
      <c r="B2557" s="985" t="s">
        <v>1784</v>
      </c>
      <c r="C2557" s="985" t="s">
        <v>13063</v>
      </c>
      <c r="D2557" s="1037">
        <v>270</v>
      </c>
      <c r="E2557" s="1039">
        <v>4500</v>
      </c>
      <c r="F2557" s="1037" t="s">
        <v>13121</v>
      </c>
      <c r="G2557" s="1037" t="s">
        <v>1842</v>
      </c>
      <c r="H2557" s="1037" t="s">
        <v>13322</v>
      </c>
      <c r="I2557" s="508"/>
      <c r="J2557" s="1223"/>
    </row>
    <row r="2558" spans="1:10" s="81" customFormat="1" ht="50.1" customHeight="1" x14ac:dyDescent="0.2">
      <c r="A2558" s="1220" t="s">
        <v>13323</v>
      </c>
      <c r="B2558" s="985" t="s">
        <v>1784</v>
      </c>
      <c r="C2558" s="985" t="s">
        <v>13063</v>
      </c>
      <c r="D2558" s="1037">
        <v>271</v>
      </c>
      <c r="E2558" s="1039">
        <v>1549.81</v>
      </c>
      <c r="F2558" s="1037" t="s">
        <v>13324</v>
      </c>
      <c r="G2558" s="1037" t="s">
        <v>1842</v>
      </c>
      <c r="H2558" s="1037" t="s">
        <v>2201</v>
      </c>
      <c r="I2558" s="508"/>
      <c r="J2558" s="1223"/>
    </row>
    <row r="2559" spans="1:10" s="81" customFormat="1" ht="50.1" customHeight="1" x14ac:dyDescent="0.2">
      <c r="A2559" s="1220" t="s">
        <v>13323</v>
      </c>
      <c r="B2559" s="985" t="s">
        <v>1784</v>
      </c>
      <c r="C2559" s="985" t="s">
        <v>13063</v>
      </c>
      <c r="D2559" s="1037">
        <v>272</v>
      </c>
      <c r="E2559" s="1039">
        <v>1201.48</v>
      </c>
      <c r="F2559" s="1037" t="s">
        <v>13325</v>
      </c>
      <c r="G2559" s="1037" t="s">
        <v>1842</v>
      </c>
      <c r="H2559" s="1037" t="s">
        <v>2201</v>
      </c>
      <c r="I2559" s="508"/>
      <c r="J2559" s="1223"/>
    </row>
    <row r="2560" spans="1:10" s="81" customFormat="1" ht="50.1" customHeight="1" x14ac:dyDescent="0.2">
      <c r="A2560" s="1220" t="s">
        <v>13323</v>
      </c>
      <c r="B2560" s="985" t="s">
        <v>1784</v>
      </c>
      <c r="C2560" s="985" t="s">
        <v>13063</v>
      </c>
      <c r="D2560" s="1037">
        <v>273</v>
      </c>
      <c r="E2560" s="1039">
        <v>5451.6</v>
      </c>
      <c r="F2560" s="1037" t="s">
        <v>1810</v>
      </c>
      <c r="G2560" s="1037" t="s">
        <v>1842</v>
      </c>
      <c r="H2560" s="1037" t="s">
        <v>2201</v>
      </c>
      <c r="I2560" s="508"/>
      <c r="J2560" s="1223"/>
    </row>
    <row r="2561" spans="1:10" s="81" customFormat="1" ht="50.1" customHeight="1" x14ac:dyDescent="0.2">
      <c r="A2561" s="1220" t="s">
        <v>13323</v>
      </c>
      <c r="B2561" s="985" t="s">
        <v>1784</v>
      </c>
      <c r="C2561" s="985" t="s">
        <v>13063</v>
      </c>
      <c r="D2561" s="1037">
        <v>274</v>
      </c>
      <c r="E2561" s="1039">
        <v>414.77</v>
      </c>
      <c r="F2561" s="1037" t="s">
        <v>2467</v>
      </c>
      <c r="G2561" s="1037" t="s">
        <v>1842</v>
      </c>
      <c r="H2561" s="1037" t="s">
        <v>2201</v>
      </c>
      <c r="I2561" s="508"/>
      <c r="J2561" s="1223"/>
    </row>
    <row r="2562" spans="1:10" s="81" customFormat="1" ht="50.1" customHeight="1" x14ac:dyDescent="0.2">
      <c r="A2562" s="1220" t="s">
        <v>13323</v>
      </c>
      <c r="B2562" s="985" t="s">
        <v>1784</v>
      </c>
      <c r="C2562" s="985" t="s">
        <v>13063</v>
      </c>
      <c r="D2562" s="1037">
        <v>275</v>
      </c>
      <c r="E2562" s="1039">
        <v>1097.4000000000001</v>
      </c>
      <c r="F2562" s="1037" t="s">
        <v>2115</v>
      </c>
      <c r="G2562" s="1037" t="s">
        <v>1842</v>
      </c>
      <c r="H2562" s="1037" t="s">
        <v>2201</v>
      </c>
      <c r="I2562" s="508"/>
      <c r="J2562" s="1223"/>
    </row>
    <row r="2563" spans="1:10" s="81" customFormat="1" ht="50.1" customHeight="1" x14ac:dyDescent="0.2">
      <c r="A2563" s="1220" t="s">
        <v>13326</v>
      </c>
      <c r="B2563" s="985" t="s">
        <v>1784</v>
      </c>
      <c r="C2563" s="985" t="s">
        <v>13063</v>
      </c>
      <c r="D2563" s="1037">
        <v>279</v>
      </c>
      <c r="E2563" s="1039">
        <v>1400.8</v>
      </c>
      <c r="F2563" s="1037" t="s">
        <v>13141</v>
      </c>
      <c r="G2563" s="1037" t="s">
        <v>1842</v>
      </c>
      <c r="H2563" s="1037" t="s">
        <v>2173</v>
      </c>
      <c r="I2563" s="508"/>
      <c r="J2563" s="1223"/>
    </row>
    <row r="2564" spans="1:10" s="81" customFormat="1" ht="50.1" customHeight="1" x14ac:dyDescent="0.2">
      <c r="A2564" s="1220" t="s">
        <v>13327</v>
      </c>
      <c r="B2564" s="985" t="s">
        <v>1784</v>
      </c>
      <c r="C2564" s="985" t="s">
        <v>13063</v>
      </c>
      <c r="D2564" s="1037">
        <v>281</v>
      </c>
      <c r="E2564" s="1039">
        <v>10715.2</v>
      </c>
      <c r="F2564" s="1037" t="s">
        <v>13328</v>
      </c>
      <c r="G2564" s="1037" t="s">
        <v>1842</v>
      </c>
      <c r="H2564" s="1037" t="s">
        <v>2204</v>
      </c>
      <c r="I2564" s="508"/>
      <c r="J2564" s="1223"/>
    </row>
    <row r="2565" spans="1:10" s="81" customFormat="1" ht="50.1" customHeight="1" x14ac:dyDescent="0.2">
      <c r="A2565" s="1220" t="s">
        <v>13329</v>
      </c>
      <c r="B2565" s="985" t="s">
        <v>1784</v>
      </c>
      <c r="C2565" s="985" t="s">
        <v>13063</v>
      </c>
      <c r="D2565" s="1037">
        <v>282</v>
      </c>
      <c r="E2565" s="1039">
        <v>2985</v>
      </c>
      <c r="F2565" s="1037" t="s">
        <v>13330</v>
      </c>
      <c r="G2565" s="1037" t="s">
        <v>1842</v>
      </c>
      <c r="H2565" s="1037" t="s">
        <v>1976</v>
      </c>
      <c r="I2565" s="508"/>
      <c r="J2565" s="1223"/>
    </row>
    <row r="2566" spans="1:10" s="81" customFormat="1" ht="50.1" customHeight="1" x14ac:dyDescent="0.2">
      <c r="A2566" s="1220" t="s">
        <v>13331</v>
      </c>
      <c r="B2566" s="985" t="s">
        <v>1784</v>
      </c>
      <c r="C2566" s="985" t="s">
        <v>13063</v>
      </c>
      <c r="D2566" s="1037">
        <v>283</v>
      </c>
      <c r="E2566" s="1039">
        <v>5136.54</v>
      </c>
      <c r="F2566" s="1037" t="s">
        <v>13272</v>
      </c>
      <c r="G2566" s="1037" t="s">
        <v>1842</v>
      </c>
      <c r="H2566" s="1037" t="s">
        <v>2193</v>
      </c>
      <c r="I2566" s="508"/>
      <c r="J2566" s="1223"/>
    </row>
    <row r="2567" spans="1:10" s="81" customFormat="1" ht="50.1" customHeight="1" x14ac:dyDescent="0.2">
      <c r="A2567" s="1220" t="s">
        <v>13083</v>
      </c>
      <c r="B2567" s="985" t="s">
        <v>1784</v>
      </c>
      <c r="C2567" s="985" t="s">
        <v>13063</v>
      </c>
      <c r="D2567" s="1037">
        <v>284</v>
      </c>
      <c r="E2567" s="1039">
        <v>5022.6000000000004</v>
      </c>
      <c r="F2567" s="1037" t="s">
        <v>13080</v>
      </c>
      <c r="G2567" s="1037" t="s">
        <v>1842</v>
      </c>
      <c r="H2567" s="1037" t="s">
        <v>2193</v>
      </c>
      <c r="I2567" s="508"/>
      <c r="J2567" s="1223"/>
    </row>
    <row r="2568" spans="1:10" s="81" customFormat="1" ht="50.1" customHeight="1" x14ac:dyDescent="0.2">
      <c r="A2568" s="1220" t="s">
        <v>13084</v>
      </c>
      <c r="B2568" s="985" t="s">
        <v>1784</v>
      </c>
      <c r="C2568" s="985" t="s">
        <v>13063</v>
      </c>
      <c r="D2568" s="1037">
        <v>285</v>
      </c>
      <c r="E2568" s="1039">
        <v>1545.95</v>
      </c>
      <c r="F2568" s="1037" t="s">
        <v>13080</v>
      </c>
      <c r="G2568" s="1037" t="s">
        <v>1842</v>
      </c>
      <c r="H2568" s="1037" t="s">
        <v>2193</v>
      </c>
      <c r="I2568" s="508"/>
      <c r="J2568" s="1223"/>
    </row>
    <row r="2569" spans="1:10" s="81" customFormat="1" ht="50.1" customHeight="1" x14ac:dyDescent="0.2">
      <c r="A2569" s="1220" t="s">
        <v>13332</v>
      </c>
      <c r="B2569" s="985" t="s">
        <v>1784</v>
      </c>
      <c r="C2569" s="985" t="s">
        <v>13063</v>
      </c>
      <c r="D2569" s="1037">
        <v>286</v>
      </c>
      <c r="E2569" s="1039">
        <v>1095</v>
      </c>
      <c r="F2569" s="1037" t="s">
        <v>13320</v>
      </c>
      <c r="G2569" s="1037" t="s">
        <v>1842</v>
      </c>
      <c r="H2569" s="1037" t="s">
        <v>1991</v>
      </c>
      <c r="I2569" s="508"/>
      <c r="J2569" s="1223"/>
    </row>
    <row r="2570" spans="1:10" s="81" customFormat="1" ht="50.1" customHeight="1" x14ac:dyDescent="0.2">
      <c r="A2570" s="1220" t="s">
        <v>13333</v>
      </c>
      <c r="B2570" s="985" t="s">
        <v>640</v>
      </c>
      <c r="C2570" s="985" t="s">
        <v>13245</v>
      </c>
      <c r="D2570" s="1037">
        <v>287</v>
      </c>
      <c r="E2570" s="1039">
        <v>67850</v>
      </c>
      <c r="F2570" s="1037" t="s">
        <v>13334</v>
      </c>
      <c r="G2570" s="1037" t="s">
        <v>1842</v>
      </c>
      <c r="H2570" s="1037" t="s">
        <v>1991</v>
      </c>
      <c r="I2570" s="508"/>
      <c r="J2570" s="1223"/>
    </row>
    <row r="2571" spans="1:10" s="81" customFormat="1" ht="50.1" customHeight="1" x14ac:dyDescent="0.2">
      <c r="A2571" s="1220" t="s">
        <v>13073</v>
      </c>
      <c r="B2571" s="985" t="s">
        <v>1784</v>
      </c>
      <c r="C2571" s="985" t="s">
        <v>13063</v>
      </c>
      <c r="D2571" s="1037">
        <v>288</v>
      </c>
      <c r="E2571" s="1039">
        <v>2380</v>
      </c>
      <c r="F2571" s="1037" t="s">
        <v>13074</v>
      </c>
      <c r="G2571" s="1037" t="s">
        <v>1842</v>
      </c>
      <c r="H2571" s="1037" t="s">
        <v>2205</v>
      </c>
      <c r="I2571" s="508"/>
      <c r="J2571" s="1223"/>
    </row>
    <row r="2572" spans="1:10" s="81" customFormat="1" ht="50.1" customHeight="1" x14ac:dyDescent="0.2">
      <c r="A2572" s="1220" t="s">
        <v>13335</v>
      </c>
      <c r="B2572" s="985" t="s">
        <v>1784</v>
      </c>
      <c r="C2572" s="985" t="s">
        <v>13063</v>
      </c>
      <c r="D2572" s="1037">
        <v>289</v>
      </c>
      <c r="E2572" s="1039">
        <v>1995.9</v>
      </c>
      <c r="F2572" s="1037" t="s">
        <v>13071</v>
      </c>
      <c r="G2572" s="1037" t="s">
        <v>1842</v>
      </c>
      <c r="H2572" s="1037" t="s">
        <v>2212</v>
      </c>
      <c r="I2572" s="508"/>
      <c r="J2572" s="1223"/>
    </row>
    <row r="2573" spans="1:10" s="81" customFormat="1" ht="50.1" customHeight="1" x14ac:dyDescent="0.2">
      <c r="A2573" s="1220" t="s">
        <v>13335</v>
      </c>
      <c r="B2573" s="985" t="s">
        <v>1784</v>
      </c>
      <c r="C2573" s="985" t="s">
        <v>13063</v>
      </c>
      <c r="D2573" s="1037">
        <v>290</v>
      </c>
      <c r="E2573" s="1039">
        <v>5100</v>
      </c>
      <c r="F2573" s="1037" t="s">
        <v>13336</v>
      </c>
      <c r="G2573" s="1037" t="s">
        <v>1842</v>
      </c>
      <c r="H2573" s="1037" t="s">
        <v>2212</v>
      </c>
      <c r="I2573" s="508"/>
      <c r="J2573" s="1223"/>
    </row>
    <row r="2574" spans="1:10" s="81" customFormat="1" ht="50.1" customHeight="1" x14ac:dyDescent="0.2">
      <c r="A2574" s="1220" t="s">
        <v>13335</v>
      </c>
      <c r="B2574" s="985" t="s">
        <v>1784</v>
      </c>
      <c r="C2574" s="985" t="s">
        <v>13063</v>
      </c>
      <c r="D2574" s="1037">
        <v>291</v>
      </c>
      <c r="E2574" s="1039">
        <v>662.4</v>
      </c>
      <c r="F2574" s="1037" t="s">
        <v>13307</v>
      </c>
      <c r="G2574" s="1037" t="s">
        <v>1842</v>
      </c>
      <c r="H2574" s="1037" t="s">
        <v>2212</v>
      </c>
      <c r="I2574" s="508"/>
      <c r="J2574" s="1223"/>
    </row>
    <row r="2575" spans="1:10" s="81" customFormat="1" ht="50.1" customHeight="1" x14ac:dyDescent="0.2">
      <c r="A2575" s="1220" t="s">
        <v>13335</v>
      </c>
      <c r="B2575" s="985" t="s">
        <v>1784</v>
      </c>
      <c r="C2575" s="985" t="s">
        <v>13063</v>
      </c>
      <c r="D2575" s="1037">
        <v>292</v>
      </c>
      <c r="E2575" s="1039">
        <v>820</v>
      </c>
      <c r="F2575" s="1037" t="s">
        <v>13175</v>
      </c>
      <c r="G2575" s="1037" t="s">
        <v>1842</v>
      </c>
      <c r="H2575" s="1037" t="s">
        <v>2212</v>
      </c>
      <c r="I2575" s="508"/>
      <c r="J2575" s="1223"/>
    </row>
    <row r="2576" spans="1:10" s="81" customFormat="1" ht="50.1" customHeight="1" x14ac:dyDescent="0.2">
      <c r="A2576" s="1220" t="s">
        <v>13335</v>
      </c>
      <c r="B2576" s="985" t="s">
        <v>1784</v>
      </c>
      <c r="C2576" s="985" t="s">
        <v>13063</v>
      </c>
      <c r="D2576" s="1037">
        <v>293</v>
      </c>
      <c r="E2576" s="1039">
        <v>6875</v>
      </c>
      <c r="F2576" s="1037" t="s">
        <v>13098</v>
      </c>
      <c r="G2576" s="1037" t="s">
        <v>1842</v>
      </c>
      <c r="H2576" s="1037" t="s">
        <v>2212</v>
      </c>
      <c r="I2576" s="508"/>
      <c r="J2576" s="1223"/>
    </row>
    <row r="2577" spans="1:10" s="81" customFormat="1" ht="50.1" customHeight="1" x14ac:dyDescent="0.2">
      <c r="A2577" s="1220" t="s">
        <v>13335</v>
      </c>
      <c r="B2577" s="985" t="s">
        <v>1784</v>
      </c>
      <c r="C2577" s="985" t="s">
        <v>13063</v>
      </c>
      <c r="D2577" s="1037">
        <v>294</v>
      </c>
      <c r="E2577" s="1039">
        <v>3752.58</v>
      </c>
      <c r="F2577" s="1037" t="s">
        <v>13071</v>
      </c>
      <c r="G2577" s="1037" t="s">
        <v>1842</v>
      </c>
      <c r="H2577" s="1037" t="s">
        <v>2212</v>
      </c>
      <c r="I2577" s="508"/>
      <c r="J2577" s="1223"/>
    </row>
    <row r="2578" spans="1:10" s="81" customFormat="1" ht="50.1" customHeight="1" x14ac:dyDescent="0.2">
      <c r="A2578" s="1220" t="s">
        <v>13335</v>
      </c>
      <c r="B2578" s="985" t="s">
        <v>1784</v>
      </c>
      <c r="C2578" s="985" t="s">
        <v>13063</v>
      </c>
      <c r="D2578" s="1037">
        <v>295</v>
      </c>
      <c r="E2578" s="1039">
        <v>700</v>
      </c>
      <c r="F2578" s="1037" t="s">
        <v>13071</v>
      </c>
      <c r="G2578" s="1037" t="s">
        <v>1842</v>
      </c>
      <c r="H2578" s="1037" t="s">
        <v>2212</v>
      </c>
      <c r="I2578" s="508"/>
      <c r="J2578" s="1223"/>
    </row>
    <row r="2579" spans="1:10" s="81" customFormat="1" ht="50.1" customHeight="1" x14ac:dyDescent="0.2">
      <c r="A2579" s="1220" t="s">
        <v>13335</v>
      </c>
      <c r="B2579" s="985" t="s">
        <v>1784</v>
      </c>
      <c r="C2579" s="985" t="s">
        <v>13063</v>
      </c>
      <c r="D2579" s="1037">
        <v>296</v>
      </c>
      <c r="E2579" s="1039">
        <v>134.69999999999999</v>
      </c>
      <c r="F2579" s="1037" t="s">
        <v>13071</v>
      </c>
      <c r="G2579" s="1037" t="s">
        <v>1842</v>
      </c>
      <c r="H2579" s="1037" t="s">
        <v>2212</v>
      </c>
      <c r="I2579" s="508"/>
      <c r="J2579" s="1223"/>
    </row>
    <row r="2580" spans="1:10" s="81" customFormat="1" ht="50.1" customHeight="1" x14ac:dyDescent="0.2">
      <c r="A2580" s="1220" t="s">
        <v>13335</v>
      </c>
      <c r="B2580" s="985" t="s">
        <v>1784</v>
      </c>
      <c r="C2580" s="985" t="s">
        <v>13063</v>
      </c>
      <c r="D2580" s="1037">
        <v>297</v>
      </c>
      <c r="E2580" s="1039">
        <v>468</v>
      </c>
      <c r="F2580" s="1037" t="s">
        <v>13071</v>
      </c>
      <c r="G2580" s="1037" t="s">
        <v>1842</v>
      </c>
      <c r="H2580" s="1037" t="s">
        <v>2212</v>
      </c>
      <c r="I2580" s="508"/>
      <c r="J2580" s="1223"/>
    </row>
    <row r="2581" spans="1:10" s="81" customFormat="1" ht="50.1" customHeight="1" x14ac:dyDescent="0.2">
      <c r="A2581" s="1220" t="s">
        <v>13335</v>
      </c>
      <c r="B2581" s="985" t="s">
        <v>1784</v>
      </c>
      <c r="C2581" s="985" t="s">
        <v>13063</v>
      </c>
      <c r="D2581" s="1037">
        <v>298</v>
      </c>
      <c r="E2581" s="1039">
        <v>253</v>
      </c>
      <c r="F2581" s="1037" t="s">
        <v>13071</v>
      </c>
      <c r="G2581" s="1037" t="s">
        <v>1842</v>
      </c>
      <c r="H2581" s="1037" t="s">
        <v>2212</v>
      </c>
      <c r="I2581" s="508"/>
      <c r="J2581" s="1223"/>
    </row>
    <row r="2582" spans="1:10" s="81" customFormat="1" ht="50.1" customHeight="1" x14ac:dyDescent="0.2">
      <c r="A2582" s="1220" t="s">
        <v>13335</v>
      </c>
      <c r="B2582" s="985" t="s">
        <v>1784</v>
      </c>
      <c r="C2582" s="985" t="s">
        <v>13063</v>
      </c>
      <c r="D2582" s="1037">
        <v>299</v>
      </c>
      <c r="E2582" s="1039">
        <v>689.42</v>
      </c>
      <c r="F2582" s="1037" t="s">
        <v>13071</v>
      </c>
      <c r="G2582" s="1037" t="s">
        <v>1842</v>
      </c>
      <c r="H2582" s="1037" t="s">
        <v>2212</v>
      </c>
      <c r="I2582" s="508"/>
      <c r="J2582" s="1223"/>
    </row>
    <row r="2583" spans="1:10" s="81" customFormat="1" ht="50.1" customHeight="1" x14ac:dyDescent="0.2">
      <c r="A2583" s="1220" t="s">
        <v>13335</v>
      </c>
      <c r="B2583" s="985" t="s">
        <v>1784</v>
      </c>
      <c r="C2583" s="985" t="s">
        <v>13063</v>
      </c>
      <c r="D2583" s="1037">
        <v>301</v>
      </c>
      <c r="E2583" s="1039">
        <v>276</v>
      </c>
      <c r="F2583" s="1037" t="s">
        <v>13307</v>
      </c>
      <c r="G2583" s="1037" t="s">
        <v>1842</v>
      </c>
      <c r="H2583" s="1037" t="s">
        <v>2212</v>
      </c>
      <c r="I2583" s="508"/>
      <c r="J2583" s="1223"/>
    </row>
    <row r="2584" spans="1:10" s="81" customFormat="1" ht="50.1" customHeight="1" x14ac:dyDescent="0.2">
      <c r="A2584" s="1220" t="s">
        <v>13335</v>
      </c>
      <c r="B2584" s="985" t="s">
        <v>1784</v>
      </c>
      <c r="C2584" s="985" t="s">
        <v>13063</v>
      </c>
      <c r="D2584" s="1037">
        <v>302</v>
      </c>
      <c r="E2584" s="1039">
        <v>171.36</v>
      </c>
      <c r="F2584" s="1037" t="s">
        <v>13307</v>
      </c>
      <c r="G2584" s="1037" t="s">
        <v>1842</v>
      </c>
      <c r="H2584" s="1037" t="s">
        <v>2212</v>
      </c>
      <c r="I2584" s="508"/>
      <c r="J2584" s="1223"/>
    </row>
    <row r="2585" spans="1:10" s="81" customFormat="1" ht="50.1" customHeight="1" x14ac:dyDescent="0.2">
      <c r="A2585" s="1220" t="s">
        <v>13337</v>
      </c>
      <c r="B2585" s="985" t="s">
        <v>1784</v>
      </c>
      <c r="C2585" s="985" t="s">
        <v>13063</v>
      </c>
      <c r="D2585" s="1037">
        <v>303</v>
      </c>
      <c r="E2585" s="1039">
        <v>484</v>
      </c>
      <c r="F2585" s="1037" t="s">
        <v>13071</v>
      </c>
      <c r="G2585" s="1037" t="s">
        <v>1842</v>
      </c>
      <c r="H2585" s="1037" t="s">
        <v>2212</v>
      </c>
      <c r="I2585" s="508"/>
      <c r="J2585" s="1223"/>
    </row>
    <row r="2586" spans="1:10" s="81" customFormat="1" ht="50.1" customHeight="1" x14ac:dyDescent="0.2">
      <c r="A2586" s="1220" t="s">
        <v>13338</v>
      </c>
      <c r="B2586" s="985" t="s">
        <v>1784</v>
      </c>
      <c r="C2586" s="985" t="s">
        <v>13063</v>
      </c>
      <c r="D2586" s="1037">
        <v>304</v>
      </c>
      <c r="E2586" s="1039">
        <v>140</v>
      </c>
      <c r="F2586" s="1037" t="s">
        <v>13175</v>
      </c>
      <c r="G2586" s="1037" t="s">
        <v>1842</v>
      </c>
      <c r="H2586" s="1037" t="s">
        <v>2212</v>
      </c>
      <c r="I2586" s="508"/>
      <c r="J2586" s="1223"/>
    </row>
    <row r="2587" spans="1:10" s="81" customFormat="1" ht="50.1" customHeight="1" x14ac:dyDescent="0.2">
      <c r="A2587" s="1220" t="s">
        <v>13339</v>
      </c>
      <c r="B2587" s="985" t="s">
        <v>1784</v>
      </c>
      <c r="C2587" s="985" t="s">
        <v>13063</v>
      </c>
      <c r="D2587" s="1037">
        <v>305</v>
      </c>
      <c r="E2587" s="1039">
        <v>6000</v>
      </c>
      <c r="F2587" s="1037" t="s">
        <v>13071</v>
      </c>
      <c r="G2587" s="1037" t="s">
        <v>1842</v>
      </c>
      <c r="H2587" s="1037" t="s">
        <v>2207</v>
      </c>
      <c r="I2587" s="508"/>
      <c r="J2587" s="1223"/>
    </row>
    <row r="2588" spans="1:10" s="81" customFormat="1" ht="50.1" customHeight="1" x14ac:dyDescent="0.2">
      <c r="A2588" s="1220" t="s">
        <v>13339</v>
      </c>
      <c r="B2588" s="985" t="s">
        <v>1784</v>
      </c>
      <c r="C2588" s="985" t="s">
        <v>13063</v>
      </c>
      <c r="D2588" s="1037">
        <v>306</v>
      </c>
      <c r="E2588" s="1039">
        <v>3800</v>
      </c>
      <c r="F2588" s="1037" t="s">
        <v>13304</v>
      </c>
      <c r="G2588" s="1037" t="s">
        <v>1842</v>
      </c>
      <c r="H2588" s="1037" t="s">
        <v>2207</v>
      </c>
      <c r="I2588" s="508"/>
      <c r="J2588" s="1223"/>
    </row>
    <row r="2589" spans="1:10" s="81" customFormat="1" ht="50.1" customHeight="1" x14ac:dyDescent="0.2">
      <c r="A2589" s="1220" t="s">
        <v>13339</v>
      </c>
      <c r="B2589" s="985" t="s">
        <v>1784</v>
      </c>
      <c r="C2589" s="985" t="s">
        <v>13063</v>
      </c>
      <c r="D2589" s="1037">
        <v>307</v>
      </c>
      <c r="E2589" s="1039">
        <v>756</v>
      </c>
      <c r="F2589" s="1037" t="s">
        <v>13071</v>
      </c>
      <c r="G2589" s="1037" t="s">
        <v>1842</v>
      </c>
      <c r="H2589" s="1037" t="s">
        <v>2207</v>
      </c>
      <c r="I2589" s="508"/>
      <c r="J2589" s="1223"/>
    </row>
    <row r="2590" spans="1:10" s="81" customFormat="1" ht="50.1" customHeight="1" x14ac:dyDescent="0.2">
      <c r="A2590" s="1220" t="s">
        <v>13339</v>
      </c>
      <c r="B2590" s="985" t="s">
        <v>1784</v>
      </c>
      <c r="C2590" s="985" t="s">
        <v>13063</v>
      </c>
      <c r="D2590" s="1037">
        <v>308</v>
      </c>
      <c r="E2590" s="1039">
        <v>2620</v>
      </c>
      <c r="F2590" s="1037" t="s">
        <v>13153</v>
      </c>
      <c r="G2590" s="1037" t="s">
        <v>1842</v>
      </c>
      <c r="H2590" s="1037" t="s">
        <v>2207</v>
      </c>
      <c r="I2590" s="508"/>
      <c r="J2590" s="1223"/>
    </row>
    <row r="2591" spans="1:10" s="81" customFormat="1" ht="50.1" customHeight="1" x14ac:dyDescent="0.2">
      <c r="A2591" s="1220" t="s">
        <v>13340</v>
      </c>
      <c r="B2591" s="985" t="s">
        <v>1784</v>
      </c>
      <c r="C2591" s="985" t="s">
        <v>13063</v>
      </c>
      <c r="D2591" s="1037">
        <v>309</v>
      </c>
      <c r="E2591" s="1039">
        <v>2444.37</v>
      </c>
      <c r="F2591" s="1037" t="s">
        <v>13341</v>
      </c>
      <c r="G2591" s="1037" t="s">
        <v>1842</v>
      </c>
      <c r="H2591" s="1037" t="s">
        <v>2207</v>
      </c>
      <c r="I2591" s="508"/>
      <c r="J2591" s="1223"/>
    </row>
    <row r="2592" spans="1:10" s="81" customFormat="1" ht="50.1" customHeight="1" x14ac:dyDescent="0.2">
      <c r="A2592" s="1220" t="s">
        <v>13342</v>
      </c>
      <c r="B2592" s="985" t="s">
        <v>13092</v>
      </c>
      <c r="C2592" s="985" t="s">
        <v>13093</v>
      </c>
      <c r="D2592" s="1037">
        <v>311</v>
      </c>
      <c r="E2592" s="1039">
        <v>1788.88</v>
      </c>
      <c r="F2592" s="1037" t="s">
        <v>13343</v>
      </c>
      <c r="G2592" s="1037" t="s">
        <v>1842</v>
      </c>
      <c r="H2592" s="1037" t="s">
        <v>2182</v>
      </c>
      <c r="I2592" s="508"/>
      <c r="J2592" s="1223"/>
    </row>
    <row r="2593" spans="1:10" s="81" customFormat="1" ht="50.1" customHeight="1" x14ac:dyDescent="0.2">
      <c r="A2593" s="1220" t="s">
        <v>13342</v>
      </c>
      <c r="B2593" s="985" t="s">
        <v>13092</v>
      </c>
      <c r="C2593" s="985" t="s">
        <v>13093</v>
      </c>
      <c r="D2593" s="1037">
        <v>312</v>
      </c>
      <c r="E2593" s="1039">
        <v>2255.5700000000002</v>
      </c>
      <c r="F2593" s="1037" t="s">
        <v>13162</v>
      </c>
      <c r="G2593" s="1037" t="s">
        <v>1842</v>
      </c>
      <c r="H2593" s="1037" t="s">
        <v>2182</v>
      </c>
      <c r="I2593" s="508"/>
      <c r="J2593" s="1223"/>
    </row>
    <row r="2594" spans="1:10" s="81" customFormat="1" ht="50.1" customHeight="1" x14ac:dyDescent="0.2">
      <c r="A2594" s="1220" t="s">
        <v>13342</v>
      </c>
      <c r="B2594" s="985" t="s">
        <v>13092</v>
      </c>
      <c r="C2594" s="985" t="s">
        <v>13093</v>
      </c>
      <c r="D2594" s="1037">
        <v>314</v>
      </c>
      <c r="E2594" s="1039">
        <v>108</v>
      </c>
      <c r="F2594" s="1037" t="s">
        <v>13344</v>
      </c>
      <c r="G2594" s="1037" t="s">
        <v>1842</v>
      </c>
      <c r="H2594" s="1037" t="s">
        <v>2182</v>
      </c>
      <c r="I2594" s="508"/>
      <c r="J2594" s="1223"/>
    </row>
    <row r="2595" spans="1:10" s="81" customFormat="1" ht="50.1" customHeight="1" x14ac:dyDescent="0.2">
      <c r="A2595" s="1220" t="s">
        <v>13342</v>
      </c>
      <c r="B2595" s="985" t="s">
        <v>13092</v>
      </c>
      <c r="C2595" s="985" t="s">
        <v>13093</v>
      </c>
      <c r="D2595" s="1037">
        <v>315</v>
      </c>
      <c r="E2595" s="1039">
        <v>854.32</v>
      </c>
      <c r="F2595" s="1037" t="s">
        <v>13160</v>
      </c>
      <c r="G2595" s="1037" t="s">
        <v>1842</v>
      </c>
      <c r="H2595" s="1037" t="s">
        <v>2182</v>
      </c>
      <c r="I2595" s="508"/>
      <c r="J2595" s="1223"/>
    </row>
    <row r="2596" spans="1:10" s="81" customFormat="1" ht="50.1" customHeight="1" x14ac:dyDescent="0.2">
      <c r="A2596" s="1220" t="s">
        <v>13345</v>
      </c>
      <c r="B2596" s="985" t="s">
        <v>13092</v>
      </c>
      <c r="C2596" s="985" t="s">
        <v>13093</v>
      </c>
      <c r="D2596" s="1037">
        <v>316</v>
      </c>
      <c r="E2596" s="1039">
        <v>1015.98</v>
      </c>
      <c r="F2596" s="1037" t="s">
        <v>1810</v>
      </c>
      <c r="G2596" s="1037" t="s">
        <v>1842</v>
      </c>
      <c r="H2596" s="1037" t="s">
        <v>2182</v>
      </c>
      <c r="I2596" s="508"/>
      <c r="J2596" s="1223"/>
    </row>
    <row r="2597" spans="1:10" s="81" customFormat="1" ht="50.1" customHeight="1" x14ac:dyDescent="0.2">
      <c r="A2597" s="1220" t="s">
        <v>13113</v>
      </c>
      <c r="B2597" s="985" t="s">
        <v>1784</v>
      </c>
      <c r="C2597" s="985" t="s">
        <v>13063</v>
      </c>
      <c r="D2597" s="1037">
        <v>317</v>
      </c>
      <c r="E2597" s="1039">
        <v>2085</v>
      </c>
      <c r="F2597" s="1037" t="s">
        <v>13114</v>
      </c>
      <c r="G2597" s="1037" t="s">
        <v>1842</v>
      </c>
      <c r="H2597" s="1037" t="s">
        <v>2182</v>
      </c>
      <c r="I2597" s="508"/>
      <c r="J2597" s="1223"/>
    </row>
    <row r="2598" spans="1:10" s="81" customFormat="1" ht="50.1" customHeight="1" x14ac:dyDescent="0.2">
      <c r="A2598" s="1220" t="s">
        <v>13346</v>
      </c>
      <c r="B2598" s="985" t="s">
        <v>1784</v>
      </c>
      <c r="C2598" s="985" t="s">
        <v>13063</v>
      </c>
      <c r="D2598" s="1037">
        <v>318</v>
      </c>
      <c r="E2598" s="1039">
        <v>4135</v>
      </c>
      <c r="F2598" s="1037" t="s">
        <v>13343</v>
      </c>
      <c r="G2598" s="1037" t="s">
        <v>1842</v>
      </c>
      <c r="H2598" s="1037" t="s">
        <v>2151</v>
      </c>
      <c r="I2598" s="508"/>
      <c r="J2598" s="1223"/>
    </row>
    <row r="2599" spans="1:10" s="81" customFormat="1" ht="50.1" customHeight="1" x14ac:dyDescent="0.2">
      <c r="A2599" s="1220" t="s">
        <v>13347</v>
      </c>
      <c r="B2599" s="985" t="s">
        <v>1784</v>
      </c>
      <c r="C2599" s="985" t="s">
        <v>13063</v>
      </c>
      <c r="D2599" s="1037">
        <v>1</v>
      </c>
      <c r="E2599" s="1039">
        <v>1081.47</v>
      </c>
      <c r="F2599" s="1037" t="s">
        <v>13348</v>
      </c>
      <c r="G2599" s="508"/>
      <c r="H2599" s="1037" t="s">
        <v>13349</v>
      </c>
      <c r="I2599" s="508"/>
      <c r="J2599" s="1223"/>
    </row>
    <row r="2600" spans="1:10" s="81" customFormat="1" ht="50.1" customHeight="1" x14ac:dyDescent="0.2">
      <c r="A2600" s="1220" t="s">
        <v>13350</v>
      </c>
      <c r="B2600" s="985" t="s">
        <v>1784</v>
      </c>
      <c r="C2600" s="985" t="s">
        <v>13063</v>
      </c>
      <c r="D2600" s="1037">
        <v>2</v>
      </c>
      <c r="E2600" s="1039">
        <v>3059.5</v>
      </c>
      <c r="F2600" s="1037" t="s">
        <v>13351</v>
      </c>
      <c r="G2600" s="508"/>
      <c r="H2600" s="1037" t="s">
        <v>1998</v>
      </c>
      <c r="I2600" s="508"/>
      <c r="J2600" s="1223"/>
    </row>
    <row r="2601" spans="1:10" s="81" customFormat="1" ht="50.1" customHeight="1" x14ac:dyDescent="0.2">
      <c r="A2601" s="1220" t="s">
        <v>13352</v>
      </c>
      <c r="B2601" s="985" t="s">
        <v>1784</v>
      </c>
      <c r="C2601" s="985" t="s">
        <v>13063</v>
      </c>
      <c r="D2601" s="1037">
        <v>3</v>
      </c>
      <c r="E2601" s="1039">
        <v>166.44</v>
      </c>
      <c r="F2601" s="1037" t="s">
        <v>13353</v>
      </c>
      <c r="G2601" s="508"/>
      <c r="H2601" s="1037" t="s">
        <v>13354</v>
      </c>
      <c r="I2601" s="508"/>
      <c r="J2601" s="1223"/>
    </row>
    <row r="2602" spans="1:10" s="81" customFormat="1" ht="50.1" customHeight="1" x14ac:dyDescent="0.2">
      <c r="A2602" s="1220" t="s">
        <v>13355</v>
      </c>
      <c r="B2602" s="985" t="s">
        <v>1784</v>
      </c>
      <c r="C2602" s="985" t="s">
        <v>13063</v>
      </c>
      <c r="D2602" s="1037">
        <v>4</v>
      </c>
      <c r="E2602" s="1039">
        <v>4499.8999999999996</v>
      </c>
      <c r="F2602" s="1037" t="s">
        <v>13351</v>
      </c>
      <c r="G2602" s="508"/>
      <c r="H2602" s="1037" t="s">
        <v>13356</v>
      </c>
      <c r="I2602" s="508"/>
      <c r="J2602" s="1223"/>
    </row>
    <row r="2603" spans="1:10" s="81" customFormat="1" ht="50.1" customHeight="1" x14ac:dyDescent="0.2">
      <c r="A2603" s="1220" t="s">
        <v>13357</v>
      </c>
      <c r="B2603" s="985" t="s">
        <v>1784</v>
      </c>
      <c r="C2603" s="985" t="s">
        <v>13063</v>
      </c>
      <c r="D2603" s="1037">
        <v>5</v>
      </c>
      <c r="E2603" s="1039">
        <v>1400</v>
      </c>
      <c r="F2603" s="1037" t="s">
        <v>13358</v>
      </c>
      <c r="G2603" s="508"/>
      <c r="H2603" s="1037" t="s">
        <v>13356</v>
      </c>
      <c r="I2603" s="508"/>
      <c r="J2603" s="1223"/>
    </row>
    <row r="2604" spans="1:10" s="81" customFormat="1" ht="50.1" customHeight="1" x14ac:dyDescent="0.2">
      <c r="A2604" s="1220" t="s">
        <v>13359</v>
      </c>
      <c r="B2604" s="985" t="s">
        <v>1784</v>
      </c>
      <c r="C2604" s="985" t="s">
        <v>13063</v>
      </c>
      <c r="D2604" s="1037">
        <v>6</v>
      </c>
      <c r="E2604" s="1039">
        <v>1600</v>
      </c>
      <c r="F2604" s="1037" t="s">
        <v>13360</v>
      </c>
      <c r="G2604" s="508"/>
      <c r="H2604" s="1037" t="s">
        <v>13361</v>
      </c>
      <c r="I2604" s="508"/>
      <c r="J2604" s="1223"/>
    </row>
    <row r="2605" spans="1:10" s="81" customFormat="1" ht="50.1" customHeight="1" x14ac:dyDescent="0.2">
      <c r="A2605" s="1220" t="s">
        <v>13352</v>
      </c>
      <c r="B2605" s="985" t="s">
        <v>1784</v>
      </c>
      <c r="C2605" s="985" t="s">
        <v>13063</v>
      </c>
      <c r="D2605" s="1037">
        <v>7</v>
      </c>
      <c r="E2605" s="1039">
        <v>166.89</v>
      </c>
      <c r="F2605" s="1037" t="s">
        <v>13353</v>
      </c>
      <c r="G2605" s="508"/>
      <c r="H2605" s="1037" t="s">
        <v>13362</v>
      </c>
      <c r="I2605" s="508"/>
      <c r="J2605" s="1223"/>
    </row>
    <row r="2606" spans="1:10" s="81" customFormat="1" ht="50.1" customHeight="1" x14ac:dyDescent="0.2">
      <c r="A2606" s="1220" t="s">
        <v>13357</v>
      </c>
      <c r="B2606" s="985" t="s">
        <v>1784</v>
      </c>
      <c r="C2606" s="985" t="s">
        <v>13063</v>
      </c>
      <c r="D2606" s="1037">
        <v>8</v>
      </c>
      <c r="E2606" s="1039">
        <v>1400</v>
      </c>
      <c r="F2606" s="1037" t="s">
        <v>13358</v>
      </c>
      <c r="G2606" s="508"/>
      <c r="H2606" s="1037" t="s">
        <v>13363</v>
      </c>
      <c r="I2606" s="508"/>
      <c r="J2606" s="1223"/>
    </row>
    <row r="2607" spans="1:10" s="81" customFormat="1" ht="50.1" customHeight="1" x14ac:dyDescent="0.2">
      <c r="A2607" s="1220" t="s">
        <v>13352</v>
      </c>
      <c r="B2607" s="985" t="s">
        <v>1784</v>
      </c>
      <c r="C2607" s="985" t="s">
        <v>13063</v>
      </c>
      <c r="D2607" s="1037">
        <v>9</v>
      </c>
      <c r="E2607" s="1039">
        <v>171.71</v>
      </c>
      <c r="F2607" s="1037" t="s">
        <v>13353</v>
      </c>
      <c r="G2607" s="508"/>
      <c r="H2607" s="1037" t="s">
        <v>13079</v>
      </c>
      <c r="I2607" s="508"/>
      <c r="J2607" s="1223"/>
    </row>
    <row r="2608" spans="1:10" s="81" customFormat="1" ht="50.1" customHeight="1" x14ac:dyDescent="0.2">
      <c r="A2608" s="1220" t="s">
        <v>13364</v>
      </c>
      <c r="B2608" s="985" t="s">
        <v>1784</v>
      </c>
      <c r="C2608" s="985" t="s">
        <v>13063</v>
      </c>
      <c r="D2608" s="1037">
        <v>10</v>
      </c>
      <c r="E2608" s="1039">
        <v>5810.9</v>
      </c>
      <c r="F2608" s="1037" t="s">
        <v>13351</v>
      </c>
      <c r="G2608" s="508"/>
      <c r="H2608" s="1037" t="s">
        <v>13079</v>
      </c>
      <c r="I2608" s="508"/>
      <c r="J2608" s="1223"/>
    </row>
    <row r="2609" spans="1:10" s="81" customFormat="1" ht="50.1" customHeight="1" x14ac:dyDescent="0.2">
      <c r="A2609" s="1220" t="s">
        <v>13365</v>
      </c>
      <c r="B2609" s="985" t="s">
        <v>1784</v>
      </c>
      <c r="C2609" s="985" t="s">
        <v>13063</v>
      </c>
      <c r="D2609" s="1037">
        <v>11</v>
      </c>
      <c r="E2609" s="1039">
        <v>2807</v>
      </c>
      <c r="F2609" s="1037" t="s">
        <v>13320</v>
      </c>
      <c r="G2609" s="508"/>
      <c r="H2609" s="1037" t="s">
        <v>13366</v>
      </c>
      <c r="I2609" s="508"/>
      <c r="J2609" s="1223"/>
    </row>
    <row r="2610" spans="1:10" s="81" customFormat="1" ht="50.1" customHeight="1" x14ac:dyDescent="0.2">
      <c r="A2610" s="1220" t="s">
        <v>13367</v>
      </c>
      <c r="B2610" s="985" t="s">
        <v>1784</v>
      </c>
      <c r="C2610" s="985" t="s">
        <v>13063</v>
      </c>
      <c r="D2610" s="1037">
        <v>12</v>
      </c>
      <c r="E2610" s="1039">
        <v>1298.8</v>
      </c>
      <c r="F2610" s="1037" t="s">
        <v>13368</v>
      </c>
      <c r="G2610" s="508"/>
      <c r="H2610" s="1037" t="s">
        <v>13369</v>
      </c>
      <c r="I2610" s="508"/>
      <c r="J2610" s="1223"/>
    </row>
    <row r="2611" spans="1:10" s="81" customFormat="1" ht="50.1" customHeight="1" x14ac:dyDescent="0.2">
      <c r="A2611" s="1220" t="s">
        <v>13357</v>
      </c>
      <c r="B2611" s="985" t="s">
        <v>1784</v>
      </c>
      <c r="C2611" s="985" t="s">
        <v>13063</v>
      </c>
      <c r="D2611" s="1037">
        <v>13</v>
      </c>
      <c r="E2611" s="1039">
        <v>1400</v>
      </c>
      <c r="F2611" s="1037" t="s">
        <v>13358</v>
      </c>
      <c r="G2611" s="508"/>
      <c r="H2611" s="1037" t="s">
        <v>13095</v>
      </c>
      <c r="I2611" s="508"/>
      <c r="J2611" s="1223"/>
    </row>
    <row r="2612" spans="1:10" s="81" customFormat="1" ht="50.1" customHeight="1" x14ac:dyDescent="0.2">
      <c r="A2612" s="1220" t="s">
        <v>13370</v>
      </c>
      <c r="B2612" s="985" t="s">
        <v>1784</v>
      </c>
      <c r="C2612" s="985" t="s">
        <v>13063</v>
      </c>
      <c r="D2612" s="1037">
        <v>14</v>
      </c>
      <c r="E2612" s="1039">
        <v>5000</v>
      </c>
      <c r="F2612" s="1037" t="s">
        <v>13371</v>
      </c>
      <c r="G2612" s="508"/>
      <c r="H2612" s="1037" t="s">
        <v>13372</v>
      </c>
      <c r="I2612" s="508"/>
      <c r="J2612" s="1223"/>
    </row>
    <row r="2613" spans="1:10" s="81" customFormat="1" ht="50.1" customHeight="1" x14ac:dyDescent="0.2">
      <c r="A2613" s="1220" t="s">
        <v>13373</v>
      </c>
      <c r="B2613" s="985" t="s">
        <v>1784</v>
      </c>
      <c r="C2613" s="985" t="s">
        <v>13063</v>
      </c>
      <c r="D2613" s="1037">
        <v>15</v>
      </c>
      <c r="E2613" s="1039">
        <v>3000</v>
      </c>
      <c r="F2613" s="1037" t="s">
        <v>13374</v>
      </c>
      <c r="G2613" s="508"/>
      <c r="H2613" s="1037" t="s">
        <v>13375</v>
      </c>
      <c r="I2613" s="508"/>
      <c r="J2613" s="1223"/>
    </row>
    <row r="2614" spans="1:10" s="81" customFormat="1" ht="50.1" customHeight="1" x14ac:dyDescent="0.2">
      <c r="A2614" s="1220" t="s">
        <v>13376</v>
      </c>
      <c r="B2614" s="985" t="s">
        <v>1784</v>
      </c>
      <c r="C2614" s="985" t="s">
        <v>13063</v>
      </c>
      <c r="D2614" s="1037">
        <v>16</v>
      </c>
      <c r="E2614" s="1039">
        <v>232.16</v>
      </c>
      <c r="F2614" s="1037" t="s">
        <v>13377</v>
      </c>
      <c r="G2614" s="508"/>
      <c r="H2614" s="1037" t="s">
        <v>13378</v>
      </c>
      <c r="I2614" s="508"/>
      <c r="J2614" s="1223"/>
    </row>
    <row r="2615" spans="1:10" s="81" customFormat="1" ht="50.1" customHeight="1" x14ac:dyDescent="0.2">
      <c r="A2615" s="1220" t="s">
        <v>13379</v>
      </c>
      <c r="B2615" s="985" t="s">
        <v>1784</v>
      </c>
      <c r="C2615" s="985" t="s">
        <v>13063</v>
      </c>
      <c r="D2615" s="1037">
        <v>17</v>
      </c>
      <c r="E2615" s="1039">
        <v>161.91</v>
      </c>
      <c r="F2615" s="1037" t="s">
        <v>13380</v>
      </c>
      <c r="G2615" s="508"/>
      <c r="H2615" s="1037" t="s">
        <v>13378</v>
      </c>
      <c r="I2615" s="508"/>
      <c r="J2615" s="1223"/>
    </row>
    <row r="2616" spans="1:10" s="81" customFormat="1" ht="50.1" customHeight="1" x14ac:dyDescent="0.2">
      <c r="A2616" s="1220" t="s">
        <v>13376</v>
      </c>
      <c r="B2616" s="985" t="s">
        <v>1784</v>
      </c>
      <c r="C2616" s="985" t="s">
        <v>13063</v>
      </c>
      <c r="D2616" s="1037">
        <v>18</v>
      </c>
      <c r="E2616" s="1039">
        <v>232.16</v>
      </c>
      <c r="F2616" s="1037" t="s">
        <v>13377</v>
      </c>
      <c r="G2616" s="508"/>
      <c r="H2616" s="1037" t="s">
        <v>13378</v>
      </c>
      <c r="I2616" s="508"/>
      <c r="J2616" s="1223"/>
    </row>
    <row r="2617" spans="1:10" s="81" customFormat="1" ht="50.1" customHeight="1" x14ac:dyDescent="0.2">
      <c r="A2617" s="1220" t="s">
        <v>13379</v>
      </c>
      <c r="B2617" s="985" t="s">
        <v>1784</v>
      </c>
      <c r="C2617" s="985" t="s">
        <v>13063</v>
      </c>
      <c r="D2617" s="1037">
        <v>19</v>
      </c>
      <c r="E2617" s="1039">
        <v>161.91</v>
      </c>
      <c r="F2617" s="1037" t="s">
        <v>13380</v>
      </c>
      <c r="G2617" s="508"/>
      <c r="H2617" s="1037" t="s">
        <v>13378</v>
      </c>
      <c r="I2617" s="508"/>
      <c r="J2617" s="1223"/>
    </row>
    <row r="2618" spans="1:10" s="81" customFormat="1" ht="50.1" customHeight="1" x14ac:dyDescent="0.2">
      <c r="A2618" s="1220" t="s">
        <v>13376</v>
      </c>
      <c r="B2618" s="985" t="s">
        <v>1784</v>
      </c>
      <c r="C2618" s="985" t="s">
        <v>13063</v>
      </c>
      <c r="D2618" s="1037">
        <v>20</v>
      </c>
      <c r="E2618" s="1039">
        <v>232.16</v>
      </c>
      <c r="F2618" s="1037" t="s">
        <v>13377</v>
      </c>
      <c r="G2618" s="508"/>
      <c r="H2618" s="1037" t="s">
        <v>13378</v>
      </c>
      <c r="I2618" s="508"/>
      <c r="J2618" s="1223"/>
    </row>
    <row r="2619" spans="1:10" s="81" customFormat="1" ht="50.1" customHeight="1" x14ac:dyDescent="0.2">
      <c r="A2619" s="1220" t="s">
        <v>13379</v>
      </c>
      <c r="B2619" s="985" t="s">
        <v>1784</v>
      </c>
      <c r="C2619" s="985" t="s">
        <v>13063</v>
      </c>
      <c r="D2619" s="1037">
        <v>21</v>
      </c>
      <c r="E2619" s="1039">
        <v>161.91</v>
      </c>
      <c r="F2619" s="1037" t="s">
        <v>13380</v>
      </c>
      <c r="G2619" s="508"/>
      <c r="H2619" s="1037" t="s">
        <v>13381</v>
      </c>
      <c r="I2619" s="508"/>
      <c r="J2619" s="1223"/>
    </row>
    <row r="2620" spans="1:10" s="81" customFormat="1" ht="50.1" customHeight="1" x14ac:dyDescent="0.2">
      <c r="A2620" s="1220" t="s">
        <v>13382</v>
      </c>
      <c r="B2620" s="985" t="s">
        <v>1784</v>
      </c>
      <c r="C2620" s="985" t="s">
        <v>13063</v>
      </c>
      <c r="D2620" s="1037">
        <v>22</v>
      </c>
      <c r="E2620" s="1039">
        <v>5000</v>
      </c>
      <c r="F2620" s="1037" t="s">
        <v>13383</v>
      </c>
      <c r="G2620" s="508"/>
      <c r="H2620" s="1037" t="s">
        <v>13103</v>
      </c>
      <c r="I2620" s="508"/>
      <c r="J2620" s="1223"/>
    </row>
    <row r="2621" spans="1:10" s="81" customFormat="1" ht="50.1" customHeight="1" x14ac:dyDescent="0.2">
      <c r="A2621" s="1220" t="s">
        <v>13384</v>
      </c>
      <c r="B2621" s="985" t="s">
        <v>1784</v>
      </c>
      <c r="C2621" s="985" t="s">
        <v>13063</v>
      </c>
      <c r="D2621" s="1037">
        <v>23</v>
      </c>
      <c r="E2621" s="1039">
        <v>3823.5</v>
      </c>
      <c r="F2621" s="1037" t="s">
        <v>13351</v>
      </c>
      <c r="G2621" s="508"/>
      <c r="H2621" s="1037" t="s">
        <v>13103</v>
      </c>
      <c r="I2621" s="508"/>
      <c r="J2621" s="1223"/>
    </row>
    <row r="2622" spans="1:10" s="81" customFormat="1" ht="50.1" customHeight="1" x14ac:dyDescent="0.2">
      <c r="A2622" s="1220" t="s">
        <v>13385</v>
      </c>
      <c r="B2622" s="985" t="s">
        <v>1784</v>
      </c>
      <c r="C2622" s="985" t="s">
        <v>13063</v>
      </c>
      <c r="D2622" s="1037">
        <v>24</v>
      </c>
      <c r="E2622" s="1039">
        <v>765</v>
      </c>
      <c r="F2622" s="1037" t="s">
        <v>13320</v>
      </c>
      <c r="G2622" s="508"/>
      <c r="H2622" s="1037" t="s">
        <v>13106</v>
      </c>
      <c r="I2622" s="508"/>
      <c r="J2622" s="1223"/>
    </row>
    <row r="2623" spans="1:10" s="81" customFormat="1" ht="50.1" customHeight="1" x14ac:dyDescent="0.2">
      <c r="A2623" s="1220" t="s">
        <v>13352</v>
      </c>
      <c r="B2623" s="985" t="s">
        <v>1784</v>
      </c>
      <c r="C2623" s="985" t="s">
        <v>13063</v>
      </c>
      <c r="D2623" s="1037">
        <v>26</v>
      </c>
      <c r="E2623" s="1039">
        <v>165.99</v>
      </c>
      <c r="F2623" s="1037" t="s">
        <v>13353</v>
      </c>
      <c r="G2623" s="508"/>
      <c r="H2623" s="1037" t="s">
        <v>13386</v>
      </c>
      <c r="I2623" s="508"/>
      <c r="J2623" s="1223"/>
    </row>
    <row r="2624" spans="1:10" s="81" customFormat="1" ht="50.1" customHeight="1" x14ac:dyDescent="0.2">
      <c r="A2624" s="1220" t="s">
        <v>13387</v>
      </c>
      <c r="B2624" s="985" t="s">
        <v>1784</v>
      </c>
      <c r="C2624" s="985" t="s">
        <v>13063</v>
      </c>
      <c r="D2624" s="1037">
        <v>27</v>
      </c>
      <c r="E2624" s="1039">
        <v>2046</v>
      </c>
      <c r="F2624" s="1037" t="s">
        <v>13388</v>
      </c>
      <c r="G2624" s="508"/>
      <c r="H2624" s="1037" t="s">
        <v>13110</v>
      </c>
      <c r="I2624" s="508"/>
      <c r="J2624" s="1223"/>
    </row>
    <row r="2625" spans="1:10" s="81" customFormat="1" ht="50.1" customHeight="1" x14ac:dyDescent="0.2">
      <c r="A2625" s="1220" t="s">
        <v>13389</v>
      </c>
      <c r="B2625" s="985" t="s">
        <v>1784</v>
      </c>
      <c r="C2625" s="985" t="s">
        <v>13063</v>
      </c>
      <c r="D2625" s="1037">
        <v>28</v>
      </c>
      <c r="E2625" s="1039">
        <v>519.52</v>
      </c>
      <c r="F2625" s="1037" t="s">
        <v>13390</v>
      </c>
      <c r="G2625" s="508"/>
      <c r="H2625" s="1037" t="s">
        <v>13110</v>
      </c>
      <c r="I2625" s="508"/>
      <c r="J2625" s="1223"/>
    </row>
    <row r="2626" spans="1:10" s="81" customFormat="1" ht="50.1" customHeight="1" x14ac:dyDescent="0.2">
      <c r="A2626" s="1220" t="s">
        <v>13370</v>
      </c>
      <c r="B2626" s="985" t="s">
        <v>1784</v>
      </c>
      <c r="C2626" s="985" t="s">
        <v>13063</v>
      </c>
      <c r="D2626" s="1037">
        <v>29</v>
      </c>
      <c r="E2626" s="1039">
        <v>5000</v>
      </c>
      <c r="F2626" s="1037" t="s">
        <v>13371</v>
      </c>
      <c r="G2626" s="508"/>
      <c r="H2626" s="1037" t="s">
        <v>13391</v>
      </c>
      <c r="I2626" s="508"/>
      <c r="J2626" s="1223"/>
    </row>
    <row r="2627" spans="1:10" s="81" customFormat="1" ht="50.1" customHeight="1" x14ac:dyDescent="0.2">
      <c r="A2627" s="1220" t="s">
        <v>13365</v>
      </c>
      <c r="B2627" s="985" t="s">
        <v>1784</v>
      </c>
      <c r="C2627" s="985" t="s">
        <v>13063</v>
      </c>
      <c r="D2627" s="1037">
        <v>30</v>
      </c>
      <c r="E2627" s="1039">
        <v>1005</v>
      </c>
      <c r="F2627" s="1037" t="s">
        <v>13320</v>
      </c>
      <c r="G2627" s="508"/>
      <c r="H2627" s="1037" t="s">
        <v>13391</v>
      </c>
      <c r="I2627" s="508"/>
      <c r="J2627" s="1223"/>
    </row>
    <row r="2628" spans="1:10" s="81" customFormat="1" ht="50.1" customHeight="1" x14ac:dyDescent="0.2">
      <c r="A2628" s="1220" t="s">
        <v>13392</v>
      </c>
      <c r="B2628" s="985" t="s">
        <v>1784</v>
      </c>
      <c r="C2628" s="985" t="s">
        <v>13063</v>
      </c>
      <c r="D2628" s="1037">
        <v>31</v>
      </c>
      <c r="E2628" s="1039">
        <v>6000</v>
      </c>
      <c r="F2628" s="1037" t="s">
        <v>13393</v>
      </c>
      <c r="G2628" s="508"/>
      <c r="H2628" s="1037" t="s">
        <v>13391</v>
      </c>
      <c r="I2628" s="508"/>
      <c r="J2628" s="1223"/>
    </row>
    <row r="2629" spans="1:10" s="81" customFormat="1" ht="50.1" customHeight="1" x14ac:dyDescent="0.2">
      <c r="A2629" s="1220" t="s">
        <v>13394</v>
      </c>
      <c r="B2629" s="985" t="s">
        <v>1784</v>
      </c>
      <c r="C2629" s="985" t="s">
        <v>13063</v>
      </c>
      <c r="D2629" s="1037">
        <v>32</v>
      </c>
      <c r="E2629" s="1039">
        <v>4000</v>
      </c>
      <c r="F2629" s="1037" t="s">
        <v>13395</v>
      </c>
      <c r="G2629" s="508"/>
      <c r="H2629" s="1037" t="s">
        <v>13115</v>
      </c>
      <c r="I2629" s="508"/>
      <c r="J2629" s="1223"/>
    </row>
    <row r="2630" spans="1:10" s="81" customFormat="1" ht="50.1" customHeight="1" x14ac:dyDescent="0.2">
      <c r="A2630" s="1220" t="s">
        <v>13357</v>
      </c>
      <c r="B2630" s="985" t="s">
        <v>1784</v>
      </c>
      <c r="C2630" s="985" t="s">
        <v>13063</v>
      </c>
      <c r="D2630" s="1037">
        <v>33</v>
      </c>
      <c r="E2630" s="1039">
        <v>1400</v>
      </c>
      <c r="F2630" s="1037" t="s">
        <v>13358</v>
      </c>
      <c r="G2630" s="508"/>
      <c r="H2630" s="1037" t="s">
        <v>13116</v>
      </c>
      <c r="I2630" s="508"/>
      <c r="J2630" s="1223"/>
    </row>
    <row r="2631" spans="1:10" s="81" customFormat="1" ht="50.1" customHeight="1" x14ac:dyDescent="0.2">
      <c r="A2631" s="1220" t="s">
        <v>13382</v>
      </c>
      <c r="B2631" s="985" t="s">
        <v>1784</v>
      </c>
      <c r="C2631" s="985" t="s">
        <v>13063</v>
      </c>
      <c r="D2631" s="1037">
        <v>34</v>
      </c>
      <c r="E2631" s="1039">
        <v>5000</v>
      </c>
      <c r="F2631" s="1037" t="s">
        <v>13383</v>
      </c>
      <c r="G2631" s="508"/>
      <c r="H2631" s="1037" t="s">
        <v>13396</v>
      </c>
      <c r="I2631" s="508"/>
      <c r="J2631" s="1223"/>
    </row>
    <row r="2632" spans="1:10" s="81" customFormat="1" ht="50.1" customHeight="1" x14ac:dyDescent="0.2">
      <c r="A2632" s="1220" t="s">
        <v>13389</v>
      </c>
      <c r="B2632" s="985" t="s">
        <v>1784</v>
      </c>
      <c r="C2632" s="985" t="s">
        <v>13063</v>
      </c>
      <c r="D2632" s="1037">
        <v>35</v>
      </c>
      <c r="E2632" s="1039">
        <v>649.4</v>
      </c>
      <c r="F2632" s="1037" t="s">
        <v>13390</v>
      </c>
      <c r="G2632" s="508"/>
      <c r="H2632" s="1037" t="s">
        <v>13397</v>
      </c>
      <c r="I2632" s="508"/>
      <c r="J2632" s="1223"/>
    </row>
    <row r="2633" spans="1:10" s="81" customFormat="1" ht="50.1" customHeight="1" x14ac:dyDescent="0.2">
      <c r="A2633" s="1220" t="s">
        <v>13398</v>
      </c>
      <c r="B2633" s="985" t="s">
        <v>1784</v>
      </c>
      <c r="C2633" s="985" t="s">
        <v>13063</v>
      </c>
      <c r="D2633" s="1037">
        <v>36</v>
      </c>
      <c r="E2633" s="1039">
        <v>5557.4</v>
      </c>
      <c r="F2633" s="1037" t="s">
        <v>13351</v>
      </c>
      <c r="G2633" s="508"/>
      <c r="H2633" s="1037" t="s">
        <v>2234</v>
      </c>
      <c r="I2633" s="508"/>
      <c r="J2633" s="1223"/>
    </row>
    <row r="2634" spans="1:10" s="81" customFormat="1" ht="50.1" customHeight="1" x14ac:dyDescent="0.2">
      <c r="A2634" s="1220" t="s">
        <v>13385</v>
      </c>
      <c r="B2634" s="985" t="s">
        <v>1784</v>
      </c>
      <c r="C2634" s="985" t="s">
        <v>13063</v>
      </c>
      <c r="D2634" s="1037">
        <v>37</v>
      </c>
      <c r="E2634" s="1039">
        <v>1010</v>
      </c>
      <c r="F2634" s="1037" t="s">
        <v>13320</v>
      </c>
      <c r="G2634" s="508"/>
      <c r="H2634" s="1037" t="s">
        <v>13134</v>
      </c>
      <c r="I2634" s="508"/>
      <c r="J2634" s="1223"/>
    </row>
    <row r="2635" spans="1:10" s="81" customFormat="1" ht="50.1" customHeight="1" x14ac:dyDescent="0.2">
      <c r="A2635" s="1220" t="s">
        <v>13382</v>
      </c>
      <c r="B2635" s="985" t="s">
        <v>1784</v>
      </c>
      <c r="C2635" s="985" t="s">
        <v>13063</v>
      </c>
      <c r="D2635" s="1037">
        <v>38</v>
      </c>
      <c r="E2635" s="1039">
        <v>5000</v>
      </c>
      <c r="F2635" s="1037" t="s">
        <v>13383</v>
      </c>
      <c r="G2635" s="508"/>
      <c r="H2635" s="1037" t="s">
        <v>13142</v>
      </c>
      <c r="I2635" s="508"/>
      <c r="J2635" s="1223"/>
    </row>
    <row r="2636" spans="1:10" s="81" customFormat="1" ht="50.1" customHeight="1" x14ac:dyDescent="0.2">
      <c r="A2636" s="1220" t="s">
        <v>13399</v>
      </c>
      <c r="B2636" s="985" t="s">
        <v>1784</v>
      </c>
      <c r="C2636" s="985" t="s">
        <v>13063</v>
      </c>
      <c r="D2636" s="1037">
        <v>39</v>
      </c>
      <c r="E2636" s="1039">
        <v>950</v>
      </c>
      <c r="F2636" s="1037" t="s">
        <v>13400</v>
      </c>
      <c r="G2636" s="508"/>
      <c r="H2636" s="1037" t="s">
        <v>13149</v>
      </c>
      <c r="I2636" s="508"/>
      <c r="J2636" s="1223"/>
    </row>
    <row r="2637" spans="1:10" s="81" customFormat="1" ht="50.1" customHeight="1" x14ac:dyDescent="0.2">
      <c r="A2637" s="1220" t="s">
        <v>13352</v>
      </c>
      <c r="B2637" s="985" t="s">
        <v>1784</v>
      </c>
      <c r="C2637" s="985" t="s">
        <v>13063</v>
      </c>
      <c r="D2637" s="1037">
        <v>40</v>
      </c>
      <c r="E2637" s="1039">
        <v>165.99</v>
      </c>
      <c r="F2637" s="1037" t="s">
        <v>13353</v>
      </c>
      <c r="G2637" s="508"/>
      <c r="H2637" s="1037" t="s">
        <v>13401</v>
      </c>
      <c r="I2637" s="508"/>
      <c r="J2637" s="1223"/>
    </row>
    <row r="2638" spans="1:10" s="81" customFormat="1" ht="50.1" customHeight="1" x14ac:dyDescent="0.2">
      <c r="A2638" s="1220" t="s">
        <v>13357</v>
      </c>
      <c r="B2638" s="985" t="s">
        <v>1784</v>
      </c>
      <c r="C2638" s="985" t="s">
        <v>13063</v>
      </c>
      <c r="D2638" s="1037">
        <v>41</v>
      </c>
      <c r="E2638" s="1039">
        <v>1400</v>
      </c>
      <c r="F2638" s="1037" t="s">
        <v>13358</v>
      </c>
      <c r="G2638" s="508"/>
      <c r="H2638" s="1037" t="s">
        <v>13154</v>
      </c>
      <c r="I2638" s="508"/>
      <c r="J2638" s="1223"/>
    </row>
    <row r="2639" spans="1:10" s="81" customFormat="1" ht="50.1" customHeight="1" x14ac:dyDescent="0.2">
      <c r="A2639" s="1220" t="s">
        <v>13402</v>
      </c>
      <c r="B2639" s="985" t="s">
        <v>1784</v>
      </c>
      <c r="C2639" s="985" t="s">
        <v>13063</v>
      </c>
      <c r="D2639" s="1037">
        <v>42</v>
      </c>
      <c r="E2639" s="1039">
        <v>1418.95</v>
      </c>
      <c r="F2639" s="1037" t="s">
        <v>13403</v>
      </c>
      <c r="G2639" s="508"/>
      <c r="H2639" s="1037" t="s">
        <v>13154</v>
      </c>
      <c r="I2639" s="508"/>
      <c r="J2639" s="1223"/>
    </row>
    <row r="2640" spans="1:10" s="81" customFormat="1" ht="50.1" customHeight="1" x14ac:dyDescent="0.2">
      <c r="A2640" s="1220" t="s">
        <v>13389</v>
      </c>
      <c r="B2640" s="985" t="s">
        <v>1784</v>
      </c>
      <c r="C2640" s="985" t="s">
        <v>13063</v>
      </c>
      <c r="D2640" s="1037">
        <v>43</v>
      </c>
      <c r="E2640" s="1039">
        <v>649.4</v>
      </c>
      <c r="F2640" s="1037" t="s">
        <v>13390</v>
      </c>
      <c r="G2640" s="508"/>
      <c r="H2640" s="1037" t="s">
        <v>13404</v>
      </c>
      <c r="I2640" s="508"/>
      <c r="J2640" s="1223"/>
    </row>
    <row r="2641" spans="1:10" s="81" customFormat="1" ht="50.1" customHeight="1" x14ac:dyDescent="0.2">
      <c r="A2641" s="1220" t="s">
        <v>13387</v>
      </c>
      <c r="B2641" s="985" t="s">
        <v>1784</v>
      </c>
      <c r="C2641" s="985" t="s">
        <v>13063</v>
      </c>
      <c r="D2641" s="1037">
        <v>44</v>
      </c>
      <c r="E2641" s="1039">
        <v>2046</v>
      </c>
      <c r="F2641" s="1037" t="s">
        <v>13388</v>
      </c>
      <c r="G2641" s="508"/>
      <c r="H2641" s="1037" t="s">
        <v>13404</v>
      </c>
      <c r="I2641" s="508"/>
      <c r="J2641" s="1223"/>
    </row>
    <row r="2642" spans="1:10" s="81" customFormat="1" ht="50.1" customHeight="1" x14ac:dyDescent="0.2">
      <c r="A2642" s="1220" t="s">
        <v>13405</v>
      </c>
      <c r="B2642" s="985" t="s">
        <v>1784</v>
      </c>
      <c r="C2642" s="985" t="s">
        <v>13063</v>
      </c>
      <c r="D2642" s="1037">
        <v>45</v>
      </c>
      <c r="E2642" s="1039">
        <v>1500</v>
      </c>
      <c r="F2642" s="1037" t="s">
        <v>13406</v>
      </c>
      <c r="G2642" s="508"/>
      <c r="H2642" s="1037" t="s">
        <v>13404</v>
      </c>
      <c r="I2642" s="508"/>
      <c r="J2642" s="1223"/>
    </row>
    <row r="2643" spans="1:10" s="81" customFormat="1" ht="50.1" customHeight="1" x14ac:dyDescent="0.2">
      <c r="A2643" s="1220" t="s">
        <v>13407</v>
      </c>
      <c r="B2643" s="985" t="s">
        <v>1784</v>
      </c>
      <c r="C2643" s="985" t="s">
        <v>13063</v>
      </c>
      <c r="D2643" s="1037">
        <v>46</v>
      </c>
      <c r="E2643" s="1039">
        <v>2200</v>
      </c>
      <c r="F2643" s="1037" t="s">
        <v>13408</v>
      </c>
      <c r="G2643" s="508"/>
      <c r="H2643" s="1037" t="s">
        <v>13404</v>
      </c>
      <c r="I2643" s="508"/>
      <c r="J2643" s="1223"/>
    </row>
    <row r="2644" spans="1:10" s="81" customFormat="1" ht="50.1" customHeight="1" x14ac:dyDescent="0.2">
      <c r="A2644" s="1220" t="s">
        <v>13407</v>
      </c>
      <c r="B2644" s="985" t="s">
        <v>1784</v>
      </c>
      <c r="C2644" s="985" t="s">
        <v>13063</v>
      </c>
      <c r="D2644" s="1037">
        <v>47</v>
      </c>
      <c r="E2644" s="1039">
        <v>2200</v>
      </c>
      <c r="F2644" s="1037" t="s">
        <v>13408</v>
      </c>
      <c r="G2644" s="508"/>
      <c r="H2644" s="1037" t="s">
        <v>13155</v>
      </c>
      <c r="I2644" s="508"/>
      <c r="J2644" s="1223"/>
    </row>
    <row r="2645" spans="1:10" s="81" customFormat="1" ht="50.1" customHeight="1" x14ac:dyDescent="0.2">
      <c r="A2645" s="1220" t="s">
        <v>13405</v>
      </c>
      <c r="B2645" s="985" t="s">
        <v>1784</v>
      </c>
      <c r="C2645" s="985" t="s">
        <v>13063</v>
      </c>
      <c r="D2645" s="1037">
        <v>48</v>
      </c>
      <c r="E2645" s="1039">
        <v>1500</v>
      </c>
      <c r="F2645" s="1037" t="s">
        <v>13406</v>
      </c>
      <c r="G2645" s="508"/>
      <c r="H2645" s="1037" t="s">
        <v>13155</v>
      </c>
      <c r="I2645" s="508"/>
      <c r="J2645" s="1223"/>
    </row>
    <row r="2646" spans="1:10" s="81" customFormat="1" ht="50.1" customHeight="1" x14ac:dyDescent="0.2">
      <c r="A2646" s="1220" t="s">
        <v>13409</v>
      </c>
      <c r="B2646" s="985" t="s">
        <v>1784</v>
      </c>
      <c r="C2646" s="985" t="s">
        <v>13063</v>
      </c>
      <c r="D2646" s="1037">
        <v>49</v>
      </c>
      <c r="E2646" s="1039">
        <v>5437.2</v>
      </c>
      <c r="F2646" s="1037" t="s">
        <v>13351</v>
      </c>
      <c r="G2646" s="508"/>
      <c r="H2646" s="1037" t="s">
        <v>2235</v>
      </c>
      <c r="I2646" s="508"/>
      <c r="J2646" s="1223"/>
    </row>
    <row r="2647" spans="1:10" s="81" customFormat="1" ht="50.1" customHeight="1" x14ac:dyDescent="0.2">
      <c r="A2647" s="1220" t="s">
        <v>13373</v>
      </c>
      <c r="B2647" s="985" t="s">
        <v>1784</v>
      </c>
      <c r="C2647" s="985" t="s">
        <v>13063</v>
      </c>
      <c r="D2647" s="1037">
        <v>50</v>
      </c>
      <c r="E2647" s="1039">
        <v>3000</v>
      </c>
      <c r="F2647" s="1037" t="s">
        <v>13374</v>
      </c>
      <c r="G2647" s="508"/>
      <c r="H2647" s="1037" t="s">
        <v>13410</v>
      </c>
      <c r="I2647" s="508"/>
      <c r="J2647" s="1223"/>
    </row>
    <row r="2648" spans="1:10" s="81" customFormat="1" ht="50.1" customHeight="1" x14ac:dyDescent="0.2">
      <c r="A2648" s="1220" t="s">
        <v>13373</v>
      </c>
      <c r="B2648" s="985" t="s">
        <v>1784</v>
      </c>
      <c r="C2648" s="985" t="s">
        <v>13063</v>
      </c>
      <c r="D2648" s="1037">
        <v>51</v>
      </c>
      <c r="E2648" s="1039">
        <v>3000</v>
      </c>
      <c r="F2648" s="1037" t="s">
        <v>13374</v>
      </c>
      <c r="G2648" s="508"/>
      <c r="H2648" s="1037" t="s">
        <v>13411</v>
      </c>
      <c r="I2648" s="508"/>
      <c r="J2648" s="1223"/>
    </row>
    <row r="2649" spans="1:10" s="81" customFormat="1" ht="50.1" customHeight="1" x14ac:dyDescent="0.2">
      <c r="A2649" s="1220" t="s">
        <v>13365</v>
      </c>
      <c r="B2649" s="985" t="s">
        <v>1784</v>
      </c>
      <c r="C2649" s="985" t="s">
        <v>13063</v>
      </c>
      <c r="D2649" s="1037">
        <v>52</v>
      </c>
      <c r="E2649" s="1039">
        <v>1335</v>
      </c>
      <c r="F2649" s="1037" t="s">
        <v>13320</v>
      </c>
      <c r="G2649" s="508"/>
      <c r="H2649" s="1037" t="s">
        <v>2480</v>
      </c>
      <c r="I2649" s="508"/>
      <c r="J2649" s="1223"/>
    </row>
    <row r="2650" spans="1:10" s="81" customFormat="1" ht="50.1" customHeight="1" x14ac:dyDescent="0.2">
      <c r="A2650" s="1220" t="s">
        <v>13399</v>
      </c>
      <c r="B2650" s="985" t="s">
        <v>1784</v>
      </c>
      <c r="C2650" s="985" t="s">
        <v>13063</v>
      </c>
      <c r="D2650" s="1037">
        <v>53</v>
      </c>
      <c r="E2650" s="1039">
        <v>950</v>
      </c>
      <c r="F2650" s="1037" t="s">
        <v>13400</v>
      </c>
      <c r="G2650" s="508"/>
      <c r="H2650" s="1037" t="s">
        <v>2481</v>
      </c>
      <c r="I2650" s="508"/>
      <c r="J2650" s="1223"/>
    </row>
    <row r="2651" spans="1:10" s="81" customFormat="1" ht="50.1" customHeight="1" x14ac:dyDescent="0.2">
      <c r="A2651" s="1220" t="s">
        <v>13407</v>
      </c>
      <c r="B2651" s="985" t="s">
        <v>1784</v>
      </c>
      <c r="C2651" s="985" t="s">
        <v>13063</v>
      </c>
      <c r="D2651" s="1037">
        <v>54</v>
      </c>
      <c r="E2651" s="1039">
        <v>2200</v>
      </c>
      <c r="F2651" s="1037" t="s">
        <v>13408</v>
      </c>
      <c r="G2651" s="508"/>
      <c r="H2651" s="1037" t="s">
        <v>2481</v>
      </c>
      <c r="I2651" s="508"/>
      <c r="J2651" s="1223"/>
    </row>
    <row r="2652" spans="1:10" s="81" customFormat="1" ht="50.1" customHeight="1" x14ac:dyDescent="0.2">
      <c r="A2652" s="1220" t="s">
        <v>13385</v>
      </c>
      <c r="B2652" s="985" t="s">
        <v>1784</v>
      </c>
      <c r="C2652" s="985" t="s">
        <v>13063</v>
      </c>
      <c r="D2652" s="1037">
        <v>55</v>
      </c>
      <c r="E2652" s="1039">
        <v>575</v>
      </c>
      <c r="F2652" s="1037" t="s">
        <v>13320</v>
      </c>
      <c r="G2652" s="508"/>
      <c r="H2652" s="1037" t="s">
        <v>13412</v>
      </c>
      <c r="I2652" s="508"/>
      <c r="J2652" s="1223"/>
    </row>
    <row r="2653" spans="1:10" s="81" customFormat="1" ht="50.1" customHeight="1" x14ac:dyDescent="0.2">
      <c r="A2653" s="1220" t="s">
        <v>13402</v>
      </c>
      <c r="B2653" s="985" t="s">
        <v>1784</v>
      </c>
      <c r="C2653" s="985" t="s">
        <v>13063</v>
      </c>
      <c r="D2653" s="1037">
        <v>56</v>
      </c>
      <c r="E2653" s="1039">
        <v>1418.95</v>
      </c>
      <c r="F2653" s="1037" t="s">
        <v>13403</v>
      </c>
      <c r="G2653" s="508"/>
      <c r="H2653" s="1037" t="s">
        <v>13412</v>
      </c>
      <c r="I2653" s="508"/>
      <c r="J2653" s="1223"/>
    </row>
    <row r="2654" spans="1:10" s="81" customFormat="1" ht="50.1" customHeight="1" x14ac:dyDescent="0.2">
      <c r="A2654" s="1220" t="s">
        <v>13413</v>
      </c>
      <c r="B2654" s="985" t="s">
        <v>1784</v>
      </c>
      <c r="C2654" s="985" t="s">
        <v>13063</v>
      </c>
      <c r="D2654" s="1037">
        <v>57</v>
      </c>
      <c r="E2654" s="1039">
        <v>950</v>
      </c>
      <c r="F2654" s="1037" t="s">
        <v>13414</v>
      </c>
      <c r="G2654" s="508"/>
      <c r="H2654" s="1037" t="s">
        <v>13412</v>
      </c>
      <c r="I2654" s="508"/>
      <c r="J2654" s="1223"/>
    </row>
    <row r="2655" spans="1:10" s="81" customFormat="1" ht="50.1" customHeight="1" x14ac:dyDescent="0.2">
      <c r="A2655" s="1220" t="s">
        <v>13357</v>
      </c>
      <c r="B2655" s="985" t="s">
        <v>1784</v>
      </c>
      <c r="C2655" s="985" t="s">
        <v>13063</v>
      </c>
      <c r="D2655" s="1037">
        <v>59</v>
      </c>
      <c r="E2655" s="1039">
        <v>1400</v>
      </c>
      <c r="F2655" s="1037" t="s">
        <v>13358</v>
      </c>
      <c r="G2655" s="508"/>
      <c r="H2655" s="1037" t="s">
        <v>13156</v>
      </c>
      <c r="I2655" s="508"/>
      <c r="J2655" s="1223"/>
    </row>
    <row r="2656" spans="1:10" s="81" customFormat="1" ht="50.1" customHeight="1" x14ac:dyDescent="0.2">
      <c r="A2656" s="1220" t="s">
        <v>13382</v>
      </c>
      <c r="B2656" s="985" t="s">
        <v>1784</v>
      </c>
      <c r="C2656" s="985" t="s">
        <v>13063</v>
      </c>
      <c r="D2656" s="1037">
        <v>60</v>
      </c>
      <c r="E2656" s="1039">
        <v>5000</v>
      </c>
      <c r="F2656" s="1037" t="s">
        <v>13383</v>
      </c>
      <c r="G2656" s="508"/>
      <c r="H2656" s="1037" t="s">
        <v>13415</v>
      </c>
      <c r="I2656" s="508"/>
      <c r="J2656" s="1223"/>
    </row>
    <row r="2657" spans="1:10" s="81" customFormat="1" ht="50.1" customHeight="1" x14ac:dyDescent="0.2">
      <c r="A2657" s="1220" t="s">
        <v>13416</v>
      </c>
      <c r="B2657" s="985" t="s">
        <v>1784</v>
      </c>
      <c r="C2657" s="985" t="s">
        <v>13063</v>
      </c>
      <c r="D2657" s="1037">
        <v>62</v>
      </c>
      <c r="E2657" s="1039">
        <v>120</v>
      </c>
      <c r="F2657" s="1037" t="s">
        <v>13417</v>
      </c>
      <c r="G2657" s="508"/>
      <c r="H2657" s="1037" t="s">
        <v>13418</v>
      </c>
      <c r="I2657" s="508"/>
      <c r="J2657" s="1223"/>
    </row>
    <row r="2658" spans="1:10" s="81" customFormat="1" ht="50.1" customHeight="1" x14ac:dyDescent="0.2">
      <c r="A2658" s="1220" t="s">
        <v>13389</v>
      </c>
      <c r="B2658" s="985" t="s">
        <v>1784</v>
      </c>
      <c r="C2658" s="985" t="s">
        <v>13063</v>
      </c>
      <c r="D2658" s="1037">
        <v>63</v>
      </c>
      <c r="E2658" s="1039">
        <v>649.4</v>
      </c>
      <c r="F2658" s="1037" t="s">
        <v>13390</v>
      </c>
      <c r="G2658" s="508"/>
      <c r="H2658" s="1037" t="s">
        <v>13419</v>
      </c>
      <c r="I2658" s="508"/>
      <c r="J2658" s="1223"/>
    </row>
    <row r="2659" spans="1:10" s="81" customFormat="1" ht="50.1" customHeight="1" x14ac:dyDescent="0.2">
      <c r="A2659" s="1220" t="s">
        <v>13420</v>
      </c>
      <c r="B2659" s="985" t="s">
        <v>1784</v>
      </c>
      <c r="C2659" s="985" t="s">
        <v>13063</v>
      </c>
      <c r="D2659" s="1037">
        <v>64</v>
      </c>
      <c r="E2659" s="1039">
        <v>250</v>
      </c>
      <c r="F2659" s="1037" t="s">
        <v>1098</v>
      </c>
      <c r="G2659" s="508"/>
      <c r="H2659" s="1037" t="s">
        <v>13421</v>
      </c>
      <c r="I2659" s="508"/>
      <c r="J2659" s="1223"/>
    </row>
    <row r="2660" spans="1:10" s="81" customFormat="1" ht="50.1" customHeight="1" x14ac:dyDescent="0.2">
      <c r="A2660" s="1220" t="s">
        <v>13422</v>
      </c>
      <c r="B2660" s="985" t="s">
        <v>1784</v>
      </c>
      <c r="C2660" s="985" t="s">
        <v>13063</v>
      </c>
      <c r="D2660" s="1037">
        <v>65</v>
      </c>
      <c r="E2660" s="1039">
        <v>5623.3</v>
      </c>
      <c r="F2660" s="1037" t="s">
        <v>13351</v>
      </c>
      <c r="G2660" s="508"/>
      <c r="H2660" s="1037" t="s">
        <v>1974</v>
      </c>
      <c r="I2660" s="508"/>
      <c r="J2660" s="1223"/>
    </row>
    <row r="2661" spans="1:10" s="81" customFormat="1" ht="50.1" customHeight="1" x14ac:dyDescent="0.2">
      <c r="A2661" s="1220" t="s">
        <v>13407</v>
      </c>
      <c r="B2661" s="985" t="s">
        <v>1784</v>
      </c>
      <c r="C2661" s="985" t="s">
        <v>13063</v>
      </c>
      <c r="D2661" s="1037">
        <v>66</v>
      </c>
      <c r="E2661" s="1039">
        <v>2200</v>
      </c>
      <c r="F2661" s="1037" t="s">
        <v>13408</v>
      </c>
      <c r="G2661" s="508"/>
      <c r="H2661" s="1037" t="s">
        <v>1974</v>
      </c>
      <c r="I2661" s="508"/>
      <c r="J2661" s="1223"/>
    </row>
    <row r="2662" spans="1:10" s="81" customFormat="1" ht="50.1" customHeight="1" x14ac:dyDescent="0.2">
      <c r="A2662" s="1220" t="s">
        <v>13387</v>
      </c>
      <c r="B2662" s="985" t="s">
        <v>1784</v>
      </c>
      <c r="C2662" s="985" t="s">
        <v>13063</v>
      </c>
      <c r="D2662" s="1037">
        <v>67</v>
      </c>
      <c r="E2662" s="1039">
        <v>2046</v>
      </c>
      <c r="F2662" s="1037" t="s">
        <v>13388</v>
      </c>
      <c r="G2662" s="508"/>
      <c r="H2662" s="1037" t="s">
        <v>2238</v>
      </c>
      <c r="I2662" s="508"/>
      <c r="J2662" s="1223"/>
    </row>
    <row r="2663" spans="1:10" s="81" customFormat="1" ht="50.1" customHeight="1" x14ac:dyDescent="0.2">
      <c r="A2663" s="1220" t="s">
        <v>13402</v>
      </c>
      <c r="B2663" s="985" t="s">
        <v>1784</v>
      </c>
      <c r="C2663" s="985" t="s">
        <v>13063</v>
      </c>
      <c r="D2663" s="1037">
        <v>68</v>
      </c>
      <c r="E2663" s="1039">
        <v>1418.95</v>
      </c>
      <c r="F2663" s="1037" t="s">
        <v>13403</v>
      </c>
      <c r="G2663" s="508"/>
      <c r="H2663" s="1037" t="s">
        <v>2003</v>
      </c>
      <c r="I2663" s="508"/>
      <c r="J2663" s="1223"/>
    </row>
    <row r="2664" spans="1:10" s="81" customFormat="1" ht="50.1" customHeight="1" x14ac:dyDescent="0.2">
      <c r="A2664" s="1220" t="s">
        <v>13373</v>
      </c>
      <c r="B2664" s="985" t="s">
        <v>1784</v>
      </c>
      <c r="C2664" s="985" t="s">
        <v>13063</v>
      </c>
      <c r="D2664" s="1037">
        <v>69</v>
      </c>
      <c r="E2664" s="1039">
        <v>3000</v>
      </c>
      <c r="F2664" s="1037" t="s">
        <v>13374</v>
      </c>
      <c r="G2664" s="508"/>
      <c r="H2664" s="1037" t="s">
        <v>2003</v>
      </c>
      <c r="I2664" s="508"/>
      <c r="J2664" s="1223"/>
    </row>
    <row r="2665" spans="1:10" s="81" customFormat="1" ht="50.1" customHeight="1" x14ac:dyDescent="0.2">
      <c r="A2665" s="1220" t="s">
        <v>13405</v>
      </c>
      <c r="B2665" s="985" t="s">
        <v>1784</v>
      </c>
      <c r="C2665" s="985" t="s">
        <v>13063</v>
      </c>
      <c r="D2665" s="1037">
        <v>70</v>
      </c>
      <c r="E2665" s="1039">
        <v>1500</v>
      </c>
      <c r="F2665" s="1037" t="s">
        <v>13406</v>
      </c>
      <c r="G2665" s="508"/>
      <c r="H2665" s="1037" t="s">
        <v>2003</v>
      </c>
      <c r="I2665" s="508"/>
      <c r="J2665" s="1223"/>
    </row>
    <row r="2666" spans="1:10" s="81" customFormat="1" ht="50.1" customHeight="1" x14ac:dyDescent="0.2">
      <c r="A2666" s="1220" t="s">
        <v>13365</v>
      </c>
      <c r="B2666" s="985" t="s">
        <v>1784</v>
      </c>
      <c r="C2666" s="985" t="s">
        <v>13063</v>
      </c>
      <c r="D2666" s="1037">
        <v>71</v>
      </c>
      <c r="E2666" s="1039">
        <v>1055</v>
      </c>
      <c r="F2666" s="1037" t="s">
        <v>13320</v>
      </c>
      <c r="G2666" s="508"/>
      <c r="H2666" s="1037" t="s">
        <v>2003</v>
      </c>
      <c r="I2666" s="508"/>
      <c r="J2666" s="1223"/>
    </row>
    <row r="2667" spans="1:10" s="81" customFormat="1" ht="50.1" customHeight="1" x14ac:dyDescent="0.2">
      <c r="A2667" s="1220" t="s">
        <v>13352</v>
      </c>
      <c r="B2667" s="985" t="s">
        <v>1784</v>
      </c>
      <c r="C2667" s="985" t="s">
        <v>13063</v>
      </c>
      <c r="D2667" s="1037">
        <v>72</v>
      </c>
      <c r="E2667" s="1039">
        <v>165.99</v>
      </c>
      <c r="F2667" s="1037" t="s">
        <v>13353</v>
      </c>
      <c r="G2667" s="508"/>
      <c r="H2667" s="1037" t="s">
        <v>1968</v>
      </c>
      <c r="I2667" s="508"/>
      <c r="J2667" s="1223"/>
    </row>
    <row r="2668" spans="1:10" s="81" customFormat="1" ht="50.1" customHeight="1" x14ac:dyDescent="0.2">
      <c r="A2668" s="1220" t="s">
        <v>13423</v>
      </c>
      <c r="B2668" s="985" t="s">
        <v>1784</v>
      </c>
      <c r="C2668" s="985" t="s">
        <v>13063</v>
      </c>
      <c r="D2668" s="1037">
        <v>73</v>
      </c>
      <c r="E2668" s="1039">
        <v>336.78</v>
      </c>
      <c r="F2668" s="1037" t="s">
        <v>13076</v>
      </c>
      <c r="G2668" s="508"/>
      <c r="H2668" s="1037" t="s">
        <v>13424</v>
      </c>
      <c r="I2668" s="508"/>
      <c r="J2668" s="1223"/>
    </row>
    <row r="2669" spans="1:10" s="81" customFormat="1" ht="50.1" customHeight="1" x14ac:dyDescent="0.2">
      <c r="A2669" s="1220" t="s">
        <v>13399</v>
      </c>
      <c r="B2669" s="985" t="s">
        <v>1784</v>
      </c>
      <c r="C2669" s="985" t="s">
        <v>13063</v>
      </c>
      <c r="D2669" s="1037">
        <v>74</v>
      </c>
      <c r="E2669" s="1039">
        <v>950</v>
      </c>
      <c r="F2669" s="1037" t="s">
        <v>13400</v>
      </c>
      <c r="G2669" s="508"/>
      <c r="H2669" s="1037" t="s">
        <v>13424</v>
      </c>
      <c r="I2669" s="508"/>
      <c r="J2669" s="1223"/>
    </row>
    <row r="2670" spans="1:10" s="81" customFormat="1" ht="50.1" customHeight="1" x14ac:dyDescent="0.2">
      <c r="A2670" s="1220" t="s">
        <v>13425</v>
      </c>
      <c r="B2670" s="985" t="s">
        <v>1784</v>
      </c>
      <c r="C2670" s="985" t="s">
        <v>13063</v>
      </c>
      <c r="D2670" s="1037">
        <v>75</v>
      </c>
      <c r="E2670" s="1039">
        <v>507</v>
      </c>
      <c r="F2670" s="1037" t="s">
        <v>13426</v>
      </c>
      <c r="G2670" s="508"/>
      <c r="H2670" s="1037" t="s">
        <v>13189</v>
      </c>
      <c r="I2670" s="508"/>
      <c r="J2670" s="1223"/>
    </row>
    <row r="2671" spans="1:10" s="81" customFormat="1" ht="50.1" customHeight="1" x14ac:dyDescent="0.2">
      <c r="A2671" s="1220" t="s">
        <v>13427</v>
      </c>
      <c r="B2671" s="985" t="s">
        <v>1784</v>
      </c>
      <c r="C2671" s="985" t="s">
        <v>13063</v>
      </c>
      <c r="D2671" s="1037">
        <v>76</v>
      </c>
      <c r="E2671" s="1039">
        <v>972</v>
      </c>
      <c r="F2671" s="1037" t="s">
        <v>13428</v>
      </c>
      <c r="G2671" s="508"/>
      <c r="H2671" s="1037" t="s">
        <v>13191</v>
      </c>
      <c r="I2671" s="508"/>
      <c r="J2671" s="1223"/>
    </row>
    <row r="2672" spans="1:10" s="81" customFormat="1" ht="50.1" customHeight="1" x14ac:dyDescent="0.2">
      <c r="A2672" s="1220" t="s">
        <v>13429</v>
      </c>
      <c r="B2672" s="985" t="s">
        <v>1784</v>
      </c>
      <c r="C2672" s="985" t="s">
        <v>13063</v>
      </c>
      <c r="D2672" s="1037">
        <v>77</v>
      </c>
      <c r="E2672" s="1039">
        <v>1798.5</v>
      </c>
      <c r="F2672" s="1037" t="s">
        <v>13430</v>
      </c>
      <c r="G2672" s="508"/>
      <c r="H2672" s="1037" t="s">
        <v>13191</v>
      </c>
      <c r="I2672" s="508"/>
      <c r="J2672" s="1223"/>
    </row>
    <row r="2673" spans="1:10" s="81" customFormat="1" ht="50.1" customHeight="1" x14ac:dyDescent="0.2">
      <c r="A2673" s="1220" t="s">
        <v>13429</v>
      </c>
      <c r="B2673" s="985" t="s">
        <v>1784</v>
      </c>
      <c r="C2673" s="985" t="s">
        <v>13063</v>
      </c>
      <c r="D2673" s="1037">
        <v>78</v>
      </c>
      <c r="E2673" s="1039">
        <v>3354</v>
      </c>
      <c r="F2673" s="1037" t="s">
        <v>13430</v>
      </c>
      <c r="G2673" s="508"/>
      <c r="H2673" s="1037" t="s">
        <v>13193</v>
      </c>
      <c r="I2673" s="508"/>
      <c r="J2673" s="1223"/>
    </row>
    <row r="2674" spans="1:10" s="81" customFormat="1" ht="50.1" customHeight="1" x14ac:dyDescent="0.2">
      <c r="A2674" s="1220" t="s">
        <v>13357</v>
      </c>
      <c r="B2674" s="985" t="s">
        <v>1784</v>
      </c>
      <c r="C2674" s="985" t="s">
        <v>13063</v>
      </c>
      <c r="D2674" s="1037">
        <v>79</v>
      </c>
      <c r="E2674" s="1039">
        <v>1400</v>
      </c>
      <c r="F2674" s="1037" t="s">
        <v>13358</v>
      </c>
      <c r="G2674" s="508"/>
      <c r="H2674" s="1037" t="s">
        <v>13194</v>
      </c>
      <c r="I2674" s="508"/>
      <c r="J2674" s="1223"/>
    </row>
    <row r="2675" spans="1:10" s="81" customFormat="1" ht="50.1" customHeight="1" x14ac:dyDescent="0.2">
      <c r="A2675" s="1220" t="s">
        <v>13382</v>
      </c>
      <c r="B2675" s="985" t="s">
        <v>1784</v>
      </c>
      <c r="C2675" s="985" t="s">
        <v>13063</v>
      </c>
      <c r="D2675" s="1037">
        <v>80</v>
      </c>
      <c r="E2675" s="1039">
        <v>5000</v>
      </c>
      <c r="F2675" s="1037" t="s">
        <v>13383</v>
      </c>
      <c r="G2675" s="508"/>
      <c r="H2675" s="1037" t="s">
        <v>13194</v>
      </c>
      <c r="I2675" s="508"/>
      <c r="J2675" s="1223"/>
    </row>
    <row r="2676" spans="1:10" s="81" customFormat="1" ht="50.1" customHeight="1" x14ac:dyDescent="0.2">
      <c r="A2676" s="1220" t="s">
        <v>13431</v>
      </c>
      <c r="B2676" s="985" t="s">
        <v>1784</v>
      </c>
      <c r="C2676" s="985" t="s">
        <v>13063</v>
      </c>
      <c r="D2676" s="1037">
        <v>81</v>
      </c>
      <c r="E2676" s="1039">
        <v>1600</v>
      </c>
      <c r="F2676" s="1037" t="s">
        <v>13360</v>
      </c>
      <c r="G2676" s="508"/>
      <c r="H2676" s="1037" t="s">
        <v>13432</v>
      </c>
      <c r="I2676" s="508"/>
      <c r="J2676" s="1223"/>
    </row>
    <row r="2677" spans="1:10" s="81" customFormat="1" ht="50.1" customHeight="1" x14ac:dyDescent="0.2">
      <c r="A2677" s="1220" t="s">
        <v>13405</v>
      </c>
      <c r="B2677" s="985" t="s">
        <v>1784</v>
      </c>
      <c r="C2677" s="985" t="s">
        <v>13063</v>
      </c>
      <c r="D2677" s="1037">
        <v>82</v>
      </c>
      <c r="E2677" s="1039">
        <v>1496.66</v>
      </c>
      <c r="F2677" s="1037" t="s">
        <v>13406</v>
      </c>
      <c r="G2677" s="508"/>
      <c r="H2677" s="1037" t="s">
        <v>2140</v>
      </c>
      <c r="I2677" s="508"/>
      <c r="J2677" s="1223"/>
    </row>
    <row r="2678" spans="1:10" s="81" customFormat="1" ht="50.1" customHeight="1" x14ac:dyDescent="0.2">
      <c r="A2678" s="1220" t="s">
        <v>13407</v>
      </c>
      <c r="B2678" s="985" t="s">
        <v>1784</v>
      </c>
      <c r="C2678" s="985" t="s">
        <v>13063</v>
      </c>
      <c r="D2678" s="1037">
        <v>83</v>
      </c>
      <c r="E2678" s="1039">
        <v>2200</v>
      </c>
      <c r="F2678" s="1037" t="s">
        <v>13408</v>
      </c>
      <c r="G2678" s="508"/>
      <c r="H2678" s="1037" t="s">
        <v>13205</v>
      </c>
      <c r="I2678" s="508"/>
      <c r="J2678" s="1223"/>
    </row>
    <row r="2679" spans="1:10" s="81" customFormat="1" ht="50.1" customHeight="1" x14ac:dyDescent="0.2">
      <c r="A2679" s="1220" t="s">
        <v>13433</v>
      </c>
      <c r="B2679" s="985" t="s">
        <v>1784</v>
      </c>
      <c r="C2679" s="985" t="s">
        <v>13063</v>
      </c>
      <c r="D2679" s="1037">
        <v>84</v>
      </c>
      <c r="E2679" s="1039">
        <v>7275.8</v>
      </c>
      <c r="F2679" s="1037" t="s">
        <v>13351</v>
      </c>
      <c r="G2679" s="508"/>
      <c r="H2679" s="1037" t="s">
        <v>13205</v>
      </c>
      <c r="I2679" s="508"/>
      <c r="J2679" s="1223"/>
    </row>
    <row r="2680" spans="1:10" s="81" customFormat="1" ht="50.1" customHeight="1" x14ac:dyDescent="0.2">
      <c r="A2680" s="1220" t="s">
        <v>13399</v>
      </c>
      <c r="B2680" s="985" t="s">
        <v>1784</v>
      </c>
      <c r="C2680" s="985" t="s">
        <v>13063</v>
      </c>
      <c r="D2680" s="1037">
        <v>85</v>
      </c>
      <c r="E2680" s="1039">
        <v>950</v>
      </c>
      <c r="F2680" s="1037" t="s">
        <v>13400</v>
      </c>
      <c r="G2680" s="508"/>
      <c r="H2680" s="1037" t="s">
        <v>13205</v>
      </c>
      <c r="I2680" s="508"/>
      <c r="J2680" s="1223"/>
    </row>
    <row r="2681" spans="1:10" s="81" customFormat="1" ht="50.1" customHeight="1" x14ac:dyDescent="0.2">
      <c r="A2681" s="1220" t="s">
        <v>13434</v>
      </c>
      <c r="B2681" s="985" t="s">
        <v>1784</v>
      </c>
      <c r="C2681" s="985" t="s">
        <v>13063</v>
      </c>
      <c r="D2681" s="1037">
        <v>86</v>
      </c>
      <c r="E2681" s="1039">
        <v>649.4</v>
      </c>
      <c r="F2681" s="1037" t="s">
        <v>13390</v>
      </c>
      <c r="G2681" s="508"/>
      <c r="H2681" s="1037" t="s">
        <v>2137</v>
      </c>
      <c r="I2681" s="508"/>
      <c r="J2681" s="1223"/>
    </row>
    <row r="2682" spans="1:10" s="81" customFormat="1" ht="50.1" customHeight="1" x14ac:dyDescent="0.2">
      <c r="A2682" s="1220" t="s">
        <v>13373</v>
      </c>
      <c r="B2682" s="985" t="s">
        <v>1784</v>
      </c>
      <c r="C2682" s="985" t="s">
        <v>13063</v>
      </c>
      <c r="D2682" s="1037">
        <v>87</v>
      </c>
      <c r="E2682" s="1039">
        <v>3000</v>
      </c>
      <c r="F2682" s="1037" t="s">
        <v>13374</v>
      </c>
      <c r="G2682" s="508"/>
      <c r="H2682" s="1037" t="s">
        <v>2137</v>
      </c>
      <c r="I2682" s="508"/>
      <c r="J2682" s="1223"/>
    </row>
    <row r="2683" spans="1:10" s="81" customFormat="1" ht="50.1" customHeight="1" x14ac:dyDescent="0.2">
      <c r="A2683" s="1220" t="s">
        <v>13352</v>
      </c>
      <c r="B2683" s="985" t="s">
        <v>1784</v>
      </c>
      <c r="C2683" s="985" t="s">
        <v>13063</v>
      </c>
      <c r="D2683" s="1037">
        <v>88</v>
      </c>
      <c r="E2683" s="1039">
        <v>165.99</v>
      </c>
      <c r="F2683" s="1037" t="s">
        <v>13353</v>
      </c>
      <c r="G2683" s="508"/>
      <c r="H2683" s="1037" t="s">
        <v>13435</v>
      </c>
      <c r="I2683" s="508"/>
      <c r="J2683" s="1223"/>
    </row>
    <row r="2684" spans="1:10" s="81" customFormat="1" ht="50.1" customHeight="1" x14ac:dyDescent="0.2">
      <c r="A2684" s="1220" t="s">
        <v>13352</v>
      </c>
      <c r="B2684" s="985" t="s">
        <v>1784</v>
      </c>
      <c r="C2684" s="985" t="s">
        <v>13063</v>
      </c>
      <c r="D2684" s="1037">
        <v>89</v>
      </c>
      <c r="E2684" s="1039">
        <v>165.99</v>
      </c>
      <c r="F2684" s="1037" t="s">
        <v>13353</v>
      </c>
      <c r="G2684" s="508"/>
      <c r="H2684" s="1037" t="s">
        <v>13212</v>
      </c>
      <c r="I2684" s="508"/>
      <c r="J2684" s="1223"/>
    </row>
    <row r="2685" spans="1:10" s="81" customFormat="1" ht="50.1" customHeight="1" x14ac:dyDescent="0.2">
      <c r="A2685" s="1220" t="s">
        <v>13436</v>
      </c>
      <c r="B2685" s="985" t="s">
        <v>1784</v>
      </c>
      <c r="C2685" s="985" t="s">
        <v>13063</v>
      </c>
      <c r="D2685" s="1037">
        <v>90</v>
      </c>
      <c r="E2685" s="1039">
        <v>5080</v>
      </c>
      <c r="F2685" s="1037" t="s">
        <v>13437</v>
      </c>
      <c r="G2685" s="508"/>
      <c r="H2685" s="1037" t="s">
        <v>2250</v>
      </c>
      <c r="I2685" s="508"/>
      <c r="J2685" s="1223"/>
    </row>
    <row r="2686" spans="1:10" s="81" customFormat="1" ht="50.1" customHeight="1" x14ac:dyDescent="0.2">
      <c r="A2686" s="1220" t="s">
        <v>13438</v>
      </c>
      <c r="B2686" s="985" t="s">
        <v>1784</v>
      </c>
      <c r="C2686" s="985" t="s">
        <v>13063</v>
      </c>
      <c r="D2686" s="1037">
        <v>91</v>
      </c>
      <c r="E2686" s="1039">
        <v>2900</v>
      </c>
      <c r="F2686" s="1037" t="s">
        <v>3118</v>
      </c>
      <c r="G2686" s="508"/>
      <c r="H2686" s="1037" t="s">
        <v>2250</v>
      </c>
      <c r="I2686" s="508"/>
      <c r="J2686" s="1223"/>
    </row>
    <row r="2687" spans="1:10" s="81" customFormat="1" ht="50.1" customHeight="1" x14ac:dyDescent="0.2">
      <c r="A2687" s="1220" t="s">
        <v>13439</v>
      </c>
      <c r="B2687" s="985" t="s">
        <v>1784</v>
      </c>
      <c r="C2687" s="985" t="s">
        <v>13063</v>
      </c>
      <c r="D2687" s="1037">
        <v>92</v>
      </c>
      <c r="E2687" s="1039">
        <v>1230</v>
      </c>
      <c r="F2687" s="1037" t="s">
        <v>13236</v>
      </c>
      <c r="G2687" s="508"/>
      <c r="H2687" s="1037" t="s">
        <v>2250</v>
      </c>
      <c r="I2687" s="508"/>
      <c r="J2687" s="1223"/>
    </row>
    <row r="2688" spans="1:10" s="81" customFormat="1" ht="50.1" customHeight="1" x14ac:dyDescent="0.2">
      <c r="A2688" s="1220" t="s">
        <v>13440</v>
      </c>
      <c r="B2688" s="985" t="s">
        <v>1784</v>
      </c>
      <c r="C2688" s="985" t="s">
        <v>13063</v>
      </c>
      <c r="D2688" s="1037">
        <v>93</v>
      </c>
      <c r="E2688" s="1039">
        <v>1440</v>
      </c>
      <c r="F2688" s="1037" t="s">
        <v>3118</v>
      </c>
      <c r="G2688" s="508"/>
      <c r="H2688" s="1037" t="s">
        <v>2250</v>
      </c>
      <c r="I2688" s="508"/>
      <c r="J2688" s="1223"/>
    </row>
    <row r="2689" spans="1:10" s="81" customFormat="1" ht="50.1" customHeight="1" x14ac:dyDescent="0.2">
      <c r="A2689" s="1220" t="s">
        <v>13441</v>
      </c>
      <c r="B2689" s="985" t="s">
        <v>1784</v>
      </c>
      <c r="C2689" s="985" t="s">
        <v>13063</v>
      </c>
      <c r="D2689" s="1037">
        <v>94</v>
      </c>
      <c r="E2689" s="1039">
        <v>2160</v>
      </c>
      <c r="F2689" s="1037" t="s">
        <v>13236</v>
      </c>
      <c r="G2689" s="508"/>
      <c r="H2689" s="1037" t="s">
        <v>2250</v>
      </c>
      <c r="I2689" s="508"/>
      <c r="J2689" s="1223"/>
    </row>
    <row r="2690" spans="1:10" s="81" customFormat="1" ht="50.1" customHeight="1" x14ac:dyDescent="0.2">
      <c r="A2690" s="1220" t="s">
        <v>13442</v>
      </c>
      <c r="B2690" s="985" t="s">
        <v>1784</v>
      </c>
      <c r="C2690" s="985" t="s">
        <v>13063</v>
      </c>
      <c r="D2690" s="1037">
        <v>95</v>
      </c>
      <c r="E2690" s="1039">
        <v>4160</v>
      </c>
      <c r="F2690" s="1037" t="s">
        <v>13236</v>
      </c>
      <c r="G2690" s="508"/>
      <c r="H2690" s="1037" t="s">
        <v>2250</v>
      </c>
      <c r="I2690" s="508"/>
      <c r="J2690" s="1223"/>
    </row>
    <row r="2691" spans="1:10" s="81" customFormat="1" ht="50.1" customHeight="1" x14ac:dyDescent="0.2">
      <c r="A2691" s="1220" t="s">
        <v>13357</v>
      </c>
      <c r="B2691" s="985" t="s">
        <v>1784</v>
      </c>
      <c r="C2691" s="985" t="s">
        <v>13063</v>
      </c>
      <c r="D2691" s="1037">
        <v>96</v>
      </c>
      <c r="E2691" s="1039">
        <v>1400</v>
      </c>
      <c r="F2691" s="1037" t="s">
        <v>13358</v>
      </c>
      <c r="G2691" s="508"/>
      <c r="H2691" s="1037" t="s">
        <v>13213</v>
      </c>
      <c r="I2691" s="508"/>
      <c r="J2691" s="1223"/>
    </row>
    <row r="2692" spans="1:10" s="81" customFormat="1" ht="50.1" customHeight="1" x14ac:dyDescent="0.2">
      <c r="A2692" s="1220" t="s">
        <v>13443</v>
      </c>
      <c r="B2692" s="985" t="s">
        <v>1784</v>
      </c>
      <c r="C2692" s="985" t="s">
        <v>13063</v>
      </c>
      <c r="D2692" s="1037">
        <v>97</v>
      </c>
      <c r="E2692" s="1039">
        <v>26500</v>
      </c>
      <c r="F2692" s="1037" t="s">
        <v>13444</v>
      </c>
      <c r="G2692" s="508"/>
      <c r="H2692" s="1037" t="s">
        <v>13213</v>
      </c>
      <c r="I2692" s="508"/>
      <c r="J2692" s="1223"/>
    </row>
    <row r="2693" spans="1:10" s="81" customFormat="1" ht="50.1" customHeight="1" x14ac:dyDescent="0.2">
      <c r="A2693" s="1220" t="s">
        <v>13445</v>
      </c>
      <c r="B2693" s="985" t="s">
        <v>1784</v>
      </c>
      <c r="C2693" s="985" t="s">
        <v>13063</v>
      </c>
      <c r="D2693" s="1037">
        <v>98</v>
      </c>
      <c r="E2693" s="1039">
        <v>1680</v>
      </c>
      <c r="F2693" s="1037" t="s">
        <v>13236</v>
      </c>
      <c r="G2693" s="508"/>
      <c r="H2693" s="1037" t="s">
        <v>13213</v>
      </c>
      <c r="I2693" s="508"/>
      <c r="J2693" s="1223"/>
    </row>
    <row r="2694" spans="1:10" s="81" customFormat="1" ht="50.1" customHeight="1" x14ac:dyDescent="0.2">
      <c r="A2694" s="1220" t="s">
        <v>13445</v>
      </c>
      <c r="B2694" s="985" t="s">
        <v>1784</v>
      </c>
      <c r="C2694" s="985" t="s">
        <v>13063</v>
      </c>
      <c r="D2694" s="1037">
        <v>99</v>
      </c>
      <c r="E2694" s="1039">
        <v>1900</v>
      </c>
      <c r="F2694" s="1037" t="s">
        <v>3118</v>
      </c>
      <c r="G2694" s="508"/>
      <c r="H2694" s="1037" t="s">
        <v>13213</v>
      </c>
      <c r="I2694" s="508"/>
      <c r="J2694" s="1223"/>
    </row>
    <row r="2695" spans="1:10" s="81" customFormat="1" ht="50.1" customHeight="1" x14ac:dyDescent="0.2">
      <c r="A2695" s="1220" t="s">
        <v>13365</v>
      </c>
      <c r="B2695" s="985" t="s">
        <v>1784</v>
      </c>
      <c r="C2695" s="985" t="s">
        <v>13063</v>
      </c>
      <c r="D2695" s="1037">
        <v>100</v>
      </c>
      <c r="E2695" s="1039">
        <v>1875</v>
      </c>
      <c r="F2695" s="1037" t="s">
        <v>13320</v>
      </c>
      <c r="G2695" s="508"/>
      <c r="H2695" s="1037" t="s">
        <v>13215</v>
      </c>
      <c r="I2695" s="508"/>
      <c r="J2695" s="1223"/>
    </row>
    <row r="2696" spans="1:10" s="81" customFormat="1" ht="50.1" customHeight="1" x14ac:dyDescent="0.2">
      <c r="A2696" s="1220" t="s">
        <v>13385</v>
      </c>
      <c r="B2696" s="985" t="s">
        <v>1784</v>
      </c>
      <c r="C2696" s="985" t="s">
        <v>13063</v>
      </c>
      <c r="D2696" s="1037">
        <v>101</v>
      </c>
      <c r="E2696" s="1039">
        <v>1420</v>
      </c>
      <c r="F2696" s="1037" t="s">
        <v>13320</v>
      </c>
      <c r="G2696" s="508"/>
      <c r="H2696" s="1037" t="s">
        <v>13215</v>
      </c>
      <c r="I2696" s="508"/>
      <c r="J2696" s="1223"/>
    </row>
    <row r="2697" spans="1:10" s="81" customFormat="1" ht="50.1" customHeight="1" x14ac:dyDescent="0.2">
      <c r="A2697" s="1220" t="s">
        <v>13446</v>
      </c>
      <c r="B2697" s="985" t="s">
        <v>1784</v>
      </c>
      <c r="C2697" s="985" t="s">
        <v>13063</v>
      </c>
      <c r="D2697" s="1037">
        <v>102</v>
      </c>
      <c r="E2697" s="1039">
        <v>1599.5</v>
      </c>
      <c r="F2697" s="1037" t="s">
        <v>13447</v>
      </c>
      <c r="G2697" s="508"/>
      <c r="H2697" s="1037" t="s">
        <v>13448</v>
      </c>
      <c r="I2697" s="508"/>
      <c r="J2697" s="1223"/>
    </row>
    <row r="2698" spans="1:10" s="81" customFormat="1" ht="50.1" customHeight="1" x14ac:dyDescent="0.2">
      <c r="A2698" s="1220" t="s">
        <v>13446</v>
      </c>
      <c r="B2698" s="985" t="s">
        <v>1784</v>
      </c>
      <c r="C2698" s="985" t="s">
        <v>13063</v>
      </c>
      <c r="D2698" s="1037">
        <v>103</v>
      </c>
      <c r="E2698" s="1039">
        <v>1599.5</v>
      </c>
      <c r="F2698" s="1037" t="s">
        <v>13447</v>
      </c>
      <c r="G2698" s="508"/>
      <c r="H2698" s="1037" t="s">
        <v>13449</v>
      </c>
      <c r="I2698" s="508"/>
      <c r="J2698" s="1223"/>
    </row>
    <row r="2699" spans="1:10" s="81" customFormat="1" ht="50.1" customHeight="1" x14ac:dyDescent="0.2">
      <c r="A2699" s="1220" t="s">
        <v>13450</v>
      </c>
      <c r="B2699" s="985" t="s">
        <v>1784</v>
      </c>
      <c r="C2699" s="985" t="s">
        <v>13063</v>
      </c>
      <c r="D2699" s="1037">
        <v>105</v>
      </c>
      <c r="E2699" s="1039">
        <v>462.22</v>
      </c>
      <c r="F2699" s="1037" t="s">
        <v>2518</v>
      </c>
      <c r="G2699" s="508"/>
      <c r="H2699" s="1037" t="s">
        <v>2005</v>
      </c>
      <c r="I2699" s="508"/>
      <c r="J2699" s="1223"/>
    </row>
    <row r="2700" spans="1:10" s="81" customFormat="1" ht="50.1" customHeight="1" x14ac:dyDescent="0.2">
      <c r="A2700" s="1220" t="s">
        <v>13450</v>
      </c>
      <c r="B2700" s="985" t="s">
        <v>1784</v>
      </c>
      <c r="C2700" s="985" t="s">
        <v>13063</v>
      </c>
      <c r="D2700" s="1037">
        <v>106</v>
      </c>
      <c r="E2700" s="1039">
        <v>462.22</v>
      </c>
      <c r="F2700" s="1037" t="s">
        <v>2518</v>
      </c>
      <c r="G2700" s="508"/>
      <c r="H2700" s="1037" t="s">
        <v>2005</v>
      </c>
      <c r="I2700" s="508"/>
      <c r="J2700" s="1223"/>
    </row>
    <row r="2701" spans="1:10" s="81" customFormat="1" ht="50.1" customHeight="1" x14ac:dyDescent="0.2">
      <c r="A2701" s="1220" t="s">
        <v>13407</v>
      </c>
      <c r="B2701" s="985" t="s">
        <v>1784</v>
      </c>
      <c r="C2701" s="985" t="s">
        <v>13063</v>
      </c>
      <c r="D2701" s="1037">
        <v>107</v>
      </c>
      <c r="E2701" s="1039">
        <v>2200</v>
      </c>
      <c r="F2701" s="1037" t="s">
        <v>13408</v>
      </c>
      <c r="G2701" s="508"/>
      <c r="H2701" s="1037" t="s">
        <v>2005</v>
      </c>
      <c r="I2701" s="508"/>
      <c r="J2701" s="1223"/>
    </row>
    <row r="2702" spans="1:10" s="81" customFormat="1" ht="50.1" customHeight="1" x14ac:dyDescent="0.2">
      <c r="A2702" s="1220" t="s">
        <v>13451</v>
      </c>
      <c r="B2702" s="985" t="s">
        <v>1784</v>
      </c>
      <c r="C2702" s="985" t="s">
        <v>13063</v>
      </c>
      <c r="D2702" s="1037">
        <v>108</v>
      </c>
      <c r="E2702" s="1039">
        <v>6620.8</v>
      </c>
      <c r="F2702" s="1037" t="s">
        <v>13351</v>
      </c>
      <c r="G2702" s="508"/>
      <c r="H2702" s="1037" t="s">
        <v>2005</v>
      </c>
      <c r="I2702" s="508"/>
      <c r="J2702" s="1223"/>
    </row>
    <row r="2703" spans="1:10" s="81" customFormat="1" ht="50.1" customHeight="1" x14ac:dyDescent="0.2">
      <c r="A2703" s="1220" t="s">
        <v>13450</v>
      </c>
      <c r="B2703" s="985" t="s">
        <v>1784</v>
      </c>
      <c r="C2703" s="985" t="s">
        <v>13063</v>
      </c>
      <c r="D2703" s="1037">
        <v>109</v>
      </c>
      <c r="E2703" s="1039">
        <v>468</v>
      </c>
      <c r="F2703" s="1037" t="s">
        <v>13380</v>
      </c>
      <c r="G2703" s="508"/>
      <c r="H2703" s="1037" t="s">
        <v>2251</v>
      </c>
      <c r="I2703" s="508"/>
      <c r="J2703" s="1223"/>
    </row>
    <row r="2704" spans="1:10" s="81" customFormat="1" ht="50.1" customHeight="1" x14ac:dyDescent="0.2">
      <c r="A2704" s="1220" t="s">
        <v>13423</v>
      </c>
      <c r="B2704" s="985" t="s">
        <v>1784</v>
      </c>
      <c r="C2704" s="985" t="s">
        <v>13063</v>
      </c>
      <c r="D2704" s="1037">
        <v>110</v>
      </c>
      <c r="E2704" s="1039">
        <v>415.14</v>
      </c>
      <c r="F2704" s="1037" t="s">
        <v>13076</v>
      </c>
      <c r="G2704" s="508"/>
      <c r="H2704" s="1037" t="s">
        <v>13452</v>
      </c>
      <c r="I2704" s="508"/>
      <c r="J2704" s="1223"/>
    </row>
    <row r="2705" spans="1:10" s="81" customFormat="1" ht="50.1" customHeight="1" x14ac:dyDescent="0.2">
      <c r="A2705" s="1220" t="s">
        <v>13453</v>
      </c>
      <c r="B2705" s="985" t="s">
        <v>1784</v>
      </c>
      <c r="C2705" s="985" t="s">
        <v>13063</v>
      </c>
      <c r="D2705" s="1037">
        <v>111</v>
      </c>
      <c r="E2705" s="1039">
        <v>4500</v>
      </c>
      <c r="F2705" s="1037" t="s">
        <v>13454</v>
      </c>
      <c r="G2705" s="508"/>
      <c r="H2705" s="1037" t="s">
        <v>13452</v>
      </c>
      <c r="I2705" s="508"/>
      <c r="J2705" s="1223"/>
    </row>
    <row r="2706" spans="1:10" s="81" customFormat="1" ht="50.1" customHeight="1" x14ac:dyDescent="0.2">
      <c r="A2706" s="1220" t="s">
        <v>13399</v>
      </c>
      <c r="B2706" s="985" t="s">
        <v>1784</v>
      </c>
      <c r="C2706" s="985" t="s">
        <v>13063</v>
      </c>
      <c r="D2706" s="1037">
        <v>112</v>
      </c>
      <c r="E2706" s="1039">
        <v>950</v>
      </c>
      <c r="F2706" s="1037" t="s">
        <v>13400</v>
      </c>
      <c r="G2706" s="508"/>
      <c r="H2706" s="1037" t="s">
        <v>2006</v>
      </c>
      <c r="I2706" s="508"/>
      <c r="J2706" s="1223"/>
    </row>
    <row r="2707" spans="1:10" s="81" customFormat="1" ht="50.1" customHeight="1" x14ac:dyDescent="0.2">
      <c r="A2707" s="1220" t="s">
        <v>13453</v>
      </c>
      <c r="B2707" s="985" t="s">
        <v>1784</v>
      </c>
      <c r="C2707" s="985" t="s">
        <v>13063</v>
      </c>
      <c r="D2707" s="1037">
        <v>113</v>
      </c>
      <c r="E2707" s="1039">
        <v>4500</v>
      </c>
      <c r="F2707" s="1037" t="s">
        <v>13454</v>
      </c>
      <c r="G2707" s="508"/>
      <c r="H2707" s="1037" t="s">
        <v>2006</v>
      </c>
      <c r="I2707" s="508"/>
      <c r="J2707" s="1223"/>
    </row>
    <row r="2708" spans="1:10" s="81" customFormat="1" ht="50.1" customHeight="1" x14ac:dyDescent="0.2">
      <c r="A2708" s="1220" t="s">
        <v>13405</v>
      </c>
      <c r="B2708" s="985" t="s">
        <v>1784</v>
      </c>
      <c r="C2708" s="985" t="s">
        <v>13063</v>
      </c>
      <c r="D2708" s="1037">
        <v>114</v>
      </c>
      <c r="E2708" s="1039">
        <v>1496.67</v>
      </c>
      <c r="F2708" s="1037" t="s">
        <v>13406</v>
      </c>
      <c r="G2708" s="508"/>
      <c r="H2708" s="1037" t="s">
        <v>2006</v>
      </c>
      <c r="I2708" s="508"/>
      <c r="J2708" s="1223"/>
    </row>
    <row r="2709" spans="1:10" s="81" customFormat="1" ht="50.1" customHeight="1" x14ac:dyDescent="0.2">
      <c r="A2709" s="1220" t="s">
        <v>13455</v>
      </c>
      <c r="B2709" s="985" t="s">
        <v>1784</v>
      </c>
      <c r="C2709" s="985" t="s">
        <v>13063</v>
      </c>
      <c r="D2709" s="1037">
        <v>115</v>
      </c>
      <c r="E2709" s="1039">
        <v>176</v>
      </c>
      <c r="F2709" s="1037" t="s">
        <v>13456</v>
      </c>
      <c r="G2709" s="508"/>
      <c r="H2709" s="1037" t="s">
        <v>2006</v>
      </c>
      <c r="I2709" s="508"/>
      <c r="J2709" s="1223"/>
    </row>
    <row r="2710" spans="1:10" s="81" customFormat="1" ht="50.1" customHeight="1" x14ac:dyDescent="0.2">
      <c r="A2710" s="1220" t="s">
        <v>13457</v>
      </c>
      <c r="B2710" s="985" t="s">
        <v>1784</v>
      </c>
      <c r="C2710" s="985" t="s">
        <v>13063</v>
      </c>
      <c r="D2710" s="1037">
        <v>116</v>
      </c>
      <c r="E2710" s="1039">
        <v>2650</v>
      </c>
      <c r="F2710" s="1037" t="s">
        <v>13458</v>
      </c>
      <c r="G2710" s="508"/>
      <c r="H2710" s="1037" t="s">
        <v>13237</v>
      </c>
      <c r="I2710" s="508"/>
      <c r="J2710" s="1223"/>
    </row>
    <row r="2711" spans="1:10" s="81" customFormat="1" ht="50.1" customHeight="1" x14ac:dyDescent="0.2">
      <c r="A2711" s="1220" t="s">
        <v>13459</v>
      </c>
      <c r="B2711" s="985" t="s">
        <v>1784</v>
      </c>
      <c r="C2711" s="985" t="s">
        <v>13063</v>
      </c>
      <c r="D2711" s="1037">
        <v>117</v>
      </c>
      <c r="E2711" s="1039">
        <v>2200</v>
      </c>
      <c r="F2711" s="1037" t="s">
        <v>13236</v>
      </c>
      <c r="G2711" s="508"/>
      <c r="H2711" s="1037" t="s">
        <v>13237</v>
      </c>
      <c r="I2711" s="508"/>
      <c r="J2711" s="1223"/>
    </row>
    <row r="2712" spans="1:10" s="81" customFormat="1" ht="50.1" customHeight="1" x14ac:dyDescent="0.2">
      <c r="A2712" s="1220" t="s">
        <v>13434</v>
      </c>
      <c r="B2712" s="985" t="s">
        <v>1784</v>
      </c>
      <c r="C2712" s="985" t="s">
        <v>13063</v>
      </c>
      <c r="D2712" s="1037">
        <v>119</v>
      </c>
      <c r="E2712" s="1039">
        <v>649.4</v>
      </c>
      <c r="F2712" s="1037" t="s">
        <v>13390</v>
      </c>
      <c r="G2712" s="508"/>
      <c r="H2712" s="1037" t="s">
        <v>2253</v>
      </c>
      <c r="I2712" s="508"/>
      <c r="J2712" s="1223"/>
    </row>
    <row r="2713" spans="1:10" s="81" customFormat="1" ht="50.1" customHeight="1" x14ac:dyDescent="0.2">
      <c r="A2713" s="1220" t="s">
        <v>13434</v>
      </c>
      <c r="B2713" s="985" t="s">
        <v>1784</v>
      </c>
      <c r="C2713" s="985" t="s">
        <v>13063</v>
      </c>
      <c r="D2713" s="1037">
        <v>120</v>
      </c>
      <c r="E2713" s="1039">
        <v>649.4</v>
      </c>
      <c r="F2713" s="1037" t="s">
        <v>13390</v>
      </c>
      <c r="G2713" s="508"/>
      <c r="H2713" s="1037" t="s">
        <v>13247</v>
      </c>
      <c r="I2713" s="508"/>
      <c r="J2713" s="1223"/>
    </row>
    <row r="2714" spans="1:10" s="81" customFormat="1" ht="50.1" customHeight="1" x14ac:dyDescent="0.2">
      <c r="A2714" s="1220" t="s">
        <v>13357</v>
      </c>
      <c r="B2714" s="985" t="s">
        <v>1784</v>
      </c>
      <c r="C2714" s="985" t="s">
        <v>13063</v>
      </c>
      <c r="D2714" s="1037">
        <v>121</v>
      </c>
      <c r="E2714" s="1039">
        <v>1400</v>
      </c>
      <c r="F2714" s="1037" t="s">
        <v>13358</v>
      </c>
      <c r="G2714" s="508"/>
      <c r="H2714" s="1037" t="s">
        <v>13247</v>
      </c>
      <c r="I2714" s="508"/>
      <c r="J2714" s="1223"/>
    </row>
    <row r="2715" spans="1:10" s="81" customFormat="1" ht="50.1" customHeight="1" x14ac:dyDescent="0.2">
      <c r="A2715" s="1220" t="s">
        <v>13460</v>
      </c>
      <c r="B2715" s="985" t="s">
        <v>1784</v>
      </c>
      <c r="C2715" s="985" t="s">
        <v>13063</v>
      </c>
      <c r="D2715" s="1037">
        <v>122</v>
      </c>
      <c r="E2715" s="1039">
        <v>1360</v>
      </c>
      <c r="F2715" s="1037" t="s">
        <v>13461</v>
      </c>
      <c r="G2715" s="508"/>
      <c r="H2715" s="1037" t="s">
        <v>13462</v>
      </c>
      <c r="I2715" s="508"/>
      <c r="J2715" s="1223"/>
    </row>
    <row r="2716" spans="1:10" s="81" customFormat="1" ht="50.1" customHeight="1" x14ac:dyDescent="0.2">
      <c r="A2716" s="1220" t="s">
        <v>13460</v>
      </c>
      <c r="B2716" s="985" t="s">
        <v>1784</v>
      </c>
      <c r="C2716" s="985" t="s">
        <v>13063</v>
      </c>
      <c r="D2716" s="1037">
        <v>123</v>
      </c>
      <c r="E2716" s="1039">
        <v>600</v>
      </c>
      <c r="F2716" s="1037" t="s">
        <v>13463</v>
      </c>
      <c r="G2716" s="508"/>
      <c r="H2716" s="1037" t="s">
        <v>13462</v>
      </c>
      <c r="I2716" s="508"/>
      <c r="J2716" s="1223"/>
    </row>
    <row r="2717" spans="1:10" s="81" customFormat="1" ht="50.1" customHeight="1" x14ac:dyDescent="0.2">
      <c r="A2717" s="1220" t="s">
        <v>13460</v>
      </c>
      <c r="B2717" s="985" t="s">
        <v>1784</v>
      </c>
      <c r="C2717" s="985" t="s">
        <v>13063</v>
      </c>
      <c r="D2717" s="1037">
        <v>124</v>
      </c>
      <c r="E2717" s="1039">
        <v>300</v>
      </c>
      <c r="F2717" s="1037" t="s">
        <v>13464</v>
      </c>
      <c r="G2717" s="508"/>
      <c r="H2717" s="1037" t="s">
        <v>13462</v>
      </c>
      <c r="I2717" s="508"/>
      <c r="J2717" s="1223"/>
    </row>
    <row r="2718" spans="1:10" s="81" customFormat="1" ht="50.1" customHeight="1" x14ac:dyDescent="0.2">
      <c r="A2718" s="1220" t="s">
        <v>13460</v>
      </c>
      <c r="B2718" s="985" t="s">
        <v>1784</v>
      </c>
      <c r="C2718" s="985" t="s">
        <v>13063</v>
      </c>
      <c r="D2718" s="1037">
        <v>125</v>
      </c>
      <c r="E2718" s="1039">
        <v>840</v>
      </c>
      <c r="F2718" s="1037" t="s">
        <v>13465</v>
      </c>
      <c r="G2718" s="508"/>
      <c r="H2718" s="1037" t="s">
        <v>13462</v>
      </c>
      <c r="I2718" s="508"/>
      <c r="J2718" s="1223"/>
    </row>
    <row r="2719" spans="1:10" s="81" customFormat="1" ht="50.1" customHeight="1" x14ac:dyDescent="0.2">
      <c r="A2719" s="1220" t="s">
        <v>13466</v>
      </c>
      <c r="B2719" s="985" t="s">
        <v>1784</v>
      </c>
      <c r="C2719" s="985" t="s">
        <v>13063</v>
      </c>
      <c r="D2719" s="1037">
        <v>126</v>
      </c>
      <c r="E2719" s="1039">
        <v>2400</v>
      </c>
      <c r="F2719" s="1037" t="s">
        <v>13236</v>
      </c>
      <c r="G2719" s="508"/>
      <c r="H2719" s="1037" t="s">
        <v>13467</v>
      </c>
      <c r="I2719" s="508"/>
      <c r="J2719" s="1223"/>
    </row>
    <row r="2720" spans="1:10" s="81" customFormat="1" ht="50.1" customHeight="1" x14ac:dyDescent="0.2">
      <c r="A2720" s="1220" t="s">
        <v>13468</v>
      </c>
      <c r="B2720" s="985" t="s">
        <v>1784</v>
      </c>
      <c r="C2720" s="985" t="s">
        <v>13063</v>
      </c>
      <c r="D2720" s="1037">
        <v>127</v>
      </c>
      <c r="E2720" s="1039">
        <v>1400</v>
      </c>
      <c r="F2720" s="1037" t="s">
        <v>13236</v>
      </c>
      <c r="G2720" s="508"/>
      <c r="H2720" s="1037" t="s">
        <v>13467</v>
      </c>
      <c r="I2720" s="508"/>
      <c r="J2720" s="1223"/>
    </row>
    <row r="2721" spans="1:10" s="81" customFormat="1" ht="50.1" customHeight="1" x14ac:dyDescent="0.2">
      <c r="A2721" s="1220" t="s">
        <v>13469</v>
      </c>
      <c r="B2721" s="985" t="s">
        <v>1784</v>
      </c>
      <c r="C2721" s="985" t="s">
        <v>13063</v>
      </c>
      <c r="D2721" s="1037">
        <v>128</v>
      </c>
      <c r="E2721" s="1039">
        <v>1560</v>
      </c>
      <c r="F2721" s="1037" t="s">
        <v>13236</v>
      </c>
      <c r="G2721" s="508"/>
      <c r="H2721" s="1037" t="s">
        <v>13467</v>
      </c>
      <c r="I2721" s="508"/>
      <c r="J2721" s="1223"/>
    </row>
    <row r="2722" spans="1:10" s="81" customFormat="1" ht="50.1" customHeight="1" x14ac:dyDescent="0.2">
      <c r="A2722" s="1220" t="s">
        <v>13399</v>
      </c>
      <c r="B2722" s="985" t="s">
        <v>1784</v>
      </c>
      <c r="C2722" s="985" t="s">
        <v>13063</v>
      </c>
      <c r="D2722" s="1037">
        <v>129</v>
      </c>
      <c r="E2722" s="1039">
        <v>950</v>
      </c>
      <c r="F2722" s="1037" t="s">
        <v>13400</v>
      </c>
      <c r="G2722" s="508"/>
      <c r="H2722" s="1037" t="s">
        <v>13263</v>
      </c>
      <c r="I2722" s="508"/>
      <c r="J2722" s="1223"/>
    </row>
    <row r="2723" spans="1:10" s="81" customFormat="1" ht="50.1" customHeight="1" x14ac:dyDescent="0.2">
      <c r="A2723" s="1220" t="s">
        <v>13407</v>
      </c>
      <c r="B2723" s="985" t="s">
        <v>1784</v>
      </c>
      <c r="C2723" s="985" t="s">
        <v>13063</v>
      </c>
      <c r="D2723" s="1037">
        <v>130</v>
      </c>
      <c r="E2723" s="1039">
        <v>2200</v>
      </c>
      <c r="F2723" s="1037" t="s">
        <v>13408</v>
      </c>
      <c r="G2723" s="508"/>
      <c r="H2723" s="1037" t="s">
        <v>13263</v>
      </c>
      <c r="I2723" s="508"/>
      <c r="J2723" s="1223"/>
    </row>
    <row r="2724" spans="1:10" s="81" customFormat="1" ht="50.1" customHeight="1" x14ac:dyDescent="0.2">
      <c r="A2724" s="1220" t="s">
        <v>13470</v>
      </c>
      <c r="B2724" s="985" t="s">
        <v>1784</v>
      </c>
      <c r="C2724" s="985" t="s">
        <v>13063</v>
      </c>
      <c r="D2724" s="1037">
        <v>131</v>
      </c>
      <c r="E2724" s="1039">
        <v>5657.1</v>
      </c>
      <c r="F2724" s="1037" t="s">
        <v>13351</v>
      </c>
      <c r="G2724" s="508"/>
      <c r="H2724" s="1037" t="s">
        <v>13265</v>
      </c>
      <c r="I2724" s="508"/>
      <c r="J2724" s="1223"/>
    </row>
    <row r="2725" spans="1:10" s="81" customFormat="1" ht="50.1" customHeight="1" x14ac:dyDescent="0.2">
      <c r="A2725" s="1220" t="s">
        <v>13352</v>
      </c>
      <c r="B2725" s="985" t="s">
        <v>1784</v>
      </c>
      <c r="C2725" s="985" t="s">
        <v>13063</v>
      </c>
      <c r="D2725" s="1037">
        <v>132</v>
      </c>
      <c r="E2725" s="1039">
        <v>165.99</v>
      </c>
      <c r="F2725" s="1037" t="s">
        <v>13353</v>
      </c>
      <c r="G2725" s="508"/>
      <c r="H2725" s="1037" t="s">
        <v>13265</v>
      </c>
      <c r="I2725" s="508"/>
      <c r="J2725" s="1223"/>
    </row>
    <row r="2726" spans="1:10" s="81" customFormat="1" ht="50.1" customHeight="1" x14ac:dyDescent="0.2">
      <c r="A2726" s="1220" t="s">
        <v>13405</v>
      </c>
      <c r="B2726" s="985" t="s">
        <v>1784</v>
      </c>
      <c r="C2726" s="985" t="s">
        <v>13063</v>
      </c>
      <c r="D2726" s="1037">
        <v>133</v>
      </c>
      <c r="E2726" s="1039">
        <v>1496.67</v>
      </c>
      <c r="F2726" s="1037" t="s">
        <v>13406</v>
      </c>
      <c r="G2726" s="508"/>
      <c r="H2726" s="1037" t="s">
        <v>13265</v>
      </c>
      <c r="I2726" s="508"/>
      <c r="J2726" s="1223"/>
    </row>
    <row r="2727" spans="1:10" s="81" customFormat="1" ht="50.1" customHeight="1" x14ac:dyDescent="0.2">
      <c r="A2727" s="1220" t="s">
        <v>13429</v>
      </c>
      <c r="B2727" s="985" t="s">
        <v>1784</v>
      </c>
      <c r="C2727" s="985" t="s">
        <v>13063</v>
      </c>
      <c r="D2727" s="1037">
        <v>134</v>
      </c>
      <c r="E2727" s="1039">
        <v>1624.5</v>
      </c>
      <c r="F2727" s="1037" t="s">
        <v>13430</v>
      </c>
      <c r="G2727" s="508"/>
      <c r="H2727" s="1037" t="s">
        <v>13265</v>
      </c>
      <c r="I2727" s="508"/>
      <c r="J2727" s="1223"/>
    </row>
    <row r="2728" spans="1:10" s="81" customFormat="1" ht="50.1" customHeight="1" x14ac:dyDescent="0.2">
      <c r="A2728" s="1220" t="s">
        <v>13352</v>
      </c>
      <c r="B2728" s="985" t="s">
        <v>1784</v>
      </c>
      <c r="C2728" s="985" t="s">
        <v>13063</v>
      </c>
      <c r="D2728" s="1037">
        <v>135</v>
      </c>
      <c r="E2728" s="1039">
        <v>165.99</v>
      </c>
      <c r="F2728" s="1037" t="s">
        <v>13353</v>
      </c>
      <c r="G2728" s="508"/>
      <c r="H2728" s="1037" t="s">
        <v>13269</v>
      </c>
      <c r="I2728" s="508"/>
      <c r="J2728" s="1223"/>
    </row>
    <row r="2729" spans="1:10" s="81" customFormat="1" ht="50.1" customHeight="1" x14ac:dyDescent="0.2">
      <c r="A2729" s="1220" t="s">
        <v>13429</v>
      </c>
      <c r="B2729" s="985" t="s">
        <v>1784</v>
      </c>
      <c r="C2729" s="985" t="s">
        <v>13063</v>
      </c>
      <c r="D2729" s="1037">
        <v>136</v>
      </c>
      <c r="E2729" s="1039">
        <v>2692.5</v>
      </c>
      <c r="F2729" s="1037" t="s">
        <v>13430</v>
      </c>
      <c r="G2729" s="508"/>
      <c r="H2729" s="1037" t="s">
        <v>13269</v>
      </c>
      <c r="I2729" s="508"/>
      <c r="J2729" s="1223"/>
    </row>
    <row r="2730" spans="1:10" s="81" customFormat="1" ht="50.1" customHeight="1" x14ac:dyDescent="0.2">
      <c r="A2730" s="1220" t="s">
        <v>13373</v>
      </c>
      <c r="B2730" s="985" t="s">
        <v>1784</v>
      </c>
      <c r="C2730" s="985" t="s">
        <v>13063</v>
      </c>
      <c r="D2730" s="1037">
        <v>137</v>
      </c>
      <c r="E2730" s="1039">
        <v>3000</v>
      </c>
      <c r="F2730" s="1037" t="s">
        <v>13374</v>
      </c>
      <c r="G2730" s="508"/>
      <c r="H2730" s="1037" t="s">
        <v>1975</v>
      </c>
      <c r="I2730" s="508"/>
      <c r="J2730" s="1223"/>
    </row>
    <row r="2731" spans="1:10" s="81" customFormat="1" ht="50.1" customHeight="1" x14ac:dyDescent="0.2">
      <c r="A2731" s="1220" t="s">
        <v>13455</v>
      </c>
      <c r="B2731" s="985" t="s">
        <v>1784</v>
      </c>
      <c r="C2731" s="985" t="s">
        <v>13063</v>
      </c>
      <c r="D2731" s="1037">
        <v>138</v>
      </c>
      <c r="E2731" s="1039">
        <v>154</v>
      </c>
      <c r="F2731" s="1037" t="s">
        <v>13456</v>
      </c>
      <c r="G2731" s="508"/>
      <c r="H2731" s="1037" t="s">
        <v>1975</v>
      </c>
      <c r="I2731" s="508"/>
      <c r="J2731" s="1223"/>
    </row>
    <row r="2732" spans="1:10" s="81" customFormat="1" ht="50.1" customHeight="1" x14ac:dyDescent="0.2">
      <c r="A2732" s="1220" t="s">
        <v>13385</v>
      </c>
      <c r="B2732" s="985" t="s">
        <v>1784</v>
      </c>
      <c r="C2732" s="985" t="s">
        <v>13063</v>
      </c>
      <c r="D2732" s="1037">
        <v>139</v>
      </c>
      <c r="E2732" s="1039">
        <v>545</v>
      </c>
      <c r="F2732" s="1037" t="s">
        <v>13320</v>
      </c>
      <c r="G2732" s="508"/>
      <c r="H2732" s="1037" t="s">
        <v>13471</v>
      </c>
      <c r="I2732" s="508"/>
      <c r="J2732" s="1223"/>
    </row>
    <row r="2733" spans="1:10" s="81" customFormat="1" ht="50.1" customHeight="1" x14ac:dyDescent="0.2">
      <c r="A2733" s="1220" t="s">
        <v>13472</v>
      </c>
      <c r="B2733" s="985" t="s">
        <v>1784</v>
      </c>
      <c r="C2733" s="985" t="s">
        <v>13063</v>
      </c>
      <c r="D2733" s="1037">
        <v>140</v>
      </c>
      <c r="E2733" s="1039">
        <v>2950</v>
      </c>
      <c r="F2733" s="1037" t="s">
        <v>13257</v>
      </c>
      <c r="G2733" s="508"/>
      <c r="H2733" s="1037" t="s">
        <v>13473</v>
      </c>
      <c r="I2733" s="508"/>
      <c r="J2733" s="1223"/>
    </row>
    <row r="2734" spans="1:10" s="81" customFormat="1" ht="50.1" customHeight="1" x14ac:dyDescent="0.2">
      <c r="A2734" s="1220" t="s">
        <v>13474</v>
      </c>
      <c r="B2734" s="985" t="s">
        <v>1784</v>
      </c>
      <c r="C2734" s="985" t="s">
        <v>13063</v>
      </c>
      <c r="D2734" s="1037">
        <v>141</v>
      </c>
      <c r="E2734" s="1039">
        <v>2200</v>
      </c>
      <c r="F2734" s="1037" t="s">
        <v>13475</v>
      </c>
      <c r="G2734" s="508"/>
      <c r="H2734" s="1037" t="s">
        <v>13473</v>
      </c>
      <c r="I2734" s="508"/>
      <c r="J2734" s="1223"/>
    </row>
    <row r="2735" spans="1:10" s="81" customFormat="1" ht="50.1" customHeight="1" x14ac:dyDescent="0.2">
      <c r="A2735" s="1220" t="s">
        <v>13476</v>
      </c>
      <c r="B2735" s="985" t="s">
        <v>1784</v>
      </c>
      <c r="C2735" s="985" t="s">
        <v>13063</v>
      </c>
      <c r="D2735" s="1037">
        <v>142</v>
      </c>
      <c r="E2735" s="1039">
        <v>5995</v>
      </c>
      <c r="F2735" s="1037" t="s">
        <v>13456</v>
      </c>
      <c r="G2735" s="508"/>
      <c r="H2735" s="1037" t="s">
        <v>1986</v>
      </c>
      <c r="I2735" s="508"/>
      <c r="J2735" s="1223"/>
    </row>
    <row r="2736" spans="1:10" s="81" customFormat="1" ht="50.1" customHeight="1" x14ac:dyDescent="0.2">
      <c r="A2736" s="1220" t="s">
        <v>13453</v>
      </c>
      <c r="B2736" s="985" t="s">
        <v>1784</v>
      </c>
      <c r="C2736" s="985" t="s">
        <v>13063</v>
      </c>
      <c r="D2736" s="1037">
        <v>143</v>
      </c>
      <c r="E2736" s="1039">
        <v>4500</v>
      </c>
      <c r="F2736" s="1037" t="s">
        <v>13454</v>
      </c>
      <c r="G2736" s="508"/>
      <c r="H2736" s="1037" t="s">
        <v>1986</v>
      </c>
      <c r="I2736" s="508"/>
      <c r="J2736" s="1223"/>
    </row>
    <row r="2737" spans="1:10" s="81" customFormat="1" ht="50.1" customHeight="1" x14ac:dyDescent="0.2">
      <c r="A2737" s="1220" t="s">
        <v>13477</v>
      </c>
      <c r="B2737" s="985" t="s">
        <v>1784</v>
      </c>
      <c r="C2737" s="985" t="s">
        <v>13063</v>
      </c>
      <c r="D2737" s="1037">
        <v>144</v>
      </c>
      <c r="E2737" s="1039">
        <v>30947.94</v>
      </c>
      <c r="F2737" s="1037" t="s">
        <v>13478</v>
      </c>
      <c r="G2737" s="508"/>
      <c r="H2737" s="1037" t="s">
        <v>13479</v>
      </c>
      <c r="I2737" s="508"/>
      <c r="J2737" s="1223"/>
    </row>
    <row r="2738" spans="1:10" s="81" customFormat="1" ht="50.1" customHeight="1" x14ac:dyDescent="0.2">
      <c r="A2738" s="1220" t="s">
        <v>13480</v>
      </c>
      <c r="B2738" s="985" t="s">
        <v>1784</v>
      </c>
      <c r="C2738" s="985" t="s">
        <v>13063</v>
      </c>
      <c r="D2738" s="1037">
        <v>145</v>
      </c>
      <c r="E2738" s="1039">
        <v>14000</v>
      </c>
      <c r="F2738" s="1037" t="s">
        <v>13481</v>
      </c>
      <c r="G2738" s="508"/>
      <c r="H2738" s="1037" t="s">
        <v>2259</v>
      </c>
      <c r="I2738" s="508"/>
      <c r="J2738" s="1223"/>
    </row>
    <row r="2739" spans="1:10" s="81" customFormat="1" ht="50.1" customHeight="1" x14ac:dyDescent="0.2">
      <c r="A2739" s="1220" t="s">
        <v>13482</v>
      </c>
      <c r="B2739" s="985" t="s">
        <v>1784</v>
      </c>
      <c r="C2739" s="985" t="s">
        <v>13063</v>
      </c>
      <c r="D2739" s="1037">
        <v>146</v>
      </c>
      <c r="E2739" s="1039">
        <v>2680</v>
      </c>
      <c r="F2739" s="1037" t="s">
        <v>13257</v>
      </c>
      <c r="G2739" s="508"/>
      <c r="H2739" s="1037" t="s">
        <v>2259</v>
      </c>
      <c r="I2739" s="508"/>
      <c r="J2739" s="1223"/>
    </row>
    <row r="2740" spans="1:10" s="81" customFormat="1" ht="50.1" customHeight="1" x14ac:dyDescent="0.2">
      <c r="A2740" s="1220" t="s">
        <v>13483</v>
      </c>
      <c r="B2740" s="985" t="s">
        <v>1784</v>
      </c>
      <c r="C2740" s="985" t="s">
        <v>13063</v>
      </c>
      <c r="D2740" s="1037">
        <v>147</v>
      </c>
      <c r="E2740" s="1039">
        <v>1900</v>
      </c>
      <c r="F2740" s="1037" t="s">
        <v>13236</v>
      </c>
      <c r="G2740" s="508"/>
      <c r="H2740" s="1037" t="s">
        <v>2259</v>
      </c>
      <c r="I2740" s="508"/>
      <c r="J2740" s="1223"/>
    </row>
    <row r="2741" spans="1:10" s="81" customFormat="1" ht="50.1" customHeight="1" x14ac:dyDescent="0.2">
      <c r="A2741" s="1220" t="s">
        <v>13357</v>
      </c>
      <c r="B2741" s="985" t="s">
        <v>1784</v>
      </c>
      <c r="C2741" s="985" t="s">
        <v>13063</v>
      </c>
      <c r="D2741" s="1037">
        <v>148</v>
      </c>
      <c r="E2741" s="1039">
        <v>1400</v>
      </c>
      <c r="F2741" s="1037" t="s">
        <v>13358</v>
      </c>
      <c r="G2741" s="508"/>
      <c r="H2741" s="1037" t="s">
        <v>13290</v>
      </c>
      <c r="I2741" s="508"/>
      <c r="J2741" s="1223"/>
    </row>
    <row r="2742" spans="1:10" s="81" customFormat="1" ht="50.1" customHeight="1" x14ac:dyDescent="0.2">
      <c r="A2742" s="1220" t="s">
        <v>13446</v>
      </c>
      <c r="B2742" s="985" t="s">
        <v>1784</v>
      </c>
      <c r="C2742" s="985" t="s">
        <v>13063</v>
      </c>
      <c r="D2742" s="1037">
        <v>149</v>
      </c>
      <c r="E2742" s="1039">
        <v>1599.5</v>
      </c>
      <c r="F2742" s="1037" t="s">
        <v>13447</v>
      </c>
      <c r="G2742" s="508"/>
      <c r="H2742" s="1037" t="s">
        <v>13290</v>
      </c>
      <c r="I2742" s="508"/>
      <c r="J2742" s="1223"/>
    </row>
    <row r="2743" spans="1:10" s="81" customFormat="1" ht="50.1" customHeight="1" x14ac:dyDescent="0.2">
      <c r="A2743" s="1220" t="s">
        <v>13399</v>
      </c>
      <c r="B2743" s="985" t="s">
        <v>1784</v>
      </c>
      <c r="C2743" s="985" t="s">
        <v>13063</v>
      </c>
      <c r="D2743" s="1037">
        <v>150</v>
      </c>
      <c r="E2743" s="1039">
        <v>950</v>
      </c>
      <c r="F2743" s="1037" t="s">
        <v>13400</v>
      </c>
      <c r="G2743" s="508"/>
      <c r="H2743" s="1037" t="s">
        <v>13290</v>
      </c>
      <c r="I2743" s="508"/>
      <c r="J2743" s="1223"/>
    </row>
    <row r="2744" spans="1:10" s="81" customFormat="1" ht="50.1" customHeight="1" x14ac:dyDescent="0.2">
      <c r="A2744" s="1220" t="s">
        <v>13484</v>
      </c>
      <c r="B2744" s="985" t="s">
        <v>1784</v>
      </c>
      <c r="C2744" s="985" t="s">
        <v>13063</v>
      </c>
      <c r="D2744" s="1037">
        <v>151</v>
      </c>
      <c r="E2744" s="1039">
        <v>608.41</v>
      </c>
      <c r="F2744" s="1037" t="s">
        <v>2518</v>
      </c>
      <c r="G2744" s="508"/>
      <c r="H2744" s="1037" t="s">
        <v>13292</v>
      </c>
      <c r="I2744" s="508"/>
      <c r="J2744" s="1223"/>
    </row>
    <row r="2745" spans="1:10" s="81" customFormat="1" ht="50.1" customHeight="1" x14ac:dyDescent="0.2">
      <c r="A2745" s="1220" t="s">
        <v>13365</v>
      </c>
      <c r="B2745" s="985" t="s">
        <v>1784</v>
      </c>
      <c r="C2745" s="985" t="s">
        <v>13063</v>
      </c>
      <c r="D2745" s="1037">
        <v>152</v>
      </c>
      <c r="E2745" s="1039">
        <v>1005</v>
      </c>
      <c r="F2745" s="1037" t="s">
        <v>13320</v>
      </c>
      <c r="G2745" s="508"/>
      <c r="H2745" s="1037" t="s">
        <v>13292</v>
      </c>
      <c r="I2745" s="508"/>
      <c r="J2745" s="1223"/>
    </row>
    <row r="2746" spans="1:10" s="81" customFormat="1" ht="50.1" customHeight="1" x14ac:dyDescent="0.2">
      <c r="A2746" s="1220" t="s">
        <v>13485</v>
      </c>
      <c r="B2746" s="985" t="s">
        <v>1784</v>
      </c>
      <c r="C2746" s="985" t="s">
        <v>13063</v>
      </c>
      <c r="D2746" s="1037">
        <v>153</v>
      </c>
      <c r="E2746" s="1039">
        <v>6020.4</v>
      </c>
      <c r="F2746" s="1037" t="s">
        <v>13351</v>
      </c>
      <c r="G2746" s="508"/>
      <c r="H2746" s="1037" t="s">
        <v>13298</v>
      </c>
      <c r="I2746" s="508"/>
      <c r="J2746" s="1223"/>
    </row>
    <row r="2747" spans="1:10" s="81" customFormat="1" ht="50.1" customHeight="1" x14ac:dyDescent="0.2">
      <c r="A2747" s="1220" t="s">
        <v>13434</v>
      </c>
      <c r="B2747" s="985" t="s">
        <v>1784</v>
      </c>
      <c r="C2747" s="985" t="s">
        <v>13063</v>
      </c>
      <c r="D2747" s="1037">
        <v>154</v>
      </c>
      <c r="E2747" s="1039">
        <v>649.4</v>
      </c>
      <c r="F2747" s="1037" t="s">
        <v>13390</v>
      </c>
      <c r="G2747" s="508"/>
      <c r="H2747" s="1037" t="s">
        <v>13298</v>
      </c>
      <c r="I2747" s="508"/>
      <c r="J2747" s="1223"/>
    </row>
    <row r="2748" spans="1:10" s="81" customFormat="1" ht="50.1" customHeight="1" x14ac:dyDescent="0.2">
      <c r="A2748" s="1220" t="s">
        <v>13486</v>
      </c>
      <c r="B2748" s="985" t="s">
        <v>1784</v>
      </c>
      <c r="C2748" s="985" t="s">
        <v>13063</v>
      </c>
      <c r="D2748" s="1037">
        <v>155</v>
      </c>
      <c r="E2748" s="1039">
        <v>2170</v>
      </c>
      <c r="F2748" s="1037" t="s">
        <v>13487</v>
      </c>
      <c r="G2748" s="508"/>
      <c r="H2748" s="1037" t="s">
        <v>13298</v>
      </c>
      <c r="I2748" s="508"/>
      <c r="J2748" s="1223"/>
    </row>
    <row r="2749" spans="1:10" s="81" customFormat="1" ht="50.1" customHeight="1" x14ac:dyDescent="0.2">
      <c r="A2749" s="1220" t="s">
        <v>13486</v>
      </c>
      <c r="B2749" s="985" t="s">
        <v>1784</v>
      </c>
      <c r="C2749" s="985" t="s">
        <v>13063</v>
      </c>
      <c r="D2749" s="1037">
        <v>156</v>
      </c>
      <c r="E2749" s="1039">
        <v>2197</v>
      </c>
      <c r="F2749" s="1037" t="s">
        <v>13488</v>
      </c>
      <c r="G2749" s="508"/>
      <c r="H2749" s="1037" t="s">
        <v>13298</v>
      </c>
      <c r="I2749" s="508"/>
      <c r="J2749" s="1223"/>
    </row>
    <row r="2750" spans="1:10" s="81" customFormat="1" ht="50.1" customHeight="1" x14ac:dyDescent="0.2">
      <c r="A2750" s="1220" t="s">
        <v>13489</v>
      </c>
      <c r="B2750" s="985" t="s">
        <v>1784</v>
      </c>
      <c r="C2750" s="985" t="s">
        <v>13063</v>
      </c>
      <c r="D2750" s="1037">
        <v>157</v>
      </c>
      <c r="E2750" s="1039">
        <v>2190</v>
      </c>
      <c r="F2750" s="1037" t="s">
        <v>13490</v>
      </c>
      <c r="G2750" s="508"/>
      <c r="H2750" s="1037" t="s">
        <v>13298</v>
      </c>
      <c r="I2750" s="508"/>
      <c r="J2750" s="1223"/>
    </row>
    <row r="2751" spans="1:10" s="81" customFormat="1" ht="50.1" customHeight="1" x14ac:dyDescent="0.2">
      <c r="A2751" s="1220" t="s">
        <v>13423</v>
      </c>
      <c r="B2751" s="985" t="s">
        <v>1784</v>
      </c>
      <c r="C2751" s="985" t="s">
        <v>13063</v>
      </c>
      <c r="D2751" s="1037">
        <v>158</v>
      </c>
      <c r="E2751" s="1039">
        <v>325.2</v>
      </c>
      <c r="F2751" s="1037" t="s">
        <v>13076</v>
      </c>
      <c r="G2751" s="508"/>
      <c r="H2751" s="1037" t="s">
        <v>1988</v>
      </c>
      <c r="I2751" s="508"/>
      <c r="J2751" s="1223"/>
    </row>
    <row r="2752" spans="1:10" s="81" customFormat="1" ht="50.1" customHeight="1" x14ac:dyDescent="0.2">
      <c r="A2752" s="1220" t="s">
        <v>13455</v>
      </c>
      <c r="B2752" s="985" t="s">
        <v>1784</v>
      </c>
      <c r="C2752" s="985" t="s">
        <v>13063</v>
      </c>
      <c r="D2752" s="1037">
        <v>159</v>
      </c>
      <c r="E2752" s="1039">
        <v>165</v>
      </c>
      <c r="F2752" s="1037" t="s">
        <v>13456</v>
      </c>
      <c r="G2752" s="508"/>
      <c r="H2752" s="1037" t="s">
        <v>1988</v>
      </c>
      <c r="I2752" s="508"/>
      <c r="J2752" s="1223"/>
    </row>
    <row r="2753" spans="1:10" s="81" customFormat="1" ht="50.1" customHeight="1" x14ac:dyDescent="0.2">
      <c r="A2753" s="1220" t="s">
        <v>13489</v>
      </c>
      <c r="B2753" s="985" t="s">
        <v>1784</v>
      </c>
      <c r="C2753" s="985" t="s">
        <v>13063</v>
      </c>
      <c r="D2753" s="1037">
        <v>160</v>
      </c>
      <c r="E2753" s="1039">
        <v>2205</v>
      </c>
      <c r="F2753" s="1037" t="s">
        <v>13491</v>
      </c>
      <c r="G2753" s="508"/>
      <c r="H2753" s="1037" t="s">
        <v>13301</v>
      </c>
      <c r="I2753" s="508"/>
      <c r="J2753" s="1223"/>
    </row>
    <row r="2754" spans="1:10" s="81" customFormat="1" ht="50.1" customHeight="1" x14ac:dyDescent="0.2">
      <c r="A2754" s="1220" t="s">
        <v>13407</v>
      </c>
      <c r="B2754" s="985" t="s">
        <v>1784</v>
      </c>
      <c r="C2754" s="985" t="s">
        <v>13063</v>
      </c>
      <c r="D2754" s="1037">
        <v>161</v>
      </c>
      <c r="E2754" s="1039">
        <v>2200</v>
      </c>
      <c r="F2754" s="1037" t="s">
        <v>13408</v>
      </c>
      <c r="G2754" s="508"/>
      <c r="H2754" s="1037" t="s">
        <v>13301</v>
      </c>
      <c r="I2754" s="508"/>
      <c r="J2754" s="1223"/>
    </row>
    <row r="2755" spans="1:10" s="81" customFormat="1" ht="50.1" customHeight="1" x14ac:dyDescent="0.2">
      <c r="A2755" s="1220" t="s">
        <v>13492</v>
      </c>
      <c r="B2755" s="985" t="s">
        <v>1784</v>
      </c>
      <c r="C2755" s="985" t="s">
        <v>13063</v>
      </c>
      <c r="D2755" s="1037">
        <v>162</v>
      </c>
      <c r="E2755" s="1039">
        <v>6000</v>
      </c>
      <c r="F2755" s="1037" t="s">
        <v>13493</v>
      </c>
      <c r="G2755" s="508"/>
      <c r="H2755" s="1037" t="s">
        <v>2491</v>
      </c>
      <c r="I2755" s="508"/>
      <c r="J2755" s="1223"/>
    </row>
    <row r="2756" spans="1:10" s="81" customFormat="1" ht="50.1" customHeight="1" x14ac:dyDescent="0.2">
      <c r="A2756" s="1220" t="s">
        <v>13494</v>
      </c>
      <c r="B2756" s="985" t="s">
        <v>1784</v>
      </c>
      <c r="C2756" s="985" t="s">
        <v>13063</v>
      </c>
      <c r="D2756" s="1037">
        <v>163</v>
      </c>
      <c r="E2756" s="1039">
        <v>3500</v>
      </c>
      <c r="F2756" s="1037" t="s">
        <v>13495</v>
      </c>
      <c r="G2756" s="508"/>
      <c r="H2756" s="1037" t="s">
        <v>2491</v>
      </c>
      <c r="I2756" s="508"/>
      <c r="J2756" s="1223"/>
    </row>
    <row r="2757" spans="1:10" s="81" customFormat="1" ht="50.1" customHeight="1" x14ac:dyDescent="0.2">
      <c r="A2757" s="1220" t="s">
        <v>13496</v>
      </c>
      <c r="B2757" s="985" t="s">
        <v>1784</v>
      </c>
      <c r="C2757" s="985" t="s">
        <v>13063</v>
      </c>
      <c r="D2757" s="1037">
        <v>164</v>
      </c>
      <c r="E2757" s="1039">
        <v>1500</v>
      </c>
      <c r="F2757" s="1037" t="s">
        <v>13497</v>
      </c>
      <c r="G2757" s="508"/>
      <c r="H2757" s="1037" t="s">
        <v>2491</v>
      </c>
      <c r="I2757" s="508"/>
      <c r="J2757" s="1223"/>
    </row>
    <row r="2758" spans="1:10" s="81" customFormat="1" ht="50.1" customHeight="1" x14ac:dyDescent="0.2">
      <c r="A2758" s="1220" t="s">
        <v>13453</v>
      </c>
      <c r="B2758" s="985" t="s">
        <v>1784</v>
      </c>
      <c r="C2758" s="985" t="s">
        <v>13063</v>
      </c>
      <c r="D2758" s="1037">
        <v>165</v>
      </c>
      <c r="E2758" s="1039">
        <v>4500</v>
      </c>
      <c r="F2758" s="1037" t="s">
        <v>13454</v>
      </c>
      <c r="G2758" s="508"/>
      <c r="H2758" s="1037" t="s">
        <v>13305</v>
      </c>
      <c r="I2758" s="508"/>
      <c r="J2758" s="1223"/>
    </row>
    <row r="2759" spans="1:10" s="81" customFormat="1" ht="50.1" customHeight="1" x14ac:dyDescent="0.2">
      <c r="A2759" s="1220" t="s">
        <v>13498</v>
      </c>
      <c r="B2759" s="985" t="s">
        <v>1784</v>
      </c>
      <c r="C2759" s="985" t="s">
        <v>13063</v>
      </c>
      <c r="D2759" s="1037">
        <v>166</v>
      </c>
      <c r="E2759" s="1039">
        <v>1500</v>
      </c>
      <c r="F2759" s="1037" t="s">
        <v>13499</v>
      </c>
      <c r="G2759" s="508"/>
      <c r="H2759" s="1037" t="s">
        <v>13305</v>
      </c>
      <c r="I2759" s="508"/>
      <c r="J2759" s="1223"/>
    </row>
    <row r="2760" spans="1:10" s="81" customFormat="1" ht="50.1" customHeight="1" x14ac:dyDescent="0.2">
      <c r="A2760" s="1220" t="s">
        <v>13476</v>
      </c>
      <c r="B2760" s="985" t="s">
        <v>1784</v>
      </c>
      <c r="C2760" s="985" t="s">
        <v>13063</v>
      </c>
      <c r="D2760" s="1037">
        <v>167</v>
      </c>
      <c r="E2760" s="1039">
        <v>5985</v>
      </c>
      <c r="F2760" s="1037" t="s">
        <v>13456</v>
      </c>
      <c r="G2760" s="508"/>
      <c r="H2760" s="1037" t="s">
        <v>13305</v>
      </c>
      <c r="I2760" s="508"/>
      <c r="J2760" s="1223"/>
    </row>
    <row r="2761" spans="1:10" s="81" customFormat="1" ht="50.1" customHeight="1" x14ac:dyDescent="0.2">
      <c r="A2761" s="1220" t="s">
        <v>13500</v>
      </c>
      <c r="B2761" s="985" t="s">
        <v>1784</v>
      </c>
      <c r="C2761" s="985" t="s">
        <v>13063</v>
      </c>
      <c r="D2761" s="1037">
        <v>168</v>
      </c>
      <c r="E2761" s="1039">
        <v>2199.8000000000002</v>
      </c>
      <c r="F2761" s="1037" t="s">
        <v>13501</v>
      </c>
      <c r="G2761" s="508"/>
      <c r="H2761" s="1037" t="s">
        <v>13308</v>
      </c>
      <c r="I2761" s="508"/>
      <c r="J2761" s="1223"/>
    </row>
    <row r="2762" spans="1:10" s="81" customFormat="1" ht="50.1" customHeight="1" x14ac:dyDescent="0.2">
      <c r="A2762" s="1220" t="s">
        <v>13486</v>
      </c>
      <c r="B2762" s="985" t="s">
        <v>1784</v>
      </c>
      <c r="C2762" s="985" t="s">
        <v>13063</v>
      </c>
      <c r="D2762" s="1037">
        <v>169</v>
      </c>
      <c r="E2762" s="1039">
        <v>2197</v>
      </c>
      <c r="F2762" s="1037" t="s">
        <v>13488</v>
      </c>
      <c r="G2762" s="508"/>
      <c r="H2762" s="1037" t="s">
        <v>2169</v>
      </c>
      <c r="I2762" s="508"/>
      <c r="J2762" s="1223"/>
    </row>
    <row r="2763" spans="1:10" s="81" customFormat="1" ht="50.1" customHeight="1" x14ac:dyDescent="0.2">
      <c r="A2763" s="1220" t="s">
        <v>13486</v>
      </c>
      <c r="B2763" s="985" t="s">
        <v>1784</v>
      </c>
      <c r="C2763" s="985" t="s">
        <v>13063</v>
      </c>
      <c r="D2763" s="1037">
        <v>170</v>
      </c>
      <c r="E2763" s="1039">
        <v>2170</v>
      </c>
      <c r="F2763" s="1037" t="s">
        <v>13487</v>
      </c>
      <c r="G2763" s="508"/>
      <c r="H2763" s="1037" t="s">
        <v>2169</v>
      </c>
      <c r="I2763" s="508"/>
      <c r="J2763" s="1223"/>
    </row>
    <row r="2764" spans="1:10" s="81" customFormat="1" ht="50.1" customHeight="1" x14ac:dyDescent="0.2">
      <c r="A2764" s="1220" t="s">
        <v>13429</v>
      </c>
      <c r="B2764" s="985" t="s">
        <v>1784</v>
      </c>
      <c r="C2764" s="985" t="s">
        <v>13063</v>
      </c>
      <c r="D2764" s="1037">
        <v>171</v>
      </c>
      <c r="E2764" s="1039">
        <v>1252.5</v>
      </c>
      <c r="F2764" s="1037" t="s">
        <v>13430</v>
      </c>
      <c r="G2764" s="508"/>
      <c r="H2764" s="1037" t="s">
        <v>1964</v>
      </c>
      <c r="I2764" s="508"/>
      <c r="J2764" s="1223"/>
    </row>
    <row r="2765" spans="1:10" s="81" customFormat="1" ht="50.1" customHeight="1" x14ac:dyDescent="0.2">
      <c r="A2765" s="1220" t="s">
        <v>13399</v>
      </c>
      <c r="B2765" s="985" t="s">
        <v>1784</v>
      </c>
      <c r="C2765" s="985" t="s">
        <v>13063</v>
      </c>
      <c r="D2765" s="1037">
        <v>172</v>
      </c>
      <c r="E2765" s="1039">
        <v>950</v>
      </c>
      <c r="F2765" s="1037" t="s">
        <v>13400</v>
      </c>
      <c r="G2765" s="508"/>
      <c r="H2765" s="1037" t="s">
        <v>2162</v>
      </c>
      <c r="I2765" s="508"/>
      <c r="J2765" s="1223"/>
    </row>
    <row r="2766" spans="1:10" s="81" customFormat="1" ht="50.1" customHeight="1" x14ac:dyDescent="0.2">
      <c r="A2766" s="1220" t="s">
        <v>13434</v>
      </c>
      <c r="B2766" s="985" t="s">
        <v>1784</v>
      </c>
      <c r="C2766" s="985" t="s">
        <v>13063</v>
      </c>
      <c r="D2766" s="1037">
        <v>173</v>
      </c>
      <c r="E2766" s="1039">
        <v>649.4</v>
      </c>
      <c r="F2766" s="1037" t="s">
        <v>13390</v>
      </c>
      <c r="G2766" s="508"/>
      <c r="H2766" s="1037" t="s">
        <v>13318</v>
      </c>
      <c r="I2766" s="508"/>
      <c r="J2766" s="1223"/>
    </row>
    <row r="2767" spans="1:10" s="81" customFormat="1" ht="50.1" customHeight="1" x14ac:dyDescent="0.2">
      <c r="A2767" s="1220" t="s">
        <v>13502</v>
      </c>
      <c r="B2767" s="985" t="s">
        <v>1784</v>
      </c>
      <c r="C2767" s="985" t="s">
        <v>13063</v>
      </c>
      <c r="D2767" s="1037">
        <v>174</v>
      </c>
      <c r="E2767" s="1039">
        <v>2205</v>
      </c>
      <c r="F2767" s="1037" t="s">
        <v>13503</v>
      </c>
      <c r="G2767" s="508"/>
      <c r="H2767" s="1037" t="s">
        <v>13318</v>
      </c>
      <c r="I2767" s="508"/>
      <c r="J2767" s="1223"/>
    </row>
    <row r="2768" spans="1:10" s="81" customFormat="1" ht="50.1" customHeight="1" x14ac:dyDescent="0.2">
      <c r="A2768" s="1220" t="s">
        <v>13500</v>
      </c>
      <c r="B2768" s="985" t="s">
        <v>1784</v>
      </c>
      <c r="C2768" s="985" t="s">
        <v>13063</v>
      </c>
      <c r="D2768" s="1037">
        <v>175</v>
      </c>
      <c r="E2768" s="1039">
        <v>2199.8000000000002</v>
      </c>
      <c r="F2768" s="1037" t="s">
        <v>13501</v>
      </c>
      <c r="G2768" s="508"/>
      <c r="H2768" s="1037" t="s">
        <v>13318</v>
      </c>
      <c r="I2768" s="508"/>
      <c r="J2768" s="1223"/>
    </row>
    <row r="2769" spans="1:10" s="81" customFormat="1" ht="50.1" customHeight="1" x14ac:dyDescent="0.2">
      <c r="A2769" s="1220" t="s">
        <v>13492</v>
      </c>
      <c r="B2769" s="985" t="s">
        <v>1784</v>
      </c>
      <c r="C2769" s="985" t="s">
        <v>13063</v>
      </c>
      <c r="D2769" s="1037">
        <v>176</v>
      </c>
      <c r="E2769" s="1039">
        <v>6000</v>
      </c>
      <c r="F2769" s="1037" t="s">
        <v>13493</v>
      </c>
      <c r="G2769" s="508"/>
      <c r="H2769" s="1037" t="s">
        <v>13318</v>
      </c>
      <c r="I2769" s="508"/>
      <c r="J2769" s="1223"/>
    </row>
    <row r="2770" spans="1:10" s="81" customFormat="1" ht="50.1" customHeight="1" x14ac:dyDescent="0.2">
      <c r="A2770" s="1220" t="s">
        <v>13489</v>
      </c>
      <c r="B2770" s="985" t="s">
        <v>1784</v>
      </c>
      <c r="C2770" s="985" t="s">
        <v>13063</v>
      </c>
      <c r="D2770" s="1037">
        <v>177</v>
      </c>
      <c r="E2770" s="1039">
        <v>2205</v>
      </c>
      <c r="F2770" s="1037" t="s">
        <v>13490</v>
      </c>
      <c r="G2770" s="508"/>
      <c r="H2770" s="1037" t="s">
        <v>13318</v>
      </c>
      <c r="I2770" s="508"/>
      <c r="J2770" s="1223"/>
    </row>
    <row r="2771" spans="1:10" s="81" customFormat="1" ht="50.1" customHeight="1" x14ac:dyDescent="0.2">
      <c r="A2771" s="1220" t="s">
        <v>13489</v>
      </c>
      <c r="B2771" s="985" t="s">
        <v>1784</v>
      </c>
      <c r="C2771" s="985" t="s">
        <v>13063</v>
      </c>
      <c r="D2771" s="1037">
        <v>178</v>
      </c>
      <c r="E2771" s="1039">
        <v>2205</v>
      </c>
      <c r="F2771" s="1037" t="s">
        <v>13491</v>
      </c>
      <c r="G2771" s="508"/>
      <c r="H2771" s="1037" t="s">
        <v>13318</v>
      </c>
      <c r="I2771" s="508"/>
      <c r="J2771" s="1223"/>
    </row>
    <row r="2772" spans="1:10" s="81" customFormat="1" ht="50.1" customHeight="1" x14ac:dyDescent="0.2">
      <c r="A2772" s="1220" t="s">
        <v>13504</v>
      </c>
      <c r="B2772" s="985" t="s">
        <v>1784</v>
      </c>
      <c r="C2772" s="985" t="s">
        <v>13063</v>
      </c>
      <c r="D2772" s="1037">
        <v>179</v>
      </c>
      <c r="E2772" s="1039">
        <v>1099.24</v>
      </c>
      <c r="F2772" s="1037" t="s">
        <v>13505</v>
      </c>
      <c r="G2772" s="508"/>
      <c r="H2772" s="1037" t="s">
        <v>2188</v>
      </c>
      <c r="I2772" s="508"/>
      <c r="J2772" s="1223"/>
    </row>
    <row r="2773" spans="1:10" s="81" customFormat="1" ht="50.1" customHeight="1" x14ac:dyDescent="0.2">
      <c r="A2773" s="1220" t="s">
        <v>13506</v>
      </c>
      <c r="B2773" s="985" t="s">
        <v>1784</v>
      </c>
      <c r="C2773" s="985" t="s">
        <v>13063</v>
      </c>
      <c r="D2773" s="1037">
        <v>180</v>
      </c>
      <c r="E2773" s="1039">
        <v>200</v>
      </c>
      <c r="F2773" s="1037" t="s">
        <v>1098</v>
      </c>
      <c r="G2773" s="508"/>
      <c r="H2773" s="1037" t="s">
        <v>2188</v>
      </c>
      <c r="I2773" s="508"/>
      <c r="J2773" s="1223"/>
    </row>
    <row r="2774" spans="1:10" s="81" customFormat="1" ht="50.1" customHeight="1" x14ac:dyDescent="0.2">
      <c r="A2774" s="1220" t="s">
        <v>13385</v>
      </c>
      <c r="B2774" s="985" t="s">
        <v>1784</v>
      </c>
      <c r="C2774" s="985" t="s">
        <v>13063</v>
      </c>
      <c r="D2774" s="1037">
        <v>181</v>
      </c>
      <c r="E2774" s="1039">
        <v>1600</v>
      </c>
      <c r="F2774" s="1037" t="s">
        <v>13320</v>
      </c>
      <c r="G2774" s="508"/>
      <c r="H2774" s="1037" t="s">
        <v>2188</v>
      </c>
      <c r="I2774" s="508"/>
      <c r="J2774" s="1223"/>
    </row>
    <row r="2775" spans="1:10" s="81" customFormat="1" ht="50.1" customHeight="1" x14ac:dyDescent="0.2">
      <c r="A2775" s="1220" t="s">
        <v>13502</v>
      </c>
      <c r="B2775" s="985" t="s">
        <v>1784</v>
      </c>
      <c r="C2775" s="985" t="s">
        <v>13063</v>
      </c>
      <c r="D2775" s="1037">
        <v>182</v>
      </c>
      <c r="E2775" s="1039">
        <v>2205</v>
      </c>
      <c r="F2775" s="1037" t="s">
        <v>13503</v>
      </c>
      <c r="G2775" s="508"/>
      <c r="H2775" s="1037" t="s">
        <v>2188</v>
      </c>
      <c r="I2775" s="508"/>
      <c r="J2775" s="1223"/>
    </row>
    <row r="2776" spans="1:10" s="81" customFormat="1" ht="50.1" customHeight="1" x14ac:dyDescent="0.2">
      <c r="A2776" s="1220" t="s">
        <v>13450</v>
      </c>
      <c r="B2776" s="985" t="s">
        <v>1784</v>
      </c>
      <c r="C2776" s="985" t="s">
        <v>13063</v>
      </c>
      <c r="D2776" s="1037">
        <v>183</v>
      </c>
      <c r="E2776" s="1039">
        <v>392.7</v>
      </c>
      <c r="F2776" s="1037" t="s">
        <v>13426</v>
      </c>
      <c r="G2776" s="508"/>
      <c r="H2776" s="1037" t="s">
        <v>13507</v>
      </c>
      <c r="I2776" s="508"/>
      <c r="J2776" s="1223"/>
    </row>
    <row r="2777" spans="1:10" s="81" customFormat="1" ht="50.1" customHeight="1" x14ac:dyDescent="0.2">
      <c r="A2777" s="1220" t="s">
        <v>13429</v>
      </c>
      <c r="B2777" s="985" t="s">
        <v>1784</v>
      </c>
      <c r="C2777" s="985" t="s">
        <v>13063</v>
      </c>
      <c r="D2777" s="1037">
        <v>184</v>
      </c>
      <c r="E2777" s="1039">
        <v>1633.5</v>
      </c>
      <c r="F2777" s="1037" t="s">
        <v>13430</v>
      </c>
      <c r="G2777" s="508"/>
      <c r="H2777" s="1037" t="s">
        <v>13507</v>
      </c>
      <c r="I2777" s="508"/>
      <c r="J2777" s="1223"/>
    </row>
    <row r="2778" spans="1:10" s="81" customFormat="1" ht="50.1" customHeight="1" x14ac:dyDescent="0.2">
      <c r="A2778" s="1220" t="s">
        <v>13508</v>
      </c>
      <c r="B2778" s="985" t="s">
        <v>1784</v>
      </c>
      <c r="C2778" s="985" t="s">
        <v>13063</v>
      </c>
      <c r="D2778" s="1037">
        <v>185</v>
      </c>
      <c r="E2778" s="1039">
        <v>3284</v>
      </c>
      <c r="F2778" s="1037" t="s">
        <v>13351</v>
      </c>
      <c r="G2778" s="508"/>
      <c r="H2778" s="1037" t="s">
        <v>13509</v>
      </c>
      <c r="I2778" s="508"/>
      <c r="J2778" s="1223"/>
    </row>
    <row r="2779" spans="1:10" s="81" customFormat="1" ht="50.1" customHeight="1" x14ac:dyDescent="0.2">
      <c r="A2779" s="1220" t="s">
        <v>13496</v>
      </c>
      <c r="B2779" s="985" t="s">
        <v>1784</v>
      </c>
      <c r="C2779" s="985" t="s">
        <v>13063</v>
      </c>
      <c r="D2779" s="1037">
        <v>186</v>
      </c>
      <c r="E2779" s="1039">
        <v>1500</v>
      </c>
      <c r="F2779" s="1037" t="s">
        <v>13497</v>
      </c>
      <c r="G2779" s="508"/>
      <c r="H2779" s="1037" t="s">
        <v>13509</v>
      </c>
      <c r="I2779" s="508"/>
      <c r="J2779" s="1223"/>
    </row>
    <row r="2780" spans="1:10" s="81" customFormat="1" ht="50.1" customHeight="1" x14ac:dyDescent="0.2">
      <c r="A2780" s="1220" t="s">
        <v>13510</v>
      </c>
      <c r="B2780" s="985" t="s">
        <v>1784</v>
      </c>
      <c r="C2780" s="985" t="s">
        <v>13063</v>
      </c>
      <c r="D2780" s="1037">
        <v>187</v>
      </c>
      <c r="E2780" s="1039">
        <v>3195</v>
      </c>
      <c r="F2780" s="1037" t="s">
        <v>13511</v>
      </c>
      <c r="G2780" s="508"/>
      <c r="H2780" s="1037" t="s">
        <v>13509</v>
      </c>
      <c r="I2780" s="508"/>
      <c r="J2780" s="1223"/>
    </row>
    <row r="2781" spans="1:10" s="81" customFormat="1" ht="50.1" customHeight="1" x14ac:dyDescent="0.2">
      <c r="A2781" s="1220" t="s">
        <v>13423</v>
      </c>
      <c r="B2781" s="985" t="s">
        <v>1784</v>
      </c>
      <c r="C2781" s="985" t="s">
        <v>13063</v>
      </c>
      <c r="D2781" s="1037">
        <v>188</v>
      </c>
      <c r="E2781" s="1039">
        <v>318.89999999999998</v>
      </c>
      <c r="F2781" s="1037" t="s">
        <v>13076</v>
      </c>
      <c r="G2781" s="508"/>
      <c r="H2781" s="1037" t="s">
        <v>13509</v>
      </c>
      <c r="I2781" s="508"/>
      <c r="J2781" s="1223"/>
    </row>
    <row r="2782" spans="1:10" s="81" customFormat="1" ht="50.1" customHeight="1" x14ac:dyDescent="0.2">
      <c r="A2782" s="1220" t="s">
        <v>13494</v>
      </c>
      <c r="B2782" s="985" t="s">
        <v>1784</v>
      </c>
      <c r="C2782" s="985" t="s">
        <v>13063</v>
      </c>
      <c r="D2782" s="1037">
        <v>189</v>
      </c>
      <c r="E2782" s="1039">
        <v>3500</v>
      </c>
      <c r="F2782" s="1037" t="s">
        <v>13495</v>
      </c>
      <c r="G2782" s="508"/>
      <c r="H2782" s="1037" t="s">
        <v>13509</v>
      </c>
      <c r="I2782" s="508"/>
      <c r="J2782" s="1223"/>
    </row>
    <row r="2783" spans="1:10" s="81" customFormat="1" ht="50.1" customHeight="1" x14ac:dyDescent="0.2">
      <c r="A2783" s="1220" t="s">
        <v>13407</v>
      </c>
      <c r="B2783" s="985" t="s">
        <v>1784</v>
      </c>
      <c r="C2783" s="985" t="s">
        <v>13063</v>
      </c>
      <c r="D2783" s="1037">
        <v>190</v>
      </c>
      <c r="E2783" s="1039">
        <v>2200</v>
      </c>
      <c r="F2783" s="1037" t="s">
        <v>13408</v>
      </c>
      <c r="G2783" s="508"/>
      <c r="H2783" s="1037" t="s">
        <v>13509</v>
      </c>
      <c r="I2783" s="508"/>
      <c r="J2783" s="1223"/>
    </row>
    <row r="2784" spans="1:10" s="81" customFormat="1" ht="50.1" customHeight="1" x14ac:dyDescent="0.2">
      <c r="A2784" s="1220" t="s">
        <v>13512</v>
      </c>
      <c r="B2784" s="985" t="s">
        <v>1784</v>
      </c>
      <c r="C2784" s="985" t="s">
        <v>13063</v>
      </c>
      <c r="D2784" s="1037">
        <v>191</v>
      </c>
      <c r="E2784" s="1039">
        <v>2652</v>
      </c>
      <c r="F2784" s="1037" t="s">
        <v>13320</v>
      </c>
      <c r="G2784" s="508"/>
      <c r="H2784" s="1037" t="s">
        <v>2204</v>
      </c>
      <c r="I2784" s="508"/>
      <c r="J2784" s="1223"/>
    </row>
    <row r="2785" spans="1:10" s="81" customFormat="1" ht="50.1" customHeight="1" x14ac:dyDescent="0.2">
      <c r="A2785" s="1220" t="s">
        <v>13513</v>
      </c>
      <c r="B2785" s="985" t="s">
        <v>1784</v>
      </c>
      <c r="C2785" s="985" t="s">
        <v>13063</v>
      </c>
      <c r="D2785" s="1037">
        <v>192</v>
      </c>
      <c r="E2785" s="1039">
        <v>1400</v>
      </c>
      <c r="F2785" s="1037" t="s">
        <v>13358</v>
      </c>
      <c r="G2785" s="508"/>
      <c r="H2785" s="1037" t="s">
        <v>2204</v>
      </c>
      <c r="I2785" s="508"/>
      <c r="J2785" s="1223"/>
    </row>
    <row r="2786" spans="1:10" s="81" customFormat="1" ht="50.1" customHeight="1" x14ac:dyDescent="0.2">
      <c r="A2786" s="1220" t="s">
        <v>13514</v>
      </c>
      <c r="B2786" s="985" t="s">
        <v>1784</v>
      </c>
      <c r="C2786" s="985" t="s">
        <v>13063</v>
      </c>
      <c r="D2786" s="1037">
        <v>193</v>
      </c>
      <c r="E2786" s="1039">
        <v>980</v>
      </c>
      <c r="F2786" s="1037" t="s">
        <v>13257</v>
      </c>
      <c r="G2786" s="508"/>
      <c r="H2786" s="1037" t="s">
        <v>1976</v>
      </c>
      <c r="I2786" s="508"/>
      <c r="J2786" s="1223"/>
    </row>
    <row r="2787" spans="1:10" s="81" customFormat="1" ht="50.1" customHeight="1" x14ac:dyDescent="0.2">
      <c r="A2787" s="1220" t="s">
        <v>13515</v>
      </c>
      <c r="B2787" s="985" t="s">
        <v>1784</v>
      </c>
      <c r="C2787" s="985" t="s">
        <v>13063</v>
      </c>
      <c r="D2787" s="1037">
        <v>194</v>
      </c>
      <c r="E2787" s="1039">
        <v>2160</v>
      </c>
      <c r="F2787" s="1037" t="s">
        <v>13516</v>
      </c>
      <c r="G2787" s="508"/>
      <c r="H2787" s="1037" t="s">
        <v>2184</v>
      </c>
      <c r="I2787" s="508"/>
      <c r="J2787" s="1223"/>
    </row>
    <row r="2788" spans="1:10" s="81" customFormat="1" ht="50.1" customHeight="1" x14ac:dyDescent="0.2">
      <c r="A2788" s="1220" t="s">
        <v>13492</v>
      </c>
      <c r="B2788" s="985" t="s">
        <v>1784</v>
      </c>
      <c r="C2788" s="985" t="s">
        <v>13063</v>
      </c>
      <c r="D2788" s="1037">
        <v>195</v>
      </c>
      <c r="E2788" s="1039">
        <v>6000</v>
      </c>
      <c r="F2788" s="1037" t="s">
        <v>13493</v>
      </c>
      <c r="G2788" s="508"/>
      <c r="H2788" s="1037" t="s">
        <v>2184</v>
      </c>
      <c r="I2788" s="508"/>
      <c r="J2788" s="1223"/>
    </row>
    <row r="2789" spans="1:10" s="81" customFormat="1" ht="50.1" customHeight="1" x14ac:dyDescent="0.2">
      <c r="A2789" s="1220" t="s">
        <v>13498</v>
      </c>
      <c r="B2789" s="985" t="s">
        <v>1784</v>
      </c>
      <c r="C2789" s="985" t="s">
        <v>13063</v>
      </c>
      <c r="D2789" s="1037">
        <v>196</v>
      </c>
      <c r="E2789" s="1039">
        <v>1500</v>
      </c>
      <c r="F2789" s="1037" t="s">
        <v>13499</v>
      </c>
      <c r="G2789" s="508"/>
      <c r="H2789" s="1037" t="s">
        <v>2193</v>
      </c>
      <c r="I2789" s="508"/>
      <c r="J2789" s="1223"/>
    </row>
    <row r="2790" spans="1:10" s="81" customFormat="1" ht="50.1" customHeight="1" x14ac:dyDescent="0.2">
      <c r="A2790" s="1220" t="s">
        <v>13517</v>
      </c>
      <c r="B2790" s="985" t="s">
        <v>1784</v>
      </c>
      <c r="C2790" s="985" t="s">
        <v>13063</v>
      </c>
      <c r="D2790" s="1037">
        <v>197</v>
      </c>
      <c r="E2790" s="1039">
        <v>3969.17</v>
      </c>
      <c r="F2790" s="1037" t="s">
        <v>1098</v>
      </c>
      <c r="G2790" s="508"/>
      <c r="H2790" s="1037" t="s">
        <v>1991</v>
      </c>
      <c r="I2790" s="508"/>
      <c r="J2790" s="1223"/>
    </row>
    <row r="2791" spans="1:10" s="81" customFormat="1" ht="50.1" customHeight="1" x14ac:dyDescent="0.2">
      <c r="A2791" s="1220" t="s">
        <v>13518</v>
      </c>
      <c r="B2791" s="985" t="s">
        <v>1784</v>
      </c>
      <c r="C2791" s="985" t="s">
        <v>13063</v>
      </c>
      <c r="D2791" s="1037">
        <v>198</v>
      </c>
      <c r="E2791" s="1039">
        <v>6389.2</v>
      </c>
      <c r="F2791" s="1037" t="s">
        <v>13351</v>
      </c>
      <c r="G2791" s="508"/>
      <c r="H2791" s="1037" t="s">
        <v>1991</v>
      </c>
      <c r="I2791" s="508"/>
      <c r="J2791" s="1223"/>
    </row>
    <row r="2792" spans="1:10" s="81" customFormat="1" ht="50.1" customHeight="1" x14ac:dyDescent="0.2">
      <c r="A2792" s="1220" t="s">
        <v>13352</v>
      </c>
      <c r="B2792" s="985" t="s">
        <v>1784</v>
      </c>
      <c r="C2792" s="985" t="s">
        <v>13063</v>
      </c>
      <c r="D2792" s="1037">
        <v>199</v>
      </c>
      <c r="E2792" s="1039">
        <v>165.99</v>
      </c>
      <c r="F2792" s="1037" t="s">
        <v>13353</v>
      </c>
      <c r="G2792" s="508"/>
      <c r="H2792" s="1037" t="s">
        <v>2205</v>
      </c>
      <c r="I2792" s="508"/>
      <c r="J2792" s="1223"/>
    </row>
    <row r="2793" spans="1:10" s="81" customFormat="1" ht="50.1" customHeight="1" x14ac:dyDescent="0.2">
      <c r="A2793" s="1220" t="s">
        <v>13453</v>
      </c>
      <c r="B2793" s="985" t="s">
        <v>1784</v>
      </c>
      <c r="C2793" s="985" t="s">
        <v>13063</v>
      </c>
      <c r="D2793" s="1037">
        <v>200</v>
      </c>
      <c r="E2793" s="1039">
        <v>2250</v>
      </c>
      <c r="F2793" s="1037" t="s">
        <v>13454</v>
      </c>
      <c r="G2793" s="508"/>
      <c r="H2793" s="1037" t="s">
        <v>2212</v>
      </c>
      <c r="I2793" s="508"/>
      <c r="J2793" s="1223"/>
    </row>
    <row r="2794" spans="1:10" s="81" customFormat="1" ht="50.1" customHeight="1" x14ac:dyDescent="0.2">
      <c r="A2794" s="1220" t="s">
        <v>13486</v>
      </c>
      <c r="B2794" s="985" t="s">
        <v>1784</v>
      </c>
      <c r="C2794" s="985" t="s">
        <v>13063</v>
      </c>
      <c r="D2794" s="1037">
        <v>201</v>
      </c>
      <c r="E2794" s="1039">
        <v>2197</v>
      </c>
      <c r="F2794" s="1037" t="s">
        <v>13488</v>
      </c>
      <c r="G2794" s="508"/>
      <c r="H2794" s="1037" t="s">
        <v>2212</v>
      </c>
      <c r="I2794" s="508"/>
      <c r="J2794" s="1223"/>
    </row>
    <row r="2795" spans="1:10" s="81" customFormat="1" ht="50.1" customHeight="1" x14ac:dyDescent="0.2">
      <c r="A2795" s="1220" t="s">
        <v>13486</v>
      </c>
      <c r="B2795" s="985" t="s">
        <v>1784</v>
      </c>
      <c r="C2795" s="985" t="s">
        <v>13063</v>
      </c>
      <c r="D2795" s="1037">
        <v>202</v>
      </c>
      <c r="E2795" s="1039">
        <v>2170</v>
      </c>
      <c r="F2795" s="1037" t="s">
        <v>13487</v>
      </c>
      <c r="G2795" s="508"/>
      <c r="H2795" s="1037" t="s">
        <v>2212</v>
      </c>
      <c r="I2795" s="508"/>
      <c r="J2795" s="1223"/>
    </row>
    <row r="2796" spans="1:10" s="81" customFormat="1" ht="50.1" customHeight="1" x14ac:dyDescent="0.2">
      <c r="A2796" s="1220" t="s">
        <v>13399</v>
      </c>
      <c r="B2796" s="985" t="s">
        <v>1784</v>
      </c>
      <c r="C2796" s="985" t="s">
        <v>13063</v>
      </c>
      <c r="D2796" s="1037">
        <v>203</v>
      </c>
      <c r="E2796" s="1039">
        <v>950</v>
      </c>
      <c r="F2796" s="1037" t="s">
        <v>13400</v>
      </c>
      <c r="G2796" s="508"/>
      <c r="H2796" s="1037" t="s">
        <v>2212</v>
      </c>
      <c r="I2796" s="508"/>
      <c r="J2796" s="1223"/>
    </row>
    <row r="2797" spans="1:10" s="81" customFormat="1" ht="50.1" customHeight="1" x14ac:dyDescent="0.2">
      <c r="A2797" s="1220" t="s">
        <v>13455</v>
      </c>
      <c r="B2797" s="985" t="s">
        <v>1784</v>
      </c>
      <c r="C2797" s="985" t="s">
        <v>13063</v>
      </c>
      <c r="D2797" s="1037">
        <v>204</v>
      </c>
      <c r="E2797" s="1039">
        <v>330</v>
      </c>
      <c r="F2797" s="1037" t="s">
        <v>13456</v>
      </c>
      <c r="G2797" s="508"/>
      <c r="H2797" s="1037" t="s">
        <v>2212</v>
      </c>
      <c r="I2797" s="508"/>
      <c r="J2797" s="1223"/>
    </row>
    <row r="2798" spans="1:10" s="81" customFormat="1" ht="50.1" customHeight="1" x14ac:dyDescent="0.2">
      <c r="A2798" s="1220" t="s">
        <v>13519</v>
      </c>
      <c r="B2798" s="985" t="s">
        <v>1784</v>
      </c>
      <c r="C2798" s="985" t="s">
        <v>13063</v>
      </c>
      <c r="D2798" s="1037">
        <v>205</v>
      </c>
      <c r="E2798" s="1039">
        <v>649.4</v>
      </c>
      <c r="F2798" s="1037" t="s">
        <v>13390</v>
      </c>
      <c r="G2798" s="508"/>
      <c r="H2798" s="1037" t="s">
        <v>2207</v>
      </c>
      <c r="I2798" s="508"/>
      <c r="J2798" s="1223"/>
    </row>
    <row r="2799" spans="1:10" s="81" customFormat="1" ht="50.1" customHeight="1" x14ac:dyDescent="0.2">
      <c r="A2799" s="1220" t="s">
        <v>13520</v>
      </c>
      <c r="B2799" s="985" t="s">
        <v>1784</v>
      </c>
      <c r="C2799" s="985" t="s">
        <v>13063</v>
      </c>
      <c r="D2799" s="1037">
        <v>206</v>
      </c>
      <c r="E2799" s="1039">
        <v>2550</v>
      </c>
      <c r="F2799" s="1037" t="s">
        <v>13257</v>
      </c>
      <c r="G2799" s="508"/>
      <c r="H2799" s="1037" t="s">
        <v>2207</v>
      </c>
      <c r="I2799" s="508"/>
      <c r="J2799" s="1223"/>
    </row>
    <row r="2800" spans="1:10" s="81" customFormat="1" ht="50.1" customHeight="1" x14ac:dyDescent="0.2">
      <c r="A2800" s="1220" t="s">
        <v>13521</v>
      </c>
      <c r="B2800" s="985" t="s">
        <v>1784</v>
      </c>
      <c r="C2800" s="985" t="s">
        <v>13063</v>
      </c>
      <c r="D2800" s="1037">
        <v>207</v>
      </c>
      <c r="E2800" s="1039">
        <v>174.8</v>
      </c>
      <c r="F2800" s="1037" t="s">
        <v>13353</v>
      </c>
      <c r="G2800" s="508"/>
      <c r="H2800" s="1037" t="s">
        <v>2207</v>
      </c>
      <c r="I2800" s="508"/>
      <c r="J2800" s="1223"/>
    </row>
    <row r="2801" spans="1:10" s="81" customFormat="1" ht="50.1" customHeight="1" x14ac:dyDescent="0.2">
      <c r="A2801" s="1220" t="s">
        <v>13385</v>
      </c>
      <c r="B2801" s="985" t="s">
        <v>1784</v>
      </c>
      <c r="C2801" s="985" t="s">
        <v>13063</v>
      </c>
      <c r="D2801" s="1037">
        <v>208</v>
      </c>
      <c r="E2801" s="1039">
        <v>765</v>
      </c>
      <c r="F2801" s="1037" t="s">
        <v>13320</v>
      </c>
      <c r="G2801" s="508"/>
      <c r="H2801" s="1037" t="s">
        <v>2182</v>
      </c>
      <c r="I2801" s="508"/>
      <c r="J2801" s="1223"/>
    </row>
    <row r="2802" spans="1:10" s="81" customFormat="1" ht="50.1" customHeight="1" x14ac:dyDescent="0.2">
      <c r="A2802" s="1220" t="s">
        <v>13365</v>
      </c>
      <c r="B2802" s="985" t="s">
        <v>1784</v>
      </c>
      <c r="C2802" s="985" t="s">
        <v>13063</v>
      </c>
      <c r="D2802" s="1037">
        <v>209</v>
      </c>
      <c r="E2802" s="1039">
        <v>1335</v>
      </c>
      <c r="F2802" s="1037" t="s">
        <v>13320</v>
      </c>
      <c r="G2802" s="508"/>
      <c r="H2802" s="1037" t="s">
        <v>2182</v>
      </c>
      <c r="I2802" s="508"/>
      <c r="J2802" s="1223"/>
    </row>
    <row r="2803" spans="1:10" s="81" customFormat="1" ht="50.1" customHeight="1" x14ac:dyDescent="0.2">
      <c r="A2803" s="1220" t="s">
        <v>13496</v>
      </c>
      <c r="B2803" s="985" t="s">
        <v>1784</v>
      </c>
      <c r="C2803" s="985" t="s">
        <v>13063</v>
      </c>
      <c r="D2803" s="1037">
        <v>210</v>
      </c>
      <c r="E2803" s="1039">
        <v>1500</v>
      </c>
      <c r="F2803" s="1037" t="s">
        <v>13497</v>
      </c>
      <c r="G2803" s="508"/>
      <c r="H2803" s="1037" t="s">
        <v>2182</v>
      </c>
      <c r="I2803" s="508"/>
      <c r="J2803" s="1223"/>
    </row>
    <row r="2804" spans="1:10" s="81" customFormat="1" ht="50.1" customHeight="1" x14ac:dyDescent="0.2">
      <c r="A2804" s="1220" t="s">
        <v>13502</v>
      </c>
      <c r="B2804" s="985" t="s">
        <v>1784</v>
      </c>
      <c r="C2804" s="985" t="s">
        <v>13063</v>
      </c>
      <c r="D2804" s="1037">
        <v>211</v>
      </c>
      <c r="E2804" s="1039">
        <v>2190</v>
      </c>
      <c r="F2804" s="1037" t="s">
        <v>13503</v>
      </c>
      <c r="G2804" s="508"/>
      <c r="H2804" s="1037" t="s">
        <v>2182</v>
      </c>
      <c r="I2804" s="508"/>
      <c r="J2804" s="1223"/>
    </row>
    <row r="2805" spans="1:10" s="81" customFormat="1" ht="50.1" customHeight="1" x14ac:dyDescent="0.2">
      <c r="A2805" s="1220" t="s">
        <v>13489</v>
      </c>
      <c r="B2805" s="985" t="s">
        <v>1784</v>
      </c>
      <c r="C2805" s="985" t="s">
        <v>13063</v>
      </c>
      <c r="D2805" s="1037">
        <v>212</v>
      </c>
      <c r="E2805" s="1039">
        <v>2190</v>
      </c>
      <c r="F2805" s="1037" t="s">
        <v>13491</v>
      </c>
      <c r="G2805" s="508"/>
      <c r="H2805" s="1037" t="s">
        <v>2182</v>
      </c>
      <c r="I2805" s="508"/>
      <c r="J2805" s="1223"/>
    </row>
    <row r="2806" spans="1:10" s="81" customFormat="1" ht="50.1" customHeight="1" x14ac:dyDescent="0.2">
      <c r="A2806" s="1220" t="s">
        <v>13489</v>
      </c>
      <c r="B2806" s="985" t="s">
        <v>1784</v>
      </c>
      <c r="C2806" s="985" t="s">
        <v>13063</v>
      </c>
      <c r="D2806" s="1037">
        <v>213</v>
      </c>
      <c r="E2806" s="1039">
        <v>2205</v>
      </c>
      <c r="F2806" s="1037" t="s">
        <v>13490</v>
      </c>
      <c r="G2806" s="508"/>
      <c r="H2806" s="1037" t="s">
        <v>2182</v>
      </c>
      <c r="I2806" s="508"/>
      <c r="J2806" s="1223"/>
    </row>
    <row r="2807" spans="1:10" s="81" customFormat="1" ht="50.1" customHeight="1" x14ac:dyDescent="0.2">
      <c r="A2807" s="1220" t="s">
        <v>13498</v>
      </c>
      <c r="B2807" s="985" t="s">
        <v>1784</v>
      </c>
      <c r="C2807" s="985" t="s">
        <v>13063</v>
      </c>
      <c r="D2807" s="1037">
        <v>214</v>
      </c>
      <c r="E2807" s="1039">
        <v>1500</v>
      </c>
      <c r="F2807" s="1037" t="s">
        <v>13499</v>
      </c>
      <c r="G2807" s="508"/>
      <c r="H2807" s="1037" t="s">
        <v>2182</v>
      </c>
      <c r="I2807" s="508"/>
      <c r="J2807" s="1223"/>
    </row>
    <row r="2808" spans="1:10" s="81" customFormat="1" ht="50.1" customHeight="1" x14ac:dyDescent="0.2">
      <c r="A2808" s="1220" t="s">
        <v>13522</v>
      </c>
      <c r="B2808" s="985" t="s">
        <v>1784</v>
      </c>
      <c r="C2808" s="985" t="s">
        <v>13063</v>
      </c>
      <c r="D2808" s="1037">
        <v>215</v>
      </c>
      <c r="E2808" s="1039">
        <v>1605</v>
      </c>
      <c r="F2808" s="1037" t="s">
        <v>13511</v>
      </c>
      <c r="G2808" s="508"/>
      <c r="H2808" s="1037" t="s">
        <v>2182</v>
      </c>
      <c r="I2808" s="508"/>
      <c r="J2808" s="1223"/>
    </row>
    <row r="2809" spans="1:10" s="81" customFormat="1" ht="50.1" customHeight="1" x14ac:dyDescent="0.2">
      <c r="A2809" s="1220" t="s">
        <v>13513</v>
      </c>
      <c r="B2809" s="985" t="s">
        <v>1784</v>
      </c>
      <c r="C2809" s="985" t="s">
        <v>13063</v>
      </c>
      <c r="D2809" s="1037">
        <v>216</v>
      </c>
      <c r="E2809" s="1039">
        <v>1400</v>
      </c>
      <c r="F2809" s="1037" t="s">
        <v>13358</v>
      </c>
      <c r="G2809" s="508"/>
      <c r="H2809" s="1037" t="s">
        <v>2151</v>
      </c>
      <c r="I2809" s="508"/>
      <c r="J2809" s="1223"/>
    </row>
    <row r="2810" spans="1:10" s="81" customFormat="1" ht="50.1" customHeight="1" x14ac:dyDescent="0.2">
      <c r="A2810" s="1220" t="s">
        <v>13455</v>
      </c>
      <c r="B2810" s="985" t="s">
        <v>1784</v>
      </c>
      <c r="C2810" s="985" t="s">
        <v>13063</v>
      </c>
      <c r="D2810" s="1037">
        <v>217</v>
      </c>
      <c r="E2810" s="1039">
        <v>330</v>
      </c>
      <c r="F2810" s="1037" t="s">
        <v>13456</v>
      </c>
      <c r="G2810" s="508"/>
      <c r="H2810" s="1037" t="s">
        <v>2151</v>
      </c>
      <c r="I2810" s="508"/>
      <c r="J2810" s="1223"/>
    </row>
    <row r="2811" spans="1:10" s="81" customFormat="1" ht="50.1" customHeight="1" x14ac:dyDescent="0.2">
      <c r="A2811" s="1220" t="s">
        <v>13494</v>
      </c>
      <c r="B2811" s="985" t="s">
        <v>1784</v>
      </c>
      <c r="C2811" s="985" t="s">
        <v>13063</v>
      </c>
      <c r="D2811" s="1037">
        <v>218</v>
      </c>
      <c r="E2811" s="1039">
        <v>3500</v>
      </c>
      <c r="F2811" s="1037" t="s">
        <v>13495</v>
      </c>
      <c r="G2811" s="508"/>
      <c r="H2811" s="1037" t="s">
        <v>13523</v>
      </c>
      <c r="I2811" s="508"/>
      <c r="J2811" s="1223"/>
    </row>
    <row r="2812" spans="1:10" s="81" customFormat="1" ht="50.1" customHeight="1" x14ac:dyDescent="0.2">
      <c r="A2812" s="1220" t="s">
        <v>13500</v>
      </c>
      <c r="B2812" s="985" t="s">
        <v>1784</v>
      </c>
      <c r="C2812" s="985" t="s">
        <v>13063</v>
      </c>
      <c r="D2812" s="1037">
        <v>219</v>
      </c>
      <c r="E2812" s="1039">
        <v>1600</v>
      </c>
      <c r="F2812" s="1037" t="s">
        <v>13501</v>
      </c>
      <c r="G2812" s="508"/>
      <c r="H2812" s="1037" t="s">
        <v>13523</v>
      </c>
      <c r="I2812" s="508"/>
      <c r="J2812" s="1223"/>
    </row>
    <row r="2813" spans="1:10" s="81" customFormat="1" ht="50.1" customHeight="1" x14ac:dyDescent="0.2">
      <c r="A2813" s="1220" t="s">
        <v>13500</v>
      </c>
      <c r="B2813" s="985" t="s">
        <v>1784</v>
      </c>
      <c r="C2813" s="985" t="s">
        <v>13063</v>
      </c>
      <c r="D2813" s="1037">
        <v>220</v>
      </c>
      <c r="E2813" s="1039">
        <v>599.79999999999995</v>
      </c>
      <c r="F2813" s="1037" t="s">
        <v>13501</v>
      </c>
      <c r="G2813" s="508"/>
      <c r="H2813" s="1037" t="s">
        <v>13523</v>
      </c>
      <c r="I2813" s="508"/>
      <c r="J2813" s="1223"/>
    </row>
    <row r="2814" spans="1:10" s="81" customFormat="1" ht="50.1" customHeight="1" x14ac:dyDescent="0.2">
      <c r="A2814" s="1220" t="s">
        <v>13423</v>
      </c>
      <c r="B2814" s="985" t="s">
        <v>1784</v>
      </c>
      <c r="C2814" s="985" t="s">
        <v>13063</v>
      </c>
      <c r="D2814" s="1037">
        <v>221</v>
      </c>
      <c r="E2814" s="1039">
        <v>1049.8499999999999</v>
      </c>
      <c r="F2814" s="1037" t="s">
        <v>13076</v>
      </c>
      <c r="G2814" s="508"/>
      <c r="H2814" s="1037" t="s">
        <v>13523</v>
      </c>
      <c r="I2814" s="508"/>
      <c r="J2814" s="1223"/>
    </row>
    <row r="2815" spans="1:10" s="81" customFormat="1" ht="50.1" customHeight="1" x14ac:dyDescent="0.2">
      <c r="A2815" s="1220" t="s">
        <v>13429</v>
      </c>
      <c r="B2815" s="985" t="s">
        <v>1784</v>
      </c>
      <c r="C2815" s="985" t="s">
        <v>13063</v>
      </c>
      <c r="D2815" s="1037">
        <v>222</v>
      </c>
      <c r="E2815" s="1039">
        <v>2370</v>
      </c>
      <c r="F2815" s="1037" t="s">
        <v>13430</v>
      </c>
      <c r="G2815" s="508"/>
      <c r="H2815" s="1037" t="s">
        <v>13523</v>
      </c>
      <c r="I2815" s="508"/>
      <c r="J2815" s="1223"/>
    </row>
    <row r="2816" spans="1:10" s="81" customFormat="1" ht="50.1" customHeight="1" x14ac:dyDescent="0.2">
      <c r="A2816" s="1220" t="s">
        <v>13429</v>
      </c>
      <c r="B2816" s="985" t="s">
        <v>1784</v>
      </c>
      <c r="C2816" s="985" t="s">
        <v>13063</v>
      </c>
      <c r="D2816" s="1037">
        <v>223</v>
      </c>
      <c r="E2816" s="1039">
        <v>941.7</v>
      </c>
      <c r="F2816" s="1037" t="s">
        <v>13430</v>
      </c>
      <c r="G2816" s="508"/>
      <c r="H2816" s="1037" t="s">
        <v>2222</v>
      </c>
      <c r="I2816" s="508"/>
      <c r="J2816" s="1223"/>
    </row>
    <row r="2817" spans="1:10" s="81" customFormat="1" ht="50.1" customHeight="1" x14ac:dyDescent="0.2">
      <c r="A2817" s="1220" t="s">
        <v>13524</v>
      </c>
      <c r="B2817" s="985" t="s">
        <v>1784</v>
      </c>
      <c r="C2817" s="985" t="s">
        <v>13063</v>
      </c>
      <c r="D2817" s="1037">
        <v>224</v>
      </c>
      <c r="E2817" s="1039">
        <v>1024.8</v>
      </c>
      <c r="F2817" s="1037" t="s">
        <v>13430</v>
      </c>
      <c r="G2817" s="508"/>
      <c r="H2817" s="1037" t="s">
        <v>2222</v>
      </c>
      <c r="I2817" s="508"/>
      <c r="J2817" s="1223"/>
    </row>
    <row r="2818" spans="1:10" s="81" customFormat="1" ht="50.1" customHeight="1" x14ac:dyDescent="0.2">
      <c r="A2818" s="1220" t="s">
        <v>13525</v>
      </c>
      <c r="B2818" s="985" t="s">
        <v>1784</v>
      </c>
      <c r="C2818" s="985" t="s">
        <v>13063</v>
      </c>
      <c r="D2818" s="1037">
        <v>1</v>
      </c>
      <c r="E2818" s="1039">
        <v>2085</v>
      </c>
      <c r="F2818" s="1037" t="s">
        <v>13114</v>
      </c>
      <c r="G2818" s="508"/>
      <c r="H2818" s="1037" t="s">
        <v>13526</v>
      </c>
      <c r="I2818" s="508"/>
      <c r="J2818" s="1223"/>
    </row>
    <row r="2819" spans="1:10" s="81" customFormat="1" ht="50.1" customHeight="1" x14ac:dyDescent="0.2">
      <c r="A2819" s="1220" t="s">
        <v>13527</v>
      </c>
      <c r="B2819" s="985" t="s">
        <v>1784</v>
      </c>
      <c r="C2819" s="985" t="s">
        <v>13063</v>
      </c>
      <c r="D2819" s="1037">
        <v>2</v>
      </c>
      <c r="E2819" s="1039">
        <v>2166.1999999999998</v>
      </c>
      <c r="F2819" s="1037" t="s">
        <v>13080</v>
      </c>
      <c r="G2819" s="508"/>
      <c r="H2819" s="1037" t="s">
        <v>13528</v>
      </c>
      <c r="I2819" s="508"/>
      <c r="J2819" s="1223"/>
    </row>
    <row r="2820" spans="1:10" s="81" customFormat="1" ht="50.1" customHeight="1" x14ac:dyDescent="0.2">
      <c r="A2820" s="1220" t="s">
        <v>13527</v>
      </c>
      <c r="B2820" s="985" t="s">
        <v>1784</v>
      </c>
      <c r="C2820" s="985" t="s">
        <v>13063</v>
      </c>
      <c r="D2820" s="1037">
        <v>3</v>
      </c>
      <c r="E2820" s="1039">
        <v>330.5</v>
      </c>
      <c r="F2820" s="1037" t="s">
        <v>13430</v>
      </c>
      <c r="G2820" s="508"/>
      <c r="H2820" s="1037" t="s">
        <v>13528</v>
      </c>
      <c r="I2820" s="508"/>
      <c r="J2820" s="1223"/>
    </row>
    <row r="2821" spans="1:10" s="81" customFormat="1" ht="50.1" customHeight="1" x14ac:dyDescent="0.2">
      <c r="A2821" s="1220" t="s">
        <v>13529</v>
      </c>
      <c r="B2821" s="985" t="s">
        <v>1784</v>
      </c>
      <c r="C2821" s="985" t="s">
        <v>13063</v>
      </c>
      <c r="D2821" s="1037">
        <v>4</v>
      </c>
      <c r="E2821" s="1039">
        <v>1400</v>
      </c>
      <c r="F2821" s="1037" t="s">
        <v>13078</v>
      </c>
      <c r="G2821" s="508"/>
      <c r="H2821" s="1037" t="s">
        <v>13528</v>
      </c>
      <c r="I2821" s="508"/>
      <c r="J2821" s="1223"/>
    </row>
    <row r="2822" spans="1:10" s="81" customFormat="1" ht="50.1" customHeight="1" x14ac:dyDescent="0.2">
      <c r="A2822" s="1220" t="s">
        <v>13529</v>
      </c>
      <c r="B2822" s="985" t="s">
        <v>1784</v>
      </c>
      <c r="C2822" s="985" t="s">
        <v>13063</v>
      </c>
      <c r="D2822" s="1037">
        <v>5</v>
      </c>
      <c r="E2822" s="1039">
        <v>1941.2</v>
      </c>
      <c r="F2822" s="1037" t="s">
        <v>13430</v>
      </c>
      <c r="G2822" s="508"/>
      <c r="H2822" s="1037" t="s">
        <v>13530</v>
      </c>
      <c r="I2822" s="508"/>
      <c r="J2822" s="1223"/>
    </row>
    <row r="2823" spans="1:10" s="81" customFormat="1" ht="50.1" customHeight="1" x14ac:dyDescent="0.2">
      <c r="A2823" s="1220" t="s">
        <v>13531</v>
      </c>
      <c r="B2823" s="985" t="s">
        <v>1784</v>
      </c>
      <c r="C2823" s="985" t="s">
        <v>13063</v>
      </c>
      <c r="D2823" s="1037">
        <v>6</v>
      </c>
      <c r="E2823" s="1039">
        <v>438.7</v>
      </c>
      <c r="F2823" s="1037" t="s">
        <v>13080</v>
      </c>
      <c r="G2823" s="508"/>
      <c r="H2823" s="1037" t="s">
        <v>13532</v>
      </c>
      <c r="I2823" s="508"/>
      <c r="J2823" s="1223"/>
    </row>
    <row r="2824" spans="1:10" s="81" customFormat="1" ht="50.1" customHeight="1" x14ac:dyDescent="0.2">
      <c r="A2824" s="1220" t="s">
        <v>13533</v>
      </c>
      <c r="B2824" s="985" t="s">
        <v>1784</v>
      </c>
      <c r="C2824" s="985" t="s">
        <v>13063</v>
      </c>
      <c r="D2824" s="1037">
        <v>7</v>
      </c>
      <c r="E2824" s="1039">
        <v>854.9</v>
      </c>
      <c r="F2824" s="1037" t="s">
        <v>13080</v>
      </c>
      <c r="G2824" s="508"/>
      <c r="H2824" s="1037" t="s">
        <v>13532</v>
      </c>
      <c r="I2824" s="508"/>
      <c r="J2824" s="1223"/>
    </row>
    <row r="2825" spans="1:10" s="81" customFormat="1" ht="50.1" customHeight="1" x14ac:dyDescent="0.2">
      <c r="A2825" s="1220" t="s">
        <v>13534</v>
      </c>
      <c r="B2825" s="985" t="s">
        <v>1784</v>
      </c>
      <c r="C2825" s="985" t="s">
        <v>13063</v>
      </c>
      <c r="D2825" s="1037">
        <v>8</v>
      </c>
      <c r="E2825" s="1039">
        <v>372</v>
      </c>
      <c r="F2825" s="1037" t="s">
        <v>13076</v>
      </c>
      <c r="G2825" s="508"/>
      <c r="H2825" s="1037" t="s">
        <v>13535</v>
      </c>
      <c r="I2825" s="508"/>
      <c r="J2825" s="1223"/>
    </row>
    <row r="2826" spans="1:10" s="81" customFormat="1" ht="50.1" customHeight="1" x14ac:dyDescent="0.2">
      <c r="A2826" s="1220" t="s">
        <v>13534</v>
      </c>
      <c r="B2826" s="985" t="s">
        <v>1784</v>
      </c>
      <c r="C2826" s="985" t="s">
        <v>13063</v>
      </c>
      <c r="D2826" s="1037">
        <v>9</v>
      </c>
      <c r="E2826" s="1039">
        <v>360</v>
      </c>
      <c r="F2826" s="1037" t="s">
        <v>13076</v>
      </c>
      <c r="G2826" s="508"/>
      <c r="H2826" s="1037" t="s">
        <v>13536</v>
      </c>
      <c r="I2826" s="508"/>
      <c r="J2826" s="1223"/>
    </row>
    <row r="2827" spans="1:10" s="81" customFormat="1" ht="50.1" customHeight="1" x14ac:dyDescent="0.2">
      <c r="A2827" s="1220" t="s">
        <v>13527</v>
      </c>
      <c r="B2827" s="985" t="s">
        <v>1784</v>
      </c>
      <c r="C2827" s="985" t="s">
        <v>13063</v>
      </c>
      <c r="D2827" s="1037">
        <v>10</v>
      </c>
      <c r="E2827" s="1039">
        <v>2733.1</v>
      </c>
      <c r="F2827" s="1037" t="s">
        <v>13080</v>
      </c>
      <c r="G2827" s="508"/>
      <c r="H2827" s="1037" t="s">
        <v>13536</v>
      </c>
      <c r="I2827" s="508"/>
      <c r="J2827" s="1223"/>
    </row>
    <row r="2828" spans="1:10" s="81" customFormat="1" ht="50.1" customHeight="1" x14ac:dyDescent="0.2">
      <c r="A2828" s="1220" t="s">
        <v>13527</v>
      </c>
      <c r="B2828" s="985" t="s">
        <v>1784</v>
      </c>
      <c r="C2828" s="985" t="s">
        <v>13063</v>
      </c>
      <c r="D2828" s="1037">
        <v>11</v>
      </c>
      <c r="E2828" s="1039">
        <v>404.25</v>
      </c>
      <c r="F2828" s="1037" t="s">
        <v>13430</v>
      </c>
      <c r="G2828" s="508"/>
      <c r="H2828" s="1037" t="s">
        <v>13536</v>
      </c>
      <c r="I2828" s="508"/>
      <c r="J2828" s="1223"/>
    </row>
    <row r="2829" spans="1:10" s="81" customFormat="1" ht="50.1" customHeight="1" x14ac:dyDescent="0.2">
      <c r="A2829" s="1220" t="s">
        <v>13529</v>
      </c>
      <c r="B2829" s="985" t="s">
        <v>1784</v>
      </c>
      <c r="C2829" s="985" t="s">
        <v>13063</v>
      </c>
      <c r="D2829" s="1037">
        <v>12</v>
      </c>
      <c r="E2829" s="1039">
        <v>1918.5</v>
      </c>
      <c r="F2829" s="1037" t="s">
        <v>13078</v>
      </c>
      <c r="G2829" s="508"/>
      <c r="H2829" s="1037" t="s">
        <v>13536</v>
      </c>
      <c r="I2829" s="508"/>
      <c r="J2829" s="1223"/>
    </row>
    <row r="2830" spans="1:10" s="81" customFormat="1" ht="50.1" customHeight="1" x14ac:dyDescent="0.2">
      <c r="A2830" s="1220" t="s">
        <v>13529</v>
      </c>
      <c r="B2830" s="985" t="s">
        <v>1784</v>
      </c>
      <c r="C2830" s="985" t="s">
        <v>13063</v>
      </c>
      <c r="D2830" s="1037">
        <v>13</v>
      </c>
      <c r="E2830" s="1039">
        <v>2404.5</v>
      </c>
      <c r="F2830" s="1037" t="s">
        <v>13430</v>
      </c>
      <c r="G2830" s="508"/>
      <c r="H2830" s="1037" t="s">
        <v>13536</v>
      </c>
      <c r="I2830" s="508"/>
      <c r="J2830" s="1223"/>
    </row>
    <row r="2831" spans="1:10" s="81" customFormat="1" ht="50.1" customHeight="1" x14ac:dyDescent="0.2">
      <c r="A2831" s="1220" t="s">
        <v>13537</v>
      </c>
      <c r="B2831" s="985" t="s">
        <v>1784</v>
      </c>
      <c r="C2831" s="985" t="s">
        <v>13063</v>
      </c>
      <c r="D2831" s="1037">
        <v>14</v>
      </c>
      <c r="E2831" s="1039">
        <v>1600</v>
      </c>
      <c r="F2831" s="1037" t="s">
        <v>13538</v>
      </c>
      <c r="G2831" s="508"/>
      <c r="H2831" s="1037" t="s">
        <v>13539</v>
      </c>
      <c r="I2831" s="508"/>
      <c r="J2831" s="1223"/>
    </row>
    <row r="2832" spans="1:10" s="81" customFormat="1" ht="50.1" customHeight="1" x14ac:dyDescent="0.2">
      <c r="A2832" s="1220" t="s">
        <v>13525</v>
      </c>
      <c r="B2832" s="985" t="s">
        <v>1784</v>
      </c>
      <c r="C2832" s="985" t="s">
        <v>13063</v>
      </c>
      <c r="D2832" s="1037">
        <v>15</v>
      </c>
      <c r="E2832" s="1039">
        <v>2085</v>
      </c>
      <c r="F2832" s="1037" t="s">
        <v>13114</v>
      </c>
      <c r="G2832" s="508"/>
      <c r="H2832" s="1037" t="s">
        <v>13540</v>
      </c>
      <c r="I2832" s="508"/>
      <c r="J2832" s="1223"/>
    </row>
    <row r="2833" spans="1:10" s="81" customFormat="1" ht="50.1" customHeight="1" x14ac:dyDescent="0.2">
      <c r="A2833" s="1220" t="s">
        <v>13541</v>
      </c>
      <c r="B2833" s="985" t="s">
        <v>1784</v>
      </c>
      <c r="C2833" s="985" t="s">
        <v>13063</v>
      </c>
      <c r="D2833" s="1037">
        <v>16</v>
      </c>
      <c r="E2833" s="1039">
        <v>24000</v>
      </c>
      <c r="F2833" s="1037" t="s">
        <v>13542</v>
      </c>
      <c r="G2833" s="508"/>
      <c r="H2833" s="1037" t="s">
        <v>2274</v>
      </c>
      <c r="I2833" s="508"/>
      <c r="J2833" s="1223"/>
    </row>
    <row r="2834" spans="1:10" s="81" customFormat="1" ht="50.1" customHeight="1" x14ac:dyDescent="0.2">
      <c r="A2834" s="1220" t="s">
        <v>13543</v>
      </c>
      <c r="B2834" s="985" t="s">
        <v>1784</v>
      </c>
      <c r="C2834" s="985" t="s">
        <v>13063</v>
      </c>
      <c r="D2834" s="1037">
        <v>18</v>
      </c>
      <c r="E2834" s="1039">
        <v>4500</v>
      </c>
      <c r="F2834" s="1037" t="s">
        <v>13262</v>
      </c>
      <c r="G2834" s="508"/>
      <c r="H2834" s="1037" t="s">
        <v>2274</v>
      </c>
      <c r="I2834" s="508"/>
      <c r="J2834" s="1223"/>
    </row>
    <row r="2835" spans="1:10" s="81" customFormat="1" ht="50.1" customHeight="1" x14ac:dyDescent="0.2">
      <c r="A2835" s="1220" t="s">
        <v>13544</v>
      </c>
      <c r="B2835" s="985" t="s">
        <v>1784</v>
      </c>
      <c r="C2835" s="985" t="s">
        <v>13063</v>
      </c>
      <c r="D2835" s="1037">
        <v>21</v>
      </c>
      <c r="E2835" s="1039">
        <v>1500</v>
      </c>
      <c r="F2835" s="1037" t="s">
        <v>13262</v>
      </c>
      <c r="G2835" s="508"/>
      <c r="H2835" s="1037" t="s">
        <v>2274</v>
      </c>
      <c r="I2835" s="508"/>
      <c r="J2835" s="1223"/>
    </row>
    <row r="2836" spans="1:10" s="81" customFormat="1" ht="50.1" customHeight="1" x14ac:dyDescent="0.2">
      <c r="A2836" s="1220" t="s">
        <v>13545</v>
      </c>
      <c r="B2836" s="985" t="s">
        <v>1784</v>
      </c>
      <c r="C2836" s="985" t="s">
        <v>13063</v>
      </c>
      <c r="D2836" s="1037">
        <v>22</v>
      </c>
      <c r="E2836" s="1039">
        <v>16500</v>
      </c>
      <c r="F2836" s="1037" t="s">
        <v>13546</v>
      </c>
      <c r="G2836" s="508"/>
      <c r="H2836" s="1037" t="s">
        <v>2274</v>
      </c>
      <c r="I2836" s="508"/>
      <c r="J2836" s="1223"/>
    </row>
    <row r="2837" spans="1:10" s="81" customFormat="1" ht="50.1" customHeight="1" x14ac:dyDescent="0.2">
      <c r="A2837" s="1220" t="s">
        <v>13547</v>
      </c>
      <c r="B2837" s="985" t="s">
        <v>1784</v>
      </c>
      <c r="C2837" s="985" t="s">
        <v>13063</v>
      </c>
      <c r="D2837" s="1037">
        <v>23</v>
      </c>
      <c r="E2837" s="1039">
        <v>1250</v>
      </c>
      <c r="F2837" s="1037" t="s">
        <v>13071</v>
      </c>
      <c r="G2837" s="508"/>
      <c r="H2837" s="1037" t="s">
        <v>13548</v>
      </c>
      <c r="I2837" s="508"/>
      <c r="J2837" s="1223"/>
    </row>
    <row r="2838" spans="1:10" s="81" customFormat="1" ht="50.1" customHeight="1" x14ac:dyDescent="0.2">
      <c r="A2838" s="1220" t="s">
        <v>13531</v>
      </c>
      <c r="B2838" s="985" t="s">
        <v>1784</v>
      </c>
      <c r="C2838" s="985" t="s">
        <v>13063</v>
      </c>
      <c r="D2838" s="1037">
        <v>25</v>
      </c>
      <c r="E2838" s="1039">
        <v>701.1</v>
      </c>
      <c r="F2838" s="1037" t="s">
        <v>13080</v>
      </c>
      <c r="G2838" s="508"/>
      <c r="H2838" s="1037" t="s">
        <v>13548</v>
      </c>
      <c r="I2838" s="508"/>
      <c r="J2838" s="1223"/>
    </row>
    <row r="2839" spans="1:10" s="81" customFormat="1" ht="50.1" customHeight="1" x14ac:dyDescent="0.2">
      <c r="A2839" s="1220" t="s">
        <v>13533</v>
      </c>
      <c r="B2839" s="985" t="s">
        <v>1784</v>
      </c>
      <c r="C2839" s="985" t="s">
        <v>13063</v>
      </c>
      <c r="D2839" s="1037">
        <v>26</v>
      </c>
      <c r="E2839" s="1039">
        <v>1127.7</v>
      </c>
      <c r="F2839" s="1037" t="s">
        <v>13080</v>
      </c>
      <c r="G2839" s="508"/>
      <c r="H2839" s="1037" t="s">
        <v>13548</v>
      </c>
      <c r="I2839" s="508"/>
      <c r="J2839" s="1223"/>
    </row>
    <row r="2840" spans="1:10" s="81" customFormat="1" ht="50.1" customHeight="1" x14ac:dyDescent="0.2">
      <c r="A2840" s="1220" t="s">
        <v>13549</v>
      </c>
      <c r="B2840" s="985" t="s">
        <v>1784</v>
      </c>
      <c r="C2840" s="985" t="s">
        <v>13063</v>
      </c>
      <c r="D2840" s="1037">
        <v>27</v>
      </c>
      <c r="E2840" s="1039">
        <v>18000</v>
      </c>
      <c r="F2840" s="1037" t="s">
        <v>13071</v>
      </c>
      <c r="G2840" s="508"/>
      <c r="H2840" s="1037" t="s">
        <v>13550</v>
      </c>
      <c r="I2840" s="508"/>
      <c r="J2840" s="1223"/>
    </row>
    <row r="2841" spans="1:10" s="81" customFormat="1" ht="50.1" customHeight="1" x14ac:dyDescent="0.2">
      <c r="A2841" s="1220" t="s">
        <v>13551</v>
      </c>
      <c r="B2841" s="985" t="s">
        <v>1784</v>
      </c>
      <c r="C2841" s="985" t="s">
        <v>13063</v>
      </c>
      <c r="D2841" s="1037">
        <v>28</v>
      </c>
      <c r="E2841" s="1039">
        <v>6000</v>
      </c>
      <c r="F2841" s="1037" t="s">
        <v>13262</v>
      </c>
      <c r="G2841" s="508"/>
      <c r="H2841" s="1037" t="s">
        <v>2336</v>
      </c>
      <c r="I2841" s="508"/>
      <c r="J2841" s="1223"/>
    </row>
    <row r="2842" spans="1:10" s="81" customFormat="1" ht="50.1" customHeight="1" x14ac:dyDescent="0.2">
      <c r="A2842" s="1220" t="s">
        <v>13534</v>
      </c>
      <c r="B2842" s="985" t="s">
        <v>1784</v>
      </c>
      <c r="C2842" s="985" t="s">
        <v>13063</v>
      </c>
      <c r="D2842" s="1037">
        <v>29</v>
      </c>
      <c r="E2842" s="1039">
        <v>372</v>
      </c>
      <c r="F2842" s="1037" t="s">
        <v>13076</v>
      </c>
      <c r="G2842" s="508"/>
      <c r="H2842" s="1037" t="s">
        <v>13552</v>
      </c>
      <c r="I2842" s="508"/>
      <c r="J2842" s="1223"/>
    </row>
    <row r="2843" spans="1:10" s="81" customFormat="1" ht="50.1" customHeight="1" x14ac:dyDescent="0.2">
      <c r="A2843" s="1220" t="s">
        <v>13527</v>
      </c>
      <c r="B2843" s="985" t="s">
        <v>1784</v>
      </c>
      <c r="C2843" s="985" t="s">
        <v>13063</v>
      </c>
      <c r="D2843" s="1037">
        <v>30</v>
      </c>
      <c r="E2843" s="1039">
        <v>2162.1999999999998</v>
      </c>
      <c r="F2843" s="1037" t="s">
        <v>13080</v>
      </c>
      <c r="G2843" s="508"/>
      <c r="H2843" s="1037" t="s">
        <v>13552</v>
      </c>
      <c r="I2843" s="508"/>
      <c r="J2843" s="1223"/>
    </row>
    <row r="2844" spans="1:10" s="81" customFormat="1" ht="50.1" customHeight="1" x14ac:dyDescent="0.2">
      <c r="A2844" s="1220" t="s">
        <v>13527</v>
      </c>
      <c r="B2844" s="985" t="s">
        <v>1784</v>
      </c>
      <c r="C2844" s="985" t="s">
        <v>13063</v>
      </c>
      <c r="D2844" s="1037">
        <v>31</v>
      </c>
      <c r="E2844" s="1039">
        <v>332.6</v>
      </c>
      <c r="F2844" s="1037" t="s">
        <v>13430</v>
      </c>
      <c r="G2844" s="508"/>
      <c r="H2844" s="1037" t="s">
        <v>13552</v>
      </c>
      <c r="I2844" s="508"/>
      <c r="J2844" s="1223"/>
    </row>
    <row r="2845" spans="1:10" s="81" customFormat="1" ht="50.1" customHeight="1" x14ac:dyDescent="0.2">
      <c r="A2845" s="1220" t="s">
        <v>13529</v>
      </c>
      <c r="B2845" s="985" t="s">
        <v>1784</v>
      </c>
      <c r="C2845" s="985" t="s">
        <v>13063</v>
      </c>
      <c r="D2845" s="1037">
        <v>32</v>
      </c>
      <c r="E2845" s="1039">
        <v>1568</v>
      </c>
      <c r="F2845" s="1037" t="s">
        <v>13078</v>
      </c>
      <c r="G2845" s="508"/>
      <c r="H2845" s="1037" t="s">
        <v>13552</v>
      </c>
      <c r="I2845" s="508"/>
      <c r="J2845" s="1223"/>
    </row>
    <row r="2846" spans="1:10" s="81" customFormat="1" ht="50.1" customHeight="1" x14ac:dyDescent="0.2">
      <c r="A2846" s="1220" t="s">
        <v>13529</v>
      </c>
      <c r="B2846" s="985" t="s">
        <v>1784</v>
      </c>
      <c r="C2846" s="985" t="s">
        <v>13063</v>
      </c>
      <c r="D2846" s="1037">
        <v>33</v>
      </c>
      <c r="E2846" s="1039">
        <v>1941.2</v>
      </c>
      <c r="F2846" s="1037" t="s">
        <v>13430</v>
      </c>
      <c r="G2846" s="508"/>
      <c r="H2846" s="1037" t="s">
        <v>13552</v>
      </c>
      <c r="I2846" s="508"/>
      <c r="J2846" s="1223"/>
    </row>
    <row r="2847" spans="1:10" s="81" customFormat="1" ht="50.1" customHeight="1" x14ac:dyDescent="0.2">
      <c r="A2847" s="1220" t="s">
        <v>13553</v>
      </c>
      <c r="B2847" s="985" t="s">
        <v>1784</v>
      </c>
      <c r="C2847" s="985" t="s">
        <v>13063</v>
      </c>
      <c r="D2847" s="1037">
        <v>34</v>
      </c>
      <c r="E2847" s="1039">
        <v>3950</v>
      </c>
      <c r="F2847" s="1037" t="s">
        <v>13236</v>
      </c>
      <c r="G2847" s="508"/>
      <c r="H2847" s="1037" t="s">
        <v>13552</v>
      </c>
      <c r="I2847" s="508"/>
      <c r="J2847" s="1223"/>
    </row>
    <row r="2848" spans="1:10" s="81" customFormat="1" ht="50.1" customHeight="1" x14ac:dyDescent="0.2">
      <c r="A2848" s="1220" t="s">
        <v>13554</v>
      </c>
      <c r="B2848" s="985" t="s">
        <v>1784</v>
      </c>
      <c r="C2848" s="985" t="s">
        <v>13063</v>
      </c>
      <c r="D2848" s="1037">
        <v>35</v>
      </c>
      <c r="E2848" s="1039">
        <v>508.64</v>
      </c>
      <c r="F2848" s="1037" t="s">
        <v>13307</v>
      </c>
      <c r="G2848" s="508"/>
      <c r="H2848" s="1037" t="s">
        <v>13555</v>
      </c>
      <c r="I2848" s="508"/>
      <c r="J2848" s="1223"/>
    </row>
    <row r="2849" spans="1:10" s="81" customFormat="1" ht="50.1" customHeight="1" x14ac:dyDescent="0.2">
      <c r="A2849" s="1220" t="s">
        <v>13531</v>
      </c>
      <c r="B2849" s="985" t="s">
        <v>1784</v>
      </c>
      <c r="C2849" s="985" t="s">
        <v>13063</v>
      </c>
      <c r="D2849" s="1037">
        <v>37</v>
      </c>
      <c r="E2849" s="1039">
        <v>722.1</v>
      </c>
      <c r="F2849" s="1037" t="s">
        <v>13080</v>
      </c>
      <c r="G2849" s="508"/>
      <c r="H2849" s="1037" t="s">
        <v>13556</v>
      </c>
      <c r="I2849" s="508"/>
      <c r="J2849" s="1223"/>
    </row>
    <row r="2850" spans="1:10" s="81" customFormat="1" ht="50.1" customHeight="1" x14ac:dyDescent="0.2">
      <c r="A2850" s="1220" t="s">
        <v>13533</v>
      </c>
      <c r="B2850" s="985" t="s">
        <v>1784</v>
      </c>
      <c r="C2850" s="985" t="s">
        <v>13063</v>
      </c>
      <c r="D2850" s="1037">
        <v>38</v>
      </c>
      <c r="E2850" s="1039">
        <v>1221.3</v>
      </c>
      <c r="F2850" s="1037" t="s">
        <v>13080</v>
      </c>
      <c r="G2850" s="508"/>
      <c r="H2850" s="1037" t="s">
        <v>13556</v>
      </c>
      <c r="I2850" s="508"/>
      <c r="J2850" s="1223"/>
    </row>
    <row r="2851" spans="1:10" s="81" customFormat="1" ht="50.1" customHeight="1" x14ac:dyDescent="0.2">
      <c r="A2851" s="1220" t="s">
        <v>13537</v>
      </c>
      <c r="B2851" s="985" t="s">
        <v>1784</v>
      </c>
      <c r="C2851" s="985" t="s">
        <v>13063</v>
      </c>
      <c r="D2851" s="1037">
        <v>39</v>
      </c>
      <c r="E2851" s="1039">
        <v>800</v>
      </c>
      <c r="F2851" s="1037" t="s">
        <v>13538</v>
      </c>
      <c r="G2851" s="508"/>
      <c r="H2851" s="1037" t="s">
        <v>13556</v>
      </c>
      <c r="I2851" s="508"/>
      <c r="J2851" s="1223"/>
    </row>
    <row r="2852" spans="1:10" s="81" customFormat="1" ht="50.1" customHeight="1" x14ac:dyDescent="0.2">
      <c r="A2852" s="1220" t="s">
        <v>13557</v>
      </c>
      <c r="B2852" s="985" t="s">
        <v>1784</v>
      </c>
      <c r="C2852" s="985" t="s">
        <v>13063</v>
      </c>
      <c r="D2852" s="1037">
        <v>40</v>
      </c>
      <c r="E2852" s="1039">
        <v>2097</v>
      </c>
      <c r="F2852" s="1037" t="s">
        <v>13118</v>
      </c>
      <c r="G2852" s="508"/>
      <c r="H2852" s="1037" t="s">
        <v>13558</v>
      </c>
      <c r="I2852" s="508"/>
      <c r="J2852" s="1223"/>
    </row>
    <row r="2853" spans="1:10" s="81" customFormat="1" ht="50.1" customHeight="1" x14ac:dyDescent="0.2">
      <c r="A2853" s="1220" t="s">
        <v>13557</v>
      </c>
      <c r="B2853" s="985" t="s">
        <v>1784</v>
      </c>
      <c r="C2853" s="985" t="s">
        <v>13063</v>
      </c>
      <c r="D2853" s="1037">
        <v>41</v>
      </c>
      <c r="E2853" s="1039">
        <v>965</v>
      </c>
      <c r="F2853" s="1037" t="s">
        <v>13121</v>
      </c>
      <c r="G2853" s="508"/>
      <c r="H2853" s="1037" t="s">
        <v>13558</v>
      </c>
      <c r="I2853" s="508"/>
      <c r="J2853" s="1223"/>
    </row>
    <row r="2854" spans="1:10" s="81" customFormat="1" ht="50.1" customHeight="1" x14ac:dyDescent="0.2">
      <c r="A2854" s="1220" t="s">
        <v>13557</v>
      </c>
      <c r="B2854" s="985" t="s">
        <v>1784</v>
      </c>
      <c r="C2854" s="985" t="s">
        <v>13063</v>
      </c>
      <c r="D2854" s="1037">
        <v>42</v>
      </c>
      <c r="E2854" s="1039">
        <v>560</v>
      </c>
      <c r="F2854" s="1037" t="s">
        <v>13122</v>
      </c>
      <c r="G2854" s="508"/>
      <c r="H2854" s="1037" t="s">
        <v>13558</v>
      </c>
      <c r="I2854" s="508"/>
      <c r="J2854" s="1223"/>
    </row>
    <row r="2855" spans="1:10" s="81" customFormat="1" ht="50.1" customHeight="1" x14ac:dyDescent="0.2">
      <c r="A2855" s="1220" t="s">
        <v>13557</v>
      </c>
      <c r="B2855" s="985" t="s">
        <v>1784</v>
      </c>
      <c r="C2855" s="985" t="s">
        <v>13063</v>
      </c>
      <c r="D2855" s="1037">
        <v>43</v>
      </c>
      <c r="E2855" s="1039">
        <v>22825.34</v>
      </c>
      <c r="F2855" s="1037" t="s">
        <v>13120</v>
      </c>
      <c r="G2855" s="508"/>
      <c r="H2855" s="1037" t="s">
        <v>13558</v>
      </c>
      <c r="I2855" s="508"/>
      <c r="J2855" s="1223"/>
    </row>
    <row r="2856" spans="1:10" s="81" customFormat="1" ht="50.1" customHeight="1" x14ac:dyDescent="0.2">
      <c r="A2856" s="1220" t="s">
        <v>13557</v>
      </c>
      <c r="B2856" s="985" t="s">
        <v>1784</v>
      </c>
      <c r="C2856" s="985" t="s">
        <v>13063</v>
      </c>
      <c r="D2856" s="1037">
        <v>44</v>
      </c>
      <c r="E2856" s="1039">
        <v>1045</v>
      </c>
      <c r="F2856" s="1037" t="s">
        <v>13120</v>
      </c>
      <c r="G2856" s="508"/>
      <c r="H2856" s="1037" t="s">
        <v>13558</v>
      </c>
      <c r="I2856" s="508"/>
      <c r="J2856" s="1223"/>
    </row>
    <row r="2857" spans="1:10" s="81" customFormat="1" ht="50.1" customHeight="1" x14ac:dyDescent="0.2">
      <c r="A2857" s="1220" t="s">
        <v>13534</v>
      </c>
      <c r="B2857" s="985" t="s">
        <v>1784</v>
      </c>
      <c r="C2857" s="985" t="s">
        <v>13063</v>
      </c>
      <c r="D2857" s="1037">
        <v>45</v>
      </c>
      <c r="E2857" s="1039">
        <v>360</v>
      </c>
      <c r="F2857" s="1037" t="s">
        <v>13076</v>
      </c>
      <c r="G2857" s="508"/>
      <c r="H2857" s="1037" t="s">
        <v>13559</v>
      </c>
      <c r="I2857" s="508"/>
      <c r="J2857" s="1223"/>
    </row>
    <row r="2858" spans="1:10" s="81" customFormat="1" ht="50.1" customHeight="1" x14ac:dyDescent="0.2">
      <c r="A2858" s="1220" t="s">
        <v>13527</v>
      </c>
      <c r="B2858" s="985" t="s">
        <v>1784</v>
      </c>
      <c r="C2858" s="985" t="s">
        <v>13063</v>
      </c>
      <c r="D2858" s="1037">
        <v>46</v>
      </c>
      <c r="E2858" s="1039">
        <v>2171.1999999999998</v>
      </c>
      <c r="F2858" s="1037" t="s">
        <v>13080</v>
      </c>
      <c r="G2858" s="508"/>
      <c r="H2858" s="1037" t="s">
        <v>13559</v>
      </c>
      <c r="I2858" s="508"/>
      <c r="J2858" s="1223"/>
    </row>
    <row r="2859" spans="1:10" s="81" customFormat="1" ht="50.1" customHeight="1" x14ac:dyDescent="0.2">
      <c r="A2859" s="1220" t="s">
        <v>13527</v>
      </c>
      <c r="B2859" s="985" t="s">
        <v>1784</v>
      </c>
      <c r="C2859" s="985" t="s">
        <v>13063</v>
      </c>
      <c r="D2859" s="1037">
        <v>47</v>
      </c>
      <c r="E2859" s="1039">
        <v>332.6</v>
      </c>
      <c r="F2859" s="1037" t="s">
        <v>13430</v>
      </c>
      <c r="G2859" s="508"/>
      <c r="H2859" s="1037" t="s">
        <v>13559</v>
      </c>
      <c r="I2859" s="508"/>
      <c r="J2859" s="1223"/>
    </row>
    <row r="2860" spans="1:10" s="81" customFormat="1" ht="50.1" customHeight="1" x14ac:dyDescent="0.2">
      <c r="A2860" s="1220" t="s">
        <v>13529</v>
      </c>
      <c r="B2860" s="985" t="s">
        <v>1784</v>
      </c>
      <c r="C2860" s="985" t="s">
        <v>13063</v>
      </c>
      <c r="D2860" s="1037">
        <v>48</v>
      </c>
      <c r="E2860" s="1039">
        <v>1568</v>
      </c>
      <c r="F2860" s="1037" t="s">
        <v>13078</v>
      </c>
      <c r="G2860" s="508"/>
      <c r="H2860" s="1037" t="s">
        <v>13559</v>
      </c>
      <c r="I2860" s="508"/>
      <c r="J2860" s="1223"/>
    </row>
    <row r="2861" spans="1:10" s="81" customFormat="1" ht="50.1" customHeight="1" x14ac:dyDescent="0.2">
      <c r="A2861" s="1220" t="s">
        <v>13529</v>
      </c>
      <c r="B2861" s="985" t="s">
        <v>1784</v>
      </c>
      <c r="C2861" s="985" t="s">
        <v>13063</v>
      </c>
      <c r="D2861" s="1037">
        <v>49</v>
      </c>
      <c r="E2861" s="1039">
        <v>1941.2</v>
      </c>
      <c r="F2861" s="1037" t="s">
        <v>13430</v>
      </c>
      <c r="G2861" s="508"/>
      <c r="H2861" s="1037" t="s">
        <v>13559</v>
      </c>
      <c r="I2861" s="508"/>
      <c r="J2861" s="1223"/>
    </row>
    <row r="2862" spans="1:10" s="81" customFormat="1" ht="50.1" customHeight="1" x14ac:dyDescent="0.2">
      <c r="A2862" s="1220" t="s">
        <v>13560</v>
      </c>
      <c r="B2862" s="985" t="s">
        <v>1784</v>
      </c>
      <c r="C2862" s="985" t="s">
        <v>13063</v>
      </c>
      <c r="D2862" s="1037">
        <v>50</v>
      </c>
      <c r="E2862" s="1039">
        <v>2160</v>
      </c>
      <c r="F2862" s="1037" t="s">
        <v>13114</v>
      </c>
      <c r="G2862" s="508"/>
      <c r="H2862" s="1037" t="s">
        <v>13561</v>
      </c>
      <c r="I2862" s="508"/>
      <c r="J2862" s="1223"/>
    </row>
    <row r="2863" spans="1:10" s="81" customFormat="1" ht="50.1" customHeight="1" x14ac:dyDescent="0.2">
      <c r="A2863" s="1220" t="s">
        <v>13562</v>
      </c>
      <c r="B2863" s="985" t="s">
        <v>1784</v>
      </c>
      <c r="C2863" s="985" t="s">
        <v>13063</v>
      </c>
      <c r="D2863" s="1037">
        <v>51</v>
      </c>
      <c r="E2863" s="1039">
        <v>2265.6</v>
      </c>
      <c r="F2863" s="1037" t="s">
        <v>13563</v>
      </c>
      <c r="G2863" s="508"/>
      <c r="H2863" s="1037" t="s">
        <v>13561</v>
      </c>
      <c r="I2863" s="508"/>
      <c r="J2863" s="1223"/>
    </row>
    <row r="2864" spans="1:10" s="81" customFormat="1" ht="50.1" customHeight="1" x14ac:dyDescent="0.2">
      <c r="A2864" s="1220" t="s">
        <v>13564</v>
      </c>
      <c r="B2864" s="985" t="s">
        <v>13092</v>
      </c>
      <c r="C2864" s="985" t="s">
        <v>13093</v>
      </c>
      <c r="D2864" s="1037">
        <v>52</v>
      </c>
      <c r="E2864" s="1039">
        <v>1054.07</v>
      </c>
      <c r="F2864" s="1037" t="s">
        <v>13565</v>
      </c>
      <c r="G2864" s="508"/>
      <c r="H2864" s="1037" t="s">
        <v>13561</v>
      </c>
      <c r="I2864" s="508"/>
      <c r="J2864" s="1223"/>
    </row>
    <row r="2865" spans="1:10" s="81" customFormat="1" ht="50.1" customHeight="1" x14ac:dyDescent="0.2">
      <c r="A2865" s="1220" t="s">
        <v>13566</v>
      </c>
      <c r="B2865" s="985" t="s">
        <v>1784</v>
      </c>
      <c r="C2865" s="985" t="s">
        <v>13063</v>
      </c>
      <c r="D2865" s="1037">
        <v>53</v>
      </c>
      <c r="E2865" s="1039">
        <v>5905</v>
      </c>
      <c r="F2865" s="1037" t="s">
        <v>13259</v>
      </c>
      <c r="G2865" s="508"/>
      <c r="H2865" s="1037" t="s">
        <v>13567</v>
      </c>
      <c r="I2865" s="508"/>
      <c r="J2865" s="1223"/>
    </row>
    <row r="2866" spans="1:10" s="81" customFormat="1" ht="50.1" customHeight="1" x14ac:dyDescent="0.2">
      <c r="A2866" s="1220" t="s">
        <v>13568</v>
      </c>
      <c r="B2866" s="985" t="s">
        <v>1784</v>
      </c>
      <c r="C2866" s="985" t="s">
        <v>13063</v>
      </c>
      <c r="D2866" s="1037">
        <v>54</v>
      </c>
      <c r="E2866" s="1039">
        <v>440</v>
      </c>
      <c r="F2866" s="1037" t="s">
        <v>13120</v>
      </c>
      <c r="G2866" s="508"/>
      <c r="H2866" s="1037" t="s">
        <v>13569</v>
      </c>
      <c r="I2866" s="508"/>
      <c r="J2866" s="1223"/>
    </row>
    <row r="2867" spans="1:10" s="81" customFormat="1" ht="50.1" customHeight="1" x14ac:dyDescent="0.2">
      <c r="A2867" s="1220" t="s">
        <v>13570</v>
      </c>
      <c r="B2867" s="985" t="s">
        <v>12914</v>
      </c>
      <c r="C2867" s="985" t="s">
        <v>13571</v>
      </c>
      <c r="D2867" s="1037">
        <v>55</v>
      </c>
      <c r="E2867" s="1039">
        <v>5130</v>
      </c>
      <c r="F2867" s="1037" t="s">
        <v>13572</v>
      </c>
      <c r="G2867" s="508"/>
      <c r="H2867" s="1037" t="s">
        <v>13573</v>
      </c>
      <c r="I2867" s="508"/>
      <c r="J2867" s="1223"/>
    </row>
    <row r="2868" spans="1:10" s="81" customFormat="1" ht="50.1" customHeight="1" x14ac:dyDescent="0.2">
      <c r="A2868" s="1220" t="s">
        <v>13574</v>
      </c>
      <c r="B2868" s="985" t="s">
        <v>12914</v>
      </c>
      <c r="C2868" s="985" t="s">
        <v>13571</v>
      </c>
      <c r="D2868" s="1037">
        <v>56</v>
      </c>
      <c r="E2868" s="1039">
        <v>14000</v>
      </c>
      <c r="F2868" s="1037" t="s">
        <v>3291</v>
      </c>
      <c r="G2868" s="508"/>
      <c r="H2868" s="1037" t="s">
        <v>13573</v>
      </c>
      <c r="I2868" s="508"/>
      <c r="J2868" s="1223"/>
    </row>
    <row r="2869" spans="1:10" s="81" customFormat="1" ht="50.1" customHeight="1" x14ac:dyDescent="0.2">
      <c r="A2869" s="1220" t="s">
        <v>13574</v>
      </c>
      <c r="B2869" s="985" t="s">
        <v>12914</v>
      </c>
      <c r="C2869" s="985" t="s">
        <v>13571</v>
      </c>
      <c r="D2869" s="1037">
        <v>57</v>
      </c>
      <c r="E2869" s="1039">
        <v>13900</v>
      </c>
      <c r="F2869" s="1037" t="s">
        <v>13575</v>
      </c>
      <c r="G2869" s="508"/>
      <c r="H2869" s="1037" t="s">
        <v>13573</v>
      </c>
      <c r="I2869" s="508"/>
      <c r="J2869" s="1223"/>
    </row>
    <row r="2870" spans="1:10" s="81" customFormat="1" ht="50.1" customHeight="1" x14ac:dyDescent="0.2">
      <c r="A2870" s="1220" t="s">
        <v>13531</v>
      </c>
      <c r="B2870" s="985" t="s">
        <v>1784</v>
      </c>
      <c r="C2870" s="985" t="s">
        <v>13063</v>
      </c>
      <c r="D2870" s="1037">
        <v>69</v>
      </c>
      <c r="E2870" s="1039">
        <v>714.8</v>
      </c>
      <c r="F2870" s="1037" t="s">
        <v>13080</v>
      </c>
      <c r="G2870" s="508"/>
      <c r="H2870" s="1037" t="s">
        <v>13576</v>
      </c>
      <c r="I2870" s="508"/>
      <c r="J2870" s="1223"/>
    </row>
    <row r="2871" spans="1:10" s="81" customFormat="1" ht="50.1" customHeight="1" x14ac:dyDescent="0.2">
      <c r="A2871" s="1220" t="s">
        <v>13533</v>
      </c>
      <c r="B2871" s="985" t="s">
        <v>1784</v>
      </c>
      <c r="C2871" s="985" t="s">
        <v>13063</v>
      </c>
      <c r="D2871" s="1037">
        <v>70</v>
      </c>
      <c r="E2871" s="1039">
        <v>1225.0999999999999</v>
      </c>
      <c r="F2871" s="1037" t="s">
        <v>13080</v>
      </c>
      <c r="G2871" s="508"/>
      <c r="H2871" s="1037" t="s">
        <v>13576</v>
      </c>
      <c r="I2871" s="508"/>
      <c r="J2871" s="1223"/>
    </row>
    <row r="2872" spans="1:10" s="81" customFormat="1" ht="50.1" customHeight="1" x14ac:dyDescent="0.2">
      <c r="A2872" s="1220" t="s">
        <v>13537</v>
      </c>
      <c r="B2872" s="985" t="s">
        <v>1784</v>
      </c>
      <c r="C2872" s="985" t="s">
        <v>13063</v>
      </c>
      <c r="D2872" s="1037">
        <v>71</v>
      </c>
      <c r="E2872" s="1039">
        <v>960</v>
      </c>
      <c r="F2872" s="1037" t="s">
        <v>13538</v>
      </c>
      <c r="G2872" s="508"/>
      <c r="H2872" s="1037" t="s">
        <v>13577</v>
      </c>
      <c r="I2872" s="508"/>
      <c r="J2872" s="1223"/>
    </row>
    <row r="2873" spans="1:10" s="81" customFormat="1" ht="50.1" customHeight="1" x14ac:dyDescent="0.2">
      <c r="A2873" s="1220" t="s">
        <v>13534</v>
      </c>
      <c r="B2873" s="985" t="s">
        <v>1784</v>
      </c>
      <c r="C2873" s="985" t="s">
        <v>13063</v>
      </c>
      <c r="D2873" s="1037">
        <v>72</v>
      </c>
      <c r="E2873" s="1039">
        <v>372</v>
      </c>
      <c r="F2873" s="1037" t="s">
        <v>13076</v>
      </c>
      <c r="G2873" s="508"/>
      <c r="H2873" s="1037" t="s">
        <v>13578</v>
      </c>
      <c r="I2873" s="508"/>
      <c r="J2873" s="1223"/>
    </row>
    <row r="2874" spans="1:10" s="81" customFormat="1" ht="50.1" customHeight="1" x14ac:dyDescent="0.2">
      <c r="A2874" s="1220" t="s">
        <v>13527</v>
      </c>
      <c r="B2874" s="985" t="s">
        <v>1784</v>
      </c>
      <c r="C2874" s="985" t="s">
        <v>13063</v>
      </c>
      <c r="D2874" s="1037">
        <v>73</v>
      </c>
      <c r="E2874" s="1039">
        <v>2723.1</v>
      </c>
      <c r="F2874" s="1037" t="s">
        <v>13080</v>
      </c>
      <c r="G2874" s="508"/>
      <c r="H2874" s="1037" t="s">
        <v>13578</v>
      </c>
      <c r="I2874" s="508"/>
      <c r="J2874" s="1223"/>
    </row>
    <row r="2875" spans="1:10" s="81" customFormat="1" ht="50.1" customHeight="1" x14ac:dyDescent="0.2">
      <c r="A2875" s="1220" t="s">
        <v>13527</v>
      </c>
      <c r="B2875" s="985" t="s">
        <v>1784</v>
      </c>
      <c r="C2875" s="985" t="s">
        <v>13063</v>
      </c>
      <c r="D2875" s="1037">
        <v>74</v>
      </c>
      <c r="E2875" s="1039">
        <v>406.35</v>
      </c>
      <c r="F2875" s="1037" t="s">
        <v>13430</v>
      </c>
      <c r="G2875" s="508"/>
      <c r="H2875" s="1037" t="s">
        <v>13578</v>
      </c>
      <c r="I2875" s="508"/>
      <c r="J2875" s="1223"/>
    </row>
    <row r="2876" spans="1:10" s="81" customFormat="1" ht="50.1" customHeight="1" x14ac:dyDescent="0.2">
      <c r="A2876" s="1220" t="s">
        <v>13529</v>
      </c>
      <c r="B2876" s="985" t="s">
        <v>1784</v>
      </c>
      <c r="C2876" s="985" t="s">
        <v>13063</v>
      </c>
      <c r="D2876" s="1037">
        <v>75</v>
      </c>
      <c r="E2876" s="1039">
        <v>1918.5</v>
      </c>
      <c r="F2876" s="1037" t="s">
        <v>13078</v>
      </c>
      <c r="G2876" s="508"/>
      <c r="H2876" s="1037" t="s">
        <v>13578</v>
      </c>
      <c r="I2876" s="508"/>
      <c r="J2876" s="1223"/>
    </row>
    <row r="2877" spans="1:10" s="81" customFormat="1" ht="50.1" customHeight="1" x14ac:dyDescent="0.2">
      <c r="A2877" s="1220" t="s">
        <v>13529</v>
      </c>
      <c r="B2877" s="985" t="s">
        <v>1784</v>
      </c>
      <c r="C2877" s="985" t="s">
        <v>13063</v>
      </c>
      <c r="D2877" s="1037">
        <v>76</v>
      </c>
      <c r="E2877" s="1039">
        <v>2404.5</v>
      </c>
      <c r="F2877" s="1037" t="s">
        <v>13430</v>
      </c>
      <c r="G2877" s="508"/>
      <c r="H2877" s="1037" t="s">
        <v>13578</v>
      </c>
      <c r="I2877" s="508"/>
      <c r="J2877" s="1223"/>
    </row>
    <row r="2878" spans="1:10" s="81" customFormat="1" ht="50.1" customHeight="1" x14ac:dyDescent="0.2">
      <c r="A2878" s="1220" t="s">
        <v>13579</v>
      </c>
      <c r="B2878" s="985" t="s">
        <v>12914</v>
      </c>
      <c r="C2878" s="985" t="s">
        <v>13571</v>
      </c>
      <c r="D2878" s="1037">
        <v>77</v>
      </c>
      <c r="E2878" s="1039">
        <v>93875</v>
      </c>
      <c r="F2878" s="1037" t="s">
        <v>3289</v>
      </c>
      <c r="G2878" s="508"/>
      <c r="H2878" s="1037" t="s">
        <v>13580</v>
      </c>
      <c r="I2878" s="508"/>
      <c r="J2878" s="1223"/>
    </row>
    <row r="2879" spans="1:10" s="81" customFormat="1" ht="50.1" customHeight="1" x14ac:dyDescent="0.2">
      <c r="A2879" s="1220" t="s">
        <v>13579</v>
      </c>
      <c r="B2879" s="985" t="s">
        <v>12914</v>
      </c>
      <c r="C2879" s="985" t="s">
        <v>13571</v>
      </c>
      <c r="D2879" s="1037">
        <v>78</v>
      </c>
      <c r="E2879" s="1039">
        <v>4502</v>
      </c>
      <c r="F2879" s="1037" t="s">
        <v>3289</v>
      </c>
      <c r="G2879" s="508"/>
      <c r="H2879" s="1037" t="s">
        <v>13580</v>
      </c>
      <c r="I2879" s="508"/>
      <c r="J2879" s="1223"/>
    </row>
    <row r="2880" spans="1:10" s="81" customFormat="1" ht="50.1" customHeight="1" x14ac:dyDescent="0.2">
      <c r="A2880" s="1220" t="s">
        <v>13579</v>
      </c>
      <c r="B2880" s="985" t="s">
        <v>12914</v>
      </c>
      <c r="C2880" s="985" t="s">
        <v>13571</v>
      </c>
      <c r="D2880" s="1037">
        <v>79</v>
      </c>
      <c r="E2880" s="1039">
        <v>2110</v>
      </c>
      <c r="F2880" s="1037" t="s">
        <v>3289</v>
      </c>
      <c r="G2880" s="508"/>
      <c r="H2880" s="1037" t="s">
        <v>13580</v>
      </c>
      <c r="I2880" s="508"/>
      <c r="J2880" s="1223"/>
    </row>
    <row r="2881" spans="1:10" s="81" customFormat="1" ht="50.1" customHeight="1" x14ac:dyDescent="0.2">
      <c r="A2881" s="1220" t="s">
        <v>13579</v>
      </c>
      <c r="B2881" s="985" t="s">
        <v>12914</v>
      </c>
      <c r="C2881" s="985" t="s">
        <v>13571</v>
      </c>
      <c r="D2881" s="1037">
        <v>80</v>
      </c>
      <c r="E2881" s="1039">
        <v>18072</v>
      </c>
      <c r="F2881" s="1037" t="s">
        <v>3289</v>
      </c>
      <c r="G2881" s="508"/>
      <c r="H2881" s="1037" t="s">
        <v>13580</v>
      </c>
      <c r="I2881" s="508"/>
      <c r="J2881" s="1223"/>
    </row>
    <row r="2882" spans="1:10" s="81" customFormat="1" ht="50.1" customHeight="1" x14ac:dyDescent="0.2">
      <c r="A2882" s="1220" t="s">
        <v>13579</v>
      </c>
      <c r="B2882" s="985" t="s">
        <v>12914</v>
      </c>
      <c r="C2882" s="985" t="s">
        <v>13571</v>
      </c>
      <c r="D2882" s="1037">
        <v>81</v>
      </c>
      <c r="E2882" s="1039">
        <v>6805</v>
      </c>
      <c r="F2882" s="1037" t="s">
        <v>3289</v>
      </c>
      <c r="G2882" s="508"/>
      <c r="H2882" s="1037" t="s">
        <v>13580</v>
      </c>
      <c r="I2882" s="508"/>
      <c r="J2882" s="1223"/>
    </row>
    <row r="2883" spans="1:10" s="81" customFormat="1" ht="50.1" customHeight="1" x14ac:dyDescent="0.2">
      <c r="A2883" s="1220" t="s">
        <v>13579</v>
      </c>
      <c r="B2883" s="985" t="s">
        <v>12914</v>
      </c>
      <c r="C2883" s="985" t="s">
        <v>13571</v>
      </c>
      <c r="D2883" s="1037">
        <v>82</v>
      </c>
      <c r="E2883" s="1039">
        <v>6998</v>
      </c>
      <c r="F2883" s="1037" t="s">
        <v>3289</v>
      </c>
      <c r="G2883" s="508"/>
      <c r="H2883" s="1037" t="s">
        <v>13580</v>
      </c>
      <c r="I2883" s="508"/>
      <c r="J2883" s="1223"/>
    </row>
    <row r="2884" spans="1:10" s="81" customFormat="1" ht="50.1" customHeight="1" x14ac:dyDescent="0.2">
      <c r="A2884" s="1220" t="s">
        <v>13579</v>
      </c>
      <c r="B2884" s="985" t="s">
        <v>12914</v>
      </c>
      <c r="C2884" s="985" t="s">
        <v>13571</v>
      </c>
      <c r="D2884" s="1037">
        <v>83</v>
      </c>
      <c r="E2884" s="1039">
        <v>32946</v>
      </c>
      <c r="F2884" s="1037" t="s">
        <v>3289</v>
      </c>
      <c r="G2884" s="508"/>
      <c r="H2884" s="1037" t="s">
        <v>13580</v>
      </c>
      <c r="I2884" s="508"/>
      <c r="J2884" s="1223"/>
    </row>
    <row r="2885" spans="1:10" s="81" customFormat="1" ht="50.1" customHeight="1" x14ac:dyDescent="0.2">
      <c r="A2885" s="1220" t="s">
        <v>13579</v>
      </c>
      <c r="B2885" s="985" t="s">
        <v>12914</v>
      </c>
      <c r="C2885" s="985" t="s">
        <v>13571</v>
      </c>
      <c r="D2885" s="1037">
        <v>84</v>
      </c>
      <c r="E2885" s="1039">
        <v>6188</v>
      </c>
      <c r="F2885" s="1037" t="s">
        <v>3289</v>
      </c>
      <c r="G2885" s="508"/>
      <c r="H2885" s="1037" t="s">
        <v>13580</v>
      </c>
      <c r="I2885" s="508"/>
      <c r="J2885" s="1223"/>
    </row>
    <row r="2886" spans="1:10" s="81" customFormat="1" ht="50.1" customHeight="1" x14ac:dyDescent="0.2">
      <c r="A2886" s="1220" t="s">
        <v>13579</v>
      </c>
      <c r="B2886" s="985" t="s">
        <v>12914</v>
      </c>
      <c r="C2886" s="985" t="s">
        <v>13571</v>
      </c>
      <c r="D2886" s="1037">
        <v>85</v>
      </c>
      <c r="E2886" s="1039">
        <v>134</v>
      </c>
      <c r="F2886" s="1037" t="s">
        <v>3289</v>
      </c>
      <c r="G2886" s="508"/>
      <c r="H2886" s="1037" t="s">
        <v>13580</v>
      </c>
      <c r="I2886" s="508"/>
      <c r="J2886" s="1223"/>
    </row>
    <row r="2887" spans="1:10" s="81" customFormat="1" ht="50.1" customHeight="1" x14ac:dyDescent="0.2">
      <c r="A2887" s="1220" t="s">
        <v>13579</v>
      </c>
      <c r="B2887" s="985" t="s">
        <v>12914</v>
      </c>
      <c r="C2887" s="985" t="s">
        <v>13571</v>
      </c>
      <c r="D2887" s="1037">
        <v>86</v>
      </c>
      <c r="E2887" s="1039">
        <v>2370</v>
      </c>
      <c r="F2887" s="1037" t="s">
        <v>3289</v>
      </c>
      <c r="G2887" s="508"/>
      <c r="H2887" s="1037" t="s">
        <v>13580</v>
      </c>
      <c r="I2887" s="508"/>
      <c r="J2887" s="1223"/>
    </row>
    <row r="2888" spans="1:10" s="81" customFormat="1" ht="50.1" customHeight="1" x14ac:dyDescent="0.2">
      <c r="A2888" s="1220" t="s">
        <v>13579</v>
      </c>
      <c r="B2888" s="985" t="s">
        <v>12914</v>
      </c>
      <c r="C2888" s="985" t="s">
        <v>13571</v>
      </c>
      <c r="D2888" s="1037">
        <v>87</v>
      </c>
      <c r="E2888" s="1039">
        <v>2932</v>
      </c>
      <c r="F2888" s="1037" t="s">
        <v>13581</v>
      </c>
      <c r="G2888" s="508"/>
      <c r="H2888" s="1037" t="s">
        <v>13580</v>
      </c>
      <c r="I2888" s="508"/>
      <c r="J2888" s="1223"/>
    </row>
    <row r="2889" spans="1:10" s="81" customFormat="1" ht="50.1" customHeight="1" x14ac:dyDescent="0.2">
      <c r="A2889" s="1220" t="s">
        <v>13582</v>
      </c>
      <c r="B2889" s="985" t="s">
        <v>13092</v>
      </c>
      <c r="C2889" s="985" t="s">
        <v>13093</v>
      </c>
      <c r="D2889" s="1037">
        <v>88</v>
      </c>
      <c r="E2889" s="1039">
        <v>5626.24</v>
      </c>
      <c r="F2889" s="1037" t="s">
        <v>1810</v>
      </c>
      <c r="G2889" s="508"/>
      <c r="H2889" s="1037" t="s">
        <v>13583</v>
      </c>
      <c r="I2889" s="508"/>
      <c r="J2889" s="1223"/>
    </row>
    <row r="2890" spans="1:10" s="81" customFormat="1" ht="50.1" customHeight="1" x14ac:dyDescent="0.2">
      <c r="A2890" s="1220" t="s">
        <v>13584</v>
      </c>
      <c r="B2890" s="985" t="s">
        <v>13092</v>
      </c>
      <c r="C2890" s="985" t="s">
        <v>13093</v>
      </c>
      <c r="D2890" s="1037">
        <v>89</v>
      </c>
      <c r="E2890" s="1039">
        <v>906.73</v>
      </c>
      <c r="F2890" s="1037" t="s">
        <v>13585</v>
      </c>
      <c r="G2890" s="508"/>
      <c r="H2890" s="1037" t="s">
        <v>13583</v>
      </c>
      <c r="I2890" s="508"/>
      <c r="J2890" s="1223"/>
    </row>
    <row r="2891" spans="1:10" s="81" customFormat="1" ht="50.1" customHeight="1" x14ac:dyDescent="0.2">
      <c r="A2891" s="1220" t="s">
        <v>13537</v>
      </c>
      <c r="B2891" s="985" t="s">
        <v>1784</v>
      </c>
      <c r="C2891" s="985" t="s">
        <v>13063</v>
      </c>
      <c r="D2891" s="1037">
        <v>91</v>
      </c>
      <c r="E2891" s="1039">
        <v>800</v>
      </c>
      <c r="F2891" s="1037" t="s">
        <v>13538</v>
      </c>
      <c r="G2891" s="508"/>
      <c r="H2891" s="1037" t="s">
        <v>13586</v>
      </c>
      <c r="I2891" s="508"/>
      <c r="J2891" s="1223"/>
    </row>
    <row r="2892" spans="1:10" s="81" customFormat="1" ht="50.1" customHeight="1" x14ac:dyDescent="0.2">
      <c r="A2892" s="1220" t="s">
        <v>13531</v>
      </c>
      <c r="B2892" s="985" t="s">
        <v>1784</v>
      </c>
      <c r="C2892" s="985" t="s">
        <v>13063</v>
      </c>
      <c r="D2892" s="1037">
        <v>92</v>
      </c>
      <c r="E2892" s="1039">
        <v>726.6</v>
      </c>
      <c r="F2892" s="1037" t="s">
        <v>13080</v>
      </c>
      <c r="G2892" s="508"/>
      <c r="H2892" s="1037" t="s">
        <v>13586</v>
      </c>
      <c r="I2892" s="508"/>
      <c r="J2892" s="1223"/>
    </row>
    <row r="2893" spans="1:10" s="81" customFormat="1" ht="50.1" customHeight="1" x14ac:dyDescent="0.2">
      <c r="A2893" s="1220" t="s">
        <v>13533</v>
      </c>
      <c r="B2893" s="985" t="s">
        <v>1784</v>
      </c>
      <c r="C2893" s="985" t="s">
        <v>13063</v>
      </c>
      <c r="D2893" s="1037">
        <v>93</v>
      </c>
      <c r="E2893" s="1039">
        <v>1309.3</v>
      </c>
      <c r="F2893" s="1037" t="s">
        <v>13080</v>
      </c>
      <c r="G2893" s="508"/>
      <c r="H2893" s="1037" t="s">
        <v>13586</v>
      </c>
      <c r="I2893" s="508"/>
      <c r="J2893" s="1223"/>
    </row>
    <row r="2894" spans="1:10" s="81" customFormat="1" ht="50.1" customHeight="1" x14ac:dyDescent="0.2">
      <c r="A2894" s="1220" t="s">
        <v>13534</v>
      </c>
      <c r="B2894" s="985" t="s">
        <v>1784</v>
      </c>
      <c r="C2894" s="985" t="s">
        <v>13063</v>
      </c>
      <c r="D2894" s="1037">
        <v>94</v>
      </c>
      <c r="E2894" s="1039">
        <v>164</v>
      </c>
      <c r="F2894" s="1037" t="s">
        <v>13076</v>
      </c>
      <c r="G2894" s="508"/>
      <c r="H2894" s="1037" t="s">
        <v>13587</v>
      </c>
      <c r="I2894" s="508"/>
      <c r="J2894" s="1223"/>
    </row>
    <row r="2895" spans="1:10" s="81" customFormat="1" ht="50.1" customHeight="1" x14ac:dyDescent="0.2">
      <c r="A2895" s="1220" t="s">
        <v>13534</v>
      </c>
      <c r="B2895" s="985" t="s">
        <v>1784</v>
      </c>
      <c r="C2895" s="985" t="s">
        <v>13063</v>
      </c>
      <c r="D2895" s="1037">
        <v>95</v>
      </c>
      <c r="E2895" s="1039">
        <v>208</v>
      </c>
      <c r="F2895" s="1037" t="s">
        <v>13076</v>
      </c>
      <c r="G2895" s="508"/>
      <c r="H2895" s="1037" t="s">
        <v>13587</v>
      </c>
      <c r="I2895" s="508"/>
      <c r="J2895" s="1223"/>
    </row>
    <row r="2896" spans="1:10" s="81" customFormat="1" ht="50.1" customHeight="1" x14ac:dyDescent="0.2">
      <c r="A2896" s="1220" t="s">
        <v>13527</v>
      </c>
      <c r="B2896" s="985" t="s">
        <v>1784</v>
      </c>
      <c r="C2896" s="985" t="s">
        <v>13063</v>
      </c>
      <c r="D2896" s="1037">
        <v>96</v>
      </c>
      <c r="E2896" s="1039">
        <v>2187.1999999999998</v>
      </c>
      <c r="F2896" s="1037" t="s">
        <v>13080</v>
      </c>
      <c r="G2896" s="508"/>
      <c r="H2896" s="1037" t="s">
        <v>13587</v>
      </c>
      <c r="I2896" s="508"/>
      <c r="J2896" s="1223"/>
    </row>
    <row r="2897" spans="1:10" s="81" customFormat="1" ht="50.1" customHeight="1" x14ac:dyDescent="0.2">
      <c r="A2897" s="1220" t="s">
        <v>13527</v>
      </c>
      <c r="B2897" s="985" t="s">
        <v>1784</v>
      </c>
      <c r="C2897" s="985" t="s">
        <v>13063</v>
      </c>
      <c r="D2897" s="1037">
        <v>97</v>
      </c>
      <c r="E2897" s="1039">
        <v>332.6</v>
      </c>
      <c r="F2897" s="1037" t="s">
        <v>13430</v>
      </c>
      <c r="G2897" s="508"/>
      <c r="H2897" s="1037" t="s">
        <v>13587</v>
      </c>
      <c r="I2897" s="508"/>
      <c r="J2897" s="1223"/>
    </row>
    <row r="2898" spans="1:10" s="81" customFormat="1" ht="50.1" customHeight="1" x14ac:dyDescent="0.2">
      <c r="A2898" s="1220" t="s">
        <v>13529</v>
      </c>
      <c r="B2898" s="985" t="s">
        <v>1784</v>
      </c>
      <c r="C2898" s="985" t="s">
        <v>13063</v>
      </c>
      <c r="D2898" s="1037">
        <v>98</v>
      </c>
      <c r="E2898" s="1039">
        <v>1568</v>
      </c>
      <c r="F2898" s="1037" t="s">
        <v>13078</v>
      </c>
      <c r="G2898" s="508"/>
      <c r="H2898" s="1037" t="s">
        <v>13587</v>
      </c>
      <c r="I2898" s="508"/>
      <c r="J2898" s="1223"/>
    </row>
    <row r="2899" spans="1:10" s="81" customFormat="1" ht="50.1" customHeight="1" x14ac:dyDescent="0.2">
      <c r="A2899" s="1220" t="s">
        <v>13529</v>
      </c>
      <c r="B2899" s="985" t="s">
        <v>1784</v>
      </c>
      <c r="C2899" s="985" t="s">
        <v>13063</v>
      </c>
      <c r="D2899" s="1037">
        <v>99</v>
      </c>
      <c r="E2899" s="1039">
        <v>1941.2</v>
      </c>
      <c r="F2899" s="1037" t="s">
        <v>13430</v>
      </c>
      <c r="G2899" s="508"/>
      <c r="H2899" s="1037" t="s">
        <v>13587</v>
      </c>
      <c r="I2899" s="508"/>
      <c r="J2899" s="1223"/>
    </row>
    <row r="2900" spans="1:10" s="81" customFormat="1" ht="50.1" customHeight="1" x14ac:dyDescent="0.2">
      <c r="A2900" s="1220" t="s">
        <v>13560</v>
      </c>
      <c r="B2900" s="985" t="s">
        <v>1784</v>
      </c>
      <c r="C2900" s="985" t="s">
        <v>13063</v>
      </c>
      <c r="D2900" s="1037">
        <v>100</v>
      </c>
      <c r="E2900" s="1039">
        <v>2160</v>
      </c>
      <c r="F2900" s="1037" t="s">
        <v>13114</v>
      </c>
      <c r="G2900" s="508"/>
      <c r="H2900" s="1037" t="s">
        <v>13588</v>
      </c>
      <c r="I2900" s="508"/>
      <c r="J2900" s="1223"/>
    </row>
    <row r="2901" spans="1:10" s="81" customFormat="1" ht="50.1" customHeight="1" x14ac:dyDescent="0.2">
      <c r="A2901" s="1220" t="s">
        <v>13589</v>
      </c>
      <c r="B2901" s="985" t="s">
        <v>1784</v>
      </c>
      <c r="C2901" s="985" t="s">
        <v>13063</v>
      </c>
      <c r="D2901" s="1037">
        <v>101</v>
      </c>
      <c r="E2901" s="1039">
        <v>3680</v>
      </c>
      <c r="F2901" s="1037" t="s">
        <v>13071</v>
      </c>
      <c r="G2901" s="508"/>
      <c r="H2901" s="1037" t="s">
        <v>13590</v>
      </c>
      <c r="I2901" s="508"/>
      <c r="J2901" s="1223"/>
    </row>
    <row r="2902" spans="1:10" s="81" customFormat="1" ht="50.1" customHeight="1" x14ac:dyDescent="0.2">
      <c r="A2902" s="1220" t="s">
        <v>13591</v>
      </c>
      <c r="B2902" s="985" t="s">
        <v>1784</v>
      </c>
      <c r="C2902" s="985" t="s">
        <v>13063</v>
      </c>
      <c r="D2902" s="1037">
        <v>102</v>
      </c>
      <c r="E2902" s="1039">
        <v>1176</v>
      </c>
      <c r="F2902" s="1037" t="s">
        <v>13592</v>
      </c>
      <c r="G2902" s="508"/>
      <c r="H2902" s="1037" t="s">
        <v>13590</v>
      </c>
      <c r="I2902" s="508"/>
      <c r="J2902" s="1223"/>
    </row>
    <row r="2903" spans="1:10" s="81" customFormat="1" ht="50.1" customHeight="1" x14ac:dyDescent="0.2">
      <c r="A2903" s="1220" t="s">
        <v>13593</v>
      </c>
      <c r="B2903" s="985" t="s">
        <v>1784</v>
      </c>
      <c r="C2903" s="985" t="s">
        <v>13063</v>
      </c>
      <c r="D2903" s="1037">
        <v>103</v>
      </c>
      <c r="E2903" s="1039">
        <v>19462</v>
      </c>
      <c r="F2903" s="1037" t="s">
        <v>13594</v>
      </c>
      <c r="G2903" s="508"/>
      <c r="H2903" s="1037" t="s">
        <v>13590</v>
      </c>
      <c r="I2903" s="508"/>
      <c r="J2903" s="1223"/>
    </row>
    <row r="2904" spans="1:10" s="81" customFormat="1" ht="50.1" customHeight="1" x14ac:dyDescent="0.2">
      <c r="A2904" s="1220" t="s">
        <v>13595</v>
      </c>
      <c r="B2904" s="985" t="s">
        <v>1784</v>
      </c>
      <c r="C2904" s="985" t="s">
        <v>13063</v>
      </c>
      <c r="D2904" s="1037">
        <v>104</v>
      </c>
      <c r="E2904" s="1039">
        <v>24024</v>
      </c>
      <c r="F2904" s="1037" t="s">
        <v>13071</v>
      </c>
      <c r="G2904" s="508"/>
      <c r="H2904" s="1037" t="s">
        <v>13590</v>
      </c>
      <c r="I2904" s="508"/>
      <c r="J2904" s="1223"/>
    </row>
    <row r="2905" spans="1:10" s="81" customFormat="1" ht="50.1" customHeight="1" x14ac:dyDescent="0.2">
      <c r="A2905" s="1220" t="s">
        <v>13591</v>
      </c>
      <c r="B2905" s="985" t="s">
        <v>1784</v>
      </c>
      <c r="C2905" s="985" t="s">
        <v>13063</v>
      </c>
      <c r="D2905" s="1037">
        <v>105</v>
      </c>
      <c r="E2905" s="1039">
        <v>3165</v>
      </c>
      <c r="F2905" s="1037" t="s">
        <v>13168</v>
      </c>
      <c r="G2905" s="508"/>
      <c r="H2905" s="1037" t="s">
        <v>13590</v>
      </c>
      <c r="I2905" s="508"/>
      <c r="J2905" s="1223"/>
    </row>
    <row r="2906" spans="1:10" s="81" customFormat="1" ht="50.1" customHeight="1" x14ac:dyDescent="0.2">
      <c r="A2906" s="1220" t="s">
        <v>13596</v>
      </c>
      <c r="B2906" s="985" t="s">
        <v>1784</v>
      </c>
      <c r="C2906" s="985" t="s">
        <v>13063</v>
      </c>
      <c r="D2906" s="1037">
        <v>106</v>
      </c>
      <c r="E2906" s="1039">
        <v>7929.01</v>
      </c>
      <c r="F2906" s="1037" t="s">
        <v>13597</v>
      </c>
      <c r="G2906" s="508"/>
      <c r="H2906" s="1037" t="s">
        <v>13598</v>
      </c>
      <c r="I2906" s="508"/>
      <c r="J2906" s="1223"/>
    </row>
    <row r="2907" spans="1:10" s="81" customFormat="1" ht="50.1" customHeight="1" x14ac:dyDescent="0.2">
      <c r="A2907" s="1220" t="s">
        <v>13599</v>
      </c>
      <c r="B2907" s="985" t="s">
        <v>1784</v>
      </c>
      <c r="C2907" s="985" t="s">
        <v>13063</v>
      </c>
      <c r="D2907" s="1037">
        <v>108</v>
      </c>
      <c r="E2907" s="1039">
        <v>17480</v>
      </c>
      <c r="F2907" s="1037" t="s">
        <v>13600</v>
      </c>
      <c r="G2907" s="508"/>
      <c r="H2907" s="1037" t="s">
        <v>13601</v>
      </c>
      <c r="I2907" s="508"/>
      <c r="J2907" s="1223"/>
    </row>
    <row r="2908" spans="1:10" s="81" customFormat="1" ht="50.1" customHeight="1" x14ac:dyDescent="0.2">
      <c r="A2908" s="1220" t="s">
        <v>13533</v>
      </c>
      <c r="B2908" s="985" t="s">
        <v>1784</v>
      </c>
      <c r="C2908" s="985" t="s">
        <v>13063</v>
      </c>
      <c r="D2908" s="1037">
        <v>109</v>
      </c>
      <c r="E2908" s="1039">
        <v>1326.1</v>
      </c>
      <c r="F2908" s="1037" t="s">
        <v>13080</v>
      </c>
      <c r="G2908" s="508"/>
      <c r="H2908" s="1037" t="s">
        <v>13602</v>
      </c>
      <c r="I2908" s="508"/>
      <c r="J2908" s="1223"/>
    </row>
    <row r="2909" spans="1:10" s="81" customFormat="1" ht="50.1" customHeight="1" x14ac:dyDescent="0.2">
      <c r="A2909" s="1220" t="s">
        <v>13531</v>
      </c>
      <c r="B2909" s="985" t="s">
        <v>1784</v>
      </c>
      <c r="C2909" s="985" t="s">
        <v>13063</v>
      </c>
      <c r="D2909" s="1037">
        <v>110</v>
      </c>
      <c r="E2909" s="1039">
        <v>718.9</v>
      </c>
      <c r="F2909" s="1037" t="s">
        <v>13080</v>
      </c>
      <c r="G2909" s="508"/>
      <c r="H2909" s="1037" t="s">
        <v>13602</v>
      </c>
      <c r="I2909" s="508"/>
      <c r="J2909" s="1223"/>
    </row>
    <row r="2910" spans="1:10" s="81" customFormat="1" ht="50.1" customHeight="1" x14ac:dyDescent="0.2">
      <c r="A2910" s="1220" t="s">
        <v>13537</v>
      </c>
      <c r="B2910" s="985" t="s">
        <v>1784</v>
      </c>
      <c r="C2910" s="985" t="s">
        <v>13063</v>
      </c>
      <c r="D2910" s="1037">
        <v>111</v>
      </c>
      <c r="E2910" s="1039">
        <v>960</v>
      </c>
      <c r="F2910" s="1037" t="s">
        <v>13538</v>
      </c>
      <c r="G2910" s="508"/>
      <c r="H2910" s="1037" t="s">
        <v>13602</v>
      </c>
      <c r="I2910" s="508"/>
      <c r="J2910" s="1223"/>
    </row>
    <row r="2911" spans="1:10" s="81" customFormat="1" ht="50.1" customHeight="1" x14ac:dyDescent="0.2">
      <c r="A2911" s="1220" t="s">
        <v>13534</v>
      </c>
      <c r="B2911" s="985" t="s">
        <v>1784</v>
      </c>
      <c r="C2911" s="985" t="s">
        <v>13063</v>
      </c>
      <c r="D2911" s="1037">
        <v>112</v>
      </c>
      <c r="E2911" s="1039">
        <v>360</v>
      </c>
      <c r="F2911" s="1037" t="s">
        <v>13076</v>
      </c>
      <c r="G2911" s="508"/>
      <c r="H2911" s="1037" t="s">
        <v>13602</v>
      </c>
      <c r="I2911" s="508"/>
      <c r="J2911" s="1223"/>
    </row>
    <row r="2912" spans="1:10" s="81" customFormat="1" ht="50.1" customHeight="1" x14ac:dyDescent="0.2">
      <c r="A2912" s="1220" t="s">
        <v>13527</v>
      </c>
      <c r="B2912" s="985" t="s">
        <v>1784</v>
      </c>
      <c r="C2912" s="985" t="s">
        <v>13063</v>
      </c>
      <c r="D2912" s="1037">
        <v>113</v>
      </c>
      <c r="E2912" s="1039">
        <v>2723.1</v>
      </c>
      <c r="F2912" s="1037" t="s">
        <v>13080</v>
      </c>
      <c r="G2912" s="508"/>
      <c r="H2912" s="1037" t="s">
        <v>13602</v>
      </c>
      <c r="I2912" s="508"/>
      <c r="J2912" s="1223"/>
    </row>
    <row r="2913" spans="1:10" s="81" customFormat="1" ht="50.1" customHeight="1" x14ac:dyDescent="0.2">
      <c r="A2913" s="1220" t="s">
        <v>13527</v>
      </c>
      <c r="B2913" s="985" t="s">
        <v>1784</v>
      </c>
      <c r="C2913" s="985" t="s">
        <v>13063</v>
      </c>
      <c r="D2913" s="1037">
        <v>114</v>
      </c>
      <c r="E2913" s="1039">
        <v>406.35</v>
      </c>
      <c r="F2913" s="1037" t="s">
        <v>13430</v>
      </c>
      <c r="G2913" s="508"/>
      <c r="H2913" s="1037" t="s">
        <v>13602</v>
      </c>
      <c r="I2913" s="508"/>
      <c r="J2913" s="1223"/>
    </row>
    <row r="2914" spans="1:10" s="81" customFormat="1" ht="50.1" customHeight="1" x14ac:dyDescent="0.2">
      <c r="A2914" s="1220" t="s">
        <v>13529</v>
      </c>
      <c r="B2914" s="985" t="s">
        <v>1784</v>
      </c>
      <c r="C2914" s="985" t="s">
        <v>13063</v>
      </c>
      <c r="D2914" s="1037">
        <v>115</v>
      </c>
      <c r="E2914" s="1039">
        <v>1918.5</v>
      </c>
      <c r="F2914" s="1037" t="s">
        <v>13078</v>
      </c>
      <c r="G2914" s="508"/>
      <c r="H2914" s="1037" t="s">
        <v>13602</v>
      </c>
      <c r="I2914" s="508"/>
      <c r="J2914" s="1223"/>
    </row>
    <row r="2915" spans="1:10" s="81" customFormat="1" ht="50.1" customHeight="1" x14ac:dyDescent="0.2">
      <c r="A2915" s="1220" t="s">
        <v>13529</v>
      </c>
      <c r="B2915" s="985" t="s">
        <v>1784</v>
      </c>
      <c r="C2915" s="985" t="s">
        <v>13063</v>
      </c>
      <c r="D2915" s="1037">
        <v>116</v>
      </c>
      <c r="E2915" s="1039">
        <v>2404.5</v>
      </c>
      <c r="F2915" s="1037" t="s">
        <v>13430</v>
      </c>
      <c r="G2915" s="508"/>
      <c r="H2915" s="1037" t="s">
        <v>13602</v>
      </c>
      <c r="I2915" s="508"/>
      <c r="J2915" s="1223"/>
    </row>
    <row r="2916" spans="1:10" s="81" customFormat="1" ht="50.1" customHeight="1" x14ac:dyDescent="0.2">
      <c r="A2916" s="1220" t="s">
        <v>13603</v>
      </c>
      <c r="B2916" s="985" t="s">
        <v>1784</v>
      </c>
      <c r="C2916" s="985" t="s">
        <v>13063</v>
      </c>
      <c r="D2916" s="1037">
        <v>117</v>
      </c>
      <c r="E2916" s="1039">
        <v>4500</v>
      </c>
      <c r="F2916" s="1037" t="s">
        <v>13546</v>
      </c>
      <c r="G2916" s="508"/>
      <c r="H2916" s="1037" t="s">
        <v>13604</v>
      </c>
      <c r="I2916" s="508"/>
      <c r="J2916" s="1223"/>
    </row>
    <row r="2917" spans="1:10" s="81" customFormat="1" ht="50.1" customHeight="1" x14ac:dyDescent="0.2">
      <c r="A2917" s="1220" t="s">
        <v>13605</v>
      </c>
      <c r="B2917" s="985" t="s">
        <v>1784</v>
      </c>
      <c r="C2917" s="985" t="s">
        <v>13063</v>
      </c>
      <c r="D2917" s="1037">
        <v>118</v>
      </c>
      <c r="E2917" s="1039">
        <v>4300</v>
      </c>
      <c r="F2917" s="1037" t="s">
        <v>13606</v>
      </c>
      <c r="G2917" s="508"/>
      <c r="H2917" s="1037" t="s">
        <v>13604</v>
      </c>
      <c r="I2917" s="508"/>
      <c r="J2917" s="1223"/>
    </row>
    <row r="2918" spans="1:10" s="81" customFormat="1" ht="50.1" customHeight="1" x14ac:dyDescent="0.2">
      <c r="A2918" s="1220" t="s">
        <v>13607</v>
      </c>
      <c r="B2918" s="985" t="s">
        <v>13092</v>
      </c>
      <c r="C2918" s="985" t="s">
        <v>13093</v>
      </c>
      <c r="D2918" s="1037">
        <v>119</v>
      </c>
      <c r="E2918" s="1039">
        <v>403.56</v>
      </c>
      <c r="F2918" s="1037" t="s">
        <v>1981</v>
      </c>
      <c r="G2918" s="508"/>
      <c r="H2918" s="1037" t="s">
        <v>2322</v>
      </c>
      <c r="I2918" s="508"/>
      <c r="J2918" s="1223"/>
    </row>
    <row r="2919" spans="1:10" s="81" customFormat="1" ht="50.1" customHeight="1" x14ac:dyDescent="0.2">
      <c r="A2919" s="1220" t="s">
        <v>13607</v>
      </c>
      <c r="B2919" s="985" t="s">
        <v>13092</v>
      </c>
      <c r="C2919" s="985" t="s">
        <v>13093</v>
      </c>
      <c r="D2919" s="1037">
        <v>120</v>
      </c>
      <c r="E2919" s="1039">
        <v>533.36</v>
      </c>
      <c r="F2919" s="1037" t="s">
        <v>13608</v>
      </c>
      <c r="G2919" s="508"/>
      <c r="H2919" s="1037" t="s">
        <v>2322</v>
      </c>
      <c r="I2919" s="508"/>
      <c r="J2919" s="1223"/>
    </row>
    <row r="2920" spans="1:10" s="81" customFormat="1" ht="50.1" customHeight="1" x14ac:dyDescent="0.2">
      <c r="A2920" s="1220" t="s">
        <v>13607</v>
      </c>
      <c r="B2920" s="985" t="s">
        <v>13092</v>
      </c>
      <c r="C2920" s="985" t="s">
        <v>13093</v>
      </c>
      <c r="D2920" s="1037">
        <v>121</v>
      </c>
      <c r="E2920" s="1039">
        <v>991.2</v>
      </c>
      <c r="F2920" s="1037" t="s">
        <v>13609</v>
      </c>
      <c r="G2920" s="508"/>
      <c r="H2920" s="1037" t="s">
        <v>2322</v>
      </c>
      <c r="I2920" s="508"/>
      <c r="J2920" s="1223"/>
    </row>
    <row r="2921" spans="1:10" s="81" customFormat="1" ht="50.1" customHeight="1" x14ac:dyDescent="0.2">
      <c r="A2921" s="1220" t="s">
        <v>13607</v>
      </c>
      <c r="B2921" s="985" t="s">
        <v>13092</v>
      </c>
      <c r="C2921" s="985" t="s">
        <v>13093</v>
      </c>
      <c r="D2921" s="1037">
        <v>122</v>
      </c>
      <c r="E2921" s="1039">
        <v>5372.56</v>
      </c>
      <c r="F2921" s="1037" t="s">
        <v>1981</v>
      </c>
      <c r="G2921" s="508"/>
      <c r="H2921" s="1037" t="s">
        <v>2322</v>
      </c>
      <c r="I2921" s="508"/>
      <c r="J2921" s="1223"/>
    </row>
    <row r="2922" spans="1:10" s="81" customFormat="1" ht="50.1" customHeight="1" x14ac:dyDescent="0.2">
      <c r="A2922" s="1220" t="s">
        <v>13607</v>
      </c>
      <c r="B2922" s="985" t="s">
        <v>13092</v>
      </c>
      <c r="C2922" s="985" t="s">
        <v>13093</v>
      </c>
      <c r="D2922" s="1037">
        <v>123</v>
      </c>
      <c r="E2922" s="1039">
        <v>754.85</v>
      </c>
      <c r="F2922" s="1037" t="s">
        <v>13610</v>
      </c>
      <c r="G2922" s="508"/>
      <c r="H2922" s="1037" t="s">
        <v>2322</v>
      </c>
      <c r="I2922" s="508"/>
      <c r="J2922" s="1223"/>
    </row>
    <row r="2923" spans="1:10" s="81" customFormat="1" ht="50.1" customHeight="1" x14ac:dyDescent="0.2">
      <c r="A2923" s="1220" t="s">
        <v>13611</v>
      </c>
      <c r="B2923" s="985" t="s">
        <v>1784</v>
      </c>
      <c r="C2923" s="985" t="s">
        <v>13063</v>
      </c>
      <c r="D2923" s="1037">
        <v>124</v>
      </c>
      <c r="E2923" s="1039">
        <v>1189.44</v>
      </c>
      <c r="F2923" s="1037" t="s">
        <v>13199</v>
      </c>
      <c r="G2923" s="508"/>
      <c r="H2923" s="1037" t="s">
        <v>2512</v>
      </c>
      <c r="I2923" s="508"/>
      <c r="J2923" s="1223"/>
    </row>
    <row r="2924" spans="1:10" s="81" customFormat="1" ht="50.1" customHeight="1" x14ac:dyDescent="0.2">
      <c r="A2924" s="1220" t="s">
        <v>13612</v>
      </c>
      <c r="B2924" s="985" t="s">
        <v>1827</v>
      </c>
      <c r="C2924" s="985" t="s">
        <v>13144</v>
      </c>
      <c r="D2924" s="1037">
        <v>125</v>
      </c>
      <c r="E2924" s="1039">
        <v>52938</v>
      </c>
      <c r="F2924" s="1037" t="s">
        <v>13145</v>
      </c>
      <c r="G2924" s="508"/>
      <c r="H2924" s="1037" t="s">
        <v>13613</v>
      </c>
      <c r="I2924" s="508"/>
      <c r="J2924" s="1223"/>
    </row>
    <row r="2925" spans="1:10" s="81" customFormat="1" ht="50.1" customHeight="1" x14ac:dyDescent="0.2">
      <c r="A2925" s="1220" t="s">
        <v>13531</v>
      </c>
      <c r="B2925" s="985" t="s">
        <v>1784</v>
      </c>
      <c r="C2925" s="985" t="s">
        <v>13063</v>
      </c>
      <c r="D2925" s="1037">
        <v>126</v>
      </c>
      <c r="E2925" s="1039">
        <v>730.7</v>
      </c>
      <c r="F2925" s="1037" t="s">
        <v>13080</v>
      </c>
      <c r="G2925" s="508"/>
      <c r="H2925" s="1037" t="s">
        <v>2302</v>
      </c>
      <c r="I2925" s="508"/>
      <c r="J2925" s="1223"/>
    </row>
    <row r="2926" spans="1:10" s="81" customFormat="1" ht="50.1" customHeight="1" x14ac:dyDescent="0.2">
      <c r="A2926" s="1220" t="s">
        <v>13533</v>
      </c>
      <c r="B2926" s="985" t="s">
        <v>1784</v>
      </c>
      <c r="C2926" s="985" t="s">
        <v>13063</v>
      </c>
      <c r="D2926" s="1037">
        <v>127</v>
      </c>
      <c r="E2926" s="1039">
        <v>1120.3</v>
      </c>
      <c r="F2926" s="1037" t="s">
        <v>13080</v>
      </c>
      <c r="G2926" s="508"/>
      <c r="H2926" s="1037" t="s">
        <v>2302</v>
      </c>
      <c r="I2926" s="508"/>
      <c r="J2926" s="1223"/>
    </row>
    <row r="2927" spans="1:10" s="81" customFormat="1" ht="50.1" customHeight="1" x14ac:dyDescent="0.2">
      <c r="A2927" s="1220" t="s">
        <v>13537</v>
      </c>
      <c r="B2927" s="985" t="s">
        <v>1784</v>
      </c>
      <c r="C2927" s="985" t="s">
        <v>13063</v>
      </c>
      <c r="D2927" s="1037">
        <v>128</v>
      </c>
      <c r="E2927" s="1039">
        <v>800</v>
      </c>
      <c r="F2927" s="1037" t="s">
        <v>13538</v>
      </c>
      <c r="G2927" s="508"/>
      <c r="H2927" s="1037" t="s">
        <v>2302</v>
      </c>
      <c r="I2927" s="508"/>
      <c r="J2927" s="1223"/>
    </row>
    <row r="2928" spans="1:10" s="81" customFormat="1" ht="50.1" customHeight="1" x14ac:dyDescent="0.2">
      <c r="A2928" s="1220" t="s">
        <v>13614</v>
      </c>
      <c r="B2928" s="985" t="s">
        <v>1784</v>
      </c>
      <c r="C2928" s="985" t="s">
        <v>13063</v>
      </c>
      <c r="D2928" s="1037">
        <v>1</v>
      </c>
      <c r="E2928" s="1039">
        <v>4500</v>
      </c>
      <c r="F2928" s="1037" t="s">
        <v>13454</v>
      </c>
      <c r="G2928" s="508"/>
      <c r="H2928" s="1037" t="s">
        <v>13615</v>
      </c>
      <c r="I2928" s="508"/>
      <c r="J2928" s="1223"/>
    </row>
    <row r="2929" spans="1:10" s="81" customFormat="1" ht="50.1" customHeight="1" x14ac:dyDescent="0.2">
      <c r="A2929" s="1220" t="s">
        <v>13614</v>
      </c>
      <c r="B2929" s="985" t="s">
        <v>1784</v>
      </c>
      <c r="C2929" s="985" t="s">
        <v>13063</v>
      </c>
      <c r="D2929" s="1037">
        <v>2</v>
      </c>
      <c r="E2929" s="1039">
        <v>4500</v>
      </c>
      <c r="F2929" s="1037" t="s">
        <v>13454</v>
      </c>
      <c r="G2929" s="508"/>
      <c r="H2929" s="1037" t="s">
        <v>13616</v>
      </c>
      <c r="I2929" s="508"/>
      <c r="J2929" s="1223"/>
    </row>
    <row r="2930" spans="1:10" s="81" customFormat="1" ht="50.1" customHeight="1" x14ac:dyDescent="0.2">
      <c r="A2930" s="1220" t="s">
        <v>13617</v>
      </c>
      <c r="B2930" s="985" t="s">
        <v>1784</v>
      </c>
      <c r="C2930" s="985" t="s">
        <v>13063</v>
      </c>
      <c r="D2930" s="1037">
        <v>3</v>
      </c>
      <c r="E2930" s="1039">
        <v>990</v>
      </c>
      <c r="F2930" s="1037" t="s">
        <v>13408</v>
      </c>
      <c r="G2930" s="508"/>
      <c r="H2930" s="1037" t="s">
        <v>13618</v>
      </c>
      <c r="I2930" s="508"/>
      <c r="J2930" s="1223"/>
    </row>
    <row r="2931" spans="1:10" s="81" customFormat="1" ht="50.1" customHeight="1" x14ac:dyDescent="0.2">
      <c r="A2931" s="1220" t="s">
        <v>13619</v>
      </c>
      <c r="B2931" s="985" t="s">
        <v>1784</v>
      </c>
      <c r="C2931" s="985" t="s">
        <v>13063</v>
      </c>
      <c r="D2931" s="1037">
        <v>4</v>
      </c>
      <c r="E2931" s="1039">
        <v>166</v>
      </c>
      <c r="F2931" s="1037" t="s">
        <v>13353</v>
      </c>
      <c r="G2931" s="508"/>
      <c r="H2931" s="1037" t="s">
        <v>13618</v>
      </c>
      <c r="I2931" s="508"/>
      <c r="J2931" s="1223"/>
    </row>
    <row r="2932" spans="1:10" s="81" customFormat="1" ht="50.1" customHeight="1" x14ac:dyDescent="0.2">
      <c r="A2932" s="1220" t="s">
        <v>13619</v>
      </c>
      <c r="B2932" s="985" t="s">
        <v>1784</v>
      </c>
      <c r="C2932" s="985" t="s">
        <v>13063</v>
      </c>
      <c r="D2932" s="1037">
        <v>6</v>
      </c>
      <c r="E2932" s="1039">
        <v>166</v>
      </c>
      <c r="F2932" s="1037" t="s">
        <v>13353</v>
      </c>
      <c r="G2932" s="508"/>
      <c r="H2932" s="1037" t="s">
        <v>2497</v>
      </c>
      <c r="I2932" s="508"/>
      <c r="J2932" s="1223"/>
    </row>
    <row r="2933" spans="1:10" s="81" customFormat="1" ht="50.1" customHeight="1" x14ac:dyDescent="0.2">
      <c r="A2933" s="1220" t="s">
        <v>13617</v>
      </c>
      <c r="B2933" s="985" t="s">
        <v>1784</v>
      </c>
      <c r="C2933" s="985" t="s">
        <v>13063</v>
      </c>
      <c r="D2933" s="1037">
        <v>7</v>
      </c>
      <c r="E2933" s="1039">
        <v>990</v>
      </c>
      <c r="F2933" s="1037" t="s">
        <v>13408</v>
      </c>
      <c r="G2933" s="508"/>
      <c r="H2933" s="1037" t="s">
        <v>2334</v>
      </c>
      <c r="I2933" s="508"/>
      <c r="J2933" s="1223"/>
    </row>
    <row r="2934" spans="1:10" s="81" customFormat="1" ht="50.1" customHeight="1" x14ac:dyDescent="0.2">
      <c r="A2934" s="1220" t="s">
        <v>13620</v>
      </c>
      <c r="B2934" s="985" t="s">
        <v>1784</v>
      </c>
      <c r="C2934" s="985" t="s">
        <v>13063</v>
      </c>
      <c r="D2934" s="1037">
        <v>8</v>
      </c>
      <c r="E2934" s="1039">
        <v>1158.6500000000001</v>
      </c>
      <c r="F2934" s="1037" t="s">
        <v>13358</v>
      </c>
      <c r="G2934" s="508"/>
      <c r="H2934" s="1037" t="s">
        <v>13621</v>
      </c>
      <c r="I2934" s="508"/>
      <c r="J2934" s="1223"/>
    </row>
    <row r="2935" spans="1:10" s="81" customFormat="1" ht="50.1" customHeight="1" x14ac:dyDescent="0.2">
      <c r="A2935" s="1220" t="s">
        <v>13622</v>
      </c>
      <c r="B2935" s="985" t="s">
        <v>1784</v>
      </c>
      <c r="C2935" s="985" t="s">
        <v>13063</v>
      </c>
      <c r="D2935" s="1037">
        <v>9</v>
      </c>
      <c r="E2935" s="1039">
        <v>1010</v>
      </c>
      <c r="F2935" s="1037" t="s">
        <v>13320</v>
      </c>
      <c r="G2935" s="508"/>
      <c r="H2935" s="1037" t="s">
        <v>13621</v>
      </c>
      <c r="I2935" s="508"/>
      <c r="J2935" s="1223"/>
    </row>
    <row r="2936" spans="1:10" s="81" customFormat="1" ht="50.1" customHeight="1" x14ac:dyDescent="0.2">
      <c r="A2936" s="1220" t="s">
        <v>13614</v>
      </c>
      <c r="B2936" s="985" t="s">
        <v>1784</v>
      </c>
      <c r="C2936" s="985" t="s">
        <v>13063</v>
      </c>
      <c r="D2936" s="1037">
        <v>10</v>
      </c>
      <c r="E2936" s="1039">
        <v>4500</v>
      </c>
      <c r="F2936" s="1037" t="s">
        <v>13454</v>
      </c>
      <c r="G2936" s="508"/>
      <c r="H2936" s="1037" t="s">
        <v>13621</v>
      </c>
      <c r="I2936" s="508"/>
      <c r="J2936" s="1223"/>
    </row>
    <row r="2937" spans="1:10" s="81" customFormat="1" ht="50.1" customHeight="1" x14ac:dyDescent="0.2">
      <c r="A2937" s="1220" t="s">
        <v>13623</v>
      </c>
      <c r="B2937" s="985" t="s">
        <v>1784</v>
      </c>
      <c r="C2937" s="985" t="s">
        <v>13063</v>
      </c>
      <c r="D2937" s="1037">
        <v>11</v>
      </c>
      <c r="E2937" s="1039">
        <v>1296.3</v>
      </c>
      <c r="F2937" s="1037" t="s">
        <v>13351</v>
      </c>
      <c r="G2937" s="508"/>
      <c r="H2937" s="1037" t="s">
        <v>13624</v>
      </c>
      <c r="I2937" s="508"/>
      <c r="J2937" s="1223"/>
    </row>
    <row r="2938" spans="1:10" s="81" customFormat="1" ht="50.1" customHeight="1" x14ac:dyDescent="0.2">
      <c r="A2938" s="1220" t="s">
        <v>13625</v>
      </c>
      <c r="B2938" s="985" t="s">
        <v>1784</v>
      </c>
      <c r="C2938" s="985" t="s">
        <v>13063</v>
      </c>
      <c r="D2938" s="1037">
        <v>12</v>
      </c>
      <c r="E2938" s="1039">
        <v>1588.55</v>
      </c>
      <c r="F2938" s="1037" t="s">
        <v>13505</v>
      </c>
      <c r="G2938" s="508"/>
      <c r="H2938" s="1037" t="s">
        <v>13626</v>
      </c>
      <c r="I2938" s="508"/>
      <c r="J2938" s="1223"/>
    </row>
    <row r="2939" spans="1:10" s="81" customFormat="1" ht="50.1" customHeight="1" x14ac:dyDescent="0.2">
      <c r="A2939" s="1220" t="s">
        <v>13617</v>
      </c>
      <c r="B2939" s="985" t="s">
        <v>1784</v>
      </c>
      <c r="C2939" s="985" t="s">
        <v>13063</v>
      </c>
      <c r="D2939" s="1037">
        <v>13</v>
      </c>
      <c r="E2939" s="1039">
        <v>1980</v>
      </c>
      <c r="F2939" s="1037" t="s">
        <v>13408</v>
      </c>
      <c r="G2939" s="508"/>
      <c r="H2939" s="1037" t="s">
        <v>13626</v>
      </c>
      <c r="I2939" s="508"/>
      <c r="J2939" s="1223"/>
    </row>
    <row r="2940" spans="1:10" s="81" customFormat="1" ht="50.1" customHeight="1" x14ac:dyDescent="0.2">
      <c r="A2940" s="1220" t="s">
        <v>13627</v>
      </c>
      <c r="B2940" s="985" t="s">
        <v>1784</v>
      </c>
      <c r="C2940" s="985" t="s">
        <v>13063</v>
      </c>
      <c r="D2940" s="1037">
        <v>15</v>
      </c>
      <c r="E2940" s="1039">
        <v>940</v>
      </c>
      <c r="F2940" s="1037" t="s">
        <v>13628</v>
      </c>
      <c r="G2940" s="508"/>
      <c r="H2940" s="1037" t="s">
        <v>13629</v>
      </c>
      <c r="I2940" s="508"/>
      <c r="J2940" s="1223"/>
    </row>
    <row r="2941" spans="1:10" s="81" customFormat="1" ht="50.1" customHeight="1" x14ac:dyDescent="0.2">
      <c r="A2941" s="1220" t="s">
        <v>13620</v>
      </c>
      <c r="B2941" s="985" t="s">
        <v>1784</v>
      </c>
      <c r="C2941" s="985" t="s">
        <v>13063</v>
      </c>
      <c r="D2941" s="1037">
        <v>16</v>
      </c>
      <c r="E2941" s="1039">
        <v>1400</v>
      </c>
      <c r="F2941" s="1037" t="s">
        <v>13358</v>
      </c>
      <c r="G2941" s="508"/>
      <c r="H2941" s="1037" t="s">
        <v>13536</v>
      </c>
      <c r="I2941" s="508"/>
      <c r="J2941" s="1223"/>
    </row>
    <row r="2942" spans="1:10" s="81" customFormat="1" ht="50.1" customHeight="1" x14ac:dyDescent="0.2">
      <c r="A2942" s="1220" t="s">
        <v>13614</v>
      </c>
      <c r="B2942" s="985" t="s">
        <v>1784</v>
      </c>
      <c r="C2942" s="985" t="s">
        <v>13063</v>
      </c>
      <c r="D2942" s="1037">
        <v>17</v>
      </c>
      <c r="E2942" s="1039">
        <v>2250</v>
      </c>
      <c r="F2942" s="1037" t="s">
        <v>13454</v>
      </c>
      <c r="G2942" s="508"/>
      <c r="H2942" s="1037" t="s">
        <v>13536</v>
      </c>
      <c r="I2942" s="508"/>
      <c r="J2942" s="1223"/>
    </row>
    <row r="2943" spans="1:10" s="81" customFormat="1" ht="50.1" customHeight="1" x14ac:dyDescent="0.2">
      <c r="A2943" s="1220" t="s">
        <v>13617</v>
      </c>
      <c r="B2943" s="985" t="s">
        <v>1784</v>
      </c>
      <c r="C2943" s="985" t="s">
        <v>13063</v>
      </c>
      <c r="D2943" s="1037">
        <v>18</v>
      </c>
      <c r="E2943" s="1039">
        <v>1980</v>
      </c>
      <c r="F2943" s="1037" t="s">
        <v>13408</v>
      </c>
      <c r="G2943" s="508"/>
      <c r="H2943" s="1037" t="s">
        <v>13630</v>
      </c>
      <c r="I2943" s="508"/>
      <c r="J2943" s="1223"/>
    </row>
    <row r="2944" spans="1:10" s="81" customFormat="1" ht="50.1" customHeight="1" x14ac:dyDescent="0.2">
      <c r="A2944" s="1220" t="s">
        <v>13631</v>
      </c>
      <c r="B2944" s="985" t="s">
        <v>1784</v>
      </c>
      <c r="C2944" s="985" t="s">
        <v>13063</v>
      </c>
      <c r="D2944" s="1037">
        <v>19</v>
      </c>
      <c r="E2944" s="1039">
        <v>2005.3</v>
      </c>
      <c r="F2944" s="1037" t="s">
        <v>13351</v>
      </c>
      <c r="G2944" s="508"/>
      <c r="H2944" s="1037" t="s">
        <v>13548</v>
      </c>
      <c r="I2944" s="508"/>
      <c r="J2944" s="1223"/>
    </row>
    <row r="2945" spans="1:10" s="81" customFormat="1" ht="50.1" customHeight="1" x14ac:dyDescent="0.2">
      <c r="A2945" s="1220" t="s">
        <v>13632</v>
      </c>
      <c r="B2945" s="985" t="s">
        <v>1784</v>
      </c>
      <c r="C2945" s="985" t="s">
        <v>13063</v>
      </c>
      <c r="D2945" s="1037">
        <v>20</v>
      </c>
      <c r="E2945" s="1039">
        <v>1500</v>
      </c>
      <c r="F2945" s="1037" t="s">
        <v>13633</v>
      </c>
      <c r="G2945" s="508"/>
      <c r="H2945" s="1037" t="s">
        <v>2336</v>
      </c>
      <c r="I2945" s="508"/>
      <c r="J2945" s="1223"/>
    </row>
    <row r="2946" spans="1:10" s="81" customFormat="1" ht="50.1" customHeight="1" x14ac:dyDescent="0.2">
      <c r="A2946" s="1220" t="s">
        <v>13620</v>
      </c>
      <c r="B2946" s="985" t="s">
        <v>1784</v>
      </c>
      <c r="C2946" s="985" t="s">
        <v>13063</v>
      </c>
      <c r="D2946" s="1037">
        <v>21</v>
      </c>
      <c r="E2946" s="1039">
        <v>1400</v>
      </c>
      <c r="F2946" s="1037" t="s">
        <v>13358</v>
      </c>
      <c r="G2946" s="508"/>
      <c r="H2946" s="1037" t="s">
        <v>13552</v>
      </c>
      <c r="I2946" s="508"/>
      <c r="J2946" s="1223"/>
    </row>
    <row r="2947" spans="1:10" s="81" customFormat="1" ht="50.1" customHeight="1" x14ac:dyDescent="0.2">
      <c r="A2947" s="1220" t="s">
        <v>13634</v>
      </c>
      <c r="B2947" s="985" t="s">
        <v>1784</v>
      </c>
      <c r="C2947" s="985" t="s">
        <v>13063</v>
      </c>
      <c r="D2947" s="1037">
        <v>22</v>
      </c>
      <c r="E2947" s="1039">
        <v>12400</v>
      </c>
      <c r="F2947" s="1037" t="s">
        <v>13635</v>
      </c>
      <c r="G2947" s="508"/>
      <c r="H2947" s="1037" t="s">
        <v>13636</v>
      </c>
      <c r="I2947" s="508"/>
      <c r="J2947" s="1223"/>
    </row>
    <row r="2948" spans="1:10" s="81" customFormat="1" ht="50.1" customHeight="1" x14ac:dyDescent="0.2">
      <c r="A2948" s="1220" t="s">
        <v>13634</v>
      </c>
      <c r="B2948" s="985" t="s">
        <v>1784</v>
      </c>
      <c r="C2948" s="985" t="s">
        <v>13063</v>
      </c>
      <c r="D2948" s="1037">
        <v>23</v>
      </c>
      <c r="E2948" s="1039">
        <v>21965.94</v>
      </c>
      <c r="F2948" s="1037" t="s">
        <v>13635</v>
      </c>
      <c r="G2948" s="508"/>
      <c r="H2948" s="1037" t="s">
        <v>13636</v>
      </c>
      <c r="I2948" s="508"/>
      <c r="J2948" s="1223"/>
    </row>
    <row r="2949" spans="1:10" s="81" customFormat="1" ht="50.1" customHeight="1" x14ac:dyDescent="0.2">
      <c r="A2949" s="1220" t="s">
        <v>13637</v>
      </c>
      <c r="B2949" s="985" t="s">
        <v>1784</v>
      </c>
      <c r="C2949" s="985" t="s">
        <v>13063</v>
      </c>
      <c r="D2949" s="1037">
        <v>24</v>
      </c>
      <c r="E2949" s="1039">
        <v>590</v>
      </c>
      <c r="F2949" s="1037" t="s">
        <v>13320</v>
      </c>
      <c r="G2949" s="508"/>
      <c r="H2949" s="1037" t="s">
        <v>13638</v>
      </c>
      <c r="I2949" s="508"/>
      <c r="J2949" s="1223"/>
    </row>
    <row r="2950" spans="1:10" s="81" customFormat="1" ht="50.1" customHeight="1" x14ac:dyDescent="0.2">
      <c r="A2950" s="1220" t="s">
        <v>13619</v>
      </c>
      <c r="B2950" s="985" t="s">
        <v>1784</v>
      </c>
      <c r="C2950" s="985" t="s">
        <v>13063</v>
      </c>
      <c r="D2950" s="1037">
        <v>25</v>
      </c>
      <c r="E2950" s="1039">
        <v>166</v>
      </c>
      <c r="F2950" s="1037" t="s">
        <v>13353</v>
      </c>
      <c r="G2950" s="508"/>
      <c r="H2950" s="1037" t="s">
        <v>2313</v>
      </c>
      <c r="I2950" s="508"/>
      <c r="J2950" s="1223"/>
    </row>
    <row r="2951" spans="1:10" s="81" customFormat="1" ht="50.1" customHeight="1" x14ac:dyDescent="0.2">
      <c r="A2951" s="1220" t="s">
        <v>13619</v>
      </c>
      <c r="B2951" s="985" t="s">
        <v>1784</v>
      </c>
      <c r="C2951" s="985" t="s">
        <v>13063</v>
      </c>
      <c r="D2951" s="1037">
        <v>26</v>
      </c>
      <c r="E2951" s="1039">
        <v>166</v>
      </c>
      <c r="F2951" s="1037" t="s">
        <v>13353</v>
      </c>
      <c r="G2951" s="508"/>
      <c r="H2951" s="1037" t="s">
        <v>13639</v>
      </c>
      <c r="I2951" s="508"/>
      <c r="J2951" s="1223"/>
    </row>
    <row r="2952" spans="1:10" s="81" customFormat="1" ht="50.1" customHeight="1" x14ac:dyDescent="0.2">
      <c r="A2952" s="1220" t="s">
        <v>13619</v>
      </c>
      <c r="B2952" s="985" t="s">
        <v>1784</v>
      </c>
      <c r="C2952" s="985" t="s">
        <v>13063</v>
      </c>
      <c r="D2952" s="1037">
        <v>27</v>
      </c>
      <c r="E2952" s="1039">
        <v>166</v>
      </c>
      <c r="F2952" s="1037" t="s">
        <v>13353</v>
      </c>
      <c r="G2952" s="508"/>
      <c r="H2952" s="1037" t="s">
        <v>13555</v>
      </c>
      <c r="I2952" s="508"/>
      <c r="J2952" s="1223"/>
    </row>
    <row r="2953" spans="1:10" s="81" customFormat="1" ht="50.1" customHeight="1" x14ac:dyDescent="0.2">
      <c r="A2953" s="1220" t="s">
        <v>13617</v>
      </c>
      <c r="B2953" s="985" t="s">
        <v>1784</v>
      </c>
      <c r="C2953" s="985" t="s">
        <v>13063</v>
      </c>
      <c r="D2953" s="1037">
        <v>28</v>
      </c>
      <c r="E2953" s="1039">
        <v>1980</v>
      </c>
      <c r="F2953" s="1037" t="s">
        <v>13408</v>
      </c>
      <c r="G2953" s="508"/>
      <c r="H2953" s="1037" t="s">
        <v>13555</v>
      </c>
      <c r="I2953" s="508"/>
      <c r="J2953" s="1223"/>
    </row>
    <row r="2954" spans="1:10" s="81" customFormat="1" ht="50.1" customHeight="1" x14ac:dyDescent="0.2">
      <c r="A2954" s="1220" t="s">
        <v>13627</v>
      </c>
      <c r="B2954" s="985" t="s">
        <v>1784</v>
      </c>
      <c r="C2954" s="985" t="s">
        <v>13063</v>
      </c>
      <c r="D2954" s="1037">
        <v>29</v>
      </c>
      <c r="E2954" s="1039">
        <v>940</v>
      </c>
      <c r="F2954" s="1037" t="s">
        <v>13628</v>
      </c>
      <c r="G2954" s="508"/>
      <c r="H2954" s="1037" t="s">
        <v>13555</v>
      </c>
      <c r="I2954" s="508"/>
      <c r="J2954" s="1223"/>
    </row>
    <row r="2955" spans="1:10" s="81" customFormat="1" ht="50.1" customHeight="1" x14ac:dyDescent="0.2">
      <c r="A2955" s="1220" t="s">
        <v>13625</v>
      </c>
      <c r="B2955" s="985" t="s">
        <v>1784</v>
      </c>
      <c r="C2955" s="985" t="s">
        <v>13063</v>
      </c>
      <c r="D2955" s="1037">
        <v>30</v>
      </c>
      <c r="E2955" s="1039">
        <v>989.8</v>
      </c>
      <c r="F2955" s="1037" t="s">
        <v>13505</v>
      </c>
      <c r="G2955" s="508"/>
      <c r="H2955" s="1037" t="s">
        <v>13555</v>
      </c>
      <c r="I2955" s="508"/>
      <c r="J2955" s="1223"/>
    </row>
    <row r="2956" spans="1:10" s="81" customFormat="1" ht="50.1" customHeight="1" x14ac:dyDescent="0.2">
      <c r="A2956" s="1220" t="s">
        <v>13637</v>
      </c>
      <c r="B2956" s="985" t="s">
        <v>1784</v>
      </c>
      <c r="C2956" s="985" t="s">
        <v>13063</v>
      </c>
      <c r="D2956" s="1037">
        <v>31</v>
      </c>
      <c r="E2956" s="1039">
        <v>1190</v>
      </c>
      <c r="F2956" s="1037" t="s">
        <v>13320</v>
      </c>
      <c r="G2956" s="508"/>
      <c r="H2956" s="1037" t="s">
        <v>13640</v>
      </c>
      <c r="I2956" s="508"/>
      <c r="J2956" s="1223"/>
    </row>
    <row r="2957" spans="1:10" s="81" customFormat="1" ht="50.1" customHeight="1" x14ac:dyDescent="0.2">
      <c r="A2957" s="1220" t="s">
        <v>13641</v>
      </c>
      <c r="B2957" s="985" t="s">
        <v>1784</v>
      </c>
      <c r="C2957" s="985" t="s">
        <v>13063</v>
      </c>
      <c r="D2957" s="1037">
        <v>32</v>
      </c>
      <c r="E2957" s="1039">
        <v>3017.5</v>
      </c>
      <c r="F2957" s="1037" t="s">
        <v>13351</v>
      </c>
      <c r="G2957" s="508"/>
      <c r="H2957" s="1037" t="s">
        <v>13642</v>
      </c>
      <c r="I2957" s="508"/>
      <c r="J2957" s="1223"/>
    </row>
    <row r="2958" spans="1:10" s="81" customFormat="1" ht="50.1" customHeight="1" x14ac:dyDescent="0.2">
      <c r="A2958" s="1220" t="s">
        <v>13620</v>
      </c>
      <c r="B2958" s="985" t="s">
        <v>1784</v>
      </c>
      <c r="C2958" s="985" t="s">
        <v>13063</v>
      </c>
      <c r="D2958" s="1037">
        <v>33</v>
      </c>
      <c r="E2958" s="1039">
        <v>1400</v>
      </c>
      <c r="F2958" s="1037" t="s">
        <v>13358</v>
      </c>
      <c r="G2958" s="508"/>
      <c r="H2958" s="1037" t="s">
        <v>13559</v>
      </c>
      <c r="I2958" s="508"/>
      <c r="J2958" s="1223"/>
    </row>
    <row r="2959" spans="1:10" s="81" customFormat="1" ht="50.1" customHeight="1" x14ac:dyDescent="0.2">
      <c r="A2959" s="1220" t="s">
        <v>13643</v>
      </c>
      <c r="B2959" s="985" t="s">
        <v>1784</v>
      </c>
      <c r="C2959" s="985" t="s">
        <v>13063</v>
      </c>
      <c r="D2959" s="1037">
        <v>34</v>
      </c>
      <c r="E2959" s="1039">
        <v>350</v>
      </c>
      <c r="F2959" s="1037" t="s">
        <v>13390</v>
      </c>
      <c r="G2959" s="508"/>
      <c r="H2959" s="1037" t="s">
        <v>13644</v>
      </c>
      <c r="I2959" s="508"/>
      <c r="J2959" s="1223"/>
    </row>
    <row r="2960" spans="1:10" s="81" customFormat="1" ht="50.1" customHeight="1" x14ac:dyDescent="0.2">
      <c r="A2960" s="1220" t="s">
        <v>13645</v>
      </c>
      <c r="B2960" s="985" t="s">
        <v>1784</v>
      </c>
      <c r="C2960" s="985" t="s">
        <v>13063</v>
      </c>
      <c r="D2960" s="1037">
        <v>35</v>
      </c>
      <c r="E2960" s="1039">
        <v>950</v>
      </c>
      <c r="F2960" s="1037" t="s">
        <v>13414</v>
      </c>
      <c r="G2960" s="508"/>
      <c r="H2960" s="1037" t="s">
        <v>13644</v>
      </c>
      <c r="I2960" s="508"/>
      <c r="J2960" s="1223"/>
    </row>
    <row r="2961" spans="1:10" s="81" customFormat="1" ht="50.1" customHeight="1" x14ac:dyDescent="0.2">
      <c r="A2961" s="1220" t="s">
        <v>13646</v>
      </c>
      <c r="B2961" s="985" t="s">
        <v>1784</v>
      </c>
      <c r="C2961" s="985" t="s">
        <v>13063</v>
      </c>
      <c r="D2961" s="1037">
        <v>36</v>
      </c>
      <c r="E2961" s="1039">
        <v>10620</v>
      </c>
      <c r="F2961" s="1037" t="s">
        <v>13454</v>
      </c>
      <c r="G2961" s="508"/>
      <c r="H2961" s="1037" t="s">
        <v>13567</v>
      </c>
      <c r="I2961" s="508"/>
      <c r="J2961" s="1223"/>
    </row>
    <row r="2962" spans="1:10" s="81" customFormat="1" ht="50.1" customHeight="1" x14ac:dyDescent="0.2">
      <c r="A2962" s="1220" t="s">
        <v>13617</v>
      </c>
      <c r="B2962" s="985" t="s">
        <v>1784</v>
      </c>
      <c r="C2962" s="985" t="s">
        <v>13063</v>
      </c>
      <c r="D2962" s="1037">
        <v>37</v>
      </c>
      <c r="E2962" s="1039">
        <v>1980</v>
      </c>
      <c r="F2962" s="1037" t="s">
        <v>13408</v>
      </c>
      <c r="G2962" s="508"/>
      <c r="H2962" s="1037" t="s">
        <v>13567</v>
      </c>
      <c r="I2962" s="508"/>
      <c r="J2962" s="1223"/>
    </row>
    <row r="2963" spans="1:10" s="81" customFormat="1" ht="50.1" customHeight="1" x14ac:dyDescent="0.2">
      <c r="A2963" s="1220" t="s">
        <v>13647</v>
      </c>
      <c r="B2963" s="985" t="s">
        <v>1784</v>
      </c>
      <c r="C2963" s="985" t="s">
        <v>13063</v>
      </c>
      <c r="D2963" s="1037">
        <v>38</v>
      </c>
      <c r="E2963" s="1039">
        <v>3017.8</v>
      </c>
      <c r="F2963" s="1037" t="s">
        <v>13351</v>
      </c>
      <c r="G2963" s="508"/>
      <c r="H2963" s="1037" t="s">
        <v>13648</v>
      </c>
      <c r="I2963" s="508"/>
      <c r="J2963" s="1223"/>
    </row>
    <row r="2964" spans="1:10" s="81" customFormat="1" ht="50.1" customHeight="1" x14ac:dyDescent="0.2">
      <c r="A2964" s="1220" t="s">
        <v>13625</v>
      </c>
      <c r="B2964" s="985" t="s">
        <v>1784</v>
      </c>
      <c r="C2964" s="985" t="s">
        <v>13063</v>
      </c>
      <c r="D2964" s="1037">
        <v>39</v>
      </c>
      <c r="E2964" s="1039">
        <v>1588.55</v>
      </c>
      <c r="F2964" s="1037" t="s">
        <v>13505</v>
      </c>
      <c r="G2964" s="508"/>
      <c r="H2964" s="1037" t="s">
        <v>13576</v>
      </c>
      <c r="I2964" s="508"/>
      <c r="J2964" s="1223"/>
    </row>
    <row r="2965" spans="1:10" s="81" customFormat="1" ht="50.1" customHeight="1" x14ac:dyDescent="0.2">
      <c r="A2965" s="1220" t="s">
        <v>13620</v>
      </c>
      <c r="B2965" s="985" t="s">
        <v>1784</v>
      </c>
      <c r="C2965" s="985" t="s">
        <v>13063</v>
      </c>
      <c r="D2965" s="1037">
        <v>40</v>
      </c>
      <c r="E2965" s="1039">
        <v>1400</v>
      </c>
      <c r="F2965" s="1037" t="s">
        <v>13358</v>
      </c>
      <c r="G2965" s="508"/>
      <c r="H2965" s="1037" t="s">
        <v>13578</v>
      </c>
      <c r="I2965" s="508"/>
      <c r="J2965" s="1223"/>
    </row>
    <row r="2966" spans="1:10" s="81" customFormat="1" ht="50.1" customHeight="1" x14ac:dyDescent="0.2">
      <c r="A2966" s="1220" t="s">
        <v>13649</v>
      </c>
      <c r="B2966" s="985" t="s">
        <v>1784</v>
      </c>
      <c r="C2966" s="985" t="s">
        <v>13063</v>
      </c>
      <c r="D2966" s="1037">
        <v>41</v>
      </c>
      <c r="E2966" s="1039">
        <v>2180</v>
      </c>
      <c r="F2966" s="1037" t="s">
        <v>13650</v>
      </c>
      <c r="G2966" s="508"/>
      <c r="H2966" s="1037" t="s">
        <v>13578</v>
      </c>
      <c r="I2966" s="508"/>
      <c r="J2966" s="1223"/>
    </row>
    <row r="2967" spans="1:10" s="81" customFormat="1" ht="50.1" customHeight="1" x14ac:dyDescent="0.2">
      <c r="A2967" s="1220" t="s">
        <v>13632</v>
      </c>
      <c r="B2967" s="985" t="s">
        <v>1784</v>
      </c>
      <c r="C2967" s="985" t="s">
        <v>13063</v>
      </c>
      <c r="D2967" s="1037">
        <v>42</v>
      </c>
      <c r="E2967" s="1039">
        <v>1500</v>
      </c>
      <c r="F2967" s="1037" t="s">
        <v>13633</v>
      </c>
      <c r="G2967" s="508"/>
      <c r="H2967" s="1037" t="s">
        <v>2280</v>
      </c>
      <c r="I2967" s="508"/>
      <c r="J2967" s="1223"/>
    </row>
    <row r="2968" spans="1:10" s="81" customFormat="1" ht="50.1" customHeight="1" x14ac:dyDescent="0.2">
      <c r="A2968" s="1220" t="s">
        <v>13617</v>
      </c>
      <c r="B2968" s="985" t="s">
        <v>1784</v>
      </c>
      <c r="C2968" s="985" t="s">
        <v>13063</v>
      </c>
      <c r="D2968" s="1037">
        <v>43</v>
      </c>
      <c r="E2968" s="1039">
        <v>1980</v>
      </c>
      <c r="F2968" s="1037" t="s">
        <v>13408</v>
      </c>
      <c r="G2968" s="508"/>
      <c r="H2968" s="1037" t="s">
        <v>2288</v>
      </c>
      <c r="I2968" s="508"/>
      <c r="J2968" s="1223"/>
    </row>
    <row r="2969" spans="1:10" s="81" customFormat="1" ht="50.1" customHeight="1" x14ac:dyDescent="0.2">
      <c r="A2969" s="1220" t="s">
        <v>13649</v>
      </c>
      <c r="B2969" s="985" t="s">
        <v>1784</v>
      </c>
      <c r="C2969" s="985" t="s">
        <v>13063</v>
      </c>
      <c r="D2969" s="1037">
        <v>44</v>
      </c>
      <c r="E2969" s="1039">
        <v>2180</v>
      </c>
      <c r="F2969" s="1037" t="s">
        <v>13650</v>
      </c>
      <c r="G2969" s="508"/>
      <c r="H2969" s="1037" t="s">
        <v>13651</v>
      </c>
      <c r="I2969" s="508"/>
      <c r="J2969" s="1223"/>
    </row>
    <row r="2970" spans="1:10" s="81" customFormat="1" ht="50.1" customHeight="1" x14ac:dyDescent="0.2">
      <c r="A2970" s="1220" t="s">
        <v>13652</v>
      </c>
      <c r="B2970" s="985" t="s">
        <v>1784</v>
      </c>
      <c r="C2970" s="985" t="s">
        <v>13063</v>
      </c>
      <c r="D2970" s="1037">
        <v>45</v>
      </c>
      <c r="E2970" s="1039">
        <v>1500</v>
      </c>
      <c r="F2970" s="1037" t="s">
        <v>13653</v>
      </c>
      <c r="G2970" s="508"/>
      <c r="H2970" s="1037" t="s">
        <v>13580</v>
      </c>
      <c r="I2970" s="508"/>
      <c r="J2970" s="1223"/>
    </row>
    <row r="2971" spans="1:10" s="81" customFormat="1" ht="50.1" customHeight="1" x14ac:dyDescent="0.2">
      <c r="A2971" s="1220" t="s">
        <v>13654</v>
      </c>
      <c r="B2971" s="985" t="s">
        <v>1784</v>
      </c>
      <c r="C2971" s="985" t="s">
        <v>13063</v>
      </c>
      <c r="D2971" s="1037">
        <v>46</v>
      </c>
      <c r="E2971" s="1039">
        <v>7000</v>
      </c>
      <c r="F2971" s="1037" t="s">
        <v>13655</v>
      </c>
      <c r="G2971" s="508"/>
      <c r="H2971" s="1037" t="s">
        <v>13580</v>
      </c>
      <c r="I2971" s="508"/>
      <c r="J2971" s="1223"/>
    </row>
    <row r="2972" spans="1:10" s="81" customFormat="1" ht="50.1" customHeight="1" x14ac:dyDescent="0.2">
      <c r="A2972" s="1220" t="s">
        <v>13637</v>
      </c>
      <c r="B2972" s="985" t="s">
        <v>1784</v>
      </c>
      <c r="C2972" s="985" t="s">
        <v>13063</v>
      </c>
      <c r="D2972" s="1037">
        <v>47</v>
      </c>
      <c r="E2972" s="1039">
        <v>620</v>
      </c>
      <c r="F2972" s="1037" t="s">
        <v>13320</v>
      </c>
      <c r="G2972" s="508"/>
      <c r="H2972" s="1037" t="s">
        <v>13656</v>
      </c>
      <c r="I2972" s="508"/>
      <c r="J2972" s="1223"/>
    </row>
    <row r="2973" spans="1:10" s="81" customFormat="1" ht="50.1" customHeight="1" x14ac:dyDescent="0.2">
      <c r="A2973" s="1220" t="s">
        <v>13625</v>
      </c>
      <c r="B2973" s="985" t="s">
        <v>1784</v>
      </c>
      <c r="C2973" s="985" t="s">
        <v>13063</v>
      </c>
      <c r="D2973" s="1037">
        <v>48</v>
      </c>
      <c r="E2973" s="1039">
        <v>989.8</v>
      </c>
      <c r="F2973" s="1037" t="s">
        <v>13505</v>
      </c>
      <c r="G2973" s="508"/>
      <c r="H2973" s="1037" t="s">
        <v>13656</v>
      </c>
      <c r="I2973" s="508"/>
      <c r="J2973" s="1223"/>
    </row>
    <row r="2974" spans="1:10" s="81" customFormat="1" ht="50.1" customHeight="1" x14ac:dyDescent="0.2">
      <c r="A2974" s="1220" t="s">
        <v>13620</v>
      </c>
      <c r="B2974" s="985" t="s">
        <v>1784</v>
      </c>
      <c r="C2974" s="985" t="s">
        <v>13063</v>
      </c>
      <c r="D2974" s="1037">
        <v>49</v>
      </c>
      <c r="E2974" s="1039">
        <v>1400</v>
      </c>
      <c r="F2974" s="1037" t="s">
        <v>13358</v>
      </c>
      <c r="G2974" s="508"/>
      <c r="H2974" s="1037" t="s">
        <v>13587</v>
      </c>
      <c r="I2974" s="508"/>
      <c r="J2974" s="1223"/>
    </row>
    <row r="2975" spans="1:10" s="81" customFormat="1" ht="50.1" customHeight="1" x14ac:dyDescent="0.2">
      <c r="A2975" s="1220" t="s">
        <v>13657</v>
      </c>
      <c r="B2975" s="985" t="s">
        <v>1784</v>
      </c>
      <c r="C2975" s="985" t="s">
        <v>13063</v>
      </c>
      <c r="D2975" s="1037">
        <v>50</v>
      </c>
      <c r="E2975" s="1039">
        <v>5733.33</v>
      </c>
      <c r="F2975" s="1037" t="s">
        <v>13454</v>
      </c>
      <c r="G2975" s="508"/>
      <c r="H2975" s="1037" t="s">
        <v>13587</v>
      </c>
      <c r="I2975" s="508"/>
      <c r="J2975" s="1223"/>
    </row>
    <row r="2976" spans="1:10" s="81" customFormat="1" ht="50.1" customHeight="1" x14ac:dyDescent="0.2">
      <c r="A2976" s="1220" t="s">
        <v>13652</v>
      </c>
      <c r="B2976" s="985" t="s">
        <v>1784</v>
      </c>
      <c r="C2976" s="985" t="s">
        <v>13063</v>
      </c>
      <c r="D2976" s="1037">
        <v>51</v>
      </c>
      <c r="E2976" s="1039">
        <v>1500</v>
      </c>
      <c r="F2976" s="1037" t="s">
        <v>13653</v>
      </c>
      <c r="G2976" s="508"/>
      <c r="H2976" s="1037" t="s">
        <v>13658</v>
      </c>
      <c r="I2976" s="508"/>
      <c r="J2976" s="1223"/>
    </row>
    <row r="2977" spans="1:10" s="81" customFormat="1" ht="50.1" customHeight="1" x14ac:dyDescent="0.2">
      <c r="A2977" s="1220" t="s">
        <v>13649</v>
      </c>
      <c r="B2977" s="985" t="s">
        <v>1784</v>
      </c>
      <c r="C2977" s="985" t="s">
        <v>13063</v>
      </c>
      <c r="D2977" s="1037">
        <v>52</v>
      </c>
      <c r="E2977" s="1039">
        <v>2180</v>
      </c>
      <c r="F2977" s="1037" t="s">
        <v>13650</v>
      </c>
      <c r="G2977" s="508"/>
      <c r="H2977" s="1037" t="s">
        <v>13658</v>
      </c>
      <c r="I2977" s="508"/>
      <c r="J2977" s="1223"/>
    </row>
    <row r="2978" spans="1:10" s="81" customFormat="1" ht="50.1" customHeight="1" x14ac:dyDescent="0.2">
      <c r="A2978" s="1220" t="s">
        <v>13632</v>
      </c>
      <c r="B2978" s="985" t="s">
        <v>1784</v>
      </c>
      <c r="C2978" s="985" t="s">
        <v>13063</v>
      </c>
      <c r="D2978" s="1037">
        <v>53</v>
      </c>
      <c r="E2978" s="1039">
        <v>1500</v>
      </c>
      <c r="F2978" s="1037" t="s">
        <v>13633</v>
      </c>
      <c r="G2978" s="508"/>
      <c r="H2978" s="1037" t="s">
        <v>13658</v>
      </c>
      <c r="I2978" s="508"/>
      <c r="J2978" s="1223"/>
    </row>
    <row r="2979" spans="1:10" s="81" customFormat="1" ht="50.1" customHeight="1" x14ac:dyDescent="0.2">
      <c r="A2979" s="1220" t="s">
        <v>13617</v>
      </c>
      <c r="B2979" s="985" t="s">
        <v>1784</v>
      </c>
      <c r="C2979" s="985" t="s">
        <v>13063</v>
      </c>
      <c r="D2979" s="1037">
        <v>54</v>
      </c>
      <c r="E2979" s="1039">
        <v>1980</v>
      </c>
      <c r="F2979" s="1037" t="s">
        <v>13408</v>
      </c>
      <c r="G2979" s="508"/>
      <c r="H2979" s="1037" t="s">
        <v>13658</v>
      </c>
      <c r="I2979" s="508"/>
      <c r="J2979" s="1223"/>
    </row>
    <row r="2980" spans="1:10" s="81" customFormat="1" ht="50.1" customHeight="1" x14ac:dyDescent="0.2">
      <c r="A2980" s="1220" t="s">
        <v>13659</v>
      </c>
      <c r="B2980" s="985" t="s">
        <v>1784</v>
      </c>
      <c r="C2980" s="985" t="s">
        <v>13063</v>
      </c>
      <c r="D2980" s="1037">
        <v>55</v>
      </c>
      <c r="E2980" s="1039">
        <v>340.97</v>
      </c>
      <c r="F2980" s="1037" t="s">
        <v>13076</v>
      </c>
      <c r="G2980" s="508"/>
      <c r="H2980" s="1037" t="s">
        <v>13590</v>
      </c>
      <c r="I2980" s="508"/>
      <c r="J2980" s="1223"/>
    </row>
    <row r="2981" spans="1:10" s="81" customFormat="1" ht="50.1" customHeight="1" x14ac:dyDescent="0.2">
      <c r="A2981" s="1220" t="s">
        <v>13660</v>
      </c>
      <c r="B2981" s="985" t="s">
        <v>1784</v>
      </c>
      <c r="C2981" s="985" t="s">
        <v>13063</v>
      </c>
      <c r="D2981" s="1037">
        <v>56</v>
      </c>
      <c r="E2981" s="1039">
        <v>6170.8</v>
      </c>
      <c r="F2981" s="1037" t="s">
        <v>13351</v>
      </c>
      <c r="G2981" s="508"/>
      <c r="H2981" s="1037" t="s">
        <v>13661</v>
      </c>
      <c r="I2981" s="508"/>
      <c r="J2981" s="1223"/>
    </row>
    <row r="2982" spans="1:10" s="81" customFormat="1" ht="50.1" customHeight="1" x14ac:dyDescent="0.2">
      <c r="A2982" s="1220" t="s">
        <v>13649</v>
      </c>
      <c r="B2982" s="985" t="s">
        <v>1784</v>
      </c>
      <c r="C2982" s="985" t="s">
        <v>13063</v>
      </c>
      <c r="D2982" s="1037">
        <v>57</v>
      </c>
      <c r="E2982" s="1039">
        <v>2180</v>
      </c>
      <c r="F2982" s="1037" t="s">
        <v>13650</v>
      </c>
      <c r="G2982" s="508"/>
      <c r="H2982" s="1037" t="s">
        <v>13662</v>
      </c>
      <c r="I2982" s="508"/>
      <c r="J2982" s="1223"/>
    </row>
    <row r="2983" spans="1:10" s="81" customFormat="1" ht="50.1" customHeight="1" x14ac:dyDescent="0.2">
      <c r="A2983" s="1220" t="s">
        <v>13657</v>
      </c>
      <c r="B2983" s="985" t="s">
        <v>1784</v>
      </c>
      <c r="C2983" s="985" t="s">
        <v>13063</v>
      </c>
      <c r="D2983" s="1037">
        <v>58</v>
      </c>
      <c r="E2983" s="1039">
        <v>5733.33</v>
      </c>
      <c r="F2983" s="1037" t="s">
        <v>13454</v>
      </c>
      <c r="G2983" s="508"/>
      <c r="H2983" s="1037" t="s">
        <v>13662</v>
      </c>
      <c r="I2983" s="508"/>
      <c r="J2983" s="1223"/>
    </row>
    <row r="2984" spans="1:10" s="81" customFormat="1" ht="50.1" customHeight="1" x14ac:dyDescent="0.2">
      <c r="A2984" s="1220" t="s">
        <v>13632</v>
      </c>
      <c r="B2984" s="985" t="s">
        <v>1784</v>
      </c>
      <c r="C2984" s="985" t="s">
        <v>13063</v>
      </c>
      <c r="D2984" s="1037">
        <v>59</v>
      </c>
      <c r="E2984" s="1039">
        <v>3000</v>
      </c>
      <c r="F2984" s="1037" t="s">
        <v>13633</v>
      </c>
      <c r="G2984" s="508"/>
      <c r="H2984" s="1037" t="s">
        <v>13663</v>
      </c>
      <c r="I2984" s="508"/>
      <c r="J2984" s="1223"/>
    </row>
    <row r="2985" spans="1:10" s="81" customFormat="1" ht="50.1" customHeight="1" x14ac:dyDescent="0.2">
      <c r="A2985" s="1220" t="s">
        <v>13617</v>
      </c>
      <c r="B2985" s="985" t="s">
        <v>1784</v>
      </c>
      <c r="C2985" s="985" t="s">
        <v>13063</v>
      </c>
      <c r="D2985" s="1037">
        <v>60</v>
      </c>
      <c r="E2985" s="1039">
        <v>1980</v>
      </c>
      <c r="F2985" s="1037" t="s">
        <v>13408</v>
      </c>
      <c r="G2985" s="508"/>
      <c r="H2985" s="1037" t="s">
        <v>2312</v>
      </c>
      <c r="I2985" s="508"/>
      <c r="J2985" s="1223"/>
    </row>
    <row r="2986" spans="1:10" s="81" customFormat="1" ht="50.1" customHeight="1" x14ac:dyDescent="0.2">
      <c r="A2986" s="1220" t="s">
        <v>13664</v>
      </c>
      <c r="B2986" s="985" t="s">
        <v>1784</v>
      </c>
      <c r="C2986" s="985" t="s">
        <v>13063</v>
      </c>
      <c r="D2986" s="1037">
        <v>61</v>
      </c>
      <c r="E2986" s="1039">
        <v>2175.6999999999998</v>
      </c>
      <c r="F2986" s="1037" t="s">
        <v>13351</v>
      </c>
      <c r="G2986" s="508"/>
      <c r="H2986" s="1037" t="s">
        <v>2322</v>
      </c>
      <c r="I2986" s="508"/>
      <c r="J2986" s="1223"/>
    </row>
    <row r="2987" spans="1:10" s="81" customFormat="1" ht="50.1" customHeight="1" x14ac:dyDescent="0.2">
      <c r="A2987" s="1220" t="s">
        <v>13665</v>
      </c>
      <c r="B2987" s="985" t="s">
        <v>1784</v>
      </c>
      <c r="C2987" s="985" t="s">
        <v>13063</v>
      </c>
      <c r="D2987" s="1037">
        <v>62</v>
      </c>
      <c r="E2987" s="1039">
        <v>9000</v>
      </c>
      <c r="F2987" s="1037" t="s">
        <v>13257</v>
      </c>
      <c r="G2987" s="508"/>
      <c r="H2987" s="1037" t="s">
        <v>13666</v>
      </c>
      <c r="I2987" s="508"/>
      <c r="J2987" s="1223"/>
    </row>
    <row r="2988" spans="1:10" s="81" customFormat="1" ht="50.1" customHeight="1" x14ac:dyDescent="0.2">
      <c r="A2988" s="1220" t="s">
        <v>13625</v>
      </c>
      <c r="B2988" s="985" t="s">
        <v>1784</v>
      </c>
      <c r="C2988" s="985" t="s">
        <v>13063</v>
      </c>
      <c r="D2988" s="1037">
        <v>63</v>
      </c>
      <c r="E2988" s="1039">
        <v>1588.55</v>
      </c>
      <c r="F2988" s="1037" t="s">
        <v>13505</v>
      </c>
      <c r="G2988" s="508"/>
      <c r="H2988" s="1037" t="s">
        <v>2341</v>
      </c>
      <c r="I2988" s="508"/>
      <c r="J2988" s="1223"/>
    </row>
    <row r="2989" spans="1:10" s="81" customFormat="1" ht="50.1" customHeight="1" x14ac:dyDescent="0.2">
      <c r="A2989" s="1220" t="s">
        <v>13657</v>
      </c>
      <c r="B2989" s="985" t="s">
        <v>1784</v>
      </c>
      <c r="C2989" s="985" t="s">
        <v>13063</v>
      </c>
      <c r="D2989" s="1037">
        <v>64</v>
      </c>
      <c r="E2989" s="1039">
        <v>5733.33</v>
      </c>
      <c r="F2989" s="1037" t="s">
        <v>13454</v>
      </c>
      <c r="G2989" s="508"/>
      <c r="H2989" s="1037" t="s">
        <v>2341</v>
      </c>
      <c r="I2989" s="508"/>
      <c r="J2989" s="1223"/>
    </row>
    <row r="2990" spans="1:10" s="81" customFormat="1" ht="50.1" customHeight="1" x14ac:dyDescent="0.2">
      <c r="A2990" s="1220" t="s">
        <v>13652</v>
      </c>
      <c r="B2990" s="985" t="s">
        <v>1784</v>
      </c>
      <c r="C2990" s="985" t="s">
        <v>13063</v>
      </c>
      <c r="D2990" s="1037">
        <v>65</v>
      </c>
      <c r="E2990" s="1039">
        <v>1500</v>
      </c>
      <c r="F2990" s="1037" t="s">
        <v>13653</v>
      </c>
      <c r="G2990" s="508"/>
      <c r="H2990" s="1037" t="s">
        <v>2341</v>
      </c>
      <c r="I2990" s="508"/>
      <c r="J2990" s="1223"/>
    </row>
    <row r="2991" spans="1:10" s="81" customFormat="1" ht="50.1" customHeight="1" x14ac:dyDescent="0.2">
      <c r="A2991" s="1220" t="s">
        <v>13667</v>
      </c>
      <c r="B2991" s="985" t="s">
        <v>1784</v>
      </c>
      <c r="C2991" s="985" t="s">
        <v>13063</v>
      </c>
      <c r="D2991" s="1037">
        <v>66</v>
      </c>
      <c r="E2991" s="1039">
        <v>2192.1</v>
      </c>
      <c r="F2991" s="1037" t="s">
        <v>13456</v>
      </c>
      <c r="G2991" s="508"/>
      <c r="H2991" s="1037" t="s">
        <v>2341</v>
      </c>
      <c r="I2991" s="508"/>
      <c r="J2991" s="1223"/>
    </row>
    <row r="2992" spans="1:10" s="81" customFormat="1" ht="50.1" customHeight="1" x14ac:dyDescent="0.2">
      <c r="A2992" s="1220" t="s">
        <v>13619</v>
      </c>
      <c r="B2992" s="985" t="s">
        <v>1784</v>
      </c>
      <c r="C2992" s="985" t="s">
        <v>13063</v>
      </c>
      <c r="D2992" s="1037">
        <v>67</v>
      </c>
      <c r="E2992" s="1039">
        <v>166</v>
      </c>
      <c r="F2992" s="1037" t="s">
        <v>13353</v>
      </c>
      <c r="G2992" s="508"/>
      <c r="H2992" s="1037" t="s">
        <v>2509</v>
      </c>
      <c r="I2992" s="508"/>
      <c r="J2992" s="1223"/>
    </row>
    <row r="2993" spans="1:10" s="81" customFormat="1" ht="50.1" customHeight="1" x14ac:dyDescent="0.2">
      <c r="A2993" s="1220" t="s">
        <v>13619</v>
      </c>
      <c r="B2993" s="985" t="s">
        <v>1784</v>
      </c>
      <c r="C2993" s="985" t="s">
        <v>13063</v>
      </c>
      <c r="D2993" s="1037">
        <v>68</v>
      </c>
      <c r="E2993" s="1039">
        <v>166</v>
      </c>
      <c r="F2993" s="1037" t="s">
        <v>13353</v>
      </c>
      <c r="G2993" s="508"/>
      <c r="H2993" s="1037" t="s">
        <v>13668</v>
      </c>
      <c r="I2993" s="508"/>
      <c r="J2993" s="1223"/>
    </row>
    <row r="2994" spans="1:10" s="81" customFormat="1" ht="50.1" customHeight="1" x14ac:dyDescent="0.2">
      <c r="A2994" s="1220" t="s">
        <v>13619</v>
      </c>
      <c r="B2994" s="985" t="s">
        <v>1784</v>
      </c>
      <c r="C2994" s="985" t="s">
        <v>13063</v>
      </c>
      <c r="D2994" s="1037">
        <v>69</v>
      </c>
      <c r="E2994" s="1039">
        <v>166</v>
      </c>
      <c r="F2994" s="1037" t="s">
        <v>13353</v>
      </c>
      <c r="G2994" s="508"/>
      <c r="H2994" s="1037" t="s">
        <v>2512</v>
      </c>
      <c r="I2994" s="508"/>
      <c r="J2994" s="1223"/>
    </row>
    <row r="2995" spans="1:10" s="81" customFormat="1" ht="50.1" customHeight="1" x14ac:dyDescent="0.2">
      <c r="A2995" s="1220" t="s">
        <v>13619</v>
      </c>
      <c r="B2995" s="985" t="s">
        <v>1784</v>
      </c>
      <c r="C2995" s="985" t="s">
        <v>13063</v>
      </c>
      <c r="D2995" s="1037">
        <v>70</v>
      </c>
      <c r="E2995" s="1039">
        <v>165.9</v>
      </c>
      <c r="F2995" s="1037" t="s">
        <v>13353</v>
      </c>
      <c r="G2995" s="508"/>
      <c r="H2995" s="1037" t="s">
        <v>13613</v>
      </c>
      <c r="I2995" s="508"/>
      <c r="J2995" s="1223"/>
    </row>
    <row r="2996" spans="1:10" s="81" customFormat="1" ht="50.1" customHeight="1" x14ac:dyDescent="0.2">
      <c r="A2996" s="1220" t="s">
        <v>13669</v>
      </c>
      <c r="B2996" s="985" t="s">
        <v>1784</v>
      </c>
      <c r="C2996" s="985" t="s">
        <v>13063</v>
      </c>
      <c r="D2996" s="1037">
        <v>71</v>
      </c>
      <c r="E2996" s="1039">
        <v>1355</v>
      </c>
      <c r="F2996" s="1037" t="s">
        <v>13505</v>
      </c>
      <c r="G2996" s="508"/>
      <c r="H2996" s="1037" t="s">
        <v>2326</v>
      </c>
      <c r="I2996" s="508"/>
      <c r="J2996" s="1223"/>
    </row>
    <row r="2997" spans="1:10" s="81" customFormat="1" ht="50.1" customHeight="1" x14ac:dyDescent="0.2">
      <c r="A2997" s="1224" t="s">
        <v>13670</v>
      </c>
      <c r="B2997" s="985" t="s">
        <v>1784</v>
      </c>
      <c r="C2997" s="985" t="s">
        <v>13063</v>
      </c>
      <c r="D2997" s="985"/>
      <c r="E2997" s="1039">
        <v>68000</v>
      </c>
      <c r="F2997" s="1037" t="s">
        <v>13351</v>
      </c>
      <c r="G2997" s="1037"/>
      <c r="H2997" s="1040">
        <v>44211</v>
      </c>
      <c r="I2997" s="508"/>
      <c r="J2997" s="1223"/>
    </row>
    <row r="2998" spans="1:10" s="81" customFormat="1" ht="50.1" customHeight="1" x14ac:dyDescent="0.2">
      <c r="A2998" s="1224" t="s">
        <v>13671</v>
      </c>
      <c r="B2998" s="985" t="s">
        <v>1784</v>
      </c>
      <c r="C2998" s="985" t="s">
        <v>13063</v>
      </c>
      <c r="D2998" s="1037"/>
      <c r="E2998" s="1039">
        <v>90000</v>
      </c>
      <c r="F2998" s="1037" t="s">
        <v>13672</v>
      </c>
      <c r="G2998" s="1037"/>
      <c r="H2998" s="1040">
        <v>44211</v>
      </c>
      <c r="I2998" s="508"/>
      <c r="J2998" s="1223"/>
    </row>
    <row r="2999" spans="1:10" s="81" customFormat="1" ht="50.1" customHeight="1" x14ac:dyDescent="0.2">
      <c r="A2999" s="1224" t="s">
        <v>13673</v>
      </c>
      <c r="B2999" s="985" t="s">
        <v>1784</v>
      </c>
      <c r="C2999" s="985" t="s">
        <v>13063</v>
      </c>
      <c r="D2999" s="1037"/>
      <c r="E2999" s="1039">
        <v>25200</v>
      </c>
      <c r="F2999" s="1037" t="s">
        <v>13672</v>
      </c>
      <c r="G2999" s="1037"/>
      <c r="H2999" s="1040">
        <v>44211</v>
      </c>
      <c r="I2999" s="508"/>
      <c r="J2999" s="1223"/>
    </row>
    <row r="3000" spans="1:10" s="81" customFormat="1" ht="50.1" customHeight="1" x14ac:dyDescent="0.2">
      <c r="A3000" s="1224" t="s">
        <v>13674</v>
      </c>
      <c r="B3000" s="985" t="s">
        <v>640</v>
      </c>
      <c r="C3000" s="1037" t="s">
        <v>1218</v>
      </c>
      <c r="D3000" s="1037"/>
      <c r="E3000" s="1039">
        <v>72000</v>
      </c>
      <c r="F3000" s="1037" t="s">
        <v>13672</v>
      </c>
      <c r="G3000" s="1037"/>
      <c r="H3000" s="1040">
        <v>44211</v>
      </c>
      <c r="I3000" s="508"/>
      <c r="J3000" s="1223"/>
    </row>
    <row r="3001" spans="1:10" s="81" customFormat="1" ht="50.1" customHeight="1" x14ac:dyDescent="0.2">
      <c r="A3001" s="1224" t="s">
        <v>13675</v>
      </c>
      <c r="B3001" s="985" t="s">
        <v>1784</v>
      </c>
      <c r="C3001" s="985" t="s">
        <v>13063</v>
      </c>
      <c r="D3001" s="1037"/>
      <c r="E3001" s="1039">
        <v>1992</v>
      </c>
      <c r="F3001" s="1037" t="s">
        <v>13353</v>
      </c>
      <c r="G3001" s="1037"/>
      <c r="H3001" s="1040">
        <v>44211</v>
      </c>
      <c r="I3001" s="508"/>
      <c r="J3001" s="1223"/>
    </row>
    <row r="3002" spans="1:10" s="81" customFormat="1" ht="50.1" customHeight="1" thickBot="1" x14ac:dyDescent="0.25">
      <c r="A3002" s="1224" t="s">
        <v>13676</v>
      </c>
      <c r="B3002" s="985" t="s">
        <v>1784</v>
      </c>
      <c r="C3002" s="985" t="s">
        <v>13063</v>
      </c>
      <c r="D3002" s="1037"/>
      <c r="E3002" s="1039">
        <v>25000</v>
      </c>
      <c r="F3002" s="1037" t="s">
        <v>13672</v>
      </c>
      <c r="G3002" s="1037"/>
      <c r="H3002" s="508"/>
      <c r="I3002" s="508"/>
      <c r="J3002" s="1223"/>
    </row>
    <row r="3003" spans="1:10" ht="24.75" customHeight="1" x14ac:dyDescent="0.2">
      <c r="A3003" s="692" t="s">
        <v>3431</v>
      </c>
      <c r="B3003" s="693"/>
      <c r="C3003" s="693"/>
      <c r="D3003" s="693"/>
      <c r="E3003" s="693"/>
      <c r="F3003" s="693"/>
      <c r="G3003" s="693"/>
      <c r="H3003" s="693"/>
      <c r="I3003" s="693"/>
      <c r="J3003" s="694"/>
    </row>
    <row r="3004" spans="1:10" ht="168" x14ac:dyDescent="0.2">
      <c r="A3004" s="1196" t="s">
        <v>13677</v>
      </c>
      <c r="B3004" s="514" t="s">
        <v>13678</v>
      </c>
      <c r="C3004" s="1112"/>
      <c r="D3004" s="1034">
        <v>1</v>
      </c>
      <c r="E3004" s="1034">
        <v>229000</v>
      </c>
      <c r="F3004" s="514" t="s">
        <v>13679</v>
      </c>
      <c r="G3004" s="1035" t="s">
        <v>1416</v>
      </c>
      <c r="H3004" s="1035"/>
      <c r="I3004" s="1035" t="s">
        <v>13680</v>
      </c>
      <c r="J3004" s="1225" t="s">
        <v>13681</v>
      </c>
    </row>
    <row r="3005" spans="1:10" ht="84" x14ac:dyDescent="0.2">
      <c r="A3005" s="1196" t="s">
        <v>13682</v>
      </c>
      <c r="B3005" s="1041" t="s">
        <v>13683</v>
      </c>
      <c r="C3005" s="1112"/>
      <c r="D3005" s="1034">
        <v>2</v>
      </c>
      <c r="E3005" s="499">
        <v>66038</v>
      </c>
      <c r="F3005" s="514" t="s">
        <v>13684</v>
      </c>
      <c r="G3005" s="1035" t="s">
        <v>1416</v>
      </c>
      <c r="H3005" s="1035"/>
      <c r="I3005" s="1035" t="s">
        <v>13680</v>
      </c>
      <c r="J3005" s="1225" t="s">
        <v>13681</v>
      </c>
    </row>
    <row r="3006" spans="1:10" s="81" customFormat="1" ht="48" x14ac:dyDescent="0.2">
      <c r="A3006" s="1196" t="s">
        <v>13685</v>
      </c>
      <c r="B3006" s="1041" t="s">
        <v>13686</v>
      </c>
      <c r="C3006" s="1112"/>
      <c r="D3006" s="1034">
        <v>1</v>
      </c>
      <c r="E3006" s="1034">
        <v>75108</v>
      </c>
      <c r="F3006" s="514" t="s">
        <v>13687</v>
      </c>
      <c r="G3006" s="1035" t="s">
        <v>1416</v>
      </c>
      <c r="H3006" s="1035"/>
      <c r="I3006" s="1035" t="s">
        <v>13680</v>
      </c>
      <c r="J3006" s="1225" t="s">
        <v>13681</v>
      </c>
    </row>
    <row r="3007" spans="1:10" s="81" customFormat="1" ht="36" x14ac:dyDescent="0.2">
      <c r="A3007" s="1196" t="s">
        <v>13688</v>
      </c>
      <c r="B3007" s="514" t="s">
        <v>13689</v>
      </c>
      <c r="C3007" s="1112"/>
      <c r="D3007" s="1034">
        <v>6</v>
      </c>
      <c r="E3007" s="1034">
        <v>54717</v>
      </c>
      <c r="F3007" s="514" t="s">
        <v>13690</v>
      </c>
      <c r="G3007" s="1035" t="s">
        <v>1416</v>
      </c>
      <c r="H3007" s="1035"/>
      <c r="I3007" s="1035" t="s">
        <v>13680</v>
      </c>
      <c r="J3007" s="1225" t="s">
        <v>13681</v>
      </c>
    </row>
    <row r="3008" spans="1:10" s="81" customFormat="1" ht="36" x14ac:dyDescent="0.2">
      <c r="A3008" s="1196" t="s">
        <v>13691</v>
      </c>
      <c r="B3008" s="514" t="s">
        <v>13692</v>
      </c>
      <c r="C3008" s="1112"/>
      <c r="D3008" s="1034">
        <v>4</v>
      </c>
      <c r="E3008" s="1034">
        <v>198111.2</v>
      </c>
      <c r="F3008" s="514" t="s">
        <v>13693</v>
      </c>
      <c r="G3008" s="1035" t="s">
        <v>1416</v>
      </c>
      <c r="H3008" s="1035"/>
      <c r="I3008" s="1035" t="s">
        <v>13680</v>
      </c>
      <c r="J3008" s="1225" t="s">
        <v>13681</v>
      </c>
    </row>
    <row r="3009" spans="1:10" s="81" customFormat="1" ht="48" x14ac:dyDescent="0.2">
      <c r="A3009" s="1196" t="s">
        <v>13694</v>
      </c>
      <c r="B3009" s="514" t="s">
        <v>13695</v>
      </c>
      <c r="C3009" s="1112"/>
      <c r="D3009" s="1034">
        <v>7</v>
      </c>
      <c r="E3009" s="499">
        <v>103259.95</v>
      </c>
      <c r="F3009" s="514" t="s">
        <v>13696</v>
      </c>
      <c r="G3009" s="1035" t="s">
        <v>1416</v>
      </c>
      <c r="H3009" s="1035"/>
      <c r="I3009" s="1035" t="s">
        <v>13680</v>
      </c>
      <c r="J3009" s="1225" t="s">
        <v>13681</v>
      </c>
    </row>
    <row r="3010" spans="1:10" s="81" customFormat="1" ht="48" x14ac:dyDescent="0.2">
      <c r="A3010" s="1196" t="s">
        <v>13697</v>
      </c>
      <c r="B3010" s="998" t="s">
        <v>13698</v>
      </c>
      <c r="C3010" s="1112"/>
      <c r="D3010" s="1034">
        <v>8</v>
      </c>
      <c r="E3010" s="499">
        <v>366000</v>
      </c>
      <c r="F3010" s="510" t="s">
        <v>13699</v>
      </c>
      <c r="G3010" s="1035" t="s">
        <v>1416</v>
      </c>
      <c r="H3010" s="1035"/>
      <c r="I3010" s="1035" t="s">
        <v>13680</v>
      </c>
      <c r="J3010" s="1225" t="s">
        <v>13681</v>
      </c>
    </row>
    <row r="3011" spans="1:10" s="81" customFormat="1" ht="24" x14ac:dyDescent="0.2">
      <c r="A3011" s="1196" t="s">
        <v>13700</v>
      </c>
      <c r="B3011" s="514" t="s">
        <v>13701</v>
      </c>
      <c r="C3011" s="1112"/>
      <c r="D3011" s="1034">
        <v>1</v>
      </c>
      <c r="E3011" s="499">
        <v>472200</v>
      </c>
      <c r="F3011" s="514" t="s">
        <v>13702</v>
      </c>
      <c r="G3011" s="1035" t="s">
        <v>1416</v>
      </c>
      <c r="H3011" s="1035"/>
      <c r="I3011" s="1035" t="s">
        <v>13680</v>
      </c>
      <c r="J3011" s="1225" t="s">
        <v>13681</v>
      </c>
    </row>
    <row r="3012" spans="1:10" s="81" customFormat="1" ht="36" x14ac:dyDescent="0.2">
      <c r="A3012" s="1196" t="s">
        <v>13703</v>
      </c>
      <c r="B3012" s="514" t="s">
        <v>13704</v>
      </c>
      <c r="C3012" s="1112"/>
      <c r="D3012" s="1034">
        <v>12</v>
      </c>
      <c r="E3012" s="1042">
        <v>84729.82</v>
      </c>
      <c r="F3012" s="514" t="s">
        <v>13705</v>
      </c>
      <c r="G3012" s="1035" t="s">
        <v>1416</v>
      </c>
      <c r="H3012" s="1035"/>
      <c r="I3012" s="1035" t="s">
        <v>13680</v>
      </c>
      <c r="J3012" s="1225" t="s">
        <v>13681</v>
      </c>
    </row>
    <row r="3013" spans="1:10" s="81" customFormat="1" ht="60" x14ac:dyDescent="0.2">
      <c r="A3013" s="1196" t="s">
        <v>13706</v>
      </c>
      <c r="B3013" s="1112" t="s">
        <v>13707</v>
      </c>
      <c r="C3013" s="1112"/>
      <c r="D3013" s="1034">
        <v>14</v>
      </c>
      <c r="E3013" s="499">
        <v>97528</v>
      </c>
      <c r="F3013" s="514" t="s">
        <v>13708</v>
      </c>
      <c r="G3013" s="1035" t="s">
        <v>1416</v>
      </c>
      <c r="H3013" s="1035"/>
      <c r="I3013" s="1035" t="s">
        <v>13680</v>
      </c>
      <c r="J3013" s="1225" t="s">
        <v>13681</v>
      </c>
    </row>
    <row r="3014" spans="1:10" s="81" customFormat="1" ht="60" x14ac:dyDescent="0.2">
      <c r="A3014" s="1196" t="s">
        <v>13709</v>
      </c>
      <c r="B3014" s="1112" t="s">
        <v>13710</v>
      </c>
      <c r="C3014" s="1112"/>
      <c r="D3014" s="1034">
        <v>13</v>
      </c>
      <c r="E3014" s="499">
        <v>248700</v>
      </c>
      <c r="F3014" s="514" t="s">
        <v>13708</v>
      </c>
      <c r="G3014" s="1035" t="s">
        <v>1416</v>
      </c>
      <c r="H3014" s="1035"/>
      <c r="I3014" s="1035" t="s">
        <v>13680</v>
      </c>
      <c r="J3014" s="1225" t="s">
        <v>13681</v>
      </c>
    </row>
    <row r="3015" spans="1:10" s="81" customFormat="1" ht="60" x14ac:dyDescent="0.2">
      <c r="A3015" s="1196" t="s">
        <v>13711</v>
      </c>
      <c r="B3015" s="1112" t="s">
        <v>13712</v>
      </c>
      <c r="C3015" s="1112"/>
      <c r="D3015" s="1034">
        <v>1</v>
      </c>
      <c r="E3015" s="499">
        <v>102705.87</v>
      </c>
      <c r="F3015" s="514" t="s">
        <v>13713</v>
      </c>
      <c r="G3015" s="1035" t="s">
        <v>1416</v>
      </c>
      <c r="H3015" s="1035" t="s">
        <v>13714</v>
      </c>
      <c r="I3015" s="1035" t="s">
        <v>13715</v>
      </c>
      <c r="J3015" s="1225" t="s">
        <v>13716</v>
      </c>
    </row>
    <row r="3016" spans="1:10" s="81" customFormat="1" ht="36" x14ac:dyDescent="0.2">
      <c r="A3016" s="1196" t="s">
        <v>13717</v>
      </c>
      <c r="B3016" s="1112" t="s">
        <v>13718</v>
      </c>
      <c r="C3016" s="1112"/>
      <c r="D3016" s="1034">
        <v>2</v>
      </c>
      <c r="E3016" s="499">
        <v>118800</v>
      </c>
      <c r="F3016" s="514" t="s">
        <v>13719</v>
      </c>
      <c r="G3016" s="1035" t="s">
        <v>1416</v>
      </c>
      <c r="H3016" s="1035" t="s">
        <v>13720</v>
      </c>
      <c r="I3016" s="1035" t="s">
        <v>13721</v>
      </c>
      <c r="J3016" s="1225" t="s">
        <v>13716</v>
      </c>
    </row>
    <row r="3017" spans="1:10" s="81" customFormat="1" ht="60" x14ac:dyDescent="0.2">
      <c r="A3017" s="1196" t="s">
        <v>13722</v>
      </c>
      <c r="B3017" s="1112" t="s">
        <v>13723</v>
      </c>
      <c r="C3017" s="1112"/>
      <c r="D3017" s="1034">
        <v>3</v>
      </c>
      <c r="E3017" s="499">
        <v>43000</v>
      </c>
      <c r="F3017" s="514" t="s">
        <v>13724</v>
      </c>
      <c r="G3017" s="1035" t="s">
        <v>1416</v>
      </c>
      <c r="H3017" s="1035" t="s">
        <v>13725</v>
      </c>
      <c r="I3017" s="1035" t="s">
        <v>13721</v>
      </c>
      <c r="J3017" s="1225" t="s">
        <v>13716</v>
      </c>
    </row>
    <row r="3018" spans="1:10" s="81" customFormat="1" ht="72" x14ac:dyDescent="0.2">
      <c r="A3018" s="1196" t="s">
        <v>13726</v>
      </c>
      <c r="B3018" s="1112" t="s">
        <v>13727</v>
      </c>
      <c r="C3018" s="1112"/>
      <c r="D3018" s="1034">
        <v>4</v>
      </c>
      <c r="E3018" s="499">
        <v>78000</v>
      </c>
      <c r="F3018" s="514" t="s">
        <v>13728</v>
      </c>
      <c r="G3018" s="1035" t="s">
        <v>1416</v>
      </c>
      <c r="H3018" s="1035" t="s">
        <v>13729</v>
      </c>
      <c r="I3018" s="1035" t="s">
        <v>13721</v>
      </c>
      <c r="J3018" s="1225" t="s">
        <v>13716</v>
      </c>
    </row>
    <row r="3019" spans="1:10" s="81" customFormat="1" ht="48" x14ac:dyDescent="0.2">
      <c r="A3019" s="1213" t="s">
        <v>13730</v>
      </c>
      <c r="B3019" s="1112" t="s">
        <v>13731</v>
      </c>
      <c r="C3019" s="1112"/>
      <c r="D3019" s="1034">
        <v>1</v>
      </c>
      <c r="E3019" s="499">
        <v>48420.5</v>
      </c>
      <c r="F3019" s="514" t="s">
        <v>13732</v>
      </c>
      <c r="G3019" s="1035" t="s">
        <v>1416</v>
      </c>
      <c r="H3019" s="1035" t="s">
        <v>13733</v>
      </c>
      <c r="I3019" s="1035" t="s">
        <v>13721</v>
      </c>
      <c r="J3019" s="1225" t="s">
        <v>13716</v>
      </c>
    </row>
    <row r="3020" spans="1:10" s="81" customFormat="1" ht="36" x14ac:dyDescent="0.2">
      <c r="A3020" s="1196" t="s">
        <v>13734</v>
      </c>
      <c r="B3020" s="1112" t="s">
        <v>13735</v>
      </c>
      <c r="C3020" s="1112"/>
      <c r="D3020" s="1034">
        <v>5</v>
      </c>
      <c r="E3020" s="499">
        <v>79155.81</v>
      </c>
      <c r="F3020" s="514" t="s">
        <v>13693</v>
      </c>
      <c r="G3020" s="1035" t="s">
        <v>1416</v>
      </c>
      <c r="H3020" s="1035" t="s">
        <v>13736</v>
      </c>
      <c r="I3020" s="1035" t="s">
        <v>13721</v>
      </c>
      <c r="J3020" s="1225" t="s">
        <v>13716</v>
      </c>
    </row>
    <row r="3021" spans="1:10" s="81" customFormat="1" ht="50.1" customHeight="1" x14ac:dyDescent="0.2">
      <c r="A3021" s="1196" t="s">
        <v>13737</v>
      </c>
      <c r="B3021" s="1112"/>
      <c r="C3021" s="1112"/>
      <c r="D3021" s="1034"/>
      <c r="E3021" s="1034">
        <v>229000</v>
      </c>
      <c r="F3021" s="1112"/>
      <c r="G3021" s="1035"/>
      <c r="H3021" s="1035"/>
      <c r="I3021" s="1035"/>
      <c r="J3021" s="1225" t="s">
        <v>434</v>
      </c>
    </row>
    <row r="3022" spans="1:10" s="81" customFormat="1" ht="50.1" customHeight="1" x14ac:dyDescent="0.2">
      <c r="A3022" s="1196" t="s">
        <v>13738</v>
      </c>
      <c r="B3022" s="1112"/>
      <c r="C3022" s="1112"/>
      <c r="D3022" s="1034"/>
      <c r="E3022" s="1034">
        <v>67000</v>
      </c>
      <c r="F3022" s="1112"/>
      <c r="G3022" s="1035"/>
      <c r="H3022" s="1035"/>
      <c r="I3022" s="1035"/>
      <c r="J3022" s="1225" t="s">
        <v>434</v>
      </c>
    </row>
    <row r="3023" spans="1:10" s="81" customFormat="1" ht="50.1" customHeight="1" x14ac:dyDescent="0.2">
      <c r="A3023" s="1196" t="s">
        <v>13739</v>
      </c>
      <c r="B3023" s="1112"/>
      <c r="C3023" s="1112"/>
      <c r="D3023" s="1034"/>
      <c r="E3023" s="1034">
        <v>75000</v>
      </c>
      <c r="F3023" s="1112"/>
      <c r="G3023" s="1035"/>
      <c r="H3023" s="1035"/>
      <c r="I3023" s="1035"/>
      <c r="J3023" s="1225" t="s">
        <v>434</v>
      </c>
    </row>
    <row r="3024" spans="1:10" s="81" customFormat="1" ht="50.1" customHeight="1" x14ac:dyDescent="0.2">
      <c r="A3024" s="1196" t="s">
        <v>13740</v>
      </c>
      <c r="B3024" s="1112"/>
      <c r="C3024" s="1112"/>
      <c r="D3024" s="1034"/>
      <c r="E3024" s="1034">
        <v>150000</v>
      </c>
      <c r="F3024" s="1112"/>
      <c r="G3024" s="1035"/>
      <c r="H3024" s="1035"/>
      <c r="I3024" s="1035"/>
      <c r="J3024" s="1225" t="s">
        <v>434</v>
      </c>
    </row>
    <row r="3025" spans="1:10" s="81" customFormat="1" ht="50.1" customHeight="1" x14ac:dyDescent="0.2">
      <c r="A3025" s="1196" t="s">
        <v>13741</v>
      </c>
      <c r="B3025" s="1112"/>
      <c r="C3025" s="1112"/>
      <c r="D3025" s="1034"/>
      <c r="E3025" s="1034">
        <v>180000</v>
      </c>
      <c r="F3025" s="1112"/>
      <c r="G3025" s="1035"/>
      <c r="H3025" s="1035"/>
      <c r="I3025" s="1035"/>
      <c r="J3025" s="1225" t="s">
        <v>434</v>
      </c>
    </row>
    <row r="3026" spans="1:10" s="81" customFormat="1" ht="50.1" customHeight="1" x14ac:dyDescent="0.2">
      <c r="A3026" s="1189" t="s">
        <v>13742</v>
      </c>
      <c r="B3026" s="1043"/>
      <c r="C3026" s="1043"/>
      <c r="D3026" s="1111"/>
      <c r="E3026" s="1018">
        <v>80000</v>
      </c>
      <c r="F3026" s="1112"/>
      <c r="G3026" s="1035"/>
      <c r="H3026" s="1035"/>
      <c r="I3026" s="1035"/>
      <c r="J3026" s="1225" t="s">
        <v>434</v>
      </c>
    </row>
    <row r="3027" spans="1:10" s="81" customFormat="1" ht="50.1" customHeight="1" x14ac:dyDescent="0.2">
      <c r="A3027" s="1196" t="s">
        <v>13743</v>
      </c>
      <c r="B3027" s="1034"/>
      <c r="C3027" s="1034"/>
      <c r="D3027" s="1034"/>
      <c r="E3027" s="1034">
        <v>240000</v>
      </c>
      <c r="F3027" s="1034"/>
      <c r="G3027" s="1035"/>
      <c r="H3027" s="1035"/>
      <c r="I3027" s="1035"/>
      <c r="J3027" s="1225" t="s">
        <v>434</v>
      </c>
    </row>
    <row r="3028" spans="1:10" s="81" customFormat="1" ht="50.1" customHeight="1" thickBot="1" x14ac:dyDescent="0.25">
      <c r="A3028" s="1196" t="s">
        <v>13744</v>
      </c>
      <c r="B3028" s="1034"/>
      <c r="C3028" s="1034"/>
      <c r="D3028" s="1034"/>
      <c r="E3028" s="1034">
        <v>80000</v>
      </c>
      <c r="F3028" s="1034"/>
      <c r="G3028" s="1035"/>
      <c r="H3028" s="1035"/>
      <c r="I3028" s="1035"/>
      <c r="J3028" s="1225" t="s">
        <v>434</v>
      </c>
    </row>
    <row r="3029" spans="1:10" ht="30" customHeight="1" x14ac:dyDescent="0.2">
      <c r="A3029" s="692" t="s">
        <v>3432</v>
      </c>
      <c r="B3029" s="693"/>
      <c r="C3029" s="693"/>
      <c r="D3029" s="693"/>
      <c r="E3029" s="693"/>
      <c r="F3029" s="693"/>
      <c r="G3029" s="693"/>
      <c r="H3029" s="693"/>
      <c r="I3029" s="693"/>
      <c r="J3029" s="694"/>
    </row>
    <row r="3030" spans="1:10" ht="72" x14ac:dyDescent="0.2">
      <c r="A3030" s="1155" t="s">
        <v>13745</v>
      </c>
      <c r="B3030" s="440" t="s">
        <v>1218</v>
      </c>
      <c r="C3030" s="440"/>
      <c r="D3030" s="440" t="s">
        <v>13746</v>
      </c>
      <c r="E3030" s="1044">
        <v>138730</v>
      </c>
      <c r="F3030" s="440" t="s">
        <v>13747</v>
      </c>
      <c r="G3030" s="439" t="s">
        <v>1661</v>
      </c>
      <c r="H3030" s="527">
        <v>43593</v>
      </c>
      <c r="I3030" s="527">
        <v>43830</v>
      </c>
      <c r="J3030" s="1199"/>
    </row>
    <row r="3031" spans="1:10" s="81" customFormat="1" ht="36" x14ac:dyDescent="0.2">
      <c r="A3031" s="1155" t="s">
        <v>13748</v>
      </c>
      <c r="B3031" s="440" t="s">
        <v>1218</v>
      </c>
      <c r="C3031" s="440"/>
      <c r="D3031" s="440" t="s">
        <v>13749</v>
      </c>
      <c r="E3031" s="1044">
        <v>166099.9</v>
      </c>
      <c r="F3031" s="440" t="s">
        <v>13750</v>
      </c>
      <c r="G3031" s="439" t="s">
        <v>1661</v>
      </c>
      <c r="H3031" s="527">
        <v>43635</v>
      </c>
      <c r="I3031" s="527">
        <v>44196</v>
      </c>
      <c r="J3031" s="1199"/>
    </row>
    <row r="3032" spans="1:10" s="81" customFormat="1" ht="24" x14ac:dyDescent="0.2">
      <c r="A3032" s="1155" t="s">
        <v>13751</v>
      </c>
      <c r="B3032" s="440" t="s">
        <v>1218</v>
      </c>
      <c r="C3032" s="440"/>
      <c r="D3032" s="440" t="s">
        <v>13752</v>
      </c>
      <c r="E3032" s="1044">
        <v>70994</v>
      </c>
      <c r="F3032" s="440" t="s">
        <v>13753</v>
      </c>
      <c r="G3032" s="439" t="s">
        <v>1661</v>
      </c>
      <c r="H3032" s="439"/>
      <c r="I3032" s="439"/>
      <c r="J3032" s="1199"/>
    </row>
    <row r="3033" spans="1:10" s="81" customFormat="1" ht="36" x14ac:dyDescent="0.2">
      <c r="A3033" s="1155" t="s">
        <v>13754</v>
      </c>
      <c r="B3033" s="440" t="s">
        <v>1218</v>
      </c>
      <c r="C3033" s="440"/>
      <c r="D3033" s="440" t="s">
        <v>13755</v>
      </c>
      <c r="E3033" s="1044">
        <v>65198.97</v>
      </c>
      <c r="F3033" s="440" t="s">
        <v>13756</v>
      </c>
      <c r="G3033" s="439" t="s">
        <v>1661</v>
      </c>
      <c r="H3033" s="527">
        <v>43815</v>
      </c>
      <c r="I3033" s="527">
        <v>43859</v>
      </c>
      <c r="J3033" s="1199"/>
    </row>
    <row r="3034" spans="1:10" s="81" customFormat="1" ht="60" x14ac:dyDescent="0.2">
      <c r="A3034" s="1155" t="s">
        <v>13757</v>
      </c>
      <c r="B3034" s="440" t="s">
        <v>1218</v>
      </c>
      <c r="C3034" s="440"/>
      <c r="D3034" s="440" t="s">
        <v>13758</v>
      </c>
      <c r="E3034" s="1044">
        <v>80198.97</v>
      </c>
      <c r="F3034" s="440" t="s">
        <v>13756</v>
      </c>
      <c r="G3034" s="439" t="s">
        <v>1661</v>
      </c>
      <c r="H3034" s="527">
        <v>43795</v>
      </c>
      <c r="I3034" s="527">
        <v>43859</v>
      </c>
      <c r="J3034" s="1199"/>
    </row>
    <row r="3035" spans="1:10" s="81" customFormat="1" ht="48" x14ac:dyDescent="0.2">
      <c r="A3035" s="1155" t="s">
        <v>13759</v>
      </c>
      <c r="B3035" s="440" t="s">
        <v>1218</v>
      </c>
      <c r="C3035" s="440"/>
      <c r="D3035" s="440" t="s">
        <v>13760</v>
      </c>
      <c r="E3035" s="1044">
        <v>140000</v>
      </c>
      <c r="F3035" s="440" t="s">
        <v>13756</v>
      </c>
      <c r="G3035" s="439" t="s">
        <v>1661</v>
      </c>
      <c r="H3035" s="527">
        <v>43795</v>
      </c>
      <c r="I3035" s="527">
        <v>43858</v>
      </c>
      <c r="J3035" s="1199"/>
    </row>
    <row r="3036" spans="1:10" s="81" customFormat="1" ht="36" x14ac:dyDescent="0.2">
      <c r="A3036" s="1155" t="s">
        <v>13761</v>
      </c>
      <c r="B3036" s="440" t="s">
        <v>1218</v>
      </c>
      <c r="C3036" s="440"/>
      <c r="D3036" s="440" t="s">
        <v>13762</v>
      </c>
      <c r="E3036" s="1045">
        <v>280000</v>
      </c>
      <c r="F3036" s="440" t="s">
        <v>13756</v>
      </c>
      <c r="G3036" s="439" t="s">
        <v>1661</v>
      </c>
      <c r="H3036" s="527">
        <v>43763</v>
      </c>
      <c r="I3036" s="527">
        <v>43859</v>
      </c>
      <c r="J3036" s="1199"/>
    </row>
    <row r="3037" spans="1:10" s="81" customFormat="1" ht="48" x14ac:dyDescent="0.2">
      <c r="A3037" s="1155" t="s">
        <v>13763</v>
      </c>
      <c r="B3037" s="440" t="s">
        <v>1218</v>
      </c>
      <c r="C3037" s="440"/>
      <c r="D3037" s="440" t="s">
        <v>13764</v>
      </c>
      <c r="E3037" s="1044">
        <v>85600</v>
      </c>
      <c r="F3037" s="440" t="s">
        <v>3080</v>
      </c>
      <c r="G3037" s="439" t="s">
        <v>1661</v>
      </c>
      <c r="H3037" s="527">
        <v>43788</v>
      </c>
      <c r="I3037" s="527">
        <v>43852</v>
      </c>
      <c r="J3037" s="1199"/>
    </row>
    <row r="3038" spans="1:10" s="81" customFormat="1" ht="60" x14ac:dyDescent="0.2">
      <c r="A3038" s="1155" t="s">
        <v>13765</v>
      </c>
      <c r="B3038" s="440" t="s">
        <v>1758</v>
      </c>
      <c r="C3038" s="440"/>
      <c r="D3038" s="440" t="s">
        <v>13766</v>
      </c>
      <c r="E3038" s="1044">
        <v>38685</v>
      </c>
      <c r="F3038" s="440" t="s">
        <v>13767</v>
      </c>
      <c r="G3038" s="439" t="s">
        <v>1661</v>
      </c>
      <c r="H3038" s="527">
        <v>43690</v>
      </c>
      <c r="I3038" s="527">
        <v>43721</v>
      </c>
      <c r="J3038" s="1199"/>
    </row>
    <row r="3039" spans="1:10" s="81" customFormat="1" ht="60" x14ac:dyDescent="0.2">
      <c r="A3039" s="1155" t="s">
        <v>13768</v>
      </c>
      <c r="B3039" s="440" t="s">
        <v>1758</v>
      </c>
      <c r="C3039" s="440"/>
      <c r="D3039" s="440" t="s">
        <v>13769</v>
      </c>
      <c r="E3039" s="1044">
        <v>51900</v>
      </c>
      <c r="F3039" s="440" t="s">
        <v>13770</v>
      </c>
      <c r="G3039" s="439" t="s">
        <v>1661</v>
      </c>
      <c r="H3039" s="527">
        <v>43717</v>
      </c>
      <c r="I3039" s="527">
        <v>43808</v>
      </c>
      <c r="J3039" s="1199"/>
    </row>
    <row r="3040" spans="1:10" s="81" customFormat="1" ht="48" x14ac:dyDescent="0.2">
      <c r="A3040" s="1155" t="s">
        <v>13771</v>
      </c>
      <c r="B3040" s="440" t="s">
        <v>13772</v>
      </c>
      <c r="C3040" s="440"/>
      <c r="D3040" s="440" t="s">
        <v>13773</v>
      </c>
      <c r="E3040" s="1044">
        <v>41000</v>
      </c>
      <c r="F3040" s="440" t="s">
        <v>13774</v>
      </c>
      <c r="G3040" s="439" t="s">
        <v>1661</v>
      </c>
      <c r="H3040" s="527">
        <v>43690</v>
      </c>
      <c r="I3040" s="527">
        <v>43830</v>
      </c>
      <c r="J3040" s="1199"/>
    </row>
    <row r="3041" spans="1:10" s="81" customFormat="1" ht="38.25" x14ac:dyDescent="0.2">
      <c r="A3041" s="1155" t="s">
        <v>13775</v>
      </c>
      <c r="B3041" s="440" t="s">
        <v>1291</v>
      </c>
      <c r="C3041" s="440"/>
      <c r="D3041" s="440" t="s">
        <v>13776</v>
      </c>
      <c r="E3041" s="1048">
        <v>954.4</v>
      </c>
      <c r="F3041" s="1049" t="s">
        <v>13777</v>
      </c>
      <c r="G3041" s="439" t="s">
        <v>1661</v>
      </c>
      <c r="H3041" s="527">
        <v>43661</v>
      </c>
      <c r="I3041" s="527">
        <v>44043</v>
      </c>
      <c r="J3041" s="1199"/>
    </row>
    <row r="3042" spans="1:10" s="81" customFormat="1" ht="38.25" x14ac:dyDescent="0.2">
      <c r="A3042" s="1155"/>
      <c r="B3042" s="440"/>
      <c r="C3042" s="440"/>
      <c r="D3042" s="440" t="s">
        <v>13776</v>
      </c>
      <c r="E3042" s="1048">
        <v>29126.86</v>
      </c>
      <c r="F3042" s="1049" t="s">
        <v>13778</v>
      </c>
      <c r="G3042" s="439" t="s">
        <v>1661</v>
      </c>
      <c r="H3042" s="527">
        <v>43661</v>
      </c>
      <c r="I3042" s="527">
        <v>44043</v>
      </c>
      <c r="J3042" s="1199"/>
    </row>
    <row r="3043" spans="1:10" s="81" customFormat="1" ht="38.25" x14ac:dyDescent="0.2">
      <c r="A3043" s="1155"/>
      <c r="B3043" s="440"/>
      <c r="C3043" s="440"/>
      <c r="D3043" s="440" t="s">
        <v>13776</v>
      </c>
      <c r="E3043" s="1048">
        <v>20298.82</v>
      </c>
      <c r="F3043" s="1050" t="s">
        <v>13779</v>
      </c>
      <c r="G3043" s="439" t="s">
        <v>1661</v>
      </c>
      <c r="H3043" s="527">
        <v>43661</v>
      </c>
      <c r="I3043" s="527">
        <v>44043</v>
      </c>
      <c r="J3043" s="1199"/>
    </row>
    <row r="3044" spans="1:10" s="81" customFormat="1" ht="25.5" x14ac:dyDescent="0.2">
      <c r="A3044" s="1155"/>
      <c r="B3044" s="440"/>
      <c r="C3044" s="440"/>
      <c r="D3044" s="440" t="s">
        <v>13776</v>
      </c>
      <c r="E3044" s="1048">
        <v>1800</v>
      </c>
      <c r="F3044" s="1050" t="s">
        <v>13780</v>
      </c>
      <c r="G3044" s="439" t="s">
        <v>1661</v>
      </c>
      <c r="H3044" s="527">
        <v>43661</v>
      </c>
      <c r="I3044" s="527">
        <v>44043</v>
      </c>
      <c r="J3044" s="1199"/>
    </row>
    <row r="3045" spans="1:10" s="81" customFormat="1" ht="25.5" x14ac:dyDescent="0.2">
      <c r="A3045" s="1155"/>
      <c r="B3045" s="440"/>
      <c r="C3045" s="440"/>
      <c r="D3045" s="440" t="s">
        <v>13776</v>
      </c>
      <c r="E3045" s="1048">
        <v>124.2</v>
      </c>
      <c r="F3045" s="1050" t="s">
        <v>13781</v>
      </c>
      <c r="G3045" s="439" t="s">
        <v>1661</v>
      </c>
      <c r="H3045" s="527">
        <v>43661</v>
      </c>
      <c r="I3045" s="527">
        <v>44043</v>
      </c>
      <c r="J3045" s="1199"/>
    </row>
    <row r="3046" spans="1:10" s="81" customFormat="1" ht="25.5" x14ac:dyDescent="0.2">
      <c r="A3046" s="1155"/>
      <c r="B3046" s="440"/>
      <c r="C3046" s="440"/>
      <c r="D3046" s="440" t="s">
        <v>13776</v>
      </c>
      <c r="E3046" s="1048">
        <v>4638.76</v>
      </c>
      <c r="F3046" s="1050" t="s">
        <v>13782</v>
      </c>
      <c r="G3046" s="439" t="s">
        <v>1661</v>
      </c>
      <c r="H3046" s="527">
        <v>43661</v>
      </c>
      <c r="I3046" s="527">
        <v>44043</v>
      </c>
      <c r="J3046" s="1199"/>
    </row>
    <row r="3047" spans="1:10" s="81" customFormat="1" ht="51" x14ac:dyDescent="0.2">
      <c r="A3047" s="1155"/>
      <c r="B3047" s="440"/>
      <c r="C3047" s="440"/>
      <c r="D3047" s="440" t="s">
        <v>13776</v>
      </c>
      <c r="E3047" s="1048">
        <v>277.8</v>
      </c>
      <c r="F3047" s="1050" t="s">
        <v>13783</v>
      </c>
      <c r="G3047" s="439" t="s">
        <v>1661</v>
      </c>
      <c r="H3047" s="527">
        <v>43661</v>
      </c>
      <c r="I3047" s="527">
        <v>44043</v>
      </c>
      <c r="J3047" s="1199"/>
    </row>
    <row r="3048" spans="1:10" s="81" customFormat="1" ht="38.25" x14ac:dyDescent="0.2">
      <c r="A3048" s="1155"/>
      <c r="B3048" s="440"/>
      <c r="C3048" s="440"/>
      <c r="D3048" s="440" t="s">
        <v>13776</v>
      </c>
      <c r="E3048" s="1048">
        <v>2462.8000000000002</v>
      </c>
      <c r="F3048" s="1050" t="s">
        <v>13784</v>
      </c>
      <c r="G3048" s="439" t="s">
        <v>1661</v>
      </c>
      <c r="H3048" s="527">
        <v>43661</v>
      </c>
      <c r="I3048" s="527">
        <v>44043</v>
      </c>
      <c r="J3048" s="1199"/>
    </row>
    <row r="3049" spans="1:10" s="81" customFormat="1" ht="25.5" x14ac:dyDescent="0.2">
      <c r="A3049" s="1155"/>
      <c r="B3049" s="440"/>
      <c r="C3049" s="440"/>
      <c r="D3049" s="440" t="s">
        <v>13776</v>
      </c>
      <c r="E3049" s="1048">
        <v>1391.55</v>
      </c>
      <c r="F3049" s="1050" t="s">
        <v>13785</v>
      </c>
      <c r="G3049" s="439" t="s">
        <v>1661</v>
      </c>
      <c r="H3049" s="527">
        <v>43661</v>
      </c>
      <c r="I3049" s="527">
        <v>44043</v>
      </c>
      <c r="J3049" s="1199"/>
    </row>
    <row r="3050" spans="1:10" s="81" customFormat="1" ht="25.5" x14ac:dyDescent="0.2">
      <c r="A3050" s="1155"/>
      <c r="B3050" s="440"/>
      <c r="C3050" s="440"/>
      <c r="D3050" s="440" t="s">
        <v>13776</v>
      </c>
      <c r="E3050" s="1048">
        <v>15752.35</v>
      </c>
      <c r="F3050" s="1050" t="s">
        <v>13786</v>
      </c>
      <c r="G3050" s="439" t="s">
        <v>1661</v>
      </c>
      <c r="H3050" s="527">
        <v>43661</v>
      </c>
      <c r="I3050" s="527">
        <v>44043</v>
      </c>
      <c r="J3050" s="1199"/>
    </row>
    <row r="3051" spans="1:10" s="81" customFormat="1" ht="38.25" x14ac:dyDescent="0.2">
      <c r="A3051" s="1155"/>
      <c r="B3051" s="440"/>
      <c r="C3051" s="440"/>
      <c r="D3051" s="440" t="s">
        <v>13776</v>
      </c>
      <c r="E3051" s="1048">
        <v>14781.11</v>
      </c>
      <c r="F3051" s="1050" t="s">
        <v>13787</v>
      </c>
      <c r="G3051" s="439" t="s">
        <v>1661</v>
      </c>
      <c r="H3051" s="527">
        <v>43661</v>
      </c>
      <c r="I3051" s="527">
        <v>44043</v>
      </c>
      <c r="J3051" s="1199"/>
    </row>
    <row r="3052" spans="1:10" s="81" customFormat="1" ht="25.5" x14ac:dyDescent="0.2">
      <c r="A3052" s="1155"/>
      <c r="B3052" s="440"/>
      <c r="C3052" s="440"/>
      <c r="D3052" s="440" t="s">
        <v>13776</v>
      </c>
      <c r="E3052" s="1048">
        <v>2533.94</v>
      </c>
      <c r="F3052" s="1050" t="s">
        <v>13788</v>
      </c>
      <c r="G3052" s="439" t="s">
        <v>1661</v>
      </c>
      <c r="H3052" s="527">
        <v>43661</v>
      </c>
      <c r="I3052" s="527">
        <v>44043</v>
      </c>
      <c r="J3052" s="1199"/>
    </row>
    <row r="3053" spans="1:10" s="81" customFormat="1" ht="25.5" x14ac:dyDescent="0.2">
      <c r="A3053" s="1155"/>
      <c r="B3053" s="440"/>
      <c r="C3053" s="440"/>
      <c r="D3053" s="440" t="s">
        <v>13776</v>
      </c>
      <c r="E3053" s="1048">
        <v>1750</v>
      </c>
      <c r="F3053" s="1050" t="s">
        <v>13789</v>
      </c>
      <c r="G3053" s="439" t="s">
        <v>1661</v>
      </c>
      <c r="H3053" s="527">
        <v>43661</v>
      </c>
      <c r="I3053" s="527">
        <v>44043</v>
      </c>
      <c r="J3053" s="1199"/>
    </row>
    <row r="3054" spans="1:10" s="81" customFormat="1" ht="25.5" x14ac:dyDescent="0.2">
      <c r="A3054" s="1155"/>
      <c r="B3054" s="440"/>
      <c r="C3054" s="440"/>
      <c r="D3054" s="440" t="s">
        <v>13776</v>
      </c>
      <c r="E3054" s="1048">
        <v>21329.37</v>
      </c>
      <c r="F3054" s="1050" t="s">
        <v>13790</v>
      </c>
      <c r="G3054" s="439" t="s">
        <v>1661</v>
      </c>
      <c r="H3054" s="527">
        <v>43661</v>
      </c>
      <c r="I3054" s="527">
        <v>44043</v>
      </c>
      <c r="J3054" s="1199"/>
    </row>
    <row r="3055" spans="1:10" s="81" customFormat="1" ht="38.25" x14ac:dyDescent="0.2">
      <c r="A3055" s="1155"/>
      <c r="B3055" s="440"/>
      <c r="C3055" s="440"/>
      <c r="D3055" s="440" t="s">
        <v>13776</v>
      </c>
      <c r="E3055" s="1048">
        <v>84132.91</v>
      </c>
      <c r="F3055" s="1050" t="s">
        <v>13791</v>
      </c>
      <c r="G3055" s="439" t="s">
        <v>1661</v>
      </c>
      <c r="H3055" s="527">
        <v>43661</v>
      </c>
      <c r="I3055" s="527">
        <v>44043</v>
      </c>
      <c r="J3055" s="1199"/>
    </row>
    <row r="3056" spans="1:10" s="81" customFormat="1" ht="25.5" x14ac:dyDescent="0.2">
      <c r="A3056" s="1155"/>
      <c r="B3056" s="440"/>
      <c r="C3056" s="440"/>
      <c r="D3056" s="440" t="s">
        <v>13776</v>
      </c>
      <c r="E3056" s="1048">
        <v>19408.41</v>
      </c>
      <c r="F3056" s="1050" t="s">
        <v>13792</v>
      </c>
      <c r="G3056" s="439" t="s">
        <v>1661</v>
      </c>
      <c r="H3056" s="527">
        <v>43661</v>
      </c>
      <c r="I3056" s="527">
        <v>44043</v>
      </c>
      <c r="J3056" s="1199"/>
    </row>
    <row r="3057" spans="1:10" s="81" customFormat="1" ht="25.5" x14ac:dyDescent="0.2">
      <c r="A3057" s="1155"/>
      <c r="B3057" s="440"/>
      <c r="C3057" s="440"/>
      <c r="D3057" s="440" t="s">
        <v>13776</v>
      </c>
      <c r="E3057" s="1048">
        <v>1015.42</v>
      </c>
      <c r="F3057" s="1050" t="s">
        <v>13793</v>
      </c>
      <c r="G3057" s="439" t="s">
        <v>1661</v>
      </c>
      <c r="H3057" s="527">
        <v>43661</v>
      </c>
      <c r="I3057" s="527">
        <v>44043</v>
      </c>
      <c r="J3057" s="1199"/>
    </row>
    <row r="3058" spans="1:10" s="81" customFormat="1" ht="24" x14ac:dyDescent="0.2">
      <c r="A3058" s="1155"/>
      <c r="B3058" s="440"/>
      <c r="C3058" s="440"/>
      <c r="D3058" s="440" t="s">
        <v>13776</v>
      </c>
      <c r="E3058" s="1048">
        <v>176068.6</v>
      </c>
      <c r="F3058" s="1050" t="s">
        <v>13794</v>
      </c>
      <c r="G3058" s="439" t="s">
        <v>1661</v>
      </c>
      <c r="H3058" s="527">
        <v>43661</v>
      </c>
      <c r="I3058" s="527">
        <v>44043</v>
      </c>
      <c r="J3058" s="1199"/>
    </row>
    <row r="3059" spans="1:10" s="81" customFormat="1" ht="25.5" x14ac:dyDescent="0.2">
      <c r="A3059" s="1155"/>
      <c r="B3059" s="440"/>
      <c r="C3059" s="440"/>
      <c r="D3059" s="440" t="s">
        <v>13776</v>
      </c>
      <c r="E3059" s="1048">
        <v>1480.15</v>
      </c>
      <c r="F3059" s="1050" t="s">
        <v>13795</v>
      </c>
      <c r="G3059" s="439" t="s">
        <v>1661</v>
      </c>
      <c r="H3059" s="527">
        <v>43661</v>
      </c>
      <c r="I3059" s="527">
        <v>44043</v>
      </c>
      <c r="J3059" s="1199"/>
    </row>
    <row r="3060" spans="1:10" s="81" customFormat="1" ht="25.5" x14ac:dyDescent="0.2">
      <c r="A3060" s="1155"/>
      <c r="B3060" s="440"/>
      <c r="C3060" s="440"/>
      <c r="D3060" s="440" t="s">
        <v>13776</v>
      </c>
      <c r="E3060" s="1048">
        <v>168.03</v>
      </c>
      <c r="F3060" s="1050" t="s">
        <v>13796</v>
      </c>
      <c r="G3060" s="439" t="s">
        <v>1661</v>
      </c>
      <c r="H3060" s="527">
        <v>43661</v>
      </c>
      <c r="I3060" s="527">
        <v>44043</v>
      </c>
      <c r="J3060" s="1199"/>
    </row>
    <row r="3061" spans="1:10" s="81" customFormat="1" ht="51" x14ac:dyDescent="0.2">
      <c r="A3061" s="1155"/>
      <c r="B3061" s="440"/>
      <c r="C3061" s="440"/>
      <c r="D3061" s="440" t="s">
        <v>13776</v>
      </c>
      <c r="E3061" s="1048">
        <v>1096</v>
      </c>
      <c r="F3061" s="1050" t="s">
        <v>13797</v>
      </c>
      <c r="G3061" s="439" t="s">
        <v>1661</v>
      </c>
      <c r="H3061" s="527">
        <v>43661</v>
      </c>
      <c r="I3061" s="527">
        <v>44043</v>
      </c>
      <c r="J3061" s="1199"/>
    </row>
    <row r="3062" spans="1:10" s="81" customFormat="1" ht="38.25" x14ac:dyDescent="0.2">
      <c r="A3062" s="1155"/>
      <c r="B3062" s="440"/>
      <c r="C3062" s="440"/>
      <c r="D3062" s="440" t="s">
        <v>13776</v>
      </c>
      <c r="E3062" s="1048">
        <v>255.33</v>
      </c>
      <c r="F3062" s="1050" t="s">
        <v>13798</v>
      </c>
      <c r="G3062" s="439" t="s">
        <v>1661</v>
      </c>
      <c r="H3062" s="527">
        <v>43661</v>
      </c>
      <c r="I3062" s="527">
        <v>44043</v>
      </c>
      <c r="J3062" s="1199"/>
    </row>
    <row r="3063" spans="1:10" s="81" customFormat="1" ht="25.5" x14ac:dyDescent="0.2">
      <c r="A3063" s="1155"/>
      <c r="B3063" s="440"/>
      <c r="C3063" s="440"/>
      <c r="D3063" s="440" t="s">
        <v>13776</v>
      </c>
      <c r="E3063" s="1048">
        <v>474</v>
      </c>
      <c r="F3063" s="1050" t="s">
        <v>13799</v>
      </c>
      <c r="G3063" s="439" t="s">
        <v>1661</v>
      </c>
      <c r="H3063" s="527">
        <v>43661</v>
      </c>
      <c r="I3063" s="527">
        <v>44043</v>
      </c>
      <c r="J3063" s="1199"/>
    </row>
    <row r="3064" spans="1:10" s="81" customFormat="1" ht="25.5" x14ac:dyDescent="0.2">
      <c r="A3064" s="1155"/>
      <c r="B3064" s="440" t="s">
        <v>83</v>
      </c>
      <c r="C3064" s="440"/>
      <c r="D3064" s="440" t="s">
        <v>13776</v>
      </c>
      <c r="E3064" s="1048">
        <v>732</v>
      </c>
      <c r="F3064" s="1050" t="s">
        <v>13800</v>
      </c>
      <c r="G3064" s="439" t="s">
        <v>1661</v>
      </c>
      <c r="H3064" s="527">
        <v>43661</v>
      </c>
      <c r="I3064" s="527">
        <v>44043</v>
      </c>
      <c r="J3064" s="1199"/>
    </row>
    <row r="3065" spans="1:10" s="81" customFormat="1" ht="24" x14ac:dyDescent="0.2">
      <c r="A3065" s="1155"/>
      <c r="B3065" s="440"/>
      <c r="C3065" s="440"/>
      <c r="D3065" s="440" t="s">
        <v>13776</v>
      </c>
      <c r="E3065" s="1048">
        <v>4314</v>
      </c>
      <c r="F3065" s="1050" t="s">
        <v>13801</v>
      </c>
      <c r="G3065" s="439" t="s">
        <v>1661</v>
      </c>
      <c r="H3065" s="527">
        <v>43661</v>
      </c>
      <c r="I3065" s="527">
        <v>44043</v>
      </c>
      <c r="J3065" s="1199"/>
    </row>
    <row r="3066" spans="1:10" s="81" customFormat="1" ht="38.25" x14ac:dyDescent="0.2">
      <c r="A3066" s="1155"/>
      <c r="B3066" s="440"/>
      <c r="C3066" s="440"/>
      <c r="D3066" s="440" t="s">
        <v>13776</v>
      </c>
      <c r="E3066" s="1048">
        <v>7443.33</v>
      </c>
      <c r="F3066" s="1050" t="s">
        <v>13802</v>
      </c>
      <c r="G3066" s="439" t="s">
        <v>1661</v>
      </c>
      <c r="H3066" s="527">
        <v>43661</v>
      </c>
      <c r="I3066" s="527">
        <v>44043</v>
      </c>
      <c r="J3066" s="1199"/>
    </row>
    <row r="3067" spans="1:10" s="81" customFormat="1" ht="25.5" x14ac:dyDescent="0.2">
      <c r="A3067" s="1155"/>
      <c r="B3067" s="440"/>
      <c r="C3067" s="440"/>
      <c r="D3067" s="440" t="s">
        <v>13776</v>
      </c>
      <c r="E3067" s="1048">
        <v>3187.48</v>
      </c>
      <c r="F3067" s="1050" t="s">
        <v>13803</v>
      </c>
      <c r="G3067" s="439" t="s">
        <v>1661</v>
      </c>
      <c r="H3067" s="527">
        <v>43661</v>
      </c>
      <c r="I3067" s="527">
        <v>44043</v>
      </c>
      <c r="J3067" s="1199"/>
    </row>
    <row r="3068" spans="1:10" s="81" customFormat="1" ht="51" x14ac:dyDescent="0.2">
      <c r="A3068" s="1155"/>
      <c r="B3068" s="440"/>
      <c r="C3068" s="440"/>
      <c r="D3068" s="440" t="s">
        <v>13776</v>
      </c>
      <c r="E3068" s="1048">
        <v>357.14</v>
      </c>
      <c r="F3068" s="1050" t="s">
        <v>13804</v>
      </c>
      <c r="G3068" s="439" t="s">
        <v>1661</v>
      </c>
      <c r="H3068" s="527">
        <v>43661</v>
      </c>
      <c r="I3068" s="527">
        <v>44043</v>
      </c>
      <c r="J3068" s="1199"/>
    </row>
    <row r="3069" spans="1:10" s="81" customFormat="1" ht="25.5" x14ac:dyDescent="0.2">
      <c r="A3069" s="1155"/>
      <c r="B3069" s="440"/>
      <c r="C3069" s="440"/>
      <c r="D3069" s="440" t="s">
        <v>13776</v>
      </c>
      <c r="E3069" s="1048">
        <v>1237.5</v>
      </c>
      <c r="F3069" s="1050" t="s">
        <v>13805</v>
      </c>
      <c r="G3069" s="439" t="s">
        <v>1661</v>
      </c>
      <c r="H3069" s="527">
        <v>43661</v>
      </c>
      <c r="I3069" s="527">
        <v>44043</v>
      </c>
      <c r="J3069" s="1199"/>
    </row>
    <row r="3070" spans="1:10" s="81" customFormat="1" ht="24" x14ac:dyDescent="0.2">
      <c r="A3070" s="1155"/>
      <c r="B3070" s="440"/>
      <c r="C3070" s="440"/>
      <c r="D3070" s="440" t="s">
        <v>13776</v>
      </c>
      <c r="E3070" s="1048">
        <v>3500</v>
      </c>
      <c r="F3070" s="1046" t="s">
        <v>13806</v>
      </c>
      <c r="G3070" s="439" t="s">
        <v>13807</v>
      </c>
      <c r="H3070" s="527">
        <v>44024</v>
      </c>
      <c r="I3070" s="527">
        <v>44043</v>
      </c>
      <c r="J3070" s="1199" t="s">
        <v>13808</v>
      </c>
    </row>
    <row r="3071" spans="1:10" s="81" customFormat="1" ht="25.5" x14ac:dyDescent="0.2">
      <c r="A3071" s="1155"/>
      <c r="B3071" s="440"/>
      <c r="C3071" s="440"/>
      <c r="D3071" s="440" t="s">
        <v>13776</v>
      </c>
      <c r="E3071" s="1048">
        <v>124.96</v>
      </c>
      <c r="F3071" s="1046" t="s">
        <v>13809</v>
      </c>
      <c r="G3071" s="439" t="s">
        <v>13807</v>
      </c>
      <c r="H3071" s="527">
        <v>44024</v>
      </c>
      <c r="I3071" s="527">
        <v>44043</v>
      </c>
      <c r="J3071" s="1199" t="s">
        <v>13808</v>
      </c>
    </row>
    <row r="3072" spans="1:10" s="81" customFormat="1" ht="38.25" x14ac:dyDescent="0.2">
      <c r="A3072" s="1155"/>
      <c r="B3072" s="440"/>
      <c r="C3072" s="440"/>
      <c r="D3072" s="440" t="s">
        <v>13776</v>
      </c>
      <c r="E3072" s="1048">
        <v>759.18</v>
      </c>
      <c r="F3072" s="1046" t="s">
        <v>13778</v>
      </c>
      <c r="G3072" s="439" t="s">
        <v>13807</v>
      </c>
      <c r="H3072" s="527">
        <v>44024</v>
      </c>
      <c r="I3072" s="527">
        <v>44043</v>
      </c>
      <c r="J3072" s="1199" t="s">
        <v>13808</v>
      </c>
    </row>
    <row r="3073" spans="1:10" s="81" customFormat="1" ht="25.5" x14ac:dyDescent="0.2">
      <c r="A3073" s="1155"/>
      <c r="B3073" s="440"/>
      <c r="C3073" s="440"/>
      <c r="D3073" s="440" t="s">
        <v>13776</v>
      </c>
      <c r="E3073" s="1048">
        <v>194.25</v>
      </c>
      <c r="F3073" s="1046" t="s">
        <v>13810</v>
      </c>
      <c r="G3073" s="439" t="s">
        <v>13807</v>
      </c>
      <c r="H3073" s="527">
        <v>44024</v>
      </c>
      <c r="I3073" s="527">
        <v>44043</v>
      </c>
      <c r="J3073" s="1199" t="s">
        <v>13808</v>
      </c>
    </row>
    <row r="3074" spans="1:10" s="81" customFormat="1" ht="24" x14ac:dyDescent="0.2">
      <c r="A3074" s="1155"/>
      <c r="B3074" s="440"/>
      <c r="C3074" s="440"/>
      <c r="D3074" s="440" t="s">
        <v>13776</v>
      </c>
      <c r="E3074" s="1048">
        <v>12675</v>
      </c>
      <c r="F3074" s="1046" t="s">
        <v>13811</v>
      </c>
      <c r="G3074" s="439" t="s">
        <v>13807</v>
      </c>
      <c r="H3074" s="527">
        <v>44024</v>
      </c>
      <c r="I3074" s="527">
        <v>44043</v>
      </c>
      <c r="J3074" s="1199" t="s">
        <v>13808</v>
      </c>
    </row>
    <row r="3075" spans="1:10" s="81" customFormat="1" ht="24" x14ac:dyDescent="0.2">
      <c r="A3075" s="1155"/>
      <c r="B3075" s="440"/>
      <c r="C3075" s="440"/>
      <c r="D3075" s="440" t="s">
        <v>13776</v>
      </c>
      <c r="E3075" s="1048">
        <v>343.38</v>
      </c>
      <c r="F3075" s="1046" t="s">
        <v>13812</v>
      </c>
      <c r="G3075" s="439" t="s">
        <v>13807</v>
      </c>
      <c r="H3075" s="527">
        <v>44024</v>
      </c>
      <c r="I3075" s="527">
        <v>44043</v>
      </c>
      <c r="J3075" s="1199" t="s">
        <v>13808</v>
      </c>
    </row>
    <row r="3076" spans="1:10" s="81" customFormat="1" ht="25.5" x14ac:dyDescent="0.2">
      <c r="A3076" s="1155"/>
      <c r="B3076" s="440"/>
      <c r="C3076" s="440"/>
      <c r="D3076" s="440" t="s">
        <v>13776</v>
      </c>
      <c r="E3076" s="1048">
        <v>21007.99</v>
      </c>
      <c r="F3076" s="1046" t="s">
        <v>13813</v>
      </c>
      <c r="G3076" s="439" t="s">
        <v>13807</v>
      </c>
      <c r="H3076" s="527">
        <v>44024</v>
      </c>
      <c r="I3076" s="527">
        <v>44043</v>
      </c>
      <c r="J3076" s="1199" t="s">
        <v>13808</v>
      </c>
    </row>
    <row r="3077" spans="1:10" s="81" customFormat="1" ht="51" x14ac:dyDescent="0.2">
      <c r="A3077" s="1155" t="s">
        <v>13814</v>
      </c>
      <c r="B3077" s="440" t="s">
        <v>2644</v>
      </c>
      <c r="C3077" s="440"/>
      <c r="D3077" s="440" t="s">
        <v>13815</v>
      </c>
      <c r="E3077" s="1044">
        <v>10942.58</v>
      </c>
      <c r="F3077" s="1049" t="s">
        <v>13816</v>
      </c>
      <c r="G3077" s="439" t="s">
        <v>1661</v>
      </c>
      <c r="H3077" s="527">
        <v>43595</v>
      </c>
      <c r="I3077" s="527">
        <v>44043</v>
      </c>
      <c r="J3077" s="1199"/>
    </row>
    <row r="3078" spans="1:10" s="81" customFormat="1" ht="38.25" x14ac:dyDescent="0.2">
      <c r="A3078" s="1155"/>
      <c r="B3078" s="440"/>
      <c r="C3078" s="440"/>
      <c r="D3078" s="440" t="s">
        <v>13815</v>
      </c>
      <c r="E3078" s="1045">
        <v>193.5</v>
      </c>
      <c r="F3078" s="1049" t="s">
        <v>13817</v>
      </c>
      <c r="G3078" s="439" t="s">
        <v>1661</v>
      </c>
      <c r="H3078" s="527">
        <v>43595</v>
      </c>
      <c r="I3078" s="527">
        <v>44043</v>
      </c>
      <c r="J3078" s="1199"/>
    </row>
    <row r="3079" spans="1:10" s="81" customFormat="1" ht="25.5" x14ac:dyDescent="0.2">
      <c r="A3079" s="1155"/>
      <c r="B3079" s="440"/>
      <c r="C3079" s="440"/>
      <c r="D3079" s="440" t="s">
        <v>13815</v>
      </c>
      <c r="E3079" s="1044">
        <v>4140</v>
      </c>
      <c r="F3079" s="1049" t="s">
        <v>13818</v>
      </c>
      <c r="G3079" s="439" t="s">
        <v>1661</v>
      </c>
      <c r="H3079" s="527">
        <v>43595</v>
      </c>
      <c r="I3079" s="527">
        <v>44043</v>
      </c>
      <c r="J3079" s="1199"/>
    </row>
    <row r="3080" spans="1:10" s="81" customFormat="1" ht="38.25" x14ac:dyDescent="0.2">
      <c r="A3080" s="1155"/>
      <c r="B3080" s="440"/>
      <c r="C3080" s="440"/>
      <c r="D3080" s="440" t="s">
        <v>13815</v>
      </c>
      <c r="E3080" s="1044">
        <v>80.2</v>
      </c>
      <c r="F3080" s="1049" t="s">
        <v>13817</v>
      </c>
      <c r="G3080" s="439" t="s">
        <v>1661</v>
      </c>
      <c r="H3080" s="527">
        <v>43595</v>
      </c>
      <c r="I3080" s="527">
        <v>44043</v>
      </c>
      <c r="J3080" s="1199"/>
    </row>
    <row r="3081" spans="1:10" s="81" customFormat="1" ht="25.5" x14ac:dyDescent="0.2">
      <c r="A3081" s="1155"/>
      <c r="B3081" s="440"/>
      <c r="C3081" s="440"/>
      <c r="D3081" s="440" t="s">
        <v>13815</v>
      </c>
      <c r="E3081" s="1044">
        <v>429</v>
      </c>
      <c r="F3081" s="1049" t="s">
        <v>13819</v>
      </c>
      <c r="G3081" s="439" t="s">
        <v>1661</v>
      </c>
      <c r="H3081" s="527">
        <v>43595</v>
      </c>
      <c r="I3081" s="527">
        <v>44043</v>
      </c>
      <c r="J3081" s="1199"/>
    </row>
    <row r="3082" spans="1:10" s="81" customFormat="1" x14ac:dyDescent="0.2">
      <c r="A3082" s="1155"/>
      <c r="B3082" s="440"/>
      <c r="C3082" s="440"/>
      <c r="D3082" s="440"/>
      <c r="E3082" s="1048"/>
      <c r="F3082" s="440"/>
      <c r="G3082" s="439"/>
      <c r="H3082" s="439"/>
      <c r="I3082" s="439"/>
      <c r="J3082" s="1199"/>
    </row>
    <row r="3083" spans="1:10" s="81" customFormat="1" ht="48" x14ac:dyDescent="0.2">
      <c r="A3083" s="1155" t="s">
        <v>13820</v>
      </c>
      <c r="B3083" s="440" t="s">
        <v>13821</v>
      </c>
      <c r="C3083" s="440"/>
      <c r="D3083" s="440" t="s">
        <v>13822</v>
      </c>
      <c r="E3083" s="1044">
        <v>147300</v>
      </c>
      <c r="F3083" s="440" t="s">
        <v>13823</v>
      </c>
      <c r="G3083" s="439" t="s">
        <v>13824</v>
      </c>
      <c r="H3083" s="527">
        <v>43922</v>
      </c>
      <c r="I3083" s="439" t="s">
        <v>13825</v>
      </c>
      <c r="J3083" s="1199"/>
    </row>
    <row r="3084" spans="1:10" s="81" customFormat="1" ht="36" x14ac:dyDescent="0.2">
      <c r="A3084" s="1155" t="s">
        <v>13826</v>
      </c>
      <c r="B3084" s="440" t="s">
        <v>13821</v>
      </c>
      <c r="C3084" s="440"/>
      <c r="D3084" s="440" t="s">
        <v>13827</v>
      </c>
      <c r="E3084" s="1044">
        <v>54980</v>
      </c>
      <c r="F3084" s="440" t="s">
        <v>13828</v>
      </c>
      <c r="G3084" s="439" t="s">
        <v>13824</v>
      </c>
      <c r="H3084" s="527">
        <v>44028</v>
      </c>
      <c r="I3084" s="439" t="s">
        <v>13825</v>
      </c>
      <c r="J3084" s="1199"/>
    </row>
    <row r="3085" spans="1:10" s="81" customFormat="1" ht="36" x14ac:dyDescent="0.2">
      <c r="A3085" s="1155" t="s">
        <v>13829</v>
      </c>
      <c r="B3085" s="440" t="s">
        <v>13821</v>
      </c>
      <c r="C3085" s="440"/>
      <c r="D3085" s="440" t="s">
        <v>13830</v>
      </c>
      <c r="E3085" s="1044">
        <v>115924.85</v>
      </c>
      <c r="F3085" s="440" t="s">
        <v>13750</v>
      </c>
      <c r="G3085" s="439" t="s">
        <v>13824</v>
      </c>
      <c r="H3085" s="527">
        <v>44018</v>
      </c>
      <c r="I3085" s="439" t="s">
        <v>13825</v>
      </c>
      <c r="J3085" s="1199"/>
    </row>
    <row r="3086" spans="1:10" s="81" customFormat="1" ht="48" x14ac:dyDescent="0.2">
      <c r="A3086" s="1155" t="s">
        <v>13831</v>
      </c>
      <c r="B3086" s="440" t="s">
        <v>1291</v>
      </c>
      <c r="C3086" s="440"/>
      <c r="D3086" s="440" t="s">
        <v>13832</v>
      </c>
      <c r="E3086" s="1044">
        <v>42678</v>
      </c>
      <c r="F3086" s="440" t="s">
        <v>13833</v>
      </c>
      <c r="G3086" s="439" t="s">
        <v>13824</v>
      </c>
      <c r="H3086" s="527">
        <v>44022</v>
      </c>
      <c r="I3086" s="439" t="s">
        <v>13825</v>
      </c>
      <c r="J3086" s="1199"/>
    </row>
    <row r="3087" spans="1:10" s="81" customFormat="1" ht="60" x14ac:dyDescent="0.2">
      <c r="A3087" s="1155" t="s">
        <v>13834</v>
      </c>
      <c r="B3087" s="440" t="s">
        <v>1758</v>
      </c>
      <c r="C3087" s="440"/>
      <c r="D3087" s="440" t="s">
        <v>13835</v>
      </c>
      <c r="E3087" s="1044">
        <v>52500</v>
      </c>
      <c r="F3087" s="440" t="s">
        <v>13836</v>
      </c>
      <c r="G3087" s="439" t="s">
        <v>13837</v>
      </c>
      <c r="H3087" s="527"/>
      <c r="I3087" s="439" t="s">
        <v>13825</v>
      </c>
      <c r="J3087" s="1199"/>
    </row>
    <row r="3088" spans="1:10" s="81" customFormat="1" ht="24" x14ac:dyDescent="0.2">
      <c r="A3088" s="1155" t="s">
        <v>13838</v>
      </c>
      <c r="B3088" s="701" t="s">
        <v>2644</v>
      </c>
      <c r="C3088" s="440"/>
      <c r="D3088" s="440" t="s">
        <v>13879</v>
      </c>
      <c r="E3088" s="1051">
        <v>67</v>
      </c>
      <c r="F3088" s="440" t="s">
        <v>13839</v>
      </c>
      <c r="G3088" s="439" t="s">
        <v>13807</v>
      </c>
      <c r="H3088" s="527">
        <v>43999</v>
      </c>
      <c r="I3088" s="527">
        <v>44408</v>
      </c>
      <c r="J3088" s="1199"/>
    </row>
    <row r="3089" spans="1:10" s="81" customFormat="1" ht="36" x14ac:dyDescent="0.2">
      <c r="A3089" s="1155"/>
      <c r="B3089" s="701"/>
      <c r="C3089" s="440"/>
      <c r="D3089" s="440" t="s">
        <v>13879</v>
      </c>
      <c r="E3089" s="1051">
        <v>504.44</v>
      </c>
      <c r="F3089" s="440" t="s">
        <v>13840</v>
      </c>
      <c r="G3089" s="439" t="s">
        <v>13807</v>
      </c>
      <c r="H3089" s="527">
        <v>43999</v>
      </c>
      <c r="I3089" s="527">
        <v>44408</v>
      </c>
      <c r="J3089" s="1199"/>
    </row>
    <row r="3090" spans="1:10" s="81" customFormat="1" ht="36" x14ac:dyDescent="0.2">
      <c r="A3090" s="1155"/>
      <c r="B3090" s="440"/>
      <c r="C3090" s="440"/>
      <c r="D3090" s="440" t="s">
        <v>13879</v>
      </c>
      <c r="E3090" s="1051">
        <v>12432</v>
      </c>
      <c r="F3090" s="440" t="s">
        <v>13798</v>
      </c>
      <c r="G3090" s="439" t="s">
        <v>13807</v>
      </c>
      <c r="H3090" s="527">
        <v>43999</v>
      </c>
      <c r="I3090" s="527">
        <v>44408</v>
      </c>
      <c r="J3090" s="1199"/>
    </row>
    <row r="3091" spans="1:10" s="81" customFormat="1" ht="24" x14ac:dyDescent="0.2">
      <c r="A3091" s="1155" t="s">
        <v>13841</v>
      </c>
      <c r="B3091" s="701" t="s">
        <v>2644</v>
      </c>
      <c r="C3091" s="440"/>
      <c r="D3091" s="440" t="s">
        <v>13880</v>
      </c>
      <c r="E3091" s="1048">
        <v>8680</v>
      </c>
      <c r="F3091" s="1052" t="s">
        <v>13842</v>
      </c>
      <c r="G3091" s="439" t="s">
        <v>13807</v>
      </c>
      <c r="H3091" s="527">
        <v>43977</v>
      </c>
      <c r="I3091" s="527">
        <v>44408</v>
      </c>
      <c r="J3091" s="1199"/>
    </row>
    <row r="3092" spans="1:10" s="81" customFormat="1" ht="24" x14ac:dyDescent="0.2">
      <c r="A3092" s="1155" t="s">
        <v>13843</v>
      </c>
      <c r="B3092" s="440" t="s">
        <v>13844</v>
      </c>
      <c r="C3092" s="440"/>
      <c r="D3092" s="440" t="s">
        <v>13881</v>
      </c>
      <c r="E3092" s="1048">
        <v>6745.5</v>
      </c>
      <c r="F3092" s="1047" t="s">
        <v>13845</v>
      </c>
      <c r="G3092" s="439" t="s">
        <v>13807</v>
      </c>
      <c r="H3092" s="1029" t="s">
        <v>13846</v>
      </c>
      <c r="I3092" s="527">
        <v>44408</v>
      </c>
      <c r="J3092" s="1199"/>
    </row>
    <row r="3093" spans="1:10" s="81" customFormat="1" ht="24" x14ac:dyDescent="0.2">
      <c r="A3093" s="1155"/>
      <c r="B3093" s="440"/>
      <c r="C3093" s="440"/>
      <c r="D3093" s="440" t="s">
        <v>13881</v>
      </c>
      <c r="E3093" s="1048">
        <v>186.25</v>
      </c>
      <c r="F3093" s="1047" t="s">
        <v>13847</v>
      </c>
      <c r="G3093" s="439" t="s">
        <v>13807</v>
      </c>
      <c r="H3093" s="1029" t="s">
        <v>13846</v>
      </c>
      <c r="I3093" s="527">
        <v>44408</v>
      </c>
      <c r="J3093" s="1199"/>
    </row>
    <row r="3094" spans="1:10" s="81" customFormat="1" ht="24" x14ac:dyDescent="0.2">
      <c r="A3094" s="1155"/>
      <c r="B3094" s="440"/>
      <c r="C3094" s="440"/>
      <c r="D3094" s="440" t="s">
        <v>13881</v>
      </c>
      <c r="E3094" s="1048">
        <v>17295.580000000002</v>
      </c>
      <c r="F3094" s="1047" t="s">
        <v>13848</v>
      </c>
      <c r="G3094" s="439" t="s">
        <v>13807</v>
      </c>
      <c r="H3094" s="1029" t="s">
        <v>13846</v>
      </c>
      <c r="I3094" s="527">
        <v>44408</v>
      </c>
      <c r="J3094" s="1199"/>
    </row>
    <row r="3095" spans="1:10" s="81" customFormat="1" ht="33.75" x14ac:dyDescent="0.2">
      <c r="A3095" s="1155"/>
      <c r="B3095" s="440"/>
      <c r="C3095" s="440"/>
      <c r="D3095" s="440" t="s">
        <v>13881</v>
      </c>
      <c r="E3095" s="1048">
        <v>2539.6640000000002</v>
      </c>
      <c r="F3095" s="1047" t="s">
        <v>13849</v>
      </c>
      <c r="G3095" s="439" t="s">
        <v>13807</v>
      </c>
      <c r="H3095" s="1029" t="s">
        <v>13846</v>
      </c>
      <c r="I3095" s="527">
        <v>44408</v>
      </c>
      <c r="J3095" s="1199"/>
    </row>
    <row r="3096" spans="1:10" s="81" customFormat="1" ht="25.5" x14ac:dyDescent="0.2">
      <c r="A3096" s="1155" t="s">
        <v>13850</v>
      </c>
      <c r="B3096" s="440" t="s">
        <v>13844</v>
      </c>
      <c r="C3096" s="440"/>
      <c r="D3096" s="440" t="s">
        <v>13882</v>
      </c>
      <c r="E3096" s="1048">
        <v>4623.03</v>
      </c>
      <c r="F3096" s="1046" t="s">
        <v>13851</v>
      </c>
      <c r="G3096" s="439" t="s">
        <v>13807</v>
      </c>
      <c r="H3096" s="1033">
        <v>43979</v>
      </c>
      <c r="I3096" s="527">
        <v>44408</v>
      </c>
      <c r="J3096" s="1199"/>
    </row>
    <row r="3097" spans="1:10" s="81" customFormat="1" ht="38.25" x14ac:dyDescent="0.2">
      <c r="A3097" s="1155"/>
      <c r="B3097" s="440"/>
      <c r="C3097" s="440"/>
      <c r="D3097" s="440" t="s">
        <v>13882</v>
      </c>
      <c r="E3097" s="1048">
        <v>5056.79</v>
      </c>
      <c r="F3097" s="1046" t="s">
        <v>13778</v>
      </c>
      <c r="G3097" s="439" t="s">
        <v>13807</v>
      </c>
      <c r="H3097" s="1033">
        <v>43979</v>
      </c>
      <c r="I3097" s="527">
        <v>44408</v>
      </c>
      <c r="J3097" s="1199"/>
    </row>
    <row r="3098" spans="1:10" s="81" customFormat="1" ht="38.25" x14ac:dyDescent="0.2">
      <c r="A3098" s="1155"/>
      <c r="B3098" s="440"/>
      <c r="C3098" s="440"/>
      <c r="D3098" s="440" t="s">
        <v>13882</v>
      </c>
      <c r="E3098" s="1048">
        <v>396</v>
      </c>
      <c r="F3098" s="1046" t="s">
        <v>13852</v>
      </c>
      <c r="G3098" s="439" t="s">
        <v>13807</v>
      </c>
      <c r="H3098" s="1033">
        <v>43979</v>
      </c>
      <c r="I3098" s="527">
        <v>44408</v>
      </c>
      <c r="J3098" s="1199"/>
    </row>
    <row r="3099" spans="1:10" s="81" customFormat="1" ht="25.5" x14ac:dyDescent="0.2">
      <c r="A3099" s="1155"/>
      <c r="B3099" s="440"/>
      <c r="C3099" s="440"/>
      <c r="D3099" s="440" t="s">
        <v>13882</v>
      </c>
      <c r="E3099" s="1048">
        <v>6541.4</v>
      </c>
      <c r="F3099" s="1046" t="s">
        <v>13853</v>
      </c>
      <c r="G3099" s="439" t="s">
        <v>13807</v>
      </c>
      <c r="H3099" s="1033">
        <v>43979</v>
      </c>
      <c r="I3099" s="527">
        <v>44408</v>
      </c>
      <c r="J3099" s="1199"/>
    </row>
    <row r="3100" spans="1:10" s="81" customFormat="1" ht="25.5" x14ac:dyDescent="0.2">
      <c r="A3100" s="1155"/>
      <c r="B3100" s="440"/>
      <c r="C3100" s="440"/>
      <c r="D3100" s="440" t="s">
        <v>13882</v>
      </c>
      <c r="E3100" s="1048">
        <v>307.35000000000002</v>
      </c>
      <c r="F3100" s="1046" t="s">
        <v>13854</v>
      </c>
      <c r="G3100" s="439" t="s">
        <v>13807</v>
      </c>
      <c r="H3100" s="1033">
        <v>43979</v>
      </c>
      <c r="I3100" s="527">
        <v>44408</v>
      </c>
      <c r="J3100" s="1199"/>
    </row>
    <row r="3101" spans="1:10" s="81" customFormat="1" ht="25.5" x14ac:dyDescent="0.2">
      <c r="A3101" s="1155"/>
      <c r="B3101" s="440"/>
      <c r="C3101" s="440"/>
      <c r="D3101" s="440" t="s">
        <v>13882</v>
      </c>
      <c r="E3101" s="1048">
        <v>7298.61</v>
      </c>
      <c r="F3101" s="1046" t="s">
        <v>13855</v>
      </c>
      <c r="G3101" s="439" t="s">
        <v>13807</v>
      </c>
      <c r="H3101" s="1033">
        <v>43979</v>
      </c>
      <c r="I3101" s="527">
        <v>44408</v>
      </c>
      <c r="J3101" s="1199"/>
    </row>
    <row r="3102" spans="1:10" s="81" customFormat="1" ht="25.5" x14ac:dyDescent="0.2">
      <c r="A3102" s="1155"/>
      <c r="B3102" s="440"/>
      <c r="C3102" s="440"/>
      <c r="D3102" s="440" t="s">
        <v>13882</v>
      </c>
      <c r="E3102" s="1048">
        <v>1500</v>
      </c>
      <c r="F3102" s="1046" t="s">
        <v>13856</v>
      </c>
      <c r="G3102" s="439" t="s">
        <v>13807</v>
      </c>
      <c r="H3102" s="1033">
        <v>43979</v>
      </c>
      <c r="I3102" s="527">
        <v>44408</v>
      </c>
      <c r="J3102" s="1199"/>
    </row>
    <row r="3103" spans="1:10" s="81" customFormat="1" ht="24" x14ac:dyDescent="0.2">
      <c r="A3103" s="1155"/>
      <c r="B3103" s="440"/>
      <c r="C3103" s="440"/>
      <c r="D3103" s="440" t="s">
        <v>13882</v>
      </c>
      <c r="E3103" s="1048">
        <v>2339.7800000000002</v>
      </c>
      <c r="F3103" s="1046" t="s">
        <v>13857</v>
      </c>
      <c r="G3103" s="439" t="s">
        <v>13807</v>
      </c>
      <c r="H3103" s="1033">
        <v>43979</v>
      </c>
      <c r="I3103" s="527">
        <v>44408</v>
      </c>
      <c r="J3103" s="1199"/>
    </row>
    <row r="3104" spans="1:10" s="81" customFormat="1" ht="25.5" x14ac:dyDescent="0.2">
      <c r="A3104" s="1155"/>
      <c r="B3104" s="440"/>
      <c r="C3104" s="440"/>
      <c r="D3104" s="440" t="s">
        <v>13882</v>
      </c>
      <c r="E3104" s="1048">
        <v>5145</v>
      </c>
      <c r="F3104" s="1046" t="s">
        <v>13858</v>
      </c>
      <c r="G3104" s="439" t="s">
        <v>13807</v>
      </c>
      <c r="H3104" s="1033">
        <v>43979</v>
      </c>
      <c r="I3104" s="527">
        <v>44408</v>
      </c>
      <c r="J3104" s="1199"/>
    </row>
    <row r="3105" spans="1:10" s="81" customFormat="1" ht="24" x14ac:dyDescent="0.2">
      <c r="A3105" s="1155"/>
      <c r="B3105" s="440"/>
      <c r="C3105" s="440"/>
      <c r="D3105" s="440" t="s">
        <v>13882</v>
      </c>
      <c r="E3105" s="1048">
        <v>5481.05</v>
      </c>
      <c r="F3105" s="1046" t="s">
        <v>13859</v>
      </c>
      <c r="G3105" s="439" t="s">
        <v>13807</v>
      </c>
      <c r="H3105" s="1033">
        <v>43979</v>
      </c>
      <c r="I3105" s="527">
        <v>44408</v>
      </c>
      <c r="J3105" s="1199"/>
    </row>
    <row r="3106" spans="1:10" s="81" customFormat="1" ht="25.5" x14ac:dyDescent="0.2">
      <c r="A3106" s="1155"/>
      <c r="B3106" s="440"/>
      <c r="C3106" s="440"/>
      <c r="D3106" s="440" t="s">
        <v>13882</v>
      </c>
      <c r="E3106" s="1048">
        <v>1549.4</v>
      </c>
      <c r="F3106" s="1046" t="s">
        <v>13842</v>
      </c>
      <c r="G3106" s="439" t="s">
        <v>13807</v>
      </c>
      <c r="H3106" s="1033">
        <v>43979</v>
      </c>
      <c r="I3106" s="527">
        <v>44408</v>
      </c>
      <c r="J3106" s="1199"/>
    </row>
    <row r="3107" spans="1:10" s="81" customFormat="1" ht="25.5" x14ac:dyDescent="0.2">
      <c r="A3107" s="1155"/>
      <c r="B3107" s="440"/>
      <c r="C3107" s="440"/>
      <c r="D3107" s="440" t="s">
        <v>13882</v>
      </c>
      <c r="E3107" s="1048">
        <v>32</v>
      </c>
      <c r="F3107" s="1046" t="s">
        <v>13860</v>
      </c>
      <c r="G3107" s="439" t="s">
        <v>13807</v>
      </c>
      <c r="H3107" s="1033">
        <v>43979</v>
      </c>
      <c r="I3107" s="527">
        <v>44408</v>
      </c>
      <c r="J3107" s="1199"/>
    </row>
    <row r="3108" spans="1:10" s="81" customFormat="1" ht="24" x14ac:dyDescent="0.2">
      <c r="A3108" s="1155"/>
      <c r="B3108" s="440"/>
      <c r="C3108" s="440"/>
      <c r="D3108" s="440" t="s">
        <v>13882</v>
      </c>
      <c r="E3108" s="1048">
        <v>2318.54</v>
      </c>
      <c r="F3108" s="1046" t="s">
        <v>13861</v>
      </c>
      <c r="G3108" s="439" t="s">
        <v>13807</v>
      </c>
      <c r="H3108" s="1033">
        <v>43979</v>
      </c>
      <c r="I3108" s="527">
        <v>44408</v>
      </c>
      <c r="J3108" s="1199"/>
    </row>
    <row r="3109" spans="1:10" s="81" customFormat="1" ht="25.5" x14ac:dyDescent="0.2">
      <c r="A3109" s="1155"/>
      <c r="B3109" s="440"/>
      <c r="C3109" s="440"/>
      <c r="D3109" s="440" t="s">
        <v>13882</v>
      </c>
      <c r="E3109" s="1048">
        <v>15508.4</v>
      </c>
      <c r="F3109" s="1046" t="s">
        <v>13862</v>
      </c>
      <c r="G3109" s="439" t="s">
        <v>13807</v>
      </c>
      <c r="H3109" s="1033">
        <v>43979</v>
      </c>
      <c r="I3109" s="527">
        <v>44408</v>
      </c>
      <c r="J3109" s="1199"/>
    </row>
    <row r="3110" spans="1:10" s="81" customFormat="1" ht="25.5" x14ac:dyDescent="0.2">
      <c r="A3110" s="1155"/>
      <c r="B3110" s="440"/>
      <c r="C3110" s="440"/>
      <c r="D3110" s="440" t="s">
        <v>13882</v>
      </c>
      <c r="E3110" s="1048">
        <v>53115.32</v>
      </c>
      <c r="F3110" s="1046" t="s">
        <v>13863</v>
      </c>
      <c r="G3110" s="439" t="s">
        <v>13807</v>
      </c>
      <c r="H3110" s="1033">
        <v>43979</v>
      </c>
      <c r="I3110" s="527">
        <v>44408</v>
      </c>
      <c r="J3110" s="1199"/>
    </row>
    <row r="3111" spans="1:10" s="81" customFormat="1" ht="25.5" x14ac:dyDescent="0.2">
      <c r="A3111" s="1155"/>
      <c r="B3111" s="440"/>
      <c r="C3111" s="440"/>
      <c r="D3111" s="440" t="s">
        <v>13882</v>
      </c>
      <c r="E3111" s="1048">
        <v>3586.37</v>
      </c>
      <c r="F3111" s="1046" t="s">
        <v>13864</v>
      </c>
      <c r="G3111" s="439" t="s">
        <v>13807</v>
      </c>
      <c r="H3111" s="1033">
        <v>43979</v>
      </c>
      <c r="I3111" s="527">
        <v>44408</v>
      </c>
      <c r="J3111" s="1199"/>
    </row>
    <row r="3112" spans="1:10" s="81" customFormat="1" ht="25.5" x14ac:dyDescent="0.2">
      <c r="A3112" s="1155"/>
      <c r="B3112" s="440"/>
      <c r="C3112" s="440"/>
      <c r="D3112" s="440" t="s">
        <v>13882</v>
      </c>
      <c r="E3112" s="1048">
        <v>39681.870000000003</v>
      </c>
      <c r="F3112" s="1046" t="s">
        <v>13848</v>
      </c>
      <c r="G3112" s="439" t="s">
        <v>13807</v>
      </c>
      <c r="H3112" s="1033">
        <v>43979</v>
      </c>
      <c r="I3112" s="527">
        <v>44408</v>
      </c>
      <c r="J3112" s="1199"/>
    </row>
    <row r="3113" spans="1:10" s="81" customFormat="1" ht="25.5" x14ac:dyDescent="0.2">
      <c r="A3113" s="1155"/>
      <c r="B3113" s="440"/>
      <c r="C3113" s="440"/>
      <c r="D3113" s="440" t="s">
        <v>13882</v>
      </c>
      <c r="E3113" s="1048">
        <v>1401.71</v>
      </c>
      <c r="F3113" s="1046" t="s">
        <v>13865</v>
      </c>
      <c r="G3113" s="439" t="s">
        <v>13807</v>
      </c>
      <c r="H3113" s="1033">
        <v>43979</v>
      </c>
      <c r="I3113" s="527">
        <v>44408</v>
      </c>
      <c r="J3113" s="1199"/>
    </row>
    <row r="3114" spans="1:10" s="81" customFormat="1" ht="25.5" x14ac:dyDescent="0.2">
      <c r="A3114" s="1155"/>
      <c r="B3114" s="440"/>
      <c r="C3114" s="440"/>
      <c r="D3114" s="440" t="s">
        <v>13882</v>
      </c>
      <c r="E3114" s="1048">
        <v>392.56</v>
      </c>
      <c r="F3114" s="1046" t="s">
        <v>13866</v>
      </c>
      <c r="G3114" s="439" t="s">
        <v>13807</v>
      </c>
      <c r="H3114" s="1033">
        <v>43979</v>
      </c>
      <c r="I3114" s="527">
        <v>44408</v>
      </c>
      <c r="J3114" s="1199"/>
    </row>
    <row r="3115" spans="1:10" s="81" customFormat="1" ht="25.5" x14ac:dyDescent="0.2">
      <c r="A3115" s="1155"/>
      <c r="B3115" s="440"/>
      <c r="C3115" s="440"/>
      <c r="D3115" s="440" t="s">
        <v>13882</v>
      </c>
      <c r="E3115" s="1048">
        <v>9597.07</v>
      </c>
      <c r="F3115" s="1046" t="s">
        <v>13792</v>
      </c>
      <c r="G3115" s="439" t="s">
        <v>13807</v>
      </c>
      <c r="H3115" s="1033">
        <v>43979</v>
      </c>
      <c r="I3115" s="527">
        <v>44408</v>
      </c>
      <c r="J3115" s="1199"/>
    </row>
    <row r="3116" spans="1:10" s="81" customFormat="1" ht="25.5" x14ac:dyDescent="0.2">
      <c r="A3116" s="1155"/>
      <c r="B3116" s="440"/>
      <c r="C3116" s="440"/>
      <c r="D3116" s="440" t="s">
        <v>13882</v>
      </c>
      <c r="E3116" s="1048">
        <v>8800</v>
      </c>
      <c r="F3116" s="1046" t="s">
        <v>13793</v>
      </c>
      <c r="G3116" s="439" t="s">
        <v>13807</v>
      </c>
      <c r="H3116" s="1033">
        <v>43979</v>
      </c>
      <c r="I3116" s="527">
        <v>44408</v>
      </c>
      <c r="J3116" s="1199"/>
    </row>
    <row r="3117" spans="1:10" s="81" customFormat="1" ht="24" x14ac:dyDescent="0.2">
      <c r="A3117" s="1155"/>
      <c r="B3117" s="440"/>
      <c r="C3117" s="440"/>
      <c r="D3117" s="440" t="s">
        <v>13882</v>
      </c>
      <c r="E3117" s="1048">
        <v>1350</v>
      </c>
      <c r="F3117" s="1046" t="s">
        <v>13867</v>
      </c>
      <c r="G3117" s="439" t="s">
        <v>13807</v>
      </c>
      <c r="H3117" s="1033">
        <v>43979</v>
      </c>
      <c r="I3117" s="527">
        <v>44408</v>
      </c>
      <c r="J3117" s="1199"/>
    </row>
    <row r="3118" spans="1:10" s="81" customFormat="1" ht="24" x14ac:dyDescent="0.2">
      <c r="A3118" s="1155"/>
      <c r="B3118" s="440"/>
      <c r="C3118" s="440"/>
      <c r="D3118" s="440" t="s">
        <v>13882</v>
      </c>
      <c r="E3118" s="1048">
        <v>1188</v>
      </c>
      <c r="F3118" s="1046" t="s">
        <v>13868</v>
      </c>
      <c r="G3118" s="439" t="s">
        <v>13807</v>
      </c>
      <c r="H3118" s="1033">
        <v>43979</v>
      </c>
      <c r="I3118" s="527">
        <v>44408</v>
      </c>
      <c r="J3118" s="1199"/>
    </row>
    <row r="3119" spans="1:10" s="81" customFormat="1" ht="24" x14ac:dyDescent="0.2">
      <c r="A3119" s="1155"/>
      <c r="B3119" s="440"/>
      <c r="C3119" s="440"/>
      <c r="D3119" s="440" t="s">
        <v>13882</v>
      </c>
      <c r="E3119" s="1048">
        <v>78177.22</v>
      </c>
      <c r="F3119" s="1046" t="s">
        <v>13794</v>
      </c>
      <c r="G3119" s="439" t="s">
        <v>13807</v>
      </c>
      <c r="H3119" s="1033">
        <v>43979</v>
      </c>
      <c r="I3119" s="527">
        <v>44408</v>
      </c>
      <c r="J3119" s="1199"/>
    </row>
    <row r="3120" spans="1:10" s="81" customFormat="1" ht="24" x14ac:dyDescent="0.2">
      <c r="A3120" s="1155"/>
      <c r="B3120" s="440"/>
      <c r="C3120" s="440"/>
      <c r="D3120" s="440" t="s">
        <v>13882</v>
      </c>
      <c r="E3120" s="1048">
        <v>720</v>
      </c>
      <c r="F3120" s="1046" t="s">
        <v>13869</v>
      </c>
      <c r="G3120" s="439" t="s">
        <v>13807</v>
      </c>
      <c r="H3120" s="1033">
        <v>43979</v>
      </c>
      <c r="I3120" s="527">
        <v>44408</v>
      </c>
      <c r="J3120" s="1199"/>
    </row>
    <row r="3121" spans="1:14" s="81" customFormat="1" ht="24" x14ac:dyDescent="0.2">
      <c r="A3121" s="1155"/>
      <c r="B3121" s="440"/>
      <c r="C3121" s="440"/>
      <c r="D3121" s="440" t="s">
        <v>13882</v>
      </c>
      <c r="E3121" s="1048">
        <v>2258.4299999999998</v>
      </c>
      <c r="F3121" s="1046" t="s">
        <v>13870</v>
      </c>
      <c r="G3121" s="439" t="s">
        <v>13807</v>
      </c>
      <c r="H3121" s="1033">
        <v>43979</v>
      </c>
      <c r="I3121" s="527">
        <v>44408</v>
      </c>
      <c r="J3121" s="1199"/>
    </row>
    <row r="3122" spans="1:14" s="81" customFormat="1" ht="24" x14ac:dyDescent="0.2">
      <c r="A3122" s="1155"/>
      <c r="B3122" s="440"/>
      <c r="C3122" s="440"/>
      <c r="D3122" s="440" t="s">
        <v>13882</v>
      </c>
      <c r="E3122" s="1048">
        <v>149.97</v>
      </c>
      <c r="F3122" s="1046" t="s">
        <v>13871</v>
      </c>
      <c r="G3122" s="439" t="s">
        <v>13807</v>
      </c>
      <c r="H3122" s="1033">
        <v>43979</v>
      </c>
      <c r="I3122" s="527">
        <v>44408</v>
      </c>
      <c r="J3122" s="1199"/>
    </row>
    <row r="3123" spans="1:14" s="81" customFormat="1" ht="25.5" x14ac:dyDescent="0.2">
      <c r="A3123" s="1155"/>
      <c r="B3123" s="440"/>
      <c r="C3123" s="440"/>
      <c r="D3123" s="440" t="s">
        <v>13882</v>
      </c>
      <c r="E3123" s="1048">
        <v>10400</v>
      </c>
      <c r="F3123" s="1046" t="s">
        <v>13872</v>
      </c>
      <c r="G3123" s="439" t="s">
        <v>13807</v>
      </c>
      <c r="H3123" s="1033">
        <v>43979</v>
      </c>
      <c r="I3123" s="527">
        <v>44408</v>
      </c>
      <c r="J3123" s="1199"/>
    </row>
    <row r="3124" spans="1:14" s="81" customFormat="1" ht="24" x14ac:dyDescent="0.2">
      <c r="A3124" s="1155"/>
      <c r="B3124" s="440"/>
      <c r="C3124" s="440"/>
      <c r="D3124" s="440" t="s">
        <v>13882</v>
      </c>
      <c r="E3124" s="1048">
        <v>4809</v>
      </c>
      <c r="F3124" s="1046" t="s">
        <v>13873</v>
      </c>
      <c r="G3124" s="439" t="s">
        <v>13807</v>
      </c>
      <c r="H3124" s="1033">
        <v>43979</v>
      </c>
      <c r="I3124" s="527">
        <v>44408</v>
      </c>
      <c r="J3124" s="1199"/>
    </row>
    <row r="3125" spans="1:14" s="81" customFormat="1" ht="25.5" x14ac:dyDescent="0.2">
      <c r="A3125" s="1155"/>
      <c r="B3125" s="440"/>
      <c r="C3125" s="440"/>
      <c r="D3125" s="440" t="s">
        <v>13882</v>
      </c>
      <c r="E3125" s="1048">
        <v>1145</v>
      </c>
      <c r="F3125" s="1046" t="s">
        <v>13874</v>
      </c>
      <c r="G3125" s="439" t="s">
        <v>13807</v>
      </c>
      <c r="H3125" s="1033">
        <v>43979</v>
      </c>
      <c r="I3125" s="527">
        <v>44408</v>
      </c>
      <c r="J3125" s="1199"/>
    </row>
    <row r="3126" spans="1:14" s="81" customFormat="1" ht="25.5" x14ac:dyDescent="0.2">
      <c r="A3126" s="1155"/>
      <c r="B3126" s="440"/>
      <c r="C3126" s="440"/>
      <c r="D3126" s="440" t="s">
        <v>13882</v>
      </c>
      <c r="E3126" s="1048">
        <v>543.75</v>
      </c>
      <c r="F3126" s="1046" t="s">
        <v>13799</v>
      </c>
      <c r="G3126" s="439" t="s">
        <v>13807</v>
      </c>
      <c r="H3126" s="1033">
        <v>43979</v>
      </c>
      <c r="I3126" s="527">
        <v>44408</v>
      </c>
      <c r="J3126" s="1199"/>
    </row>
    <row r="3127" spans="1:14" s="81" customFormat="1" ht="24" x14ac:dyDescent="0.2">
      <c r="A3127" s="1155"/>
      <c r="B3127" s="440"/>
      <c r="C3127" s="440"/>
      <c r="D3127" s="440" t="s">
        <v>13882</v>
      </c>
      <c r="E3127" s="1048">
        <v>1716</v>
      </c>
      <c r="F3127" s="1046" t="s">
        <v>13132</v>
      </c>
      <c r="G3127" s="439" t="s">
        <v>13807</v>
      </c>
      <c r="H3127" s="1033">
        <v>43979</v>
      </c>
      <c r="I3127" s="527">
        <v>44408</v>
      </c>
      <c r="J3127" s="1199"/>
    </row>
    <row r="3128" spans="1:14" s="81" customFormat="1" ht="24" x14ac:dyDescent="0.2">
      <c r="A3128" s="1155"/>
      <c r="B3128" s="440"/>
      <c r="C3128" s="440"/>
      <c r="D3128" s="440" t="s">
        <v>13882</v>
      </c>
      <c r="E3128" s="1048">
        <v>200</v>
      </c>
      <c r="F3128" s="1046" t="s">
        <v>13875</v>
      </c>
      <c r="G3128" s="439" t="s">
        <v>13807</v>
      </c>
      <c r="H3128" s="1033">
        <v>43979</v>
      </c>
      <c r="I3128" s="527">
        <v>44408</v>
      </c>
      <c r="J3128" s="1199"/>
    </row>
    <row r="3129" spans="1:14" s="81" customFormat="1" ht="24" x14ac:dyDescent="0.2">
      <c r="A3129" s="1155"/>
      <c r="B3129" s="440"/>
      <c r="C3129" s="440"/>
      <c r="D3129" s="440" t="s">
        <v>13882</v>
      </c>
      <c r="E3129" s="1048">
        <v>13557.1</v>
      </c>
      <c r="F3129" s="1046" t="s">
        <v>13803</v>
      </c>
      <c r="G3129" s="439" t="s">
        <v>13807</v>
      </c>
      <c r="H3129" s="1033">
        <v>43979</v>
      </c>
      <c r="I3129" s="527">
        <v>44408</v>
      </c>
      <c r="J3129" s="1199"/>
    </row>
    <row r="3130" spans="1:14" s="81" customFormat="1" ht="24" x14ac:dyDescent="0.2">
      <c r="A3130" s="1155"/>
      <c r="B3130" s="440"/>
      <c r="C3130" s="440"/>
      <c r="D3130" s="440" t="s">
        <v>13882</v>
      </c>
      <c r="E3130" s="1048">
        <v>4575.79</v>
      </c>
      <c r="F3130" s="1046" t="s">
        <v>13805</v>
      </c>
      <c r="G3130" s="439" t="s">
        <v>13807</v>
      </c>
      <c r="H3130" s="1033">
        <v>43979</v>
      </c>
      <c r="I3130" s="527">
        <v>44408</v>
      </c>
      <c r="J3130" s="1199"/>
    </row>
    <row r="3131" spans="1:14" s="81" customFormat="1" ht="27.75" customHeight="1" x14ac:dyDescent="0.2">
      <c r="A3131" s="1155" t="s">
        <v>13876</v>
      </c>
      <c r="B3131" s="440" t="s">
        <v>13844</v>
      </c>
      <c r="C3131" s="440"/>
      <c r="D3131" s="440" t="s">
        <v>13883</v>
      </c>
      <c r="E3131" s="1048">
        <v>52.96</v>
      </c>
      <c r="F3131" s="1053" t="s">
        <v>13794</v>
      </c>
      <c r="G3131" s="439" t="s">
        <v>13807</v>
      </c>
      <c r="H3131" s="1033">
        <v>43972</v>
      </c>
      <c r="I3131" s="527">
        <v>44408</v>
      </c>
      <c r="J3131" s="1199"/>
    </row>
    <row r="3132" spans="1:14" s="81" customFormat="1" ht="30" customHeight="1" thickBot="1" x14ac:dyDescent="0.25">
      <c r="A3132" s="1155" t="s">
        <v>13877</v>
      </c>
      <c r="B3132" s="440" t="s">
        <v>2644</v>
      </c>
      <c r="C3132" s="440"/>
      <c r="D3132" s="1054" t="s">
        <v>13878</v>
      </c>
      <c r="E3132" s="1048">
        <v>174832.57</v>
      </c>
      <c r="F3132" s="440"/>
      <c r="G3132" s="439" t="s">
        <v>1318</v>
      </c>
      <c r="H3132" s="439"/>
      <c r="I3132" s="527">
        <v>44408</v>
      </c>
      <c r="J3132" s="1199"/>
    </row>
    <row r="3133" spans="1:14" ht="27" customHeight="1" x14ac:dyDescent="0.2">
      <c r="A3133" s="692" t="s">
        <v>3433</v>
      </c>
      <c r="B3133" s="693"/>
      <c r="C3133" s="693"/>
      <c r="D3133" s="693"/>
      <c r="E3133" s="693"/>
      <c r="F3133" s="693"/>
      <c r="G3133" s="693"/>
      <c r="H3133" s="693"/>
      <c r="I3133" s="693"/>
      <c r="J3133" s="694"/>
      <c r="K3133" s="81"/>
      <c r="L3133" s="81"/>
      <c r="M3133" s="81"/>
      <c r="N3133" s="81"/>
    </row>
    <row r="3134" spans="1:14" ht="36" x14ac:dyDescent="0.2">
      <c r="A3134" s="1226" t="s">
        <v>12817</v>
      </c>
      <c r="B3134" s="477" t="s">
        <v>2354</v>
      </c>
      <c r="C3134" s="1011" t="s">
        <v>12818</v>
      </c>
      <c r="D3134" s="1010" t="s">
        <v>12819</v>
      </c>
      <c r="E3134" s="484">
        <v>62952</v>
      </c>
      <c r="F3134" s="441" t="s">
        <v>12820</v>
      </c>
      <c r="G3134" s="1017" t="s">
        <v>12821</v>
      </c>
      <c r="H3134" s="1012">
        <v>43816</v>
      </c>
      <c r="I3134" s="1012">
        <v>43817</v>
      </c>
      <c r="J3134" s="1227"/>
    </row>
    <row r="3135" spans="1:14" ht="48" x14ac:dyDescent="0.2">
      <c r="A3135" s="1226" t="s">
        <v>12822</v>
      </c>
      <c r="B3135" s="477" t="s">
        <v>2354</v>
      </c>
      <c r="C3135" s="1011" t="s">
        <v>12818</v>
      </c>
      <c r="D3135" s="1010" t="s">
        <v>12823</v>
      </c>
      <c r="E3135" s="484">
        <v>55300</v>
      </c>
      <c r="F3135" s="441" t="s">
        <v>12824</v>
      </c>
      <c r="G3135" s="1017" t="s">
        <v>12821</v>
      </c>
      <c r="H3135" s="1012">
        <v>43825</v>
      </c>
      <c r="I3135" s="1012">
        <v>43826</v>
      </c>
      <c r="J3135" s="1227"/>
    </row>
    <row r="3136" spans="1:14" ht="48" x14ac:dyDescent="0.2">
      <c r="A3136" s="1226" t="s">
        <v>12825</v>
      </c>
      <c r="B3136" s="477" t="s">
        <v>2354</v>
      </c>
      <c r="C3136" s="1011" t="s">
        <v>12818</v>
      </c>
      <c r="D3136" s="1010" t="s">
        <v>12826</v>
      </c>
      <c r="E3136" s="484">
        <v>37900</v>
      </c>
      <c r="F3136" s="441" t="s">
        <v>12827</v>
      </c>
      <c r="G3136" s="1017" t="s">
        <v>12821</v>
      </c>
      <c r="H3136" s="530"/>
      <c r="I3136" s="530"/>
      <c r="J3136" s="1227"/>
    </row>
    <row r="3137" spans="1:10" ht="24" x14ac:dyDescent="0.2">
      <c r="A3137" s="1226" t="s">
        <v>1927</v>
      </c>
      <c r="B3137" s="477" t="s">
        <v>12828</v>
      </c>
      <c r="C3137" s="530" t="s">
        <v>12829</v>
      </c>
      <c r="D3137" s="1010" t="s">
        <v>12826</v>
      </c>
      <c r="E3137" s="484">
        <v>181000</v>
      </c>
      <c r="F3137" s="441" t="s">
        <v>12830</v>
      </c>
      <c r="G3137" s="1017" t="s">
        <v>12821</v>
      </c>
      <c r="H3137" s="1012">
        <v>43975</v>
      </c>
      <c r="I3137" s="441" t="s">
        <v>12831</v>
      </c>
      <c r="J3137" s="1227"/>
    </row>
    <row r="3138" spans="1:10" ht="36" x14ac:dyDescent="0.2">
      <c r="A3138" s="1226" t="s">
        <v>12832</v>
      </c>
      <c r="B3138" s="477" t="s">
        <v>12833</v>
      </c>
      <c r="C3138" s="1011" t="s">
        <v>12818</v>
      </c>
      <c r="D3138" s="1010" t="s">
        <v>12826</v>
      </c>
      <c r="E3138" s="484">
        <v>260000</v>
      </c>
      <c r="F3138" s="441" t="s">
        <v>12834</v>
      </c>
      <c r="G3138" s="1017" t="s">
        <v>12821</v>
      </c>
      <c r="H3138" s="1012">
        <v>43808</v>
      </c>
      <c r="I3138" s="1012">
        <v>44188</v>
      </c>
      <c r="J3138" s="1227"/>
    </row>
    <row r="3139" spans="1:10" ht="36" x14ac:dyDescent="0.2">
      <c r="A3139" s="1226" t="s">
        <v>12835</v>
      </c>
      <c r="B3139" s="477" t="s">
        <v>12836</v>
      </c>
      <c r="C3139" s="530"/>
      <c r="D3139" s="1010"/>
      <c r="E3139" s="484">
        <v>204101.8</v>
      </c>
      <c r="F3139" s="441" t="s">
        <v>12226</v>
      </c>
      <c r="G3139" s="1017" t="s">
        <v>12821</v>
      </c>
      <c r="H3139" s="530"/>
      <c r="I3139" s="530" t="s">
        <v>12837</v>
      </c>
      <c r="J3139" s="1227"/>
    </row>
    <row r="3140" spans="1:10" ht="24" x14ac:dyDescent="0.2">
      <c r="A3140" s="1226" t="s">
        <v>3281</v>
      </c>
      <c r="B3140" s="477" t="s">
        <v>12836</v>
      </c>
      <c r="C3140" s="530"/>
      <c r="D3140" s="1010"/>
      <c r="E3140" s="484">
        <v>10542.8</v>
      </c>
      <c r="F3140" s="441" t="s">
        <v>12838</v>
      </c>
      <c r="G3140" s="1017" t="s">
        <v>12821</v>
      </c>
      <c r="H3140" s="530"/>
      <c r="I3140" s="530" t="s">
        <v>12837</v>
      </c>
      <c r="J3140" s="1227"/>
    </row>
    <row r="3141" spans="1:10" ht="36" x14ac:dyDescent="0.2">
      <c r="A3141" s="1226" t="s">
        <v>12839</v>
      </c>
      <c r="B3141" s="477" t="s">
        <v>12836</v>
      </c>
      <c r="C3141" s="530"/>
      <c r="D3141" s="1010"/>
      <c r="E3141" s="484">
        <v>7145.69</v>
      </c>
      <c r="F3141" s="441" t="s">
        <v>12840</v>
      </c>
      <c r="G3141" s="1017" t="s">
        <v>12821</v>
      </c>
      <c r="H3141" s="530"/>
      <c r="I3141" s="530" t="s">
        <v>12837</v>
      </c>
      <c r="J3141" s="1227"/>
    </row>
    <row r="3142" spans="1:10" ht="36" x14ac:dyDescent="0.2">
      <c r="A3142" s="1198" t="s">
        <v>12841</v>
      </c>
      <c r="B3142" s="477" t="s">
        <v>1218</v>
      </c>
      <c r="C3142" s="1011" t="s">
        <v>12818</v>
      </c>
      <c r="D3142" s="1010" t="s">
        <v>12842</v>
      </c>
      <c r="E3142" s="484">
        <v>64589.5</v>
      </c>
      <c r="F3142" s="441" t="s">
        <v>12843</v>
      </c>
      <c r="G3142" s="1017" t="s">
        <v>12821</v>
      </c>
      <c r="H3142" s="530"/>
      <c r="I3142" s="530"/>
      <c r="J3142" s="1149"/>
    </row>
    <row r="3143" spans="1:10" ht="36" x14ac:dyDescent="0.2">
      <c r="A3143" s="1198" t="s">
        <v>12844</v>
      </c>
      <c r="B3143" s="477" t="s">
        <v>1218</v>
      </c>
      <c r="C3143" s="1011" t="s">
        <v>12818</v>
      </c>
      <c r="D3143" s="1010" t="s">
        <v>12845</v>
      </c>
      <c r="E3143" s="484">
        <v>72353.8</v>
      </c>
      <c r="F3143" s="441" t="s">
        <v>12846</v>
      </c>
      <c r="G3143" s="1017" t="s">
        <v>12821</v>
      </c>
      <c r="H3143" s="1012">
        <v>44018</v>
      </c>
      <c r="I3143" s="1012">
        <v>44024</v>
      </c>
      <c r="J3143" s="1149"/>
    </row>
    <row r="3144" spans="1:10" ht="48" x14ac:dyDescent="0.2">
      <c r="A3144" s="1226" t="s">
        <v>12847</v>
      </c>
      <c r="B3144" s="477" t="s">
        <v>2084</v>
      </c>
      <c r="C3144" s="1011" t="s">
        <v>12818</v>
      </c>
      <c r="D3144" s="1010" t="s">
        <v>12842</v>
      </c>
      <c r="E3144" s="484">
        <v>136796.57</v>
      </c>
      <c r="F3144" s="441" t="s">
        <v>12848</v>
      </c>
      <c r="G3144" s="1017" t="s">
        <v>12821</v>
      </c>
      <c r="H3144" s="1012">
        <v>43923</v>
      </c>
      <c r="I3144" s="1012">
        <v>43940</v>
      </c>
      <c r="J3144" s="1149"/>
    </row>
    <row r="3145" spans="1:10" ht="36" x14ac:dyDescent="0.2">
      <c r="A3145" s="1226" t="s">
        <v>12849</v>
      </c>
      <c r="B3145" s="477" t="s">
        <v>2084</v>
      </c>
      <c r="C3145" s="1011" t="s">
        <v>12818</v>
      </c>
      <c r="D3145" s="1010" t="s">
        <v>12845</v>
      </c>
      <c r="E3145" s="484">
        <v>106021.5</v>
      </c>
      <c r="F3145" s="441" t="s">
        <v>12850</v>
      </c>
      <c r="G3145" s="1017" t="s">
        <v>12821</v>
      </c>
      <c r="H3145" s="1012">
        <v>43921</v>
      </c>
      <c r="I3145" s="1012">
        <v>43936</v>
      </c>
      <c r="J3145" s="1149"/>
    </row>
    <row r="3146" spans="1:10" ht="36" x14ac:dyDescent="0.2">
      <c r="A3146" s="1226" t="s">
        <v>12851</v>
      </c>
      <c r="B3146" s="477" t="s">
        <v>2084</v>
      </c>
      <c r="C3146" s="1011" t="s">
        <v>12818</v>
      </c>
      <c r="D3146" s="1010" t="s">
        <v>12852</v>
      </c>
      <c r="E3146" s="484">
        <v>237750</v>
      </c>
      <c r="F3146" s="441" t="s">
        <v>12853</v>
      </c>
      <c r="G3146" s="1017" t="s">
        <v>12821</v>
      </c>
      <c r="H3146" s="1012">
        <v>44035</v>
      </c>
      <c r="I3146" s="1012">
        <v>44078</v>
      </c>
      <c r="J3146" s="1149"/>
    </row>
    <row r="3147" spans="1:10" ht="48" x14ac:dyDescent="0.2">
      <c r="A3147" s="1226" t="s">
        <v>12851</v>
      </c>
      <c r="B3147" s="477" t="s">
        <v>2084</v>
      </c>
      <c r="C3147" s="1011" t="s">
        <v>12818</v>
      </c>
      <c r="D3147" s="1010" t="s">
        <v>12854</v>
      </c>
      <c r="E3147" s="484">
        <v>55533.47</v>
      </c>
      <c r="F3147" s="441" t="s">
        <v>12855</v>
      </c>
      <c r="G3147" s="1017" t="s">
        <v>12821</v>
      </c>
      <c r="H3147" s="1012">
        <v>43998</v>
      </c>
      <c r="I3147" s="1012">
        <v>44097</v>
      </c>
      <c r="J3147" s="1149"/>
    </row>
    <row r="3148" spans="1:10" ht="36" x14ac:dyDescent="0.2">
      <c r="A3148" s="1226" t="s">
        <v>12856</v>
      </c>
      <c r="B3148" s="477" t="s">
        <v>2084</v>
      </c>
      <c r="C3148" s="1011" t="s">
        <v>12818</v>
      </c>
      <c r="D3148" s="1010" t="s">
        <v>12857</v>
      </c>
      <c r="E3148" s="484">
        <v>61600</v>
      </c>
      <c r="F3148" s="441" t="s">
        <v>12858</v>
      </c>
      <c r="G3148" s="1017" t="s">
        <v>12859</v>
      </c>
      <c r="H3148" s="1012">
        <v>44088</v>
      </c>
      <c r="I3148" s="1012">
        <v>44091</v>
      </c>
      <c r="J3148" s="1149"/>
    </row>
    <row r="3149" spans="1:10" ht="24" x14ac:dyDescent="0.2">
      <c r="A3149" s="1226" t="s">
        <v>2407</v>
      </c>
      <c r="B3149" s="477" t="s">
        <v>12828</v>
      </c>
      <c r="C3149" s="530" t="s">
        <v>12829</v>
      </c>
      <c r="D3149" s="1010" t="s">
        <v>12845</v>
      </c>
      <c r="E3149" s="484">
        <v>93000</v>
      </c>
      <c r="F3149" s="441" t="s">
        <v>12860</v>
      </c>
      <c r="G3149" s="1017" t="s">
        <v>12821</v>
      </c>
      <c r="H3149" s="1012">
        <v>44030</v>
      </c>
      <c r="I3149" s="441" t="s">
        <v>12831</v>
      </c>
      <c r="J3149" s="1149"/>
    </row>
    <row r="3150" spans="1:10" ht="36" x14ac:dyDescent="0.2">
      <c r="A3150" s="1226" t="s">
        <v>12835</v>
      </c>
      <c r="B3150" s="477" t="s">
        <v>12836</v>
      </c>
      <c r="C3150" s="530"/>
      <c r="D3150" s="1010"/>
      <c r="E3150" s="484">
        <v>101741</v>
      </c>
      <c r="F3150" s="441" t="s">
        <v>12861</v>
      </c>
      <c r="G3150" s="1017" t="s">
        <v>12821</v>
      </c>
      <c r="H3150" s="530"/>
      <c r="I3150" s="530"/>
      <c r="J3150" s="1149" t="s">
        <v>12862</v>
      </c>
    </row>
    <row r="3151" spans="1:10" ht="24" x14ac:dyDescent="0.2">
      <c r="A3151" s="1226" t="s">
        <v>3281</v>
      </c>
      <c r="B3151" s="477" t="s">
        <v>12836</v>
      </c>
      <c r="C3151" s="530"/>
      <c r="D3151" s="1010"/>
      <c r="E3151" s="484">
        <v>1009.4</v>
      </c>
      <c r="F3151" s="441" t="s">
        <v>12838</v>
      </c>
      <c r="G3151" s="1017" t="s">
        <v>12821</v>
      </c>
      <c r="H3151" s="530"/>
      <c r="I3151" s="530"/>
      <c r="J3151" s="1149" t="s">
        <v>12862</v>
      </c>
    </row>
    <row r="3152" spans="1:10" ht="36" x14ac:dyDescent="0.2">
      <c r="A3152" s="1226" t="s">
        <v>12839</v>
      </c>
      <c r="B3152" s="477" t="s">
        <v>12836</v>
      </c>
      <c r="C3152" s="530"/>
      <c r="D3152" s="1010"/>
      <c r="E3152" s="484">
        <v>1870.98</v>
      </c>
      <c r="F3152" s="441" t="s">
        <v>12863</v>
      </c>
      <c r="G3152" s="1017" t="s">
        <v>12821</v>
      </c>
      <c r="H3152" s="530"/>
      <c r="I3152" s="530"/>
      <c r="J3152" s="1149" t="s">
        <v>12864</v>
      </c>
    </row>
    <row r="3153" spans="1:10" ht="35.25" customHeight="1" x14ac:dyDescent="0.2">
      <c r="A3153" s="1198" t="s">
        <v>12841</v>
      </c>
      <c r="B3153" s="477" t="s">
        <v>1218</v>
      </c>
      <c r="C3153" s="530"/>
      <c r="D3153" s="1010"/>
      <c r="E3153" s="484">
        <v>84589.5</v>
      </c>
      <c r="F3153" s="530" t="s">
        <v>12865</v>
      </c>
      <c r="G3153" s="1017" t="s">
        <v>12866</v>
      </c>
      <c r="H3153" s="530"/>
      <c r="I3153" s="530"/>
      <c r="J3153" s="1149"/>
    </row>
    <row r="3154" spans="1:10" ht="38.25" customHeight="1" x14ac:dyDescent="0.2">
      <c r="A3154" s="1226" t="s">
        <v>2407</v>
      </c>
      <c r="B3154" s="477" t="s">
        <v>12828</v>
      </c>
      <c r="C3154" s="530"/>
      <c r="D3154" s="1010"/>
      <c r="E3154" s="484">
        <v>181000</v>
      </c>
      <c r="F3154" s="530"/>
      <c r="G3154" s="1017" t="s">
        <v>12866</v>
      </c>
      <c r="H3154" s="530"/>
      <c r="I3154" s="530"/>
      <c r="J3154" s="1149"/>
    </row>
    <row r="3155" spans="1:10" ht="36" x14ac:dyDescent="0.2">
      <c r="A3155" s="1226" t="s">
        <v>12835</v>
      </c>
      <c r="B3155" s="477" t="s">
        <v>12836</v>
      </c>
      <c r="C3155" s="530"/>
      <c r="D3155" s="1010"/>
      <c r="E3155" s="484">
        <v>210101.8</v>
      </c>
      <c r="F3155" s="441" t="s">
        <v>12861</v>
      </c>
      <c r="G3155" s="1017" t="s">
        <v>12866</v>
      </c>
      <c r="H3155" s="530"/>
      <c r="I3155" s="530"/>
      <c r="J3155" s="1149"/>
    </row>
    <row r="3156" spans="1:10" ht="24" x14ac:dyDescent="0.2">
      <c r="A3156" s="1226" t="s">
        <v>3281</v>
      </c>
      <c r="B3156" s="477" t="s">
        <v>12836</v>
      </c>
      <c r="C3156" s="530"/>
      <c r="D3156" s="1010"/>
      <c r="E3156" s="484">
        <v>13542.8</v>
      </c>
      <c r="F3156" s="441" t="s">
        <v>12838</v>
      </c>
      <c r="G3156" s="1017" t="s">
        <v>12866</v>
      </c>
      <c r="H3156" s="530"/>
      <c r="I3156" s="530"/>
      <c r="J3156" s="1149"/>
    </row>
    <row r="3157" spans="1:10" ht="36" x14ac:dyDescent="0.2">
      <c r="A3157" s="1226" t="s">
        <v>12839</v>
      </c>
      <c r="B3157" s="477" t="s">
        <v>12836</v>
      </c>
      <c r="C3157" s="530"/>
      <c r="D3157" s="1010"/>
      <c r="E3157" s="484">
        <v>27145.69</v>
      </c>
      <c r="F3157" s="441" t="s">
        <v>12863</v>
      </c>
      <c r="G3157" s="1017" t="s">
        <v>12866</v>
      </c>
      <c r="H3157" s="530" t="s">
        <v>12867</v>
      </c>
      <c r="I3157" s="530"/>
      <c r="J3157" s="1149"/>
    </row>
    <row r="3158" spans="1:10" ht="33.75" customHeight="1" thickBot="1" x14ac:dyDescent="0.25">
      <c r="A3158" s="1228" t="s">
        <v>1932</v>
      </c>
      <c r="B3158" s="1229" t="s">
        <v>12836</v>
      </c>
      <c r="C3158" s="1230"/>
      <c r="D3158" s="1230"/>
      <c r="E3158" s="1231"/>
      <c r="F3158" s="1232"/>
      <c r="G3158" s="997"/>
      <c r="H3158" s="997"/>
      <c r="I3158" s="997"/>
      <c r="J3158" s="1233"/>
    </row>
  </sheetData>
  <phoneticPr fontId="13" type="noConversion"/>
  <printOptions horizontalCentered="1"/>
  <pageMargins left="0.23622047244094491" right="0.23622047244094491" top="0.74803149606299213" bottom="0.74803149606299213" header="0.31496062992125984" footer="0.31496062992125984"/>
  <pageSetup paperSize="9" scale="63" orientation="landscape" r:id="rId1"/>
  <headerFooter alignWithMargins="0">
    <oddHeader>&amp;C&amp;"Arial,Negrita"&amp;18PROYECTO DE PRESUPUESTO 2021</oddHeader>
    <oddFooter>&amp;L&amp;"Arial,Negrita"&amp;8PROYECTO DE PRESUPUESTO PARA EL AÑO FISCAL 2020
INFORMACIÓN PARA LA COMISIÓN DE PRESUPUESTO Y CUENTA GENERAL DE LA REPÚBLICA DEL CONGRESO DE LA REPÚBLICA</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1">
    <tabColor theme="9" tint="-0.249977111117893"/>
  </sheetPr>
  <dimension ref="A1:W91"/>
  <sheetViews>
    <sheetView zoomScaleNormal="100" zoomScaleSheetLayoutView="100" zoomScalePageLayoutView="85" workbookViewId="0">
      <selection activeCell="D10" sqref="D10"/>
    </sheetView>
  </sheetViews>
  <sheetFormatPr baseColWidth="10" defaultColWidth="11.42578125" defaultRowHeight="12" x14ac:dyDescent="0.2"/>
  <cols>
    <col min="1" max="1" width="35.7109375" style="3" customWidth="1"/>
    <col min="2" max="2" width="30.7109375" style="3" customWidth="1"/>
    <col min="3" max="3" width="26.85546875" style="81" customWidth="1"/>
    <col min="4" max="4" width="22.28515625" style="3" customWidth="1"/>
    <col min="5" max="5" width="22.28515625" style="66" customWidth="1"/>
    <col min="6" max="6" width="25.7109375" style="3" customWidth="1"/>
    <col min="7" max="7" width="29" style="3" customWidth="1"/>
    <col min="8" max="8" width="23.5703125" style="3" customWidth="1"/>
    <col min="9" max="16384" width="11.42578125" style="3"/>
  </cols>
  <sheetData>
    <row r="1" spans="1:23" s="5" customFormat="1" x14ac:dyDescent="0.2">
      <c r="A1" s="82" t="s">
        <v>427</v>
      </c>
      <c r="B1" s="82"/>
      <c r="C1" s="82"/>
      <c r="D1" s="82"/>
      <c r="E1" s="82"/>
      <c r="F1" s="82"/>
      <c r="G1" s="82"/>
    </row>
    <row r="2" spans="1:23" s="5" customFormat="1" x14ac:dyDescent="0.2">
      <c r="A2" s="82" t="s">
        <v>453</v>
      </c>
      <c r="B2" s="82"/>
      <c r="C2" s="82"/>
      <c r="D2" s="82"/>
      <c r="E2" s="82"/>
      <c r="F2" s="82"/>
      <c r="G2" s="82"/>
      <c r="H2" s="82"/>
      <c r="I2" s="82"/>
      <c r="J2" s="82"/>
      <c r="K2" s="82"/>
      <c r="L2" s="82"/>
      <c r="M2" s="82"/>
      <c r="N2" s="82"/>
      <c r="O2" s="82"/>
      <c r="P2" s="82"/>
      <c r="Q2" s="82"/>
      <c r="R2" s="82"/>
      <c r="S2" s="82"/>
      <c r="T2" s="82"/>
      <c r="U2" s="82"/>
      <c r="V2" s="82"/>
      <c r="W2" s="82"/>
    </row>
    <row r="3" spans="1:23" ht="7.5" customHeight="1" thickBot="1" x14ac:dyDescent="0.25">
      <c r="A3" s="11"/>
      <c r="B3" s="11"/>
      <c r="C3" s="11"/>
      <c r="D3" s="15"/>
      <c r="E3" s="15"/>
      <c r="F3" s="15"/>
    </row>
    <row r="4" spans="1:23" ht="30" customHeight="1" thickBot="1" x14ac:dyDescent="0.25">
      <c r="A4" s="1304" t="s">
        <v>33</v>
      </c>
      <c r="B4" s="1304" t="s">
        <v>355</v>
      </c>
      <c r="C4" s="1304" t="s">
        <v>356</v>
      </c>
      <c r="D4" s="1110" t="s">
        <v>391</v>
      </c>
      <c r="E4" s="1110" t="s">
        <v>352</v>
      </c>
      <c r="F4" s="1109" t="s">
        <v>353</v>
      </c>
      <c r="G4" s="1304" t="s">
        <v>47</v>
      </c>
      <c r="H4" s="1304" t="s">
        <v>107</v>
      </c>
    </row>
    <row r="5" spans="1:23" ht="36" customHeight="1" thickBot="1" x14ac:dyDescent="0.25">
      <c r="A5" s="1305"/>
      <c r="B5" s="1305"/>
      <c r="C5" s="1305"/>
      <c r="D5" s="1061" t="s">
        <v>351</v>
      </c>
      <c r="E5" s="1061" t="s">
        <v>351</v>
      </c>
      <c r="F5" s="1061" t="s">
        <v>351</v>
      </c>
      <c r="G5" s="1306"/>
      <c r="H5" s="1306"/>
    </row>
    <row r="6" spans="1:23" s="81" customFormat="1" ht="24" customHeight="1" thickBot="1" x14ac:dyDescent="0.25">
      <c r="A6" s="1108" t="s">
        <v>1071</v>
      </c>
      <c r="B6" s="778"/>
      <c r="C6" s="778"/>
      <c r="D6" s="778"/>
      <c r="E6" s="778"/>
      <c r="F6" s="778"/>
      <c r="G6" s="778"/>
      <c r="H6" s="779"/>
    </row>
    <row r="7" spans="1:23" ht="59.25" customHeight="1" x14ac:dyDescent="0.2">
      <c r="A7" s="424" t="s">
        <v>981</v>
      </c>
      <c r="B7" s="425" t="s">
        <v>982</v>
      </c>
      <c r="C7" s="425">
        <v>10310454023</v>
      </c>
      <c r="D7" s="774">
        <v>10500</v>
      </c>
      <c r="E7" s="774"/>
      <c r="F7" s="774"/>
      <c r="G7" s="425"/>
      <c r="H7" s="415"/>
    </row>
    <row r="8" spans="1:23" ht="144" x14ac:dyDescent="0.2">
      <c r="A8" s="426" t="s">
        <v>983</v>
      </c>
      <c r="B8" s="427" t="s">
        <v>984</v>
      </c>
      <c r="C8" s="427">
        <v>20450536521</v>
      </c>
      <c r="D8" s="775">
        <v>5240</v>
      </c>
      <c r="E8" s="775"/>
      <c r="F8" s="775"/>
      <c r="G8" s="427"/>
      <c r="H8" s="34"/>
    </row>
    <row r="9" spans="1:23" ht="20.25" customHeight="1" x14ac:dyDescent="0.2">
      <c r="A9" s="426" t="s">
        <v>985</v>
      </c>
      <c r="B9" s="427" t="s">
        <v>986</v>
      </c>
      <c r="C9" s="427">
        <v>10442770242</v>
      </c>
      <c r="D9" s="775">
        <v>6000</v>
      </c>
      <c r="E9" s="775"/>
      <c r="F9" s="775"/>
      <c r="G9" s="427"/>
      <c r="H9" s="34"/>
    </row>
    <row r="10" spans="1:23" ht="33" customHeight="1" x14ac:dyDescent="0.2">
      <c r="A10" s="426" t="s">
        <v>987</v>
      </c>
      <c r="B10" s="427" t="s">
        <v>988</v>
      </c>
      <c r="C10" s="427">
        <v>10404972664</v>
      </c>
      <c r="D10" s="775">
        <v>6000</v>
      </c>
      <c r="E10" s="775"/>
      <c r="F10" s="775"/>
      <c r="G10" s="427"/>
      <c r="H10" s="34"/>
    </row>
    <row r="11" spans="1:23" ht="20.25" customHeight="1" x14ac:dyDescent="0.2">
      <c r="A11" s="426" t="s">
        <v>989</v>
      </c>
      <c r="B11" s="427" t="s">
        <v>990</v>
      </c>
      <c r="C11" s="427">
        <v>10722134139</v>
      </c>
      <c r="D11" s="775">
        <v>15000</v>
      </c>
      <c r="E11" s="775"/>
      <c r="F11" s="775"/>
      <c r="G11" s="427"/>
      <c r="H11" s="34"/>
    </row>
    <row r="12" spans="1:23" ht="34.5" customHeight="1" x14ac:dyDescent="0.2">
      <c r="A12" s="426" t="s">
        <v>991</v>
      </c>
      <c r="B12" s="427" t="s">
        <v>992</v>
      </c>
      <c r="C12" s="427">
        <v>10412757683</v>
      </c>
      <c r="D12" s="775">
        <v>28000</v>
      </c>
      <c r="E12" s="775"/>
      <c r="F12" s="775"/>
      <c r="G12" s="427"/>
      <c r="H12" s="34"/>
    </row>
    <row r="13" spans="1:23" ht="24" x14ac:dyDescent="0.2">
      <c r="A13" s="426" t="s">
        <v>993</v>
      </c>
      <c r="B13" s="427" t="s">
        <v>994</v>
      </c>
      <c r="C13" s="427">
        <v>10422104793</v>
      </c>
      <c r="D13" s="775">
        <v>12000</v>
      </c>
      <c r="E13" s="775"/>
      <c r="F13" s="775"/>
      <c r="G13" s="427"/>
      <c r="H13" s="34"/>
    </row>
    <row r="14" spans="1:23" ht="36" x14ac:dyDescent="0.2">
      <c r="A14" s="426" t="s">
        <v>995</v>
      </c>
      <c r="B14" s="427" t="s">
        <v>996</v>
      </c>
      <c r="C14" s="427">
        <v>20601851041</v>
      </c>
      <c r="D14" s="775">
        <v>33500</v>
      </c>
      <c r="E14" s="775"/>
      <c r="F14" s="775"/>
      <c r="G14" s="427"/>
      <c r="H14" s="34"/>
    </row>
    <row r="15" spans="1:23" ht="36" x14ac:dyDescent="0.2">
      <c r="A15" s="426" t="s">
        <v>991</v>
      </c>
      <c r="B15" s="427" t="s">
        <v>997</v>
      </c>
      <c r="C15" s="427">
        <v>10239747847</v>
      </c>
      <c r="D15" s="775">
        <v>33000</v>
      </c>
      <c r="E15" s="775"/>
      <c r="F15" s="775"/>
      <c r="G15" s="427"/>
      <c r="H15" s="34"/>
    </row>
    <row r="16" spans="1:23" ht="36" x14ac:dyDescent="0.2">
      <c r="A16" s="426" t="s">
        <v>991</v>
      </c>
      <c r="B16" s="427" t="s">
        <v>998</v>
      </c>
      <c r="C16" s="427">
        <v>10247214271</v>
      </c>
      <c r="D16" s="775"/>
      <c r="E16" s="775">
        <v>27900</v>
      </c>
      <c r="F16" s="775"/>
      <c r="G16" s="427"/>
      <c r="H16" s="34"/>
    </row>
    <row r="17" spans="1:8" ht="36" x14ac:dyDescent="0.2">
      <c r="A17" s="426" t="s">
        <v>991</v>
      </c>
      <c r="B17" s="427" t="s">
        <v>999</v>
      </c>
      <c r="C17" s="427">
        <v>10064505161</v>
      </c>
      <c r="D17" s="775"/>
      <c r="E17" s="775">
        <v>18000</v>
      </c>
      <c r="F17" s="775"/>
      <c r="G17" s="427"/>
      <c r="H17" s="34"/>
    </row>
    <row r="18" spans="1:8" ht="24" x14ac:dyDescent="0.2">
      <c r="A18" s="426" t="s">
        <v>1000</v>
      </c>
      <c r="B18" s="427" t="s">
        <v>1001</v>
      </c>
      <c r="C18" s="427">
        <v>10445852886</v>
      </c>
      <c r="D18" s="775"/>
      <c r="E18" s="775">
        <v>16000</v>
      </c>
      <c r="F18" s="775"/>
      <c r="G18" s="427"/>
      <c r="H18" s="34"/>
    </row>
    <row r="19" spans="1:8" ht="32.25" customHeight="1" x14ac:dyDescent="0.2">
      <c r="A19" s="426" t="s">
        <v>1002</v>
      </c>
      <c r="B19" s="427" t="s">
        <v>1003</v>
      </c>
      <c r="C19" s="427">
        <v>10444070132</v>
      </c>
      <c r="D19" s="775"/>
      <c r="E19" s="775">
        <v>12800</v>
      </c>
      <c r="F19" s="775"/>
      <c r="G19" s="427"/>
      <c r="H19" s="34"/>
    </row>
    <row r="20" spans="1:8" ht="32.25" customHeight="1" x14ac:dyDescent="0.2">
      <c r="A20" s="426" t="s">
        <v>1002</v>
      </c>
      <c r="B20" s="427" t="s">
        <v>1003</v>
      </c>
      <c r="C20" s="427">
        <v>10444070132</v>
      </c>
      <c r="D20" s="775"/>
      <c r="E20" s="775">
        <v>6400</v>
      </c>
      <c r="F20" s="775"/>
      <c r="G20" s="427"/>
      <c r="H20" s="34"/>
    </row>
    <row r="21" spans="1:8" ht="30.75" customHeight="1" x14ac:dyDescent="0.2">
      <c r="A21" s="426" t="s">
        <v>1002</v>
      </c>
      <c r="B21" s="427" t="s">
        <v>1003</v>
      </c>
      <c r="C21" s="427">
        <v>10444070132</v>
      </c>
      <c r="D21" s="775"/>
      <c r="E21" s="775">
        <v>1000</v>
      </c>
      <c r="F21" s="775"/>
      <c r="G21" s="427"/>
      <c r="H21" s="34"/>
    </row>
    <row r="22" spans="1:8" ht="36" customHeight="1" x14ac:dyDescent="0.2">
      <c r="A22" s="426" t="s">
        <v>1002</v>
      </c>
      <c r="B22" s="427" t="s">
        <v>1003</v>
      </c>
      <c r="C22" s="427">
        <v>10444070132</v>
      </c>
      <c r="D22" s="775"/>
      <c r="E22" s="775">
        <v>5000</v>
      </c>
      <c r="F22" s="775"/>
      <c r="G22" s="427"/>
      <c r="H22" s="34"/>
    </row>
    <row r="23" spans="1:8" ht="36" x14ac:dyDescent="0.2">
      <c r="A23" s="426" t="s">
        <v>1004</v>
      </c>
      <c r="B23" s="427" t="s">
        <v>1005</v>
      </c>
      <c r="C23" s="427">
        <v>10239771365</v>
      </c>
      <c r="D23" s="775"/>
      <c r="E23" s="775">
        <v>10000</v>
      </c>
      <c r="F23" s="775"/>
      <c r="G23" s="427"/>
      <c r="H23" s="34"/>
    </row>
    <row r="24" spans="1:8" ht="36" x14ac:dyDescent="0.2">
      <c r="A24" s="426" t="s">
        <v>1006</v>
      </c>
      <c r="B24" s="427" t="s">
        <v>1007</v>
      </c>
      <c r="C24" s="427">
        <v>10435535211</v>
      </c>
      <c r="D24" s="775"/>
      <c r="E24" s="775">
        <v>1830</v>
      </c>
      <c r="F24" s="775"/>
      <c r="G24" s="427"/>
      <c r="H24" s="34"/>
    </row>
    <row r="25" spans="1:8" ht="36" x14ac:dyDescent="0.2">
      <c r="A25" s="426" t="s">
        <v>1006</v>
      </c>
      <c r="B25" s="427" t="s">
        <v>1007</v>
      </c>
      <c r="C25" s="427">
        <v>10435535211</v>
      </c>
      <c r="D25" s="775"/>
      <c r="E25" s="775">
        <v>1900</v>
      </c>
      <c r="F25" s="775"/>
      <c r="G25" s="427"/>
      <c r="H25" s="34"/>
    </row>
    <row r="26" spans="1:8" ht="36" x14ac:dyDescent="0.2">
      <c r="A26" s="426" t="s">
        <v>1006</v>
      </c>
      <c r="B26" s="427" t="s">
        <v>1007</v>
      </c>
      <c r="C26" s="427">
        <v>10435535211</v>
      </c>
      <c r="D26" s="775"/>
      <c r="E26" s="775">
        <v>1700</v>
      </c>
      <c r="F26" s="775"/>
      <c r="G26" s="427"/>
      <c r="H26" s="34"/>
    </row>
    <row r="27" spans="1:8" ht="36" x14ac:dyDescent="0.2">
      <c r="A27" s="426" t="s">
        <v>1006</v>
      </c>
      <c r="B27" s="427" t="s">
        <v>1007</v>
      </c>
      <c r="C27" s="427">
        <v>10435535211</v>
      </c>
      <c r="D27" s="775"/>
      <c r="E27" s="775">
        <v>7170</v>
      </c>
      <c r="F27" s="775"/>
      <c r="G27" s="427"/>
      <c r="H27" s="34"/>
    </row>
    <row r="28" spans="1:8" ht="36" x14ac:dyDescent="0.2">
      <c r="A28" s="426" t="s">
        <v>1006</v>
      </c>
      <c r="B28" s="427" t="s">
        <v>1007</v>
      </c>
      <c r="C28" s="427">
        <v>10435535211</v>
      </c>
      <c r="D28" s="775"/>
      <c r="E28" s="775">
        <v>6400</v>
      </c>
      <c r="F28" s="775"/>
      <c r="G28" s="427"/>
      <c r="H28" s="34"/>
    </row>
    <row r="29" spans="1:8" ht="60" x14ac:dyDescent="0.2">
      <c r="A29" s="426" t="s">
        <v>1008</v>
      </c>
      <c r="B29" s="427" t="s">
        <v>1009</v>
      </c>
      <c r="C29" s="427">
        <v>20490192205</v>
      </c>
      <c r="D29" s="775"/>
      <c r="E29" s="775">
        <v>8000</v>
      </c>
      <c r="F29" s="775"/>
      <c r="G29" s="427"/>
      <c r="H29" s="34"/>
    </row>
    <row r="30" spans="1:8" ht="37.5" customHeight="1" x14ac:dyDescent="0.2">
      <c r="A30" s="426" t="s">
        <v>1010</v>
      </c>
      <c r="B30" s="427" t="s">
        <v>1011</v>
      </c>
      <c r="C30" s="427">
        <v>10418551891</v>
      </c>
      <c r="D30" s="775"/>
      <c r="E30" s="775">
        <v>13200</v>
      </c>
      <c r="F30" s="775"/>
      <c r="G30" s="427"/>
      <c r="H30" s="34"/>
    </row>
    <row r="31" spans="1:8" ht="84" x14ac:dyDescent="0.2">
      <c r="A31" s="1234" t="s">
        <v>12004</v>
      </c>
      <c r="B31" s="427" t="s">
        <v>1012</v>
      </c>
      <c r="C31" s="427">
        <v>20601525951</v>
      </c>
      <c r="D31" s="775"/>
      <c r="E31" s="775">
        <v>78300.009999999995</v>
      </c>
      <c r="F31" s="775"/>
      <c r="G31" s="427"/>
      <c r="H31" s="34"/>
    </row>
    <row r="32" spans="1:8" ht="48" x14ac:dyDescent="0.2">
      <c r="A32" s="426" t="s">
        <v>1013</v>
      </c>
      <c r="B32" s="427" t="s">
        <v>1014</v>
      </c>
      <c r="C32" s="427">
        <v>20604169977</v>
      </c>
      <c r="D32" s="775"/>
      <c r="E32" s="775">
        <v>8400</v>
      </c>
      <c r="F32" s="775"/>
      <c r="G32" s="427"/>
      <c r="H32" s="34"/>
    </row>
    <row r="33" spans="1:8" ht="48" x14ac:dyDescent="0.2">
      <c r="A33" s="426" t="s">
        <v>1013</v>
      </c>
      <c r="B33" s="427" t="s">
        <v>1015</v>
      </c>
      <c r="C33" s="427">
        <v>10433805149</v>
      </c>
      <c r="D33" s="775"/>
      <c r="E33" s="775">
        <v>8000</v>
      </c>
      <c r="F33" s="775"/>
      <c r="G33" s="427"/>
      <c r="H33" s="34"/>
    </row>
    <row r="34" spans="1:8" ht="24" x14ac:dyDescent="0.2">
      <c r="A34" s="426" t="s">
        <v>1016</v>
      </c>
      <c r="B34" s="427" t="s">
        <v>1017</v>
      </c>
      <c r="C34" s="427">
        <v>10414162873</v>
      </c>
      <c r="D34" s="775"/>
      <c r="E34" s="775">
        <v>16700</v>
      </c>
      <c r="F34" s="775"/>
      <c r="G34" s="427"/>
      <c r="H34" s="34"/>
    </row>
    <row r="35" spans="1:8" ht="36" x14ac:dyDescent="0.2">
      <c r="A35" s="426" t="s">
        <v>1018</v>
      </c>
      <c r="B35" s="427" t="s">
        <v>1019</v>
      </c>
      <c r="C35" s="427">
        <v>15556351888</v>
      </c>
      <c r="D35" s="775"/>
      <c r="E35" s="775">
        <v>33500</v>
      </c>
      <c r="F35" s="775"/>
      <c r="G35" s="427"/>
      <c r="H35" s="34"/>
    </row>
    <row r="36" spans="1:8" ht="24" x14ac:dyDescent="0.2">
      <c r="A36" s="426" t="s">
        <v>1000</v>
      </c>
      <c r="B36" s="427" t="s">
        <v>1020</v>
      </c>
      <c r="C36" s="427">
        <v>10103183109</v>
      </c>
      <c r="D36" s="775"/>
      <c r="E36" s="775">
        <v>1400</v>
      </c>
      <c r="F36" s="775"/>
      <c r="G36" s="427"/>
      <c r="H36" s="34"/>
    </row>
    <row r="37" spans="1:8" ht="24" x14ac:dyDescent="0.2">
      <c r="A37" s="426" t="s">
        <v>1021</v>
      </c>
      <c r="B37" s="427" t="s">
        <v>1022</v>
      </c>
      <c r="C37" s="427">
        <v>10238817434</v>
      </c>
      <c r="D37" s="775"/>
      <c r="E37" s="775">
        <v>900</v>
      </c>
      <c r="F37" s="775"/>
      <c r="G37" s="427"/>
      <c r="H37" s="34"/>
    </row>
    <row r="38" spans="1:8" ht="24" x14ac:dyDescent="0.2">
      <c r="A38" s="426" t="s">
        <v>1023</v>
      </c>
      <c r="B38" s="427" t="s">
        <v>1024</v>
      </c>
      <c r="C38" s="427">
        <v>10457073955</v>
      </c>
      <c r="D38" s="775"/>
      <c r="E38" s="775">
        <v>4150</v>
      </c>
      <c r="F38" s="775"/>
      <c r="G38" s="427"/>
      <c r="H38" s="34"/>
    </row>
    <row r="39" spans="1:8" ht="24" x14ac:dyDescent="0.2">
      <c r="A39" s="426" t="s">
        <v>1023</v>
      </c>
      <c r="B39" s="427" t="s">
        <v>1025</v>
      </c>
      <c r="C39" s="427">
        <v>10238599429</v>
      </c>
      <c r="D39" s="775"/>
      <c r="E39" s="775">
        <v>30800</v>
      </c>
      <c r="F39" s="775"/>
      <c r="G39" s="427"/>
      <c r="H39" s="34"/>
    </row>
    <row r="40" spans="1:8" ht="60" x14ac:dyDescent="0.2">
      <c r="A40" s="426" t="s">
        <v>1026</v>
      </c>
      <c r="B40" s="427" t="s">
        <v>1001</v>
      </c>
      <c r="C40" s="427">
        <v>10445852886</v>
      </c>
      <c r="D40" s="775"/>
      <c r="E40" s="775">
        <v>24000</v>
      </c>
      <c r="F40" s="775"/>
      <c r="G40" s="427"/>
      <c r="H40" s="34"/>
    </row>
    <row r="41" spans="1:8" ht="84" x14ac:dyDescent="0.2">
      <c r="A41" s="426" t="s">
        <v>1027</v>
      </c>
      <c r="B41" s="427" t="s">
        <v>1028</v>
      </c>
      <c r="C41" s="427">
        <v>10100118608</v>
      </c>
      <c r="D41" s="775"/>
      <c r="E41" s="775">
        <v>22000</v>
      </c>
      <c r="F41" s="775"/>
      <c r="G41" s="427"/>
      <c r="H41" s="34"/>
    </row>
    <row r="42" spans="1:8" ht="72" x14ac:dyDescent="0.2">
      <c r="A42" s="426" t="s">
        <v>1029</v>
      </c>
      <c r="B42" s="427" t="s">
        <v>1030</v>
      </c>
      <c r="C42" s="427">
        <v>20601430861</v>
      </c>
      <c r="D42" s="775"/>
      <c r="E42" s="775">
        <v>20000</v>
      </c>
      <c r="F42" s="775"/>
      <c r="G42" s="427"/>
      <c r="H42" s="34"/>
    </row>
    <row r="43" spans="1:8" ht="48" x14ac:dyDescent="0.2">
      <c r="A43" s="426" t="s">
        <v>1031</v>
      </c>
      <c r="B43" s="427" t="s">
        <v>1032</v>
      </c>
      <c r="C43" s="427">
        <v>10436992144</v>
      </c>
      <c r="D43" s="775"/>
      <c r="E43" s="775">
        <v>12900</v>
      </c>
      <c r="F43" s="775"/>
      <c r="G43" s="427"/>
      <c r="H43" s="34"/>
    </row>
    <row r="44" spans="1:8" ht="48" x14ac:dyDescent="0.2">
      <c r="A44" s="426" t="s">
        <v>1031</v>
      </c>
      <c r="B44" s="427" t="s">
        <v>1033</v>
      </c>
      <c r="C44" s="427">
        <v>10247010047</v>
      </c>
      <c r="D44" s="775"/>
      <c r="E44" s="775">
        <v>12900</v>
      </c>
      <c r="F44" s="775"/>
      <c r="G44" s="427"/>
      <c r="H44" s="34"/>
    </row>
    <row r="45" spans="1:8" ht="48" x14ac:dyDescent="0.2">
      <c r="A45" s="426" t="s">
        <v>1031</v>
      </c>
      <c r="B45" s="427" t="s">
        <v>1034</v>
      </c>
      <c r="C45" s="427">
        <v>10424156740</v>
      </c>
      <c r="D45" s="775"/>
      <c r="E45" s="775">
        <v>13200</v>
      </c>
      <c r="F45" s="775"/>
      <c r="G45" s="427"/>
      <c r="H45" s="34"/>
    </row>
    <row r="46" spans="1:8" ht="36" x14ac:dyDescent="0.2">
      <c r="A46" s="426" t="s">
        <v>1006</v>
      </c>
      <c r="B46" s="427" t="s">
        <v>1003</v>
      </c>
      <c r="C46" s="427">
        <v>10444070132</v>
      </c>
      <c r="D46" s="775"/>
      <c r="E46" s="775">
        <v>2300</v>
      </c>
      <c r="F46" s="775"/>
      <c r="G46" s="427"/>
      <c r="H46" s="34"/>
    </row>
    <row r="47" spans="1:8" ht="36" x14ac:dyDescent="0.2">
      <c r="A47" s="426" t="s">
        <v>1006</v>
      </c>
      <c r="B47" s="427" t="s">
        <v>1007</v>
      </c>
      <c r="C47" s="427">
        <v>10435535211</v>
      </c>
      <c r="D47" s="775"/>
      <c r="E47" s="775">
        <v>2350</v>
      </c>
      <c r="F47" s="775"/>
      <c r="G47" s="427"/>
      <c r="H47" s="34"/>
    </row>
    <row r="48" spans="1:8" ht="48" x14ac:dyDescent="0.2">
      <c r="A48" s="426" t="s">
        <v>1035</v>
      </c>
      <c r="B48" s="427" t="s">
        <v>1036</v>
      </c>
      <c r="C48" s="427">
        <v>10469661593</v>
      </c>
      <c r="D48" s="775"/>
      <c r="E48" s="775">
        <v>7000</v>
      </c>
      <c r="F48" s="775"/>
      <c r="G48" s="427"/>
      <c r="H48" s="34"/>
    </row>
    <row r="49" spans="1:8" ht="48" x14ac:dyDescent="0.2">
      <c r="A49" s="426" t="s">
        <v>1035</v>
      </c>
      <c r="B49" s="427" t="s">
        <v>1036</v>
      </c>
      <c r="C49" s="427">
        <v>10469661593</v>
      </c>
      <c r="D49" s="775"/>
      <c r="E49" s="775">
        <v>7000</v>
      </c>
      <c r="F49" s="775"/>
      <c r="G49" s="427"/>
      <c r="H49" s="34"/>
    </row>
    <row r="50" spans="1:8" ht="48" x14ac:dyDescent="0.2">
      <c r="A50" s="426" t="s">
        <v>1037</v>
      </c>
      <c r="B50" s="427" t="s">
        <v>1038</v>
      </c>
      <c r="C50" s="427">
        <v>10247102171</v>
      </c>
      <c r="D50" s="775"/>
      <c r="E50" s="775">
        <v>24000</v>
      </c>
      <c r="F50" s="775"/>
      <c r="G50" s="427"/>
      <c r="H50" s="34"/>
    </row>
    <row r="51" spans="1:8" ht="36" x14ac:dyDescent="0.2">
      <c r="A51" s="426" t="s">
        <v>1004</v>
      </c>
      <c r="B51" s="427" t="s">
        <v>1039</v>
      </c>
      <c r="C51" s="427">
        <v>20601200423</v>
      </c>
      <c r="D51" s="775"/>
      <c r="E51" s="775"/>
      <c r="F51" s="776">
        <v>3200</v>
      </c>
      <c r="G51" s="427"/>
      <c r="H51" s="34"/>
    </row>
    <row r="52" spans="1:8" ht="48" x14ac:dyDescent="0.2">
      <c r="A52" s="426" t="s">
        <v>1040</v>
      </c>
      <c r="B52" s="427" t="s">
        <v>1041</v>
      </c>
      <c r="C52" s="427">
        <v>10439231357</v>
      </c>
      <c r="D52" s="775"/>
      <c r="E52" s="775"/>
      <c r="F52" s="776">
        <v>6800</v>
      </c>
      <c r="G52" s="427"/>
      <c r="H52" s="34"/>
    </row>
    <row r="53" spans="1:8" ht="36" x14ac:dyDescent="0.2">
      <c r="A53" s="426" t="s">
        <v>1004</v>
      </c>
      <c r="B53" s="427" t="s">
        <v>1042</v>
      </c>
      <c r="C53" s="427">
        <v>20604392757</v>
      </c>
      <c r="D53" s="775"/>
      <c r="E53" s="775"/>
      <c r="F53" s="776">
        <v>13900</v>
      </c>
      <c r="G53" s="427"/>
      <c r="H53" s="34"/>
    </row>
    <row r="54" spans="1:8" ht="36" x14ac:dyDescent="0.2">
      <c r="A54" s="426" t="s">
        <v>991</v>
      </c>
      <c r="B54" s="427" t="s">
        <v>1043</v>
      </c>
      <c r="C54" s="427">
        <v>10412581194</v>
      </c>
      <c r="D54" s="775"/>
      <c r="E54" s="775"/>
      <c r="F54" s="776">
        <v>55350</v>
      </c>
      <c r="G54" s="427"/>
      <c r="H54" s="34"/>
    </row>
    <row r="55" spans="1:8" ht="72" x14ac:dyDescent="0.2">
      <c r="A55" s="426" t="s">
        <v>1044</v>
      </c>
      <c r="B55" s="427" t="s">
        <v>1045</v>
      </c>
      <c r="C55" s="427">
        <v>10417653011</v>
      </c>
      <c r="D55" s="775"/>
      <c r="E55" s="775"/>
      <c r="F55" s="776">
        <v>23800</v>
      </c>
      <c r="G55" s="427"/>
      <c r="H55" s="34"/>
    </row>
    <row r="56" spans="1:8" ht="30" customHeight="1" x14ac:dyDescent="0.2">
      <c r="A56" s="426" t="s">
        <v>985</v>
      </c>
      <c r="B56" s="427" t="s">
        <v>1046</v>
      </c>
      <c r="C56" s="427">
        <v>10239976951</v>
      </c>
      <c r="D56" s="775"/>
      <c r="E56" s="775"/>
      <c r="F56" s="776">
        <v>10000</v>
      </c>
      <c r="G56" s="427"/>
      <c r="H56" s="34"/>
    </row>
    <row r="57" spans="1:8" ht="30" customHeight="1" x14ac:dyDescent="0.2">
      <c r="A57" s="426" t="s">
        <v>985</v>
      </c>
      <c r="B57" s="427" t="s">
        <v>1047</v>
      </c>
      <c r="C57" s="427">
        <v>10415849368</v>
      </c>
      <c r="D57" s="775"/>
      <c r="E57" s="775"/>
      <c r="F57" s="776">
        <v>6000</v>
      </c>
      <c r="G57" s="427"/>
      <c r="H57" s="34"/>
    </row>
    <row r="58" spans="1:8" ht="30" customHeight="1" x14ac:dyDescent="0.2">
      <c r="A58" s="426" t="s">
        <v>985</v>
      </c>
      <c r="B58" s="427" t="s">
        <v>1048</v>
      </c>
      <c r="C58" s="427">
        <v>10250002357</v>
      </c>
      <c r="D58" s="775"/>
      <c r="E58" s="775"/>
      <c r="F58" s="776">
        <v>5000</v>
      </c>
      <c r="G58" s="427"/>
      <c r="H58" s="34"/>
    </row>
    <row r="59" spans="1:8" ht="36" x14ac:dyDescent="0.2">
      <c r="A59" s="426" t="s">
        <v>985</v>
      </c>
      <c r="B59" s="427" t="s">
        <v>1049</v>
      </c>
      <c r="C59" s="427">
        <v>20527722731</v>
      </c>
      <c r="D59" s="775"/>
      <c r="E59" s="775"/>
      <c r="F59" s="776">
        <v>33000</v>
      </c>
      <c r="G59" s="427"/>
      <c r="H59" s="34"/>
    </row>
    <row r="60" spans="1:8" ht="24" x14ac:dyDescent="0.2">
      <c r="A60" s="426" t="s">
        <v>1050</v>
      </c>
      <c r="B60" s="427" t="s">
        <v>1051</v>
      </c>
      <c r="C60" s="427">
        <v>10442666585</v>
      </c>
      <c r="D60" s="775"/>
      <c r="E60" s="775"/>
      <c r="F60" s="776">
        <v>9600</v>
      </c>
      <c r="G60" s="427"/>
      <c r="H60" s="34"/>
    </row>
    <row r="61" spans="1:8" ht="24" x14ac:dyDescent="0.2">
      <c r="A61" s="426" t="s">
        <v>985</v>
      </c>
      <c r="B61" s="427" t="s">
        <v>1052</v>
      </c>
      <c r="C61" s="427">
        <v>10238759264</v>
      </c>
      <c r="D61" s="775"/>
      <c r="E61" s="775"/>
      <c r="F61" s="776">
        <v>6000</v>
      </c>
      <c r="G61" s="427"/>
      <c r="H61" s="34"/>
    </row>
    <row r="62" spans="1:8" ht="72" x14ac:dyDescent="0.2">
      <c r="A62" s="426" t="s">
        <v>1044</v>
      </c>
      <c r="B62" s="427" t="s">
        <v>1019</v>
      </c>
      <c r="C62" s="427">
        <v>15556351888</v>
      </c>
      <c r="D62" s="775"/>
      <c r="E62" s="775"/>
      <c r="F62" s="776">
        <v>23500</v>
      </c>
      <c r="G62" s="427"/>
      <c r="H62" s="34"/>
    </row>
    <row r="63" spans="1:8" ht="36" x14ac:dyDescent="0.2">
      <c r="A63" s="426" t="s">
        <v>1053</v>
      </c>
      <c r="B63" s="427" t="s">
        <v>1003</v>
      </c>
      <c r="C63" s="427">
        <v>10444070132</v>
      </c>
      <c r="D63" s="775"/>
      <c r="E63" s="775"/>
      <c r="F63" s="776">
        <v>6600</v>
      </c>
      <c r="G63" s="427"/>
      <c r="H63" s="34"/>
    </row>
    <row r="64" spans="1:8" ht="60" x14ac:dyDescent="0.2">
      <c r="A64" s="426" t="s">
        <v>1054</v>
      </c>
      <c r="B64" s="427" t="s">
        <v>1055</v>
      </c>
      <c r="C64" s="427">
        <v>10414288036</v>
      </c>
      <c r="D64" s="775"/>
      <c r="E64" s="775"/>
      <c r="F64" s="776">
        <v>13500</v>
      </c>
      <c r="G64" s="427"/>
      <c r="H64" s="34"/>
    </row>
    <row r="65" spans="1:8" ht="24" x14ac:dyDescent="0.2">
      <c r="A65" s="426" t="s">
        <v>985</v>
      </c>
      <c r="B65" s="427" t="s">
        <v>1056</v>
      </c>
      <c r="C65" s="427">
        <v>10411614358</v>
      </c>
      <c r="D65" s="775"/>
      <c r="E65" s="775"/>
      <c r="F65" s="776">
        <v>10000</v>
      </c>
      <c r="G65" s="427"/>
      <c r="H65" s="34"/>
    </row>
    <row r="66" spans="1:8" ht="36" x14ac:dyDescent="0.2">
      <c r="A66" s="426" t="s">
        <v>991</v>
      </c>
      <c r="B66" s="427" t="s">
        <v>1057</v>
      </c>
      <c r="C66" s="427">
        <v>20278699391</v>
      </c>
      <c r="D66" s="775"/>
      <c r="E66" s="775"/>
      <c r="F66" s="776">
        <v>277875</v>
      </c>
      <c r="G66" s="427"/>
      <c r="H66" s="34"/>
    </row>
    <row r="67" spans="1:8" ht="36" x14ac:dyDescent="0.2">
      <c r="A67" s="426" t="s">
        <v>1004</v>
      </c>
      <c r="B67" s="427" t="s">
        <v>1058</v>
      </c>
      <c r="C67" s="427">
        <v>20528085530</v>
      </c>
      <c r="D67" s="775"/>
      <c r="E67" s="775"/>
      <c r="F67" s="776">
        <v>6000</v>
      </c>
      <c r="G67" s="427"/>
      <c r="H67" s="34"/>
    </row>
    <row r="68" spans="1:8" ht="48" x14ac:dyDescent="0.2">
      <c r="A68" s="426" t="s">
        <v>1059</v>
      </c>
      <c r="B68" s="427" t="s">
        <v>1060</v>
      </c>
      <c r="C68" s="427">
        <v>20601355974</v>
      </c>
      <c r="D68" s="775"/>
      <c r="E68" s="775"/>
      <c r="F68" s="776">
        <v>33500</v>
      </c>
      <c r="G68" s="427"/>
      <c r="H68" s="34"/>
    </row>
    <row r="69" spans="1:8" ht="48" x14ac:dyDescent="0.2">
      <c r="A69" s="426" t="s">
        <v>1061</v>
      </c>
      <c r="B69" s="427" t="s">
        <v>1060</v>
      </c>
      <c r="C69" s="427">
        <v>20601355974</v>
      </c>
      <c r="D69" s="775"/>
      <c r="E69" s="775"/>
      <c r="F69" s="776">
        <v>14000</v>
      </c>
      <c r="G69" s="427"/>
      <c r="H69" s="34"/>
    </row>
    <row r="70" spans="1:8" ht="36" x14ac:dyDescent="0.2">
      <c r="A70" s="426" t="s">
        <v>991</v>
      </c>
      <c r="B70" s="427" t="s">
        <v>1057</v>
      </c>
      <c r="C70" s="427">
        <v>20278699391</v>
      </c>
      <c r="D70" s="775"/>
      <c r="E70" s="775"/>
      <c r="F70" s="776">
        <v>51681</v>
      </c>
      <c r="G70" s="427"/>
      <c r="H70" s="34"/>
    </row>
    <row r="71" spans="1:8" ht="60" x14ac:dyDescent="0.2">
      <c r="A71" s="426" t="s">
        <v>1062</v>
      </c>
      <c r="B71" s="427" t="s">
        <v>1063</v>
      </c>
      <c r="C71" s="427">
        <v>10468318704</v>
      </c>
      <c r="D71" s="775"/>
      <c r="E71" s="775"/>
      <c r="F71" s="776">
        <v>10000</v>
      </c>
      <c r="G71" s="427"/>
      <c r="H71" s="34"/>
    </row>
    <row r="72" spans="1:8" ht="40.5" customHeight="1" x14ac:dyDescent="0.2">
      <c r="A72" s="426" t="s">
        <v>985</v>
      </c>
      <c r="B72" s="427" t="s">
        <v>1003</v>
      </c>
      <c r="C72" s="427">
        <v>10444070132</v>
      </c>
      <c r="D72" s="775"/>
      <c r="E72" s="775"/>
      <c r="F72" s="776">
        <v>26000</v>
      </c>
      <c r="G72" s="427"/>
      <c r="H72" s="34"/>
    </row>
    <row r="73" spans="1:8" ht="36" x14ac:dyDescent="0.2">
      <c r="A73" s="426" t="s">
        <v>991</v>
      </c>
      <c r="B73" s="427" t="s">
        <v>1064</v>
      </c>
      <c r="C73" s="427">
        <v>20493929403</v>
      </c>
      <c r="D73" s="775"/>
      <c r="E73" s="775"/>
      <c r="F73" s="776">
        <v>62675.21</v>
      </c>
      <c r="G73" s="427"/>
      <c r="H73" s="34"/>
    </row>
    <row r="74" spans="1:8" ht="36" x14ac:dyDescent="0.2">
      <c r="A74" s="426" t="s">
        <v>1004</v>
      </c>
      <c r="B74" s="427" t="s">
        <v>1005</v>
      </c>
      <c r="C74" s="427">
        <v>10239771365</v>
      </c>
      <c r="D74" s="775"/>
      <c r="E74" s="775"/>
      <c r="F74" s="776">
        <v>4500</v>
      </c>
      <c r="G74" s="427"/>
      <c r="H74" s="34"/>
    </row>
    <row r="75" spans="1:8" ht="36" x14ac:dyDescent="0.2">
      <c r="A75" s="426" t="s">
        <v>1004</v>
      </c>
      <c r="B75" s="427" t="s">
        <v>1065</v>
      </c>
      <c r="C75" s="427">
        <v>10430674329</v>
      </c>
      <c r="D75" s="775"/>
      <c r="E75" s="775"/>
      <c r="F75" s="776">
        <v>8500</v>
      </c>
      <c r="G75" s="427"/>
      <c r="H75" s="34"/>
    </row>
    <row r="76" spans="1:8" ht="36" x14ac:dyDescent="0.2">
      <c r="A76" s="426" t="s">
        <v>991</v>
      </c>
      <c r="B76" s="427" t="s">
        <v>1066</v>
      </c>
      <c r="C76" s="427">
        <v>10441549704</v>
      </c>
      <c r="D76" s="775"/>
      <c r="E76" s="775"/>
      <c r="F76" s="776">
        <v>15500</v>
      </c>
      <c r="G76" s="427"/>
      <c r="H76" s="34"/>
    </row>
    <row r="77" spans="1:8" ht="60" x14ac:dyDescent="0.2">
      <c r="A77" s="426" t="s">
        <v>1067</v>
      </c>
      <c r="B77" s="427" t="s">
        <v>1068</v>
      </c>
      <c r="C77" s="427">
        <v>10008219503</v>
      </c>
      <c r="D77" s="775"/>
      <c r="E77" s="775"/>
      <c r="F77" s="776">
        <v>35100</v>
      </c>
      <c r="G77" s="427"/>
      <c r="H77" s="34"/>
    </row>
    <row r="78" spans="1:8" ht="30" customHeight="1" x14ac:dyDescent="0.2">
      <c r="A78" s="426" t="s">
        <v>985</v>
      </c>
      <c r="B78" s="427" t="s">
        <v>1069</v>
      </c>
      <c r="C78" s="427">
        <v>10402644732</v>
      </c>
      <c r="D78" s="775"/>
      <c r="E78" s="775"/>
      <c r="F78" s="776">
        <v>26000</v>
      </c>
      <c r="G78" s="427"/>
      <c r="H78" s="34"/>
    </row>
    <row r="79" spans="1:8" ht="36" x14ac:dyDescent="0.2">
      <c r="A79" s="426" t="s">
        <v>1004</v>
      </c>
      <c r="B79" s="427" t="s">
        <v>1039</v>
      </c>
      <c r="C79" s="427">
        <v>20601200423</v>
      </c>
      <c r="D79" s="775"/>
      <c r="E79" s="775"/>
      <c r="F79" s="776">
        <v>5500</v>
      </c>
      <c r="G79" s="427"/>
      <c r="H79" s="34"/>
    </row>
    <row r="80" spans="1:8" ht="24" customHeight="1" thickBot="1" x14ac:dyDescent="0.25">
      <c r="A80" s="961" t="s">
        <v>985</v>
      </c>
      <c r="B80" s="962" t="s">
        <v>1070</v>
      </c>
      <c r="C80" s="962">
        <v>10475417963</v>
      </c>
      <c r="D80" s="963"/>
      <c r="E80" s="963"/>
      <c r="F80" s="964">
        <v>20000</v>
      </c>
      <c r="G80" s="962"/>
      <c r="H80" s="965"/>
    </row>
    <row r="81" spans="1:8" s="81" customFormat="1" ht="35.25" customHeight="1" x14ac:dyDescent="0.2">
      <c r="A81" s="966" t="s">
        <v>11913</v>
      </c>
      <c r="B81" s="777"/>
      <c r="C81" s="777"/>
      <c r="D81" s="778"/>
      <c r="E81" s="778"/>
      <c r="F81" s="778"/>
      <c r="G81" s="778"/>
      <c r="H81" s="779"/>
    </row>
    <row r="82" spans="1:8" s="81" customFormat="1" ht="168" x14ac:dyDescent="0.2">
      <c r="A82" s="1155" t="s">
        <v>11914</v>
      </c>
      <c r="B82" s="440" t="s">
        <v>1501</v>
      </c>
      <c r="C82" s="417" t="s">
        <v>11915</v>
      </c>
      <c r="D82" s="416"/>
      <c r="E82" s="416"/>
      <c r="F82" s="416"/>
      <c r="G82" s="416"/>
      <c r="H82" s="34"/>
    </row>
    <row r="83" spans="1:8" s="81" customFormat="1" ht="132.75" thickBot="1" x14ac:dyDescent="0.25">
      <c r="A83" s="1155" t="s">
        <v>11916</v>
      </c>
      <c r="B83" s="440" t="s">
        <v>1501</v>
      </c>
      <c r="C83" s="417" t="s">
        <v>11915</v>
      </c>
      <c r="D83" s="416"/>
      <c r="E83" s="416"/>
      <c r="F83" s="416"/>
      <c r="G83" s="416"/>
      <c r="H83" s="34"/>
    </row>
    <row r="84" spans="1:8" s="81" customFormat="1" ht="32.25" customHeight="1" x14ac:dyDescent="0.2">
      <c r="A84" s="966" t="s">
        <v>11920</v>
      </c>
      <c r="B84" s="777"/>
      <c r="C84" s="777"/>
      <c r="D84" s="778"/>
      <c r="E84" s="778"/>
      <c r="F84" s="778"/>
      <c r="G84" s="778"/>
      <c r="H84" s="779"/>
    </row>
    <row r="85" spans="1:8" s="81" customFormat="1" ht="24.95" customHeight="1" x14ac:dyDescent="0.2">
      <c r="A85" s="1156" t="s">
        <v>1662</v>
      </c>
      <c r="B85" s="1015">
        <v>20490409549</v>
      </c>
      <c r="C85" s="469" t="s">
        <v>621</v>
      </c>
      <c r="D85" s="484">
        <v>3500</v>
      </c>
      <c r="E85" s="468">
        <v>0</v>
      </c>
      <c r="F85" s="1017"/>
      <c r="G85" s="1017" t="s">
        <v>2074</v>
      </c>
      <c r="H85" s="1149" t="s">
        <v>11917</v>
      </c>
    </row>
    <row r="86" spans="1:8" s="81" customFormat="1" ht="24.95" customHeight="1" thickBot="1" x14ac:dyDescent="0.25">
      <c r="A86" s="1156" t="s">
        <v>11918</v>
      </c>
      <c r="B86" s="1015">
        <v>20869578541</v>
      </c>
      <c r="C86" s="469" t="s">
        <v>11915</v>
      </c>
      <c r="D86" s="967">
        <v>56050</v>
      </c>
      <c r="E86" s="1017"/>
      <c r="F86" s="1017"/>
      <c r="G86" s="1017" t="s">
        <v>11918</v>
      </c>
      <c r="H86" s="1149" t="s">
        <v>11919</v>
      </c>
    </row>
    <row r="87" spans="1:8" s="81" customFormat="1" ht="32.25" customHeight="1" x14ac:dyDescent="0.2">
      <c r="A87" s="966" t="s">
        <v>11920</v>
      </c>
      <c r="B87" s="777"/>
      <c r="C87" s="777"/>
      <c r="D87" s="778"/>
      <c r="E87" s="778"/>
      <c r="F87" s="778"/>
      <c r="G87" s="778"/>
      <c r="H87" s="779"/>
    </row>
    <row r="88" spans="1:8" s="81" customFormat="1" ht="30" customHeight="1" x14ac:dyDescent="0.2">
      <c r="A88" s="1156" t="s">
        <v>11921</v>
      </c>
      <c r="B88" s="1015">
        <v>10424792930</v>
      </c>
      <c r="C88" s="1015" t="s">
        <v>11922</v>
      </c>
      <c r="D88" s="967"/>
      <c r="E88" s="967">
        <v>8000</v>
      </c>
      <c r="F88" s="1017"/>
      <c r="G88" s="1017" t="s">
        <v>11923</v>
      </c>
      <c r="H88" s="1149" t="s">
        <v>11924</v>
      </c>
    </row>
    <row r="89" spans="1:8" s="81" customFormat="1" ht="30" customHeight="1" x14ac:dyDescent="0.2">
      <c r="A89" s="1156" t="s">
        <v>11925</v>
      </c>
      <c r="B89" s="1015">
        <v>10404733376</v>
      </c>
      <c r="C89" s="1015" t="s">
        <v>11926</v>
      </c>
      <c r="D89" s="1017"/>
      <c r="E89" s="1017"/>
      <c r="F89" s="967">
        <v>6000</v>
      </c>
      <c r="G89" s="1017" t="s">
        <v>11925</v>
      </c>
      <c r="H89" s="1149" t="s">
        <v>4127</v>
      </c>
    </row>
    <row r="90" spans="1:8" s="81" customFormat="1" x14ac:dyDescent="0.2">
      <c r="A90" s="426"/>
      <c r="B90" s="427"/>
      <c r="C90" s="427"/>
      <c r="D90" s="775"/>
      <c r="E90" s="775"/>
      <c r="F90" s="776"/>
      <c r="G90" s="427"/>
      <c r="H90" s="34"/>
    </row>
    <row r="91" spans="1:8" ht="30.75" customHeight="1" thickBot="1" x14ac:dyDescent="0.25">
      <c r="A91" s="62" t="s">
        <v>34</v>
      </c>
      <c r="B91" s="29"/>
      <c r="C91" s="29"/>
      <c r="D91" s="420"/>
      <c r="E91" s="421"/>
      <c r="F91" s="422"/>
      <c r="G91" s="423"/>
      <c r="H91" s="423"/>
    </row>
  </sheetData>
  <mergeCells count="5">
    <mergeCell ref="B4:B5"/>
    <mergeCell ref="H4:H5"/>
    <mergeCell ref="A4:A5"/>
    <mergeCell ref="G4:G5"/>
    <mergeCell ref="C4:C5"/>
  </mergeCells>
  <phoneticPr fontId="0" type="noConversion"/>
  <printOptions horizontalCentered="1"/>
  <pageMargins left="0.23622047244094491" right="0.31496062992125984" top="0.74803149606299213" bottom="0.74803149606299213" header="0.31496062992125984" footer="0.31496062992125984"/>
  <pageSetup paperSize="9" scale="67" orientation="landscape" r:id="rId1"/>
  <headerFooter alignWithMargins="0">
    <oddHeader>&amp;C&amp;"Arial,Negrita"&amp;18PROYECTO DE PRESUPUESTO 2021</oddHeader>
    <oddFooter>&amp;L&amp;"Arial,Negrita"&amp;8PROYECTO DE PRESUPUESTO PARA EL AÑO FISCAL 2020
INFORMACIÓN PARA LA COMISIÓN DE PRESUPUESTO Y CUENTA GENERAL DE LA REPÚBLICA DEL CONGRESO DE LA REPÚBLICA</oddFooter>
  </headerFooter>
  <colBreaks count="1" manualBreakCount="1">
    <brk id="8" max="1048575"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V263"/>
  <sheetViews>
    <sheetView zoomScaleNormal="100" zoomScaleSheetLayoutView="100" zoomScalePageLayoutView="85" workbookViewId="0">
      <selection activeCell="A9" sqref="A9"/>
    </sheetView>
  </sheetViews>
  <sheetFormatPr baseColWidth="10" defaultColWidth="11.42578125" defaultRowHeight="12" x14ac:dyDescent="0.2"/>
  <cols>
    <col min="1" max="1" width="42" style="223" bestFit="1" customWidth="1"/>
    <col min="2" max="2" width="23.5703125" style="223" customWidth="1"/>
    <col min="3" max="3" width="35.42578125" style="223" customWidth="1"/>
    <col min="4" max="8" width="15.5703125" style="223" customWidth="1"/>
    <col min="9" max="16384" width="11.42578125" style="223"/>
  </cols>
  <sheetData>
    <row r="1" spans="1:22" s="226" customFormat="1" ht="15.75" x14ac:dyDescent="0.25">
      <c r="A1" s="228" t="s">
        <v>428</v>
      </c>
      <c r="B1" s="227"/>
      <c r="C1" s="227"/>
      <c r="D1" s="227"/>
      <c r="E1" s="227"/>
      <c r="F1" s="227"/>
      <c r="G1" s="227"/>
      <c r="H1" s="227"/>
    </row>
    <row r="2" spans="1:22" s="225" customFormat="1" ht="15.75" x14ac:dyDescent="0.2">
      <c r="A2" s="82" t="s">
        <v>453</v>
      </c>
      <c r="B2" s="85"/>
      <c r="C2" s="85"/>
      <c r="D2" s="85"/>
      <c r="E2" s="85"/>
      <c r="F2" s="85"/>
      <c r="G2" s="85"/>
      <c r="H2" s="85"/>
      <c r="I2" s="85"/>
      <c r="J2" s="85"/>
      <c r="K2" s="85"/>
      <c r="L2" s="85"/>
      <c r="M2" s="85"/>
      <c r="N2" s="85"/>
      <c r="O2" s="85"/>
      <c r="P2" s="85"/>
      <c r="Q2" s="85"/>
      <c r="R2" s="85"/>
      <c r="S2" s="85"/>
      <c r="T2" s="85"/>
      <c r="U2" s="85"/>
      <c r="V2" s="85"/>
    </row>
    <row r="3" spans="1:22" ht="0.75" customHeight="1" thickBot="1" x14ac:dyDescent="0.25"/>
    <row r="4" spans="1:22" ht="28.5" customHeight="1" thickBot="1" x14ac:dyDescent="0.25">
      <c r="A4" s="1310" t="s">
        <v>362</v>
      </c>
      <c r="B4" s="1310" t="s">
        <v>86</v>
      </c>
      <c r="C4" s="1307" t="s">
        <v>361</v>
      </c>
      <c r="D4" s="1308"/>
      <c r="E4" s="1308"/>
      <c r="F4" s="1308"/>
      <c r="G4" s="1308"/>
      <c r="H4" s="1309"/>
    </row>
    <row r="5" spans="1:22" s="224" customFormat="1" ht="33.75" customHeight="1" thickBot="1" x14ac:dyDescent="0.25">
      <c r="A5" s="1311"/>
      <c r="B5" s="1311"/>
      <c r="C5" s="725" t="s">
        <v>360</v>
      </c>
      <c r="D5" s="726" t="s">
        <v>359</v>
      </c>
      <c r="E5" s="727" t="s">
        <v>358</v>
      </c>
      <c r="F5" s="728" t="s">
        <v>357</v>
      </c>
      <c r="G5" s="728" t="s">
        <v>363</v>
      </c>
      <c r="H5" s="728" t="s">
        <v>364</v>
      </c>
    </row>
    <row r="6" spans="1:22" ht="24.95" customHeight="1" x14ac:dyDescent="0.25">
      <c r="A6" s="804" t="s">
        <v>35</v>
      </c>
      <c r="B6" s="805"/>
      <c r="C6" s="805"/>
      <c r="D6" s="805"/>
      <c r="E6" s="806"/>
      <c r="F6" s="806"/>
      <c r="G6" s="807"/>
      <c r="H6" s="808"/>
    </row>
    <row r="7" spans="1:22" ht="24.95" customHeight="1" x14ac:dyDescent="0.2">
      <c r="A7" s="780" t="s">
        <v>3435</v>
      </c>
      <c r="B7" s="781" t="s">
        <v>3436</v>
      </c>
      <c r="C7" s="782" t="s">
        <v>3437</v>
      </c>
      <c r="D7" s="785" t="s">
        <v>3438</v>
      </c>
      <c r="E7" s="785" t="s">
        <v>3439</v>
      </c>
      <c r="F7" s="785" t="s">
        <v>3440</v>
      </c>
      <c r="G7" s="785"/>
      <c r="H7" s="830" t="s">
        <v>3441</v>
      </c>
    </row>
    <row r="8" spans="1:22" ht="24.95" customHeight="1" x14ac:dyDescent="0.2">
      <c r="A8" s="780" t="s">
        <v>3442</v>
      </c>
      <c r="B8" s="781" t="s">
        <v>3443</v>
      </c>
      <c r="C8" s="785" t="s">
        <v>3441</v>
      </c>
      <c r="D8" s="785" t="s">
        <v>3441</v>
      </c>
      <c r="E8" s="785" t="s">
        <v>3441</v>
      </c>
      <c r="F8" s="785" t="s">
        <v>3441</v>
      </c>
      <c r="G8" s="785"/>
      <c r="H8" s="830" t="s">
        <v>3441</v>
      </c>
    </row>
    <row r="9" spans="1:22" ht="24.95" customHeight="1" x14ac:dyDescent="0.2">
      <c r="A9" s="780" t="s">
        <v>3444</v>
      </c>
      <c r="B9" s="781" t="s">
        <v>3445</v>
      </c>
      <c r="C9" s="785" t="s">
        <v>3441</v>
      </c>
      <c r="D9" s="785" t="s">
        <v>3441</v>
      </c>
      <c r="E9" s="785" t="s">
        <v>3441</v>
      </c>
      <c r="F9" s="785" t="s">
        <v>3441</v>
      </c>
      <c r="G9" s="785"/>
      <c r="H9" s="830" t="s">
        <v>3441</v>
      </c>
    </row>
    <row r="10" spans="1:22" ht="24.95" customHeight="1" x14ac:dyDescent="0.2">
      <c r="A10" s="780" t="s">
        <v>3446</v>
      </c>
      <c r="B10" s="781" t="s">
        <v>3447</v>
      </c>
      <c r="C10" s="782" t="s">
        <v>3437</v>
      </c>
      <c r="D10" s="782" t="s">
        <v>3448</v>
      </c>
      <c r="E10" s="782">
        <v>2005</v>
      </c>
      <c r="F10" s="782" t="s">
        <v>3440</v>
      </c>
      <c r="G10" s="783"/>
      <c r="H10" s="784"/>
    </row>
    <row r="11" spans="1:22" ht="24.95" customHeight="1" x14ac:dyDescent="0.2">
      <c r="A11" s="780" t="s">
        <v>3449</v>
      </c>
      <c r="B11" s="781" t="s">
        <v>3450</v>
      </c>
      <c r="C11" s="782" t="s">
        <v>3437</v>
      </c>
      <c r="D11" s="782" t="s">
        <v>3451</v>
      </c>
      <c r="E11" s="782">
        <v>2005</v>
      </c>
      <c r="F11" s="782" t="s">
        <v>3440</v>
      </c>
      <c r="G11" s="783"/>
      <c r="H11" s="784"/>
    </row>
    <row r="12" spans="1:22" ht="24.95" customHeight="1" x14ac:dyDescent="0.2">
      <c r="A12" s="780" t="s">
        <v>3452</v>
      </c>
      <c r="B12" s="781" t="s">
        <v>3453</v>
      </c>
      <c r="C12" s="782" t="s">
        <v>3437</v>
      </c>
      <c r="D12" s="782" t="s">
        <v>3454</v>
      </c>
      <c r="E12" s="782">
        <v>2005</v>
      </c>
      <c r="F12" s="782" t="s">
        <v>3440</v>
      </c>
      <c r="G12" s="783"/>
      <c r="H12" s="784"/>
    </row>
    <row r="13" spans="1:22" ht="24.95" customHeight="1" x14ac:dyDescent="0.2">
      <c r="A13" s="780" t="s">
        <v>3455</v>
      </c>
      <c r="B13" s="781" t="s">
        <v>3456</v>
      </c>
      <c r="C13" s="782" t="s">
        <v>3437</v>
      </c>
      <c r="D13" s="782" t="s">
        <v>3457</v>
      </c>
      <c r="E13" s="782">
        <v>2005</v>
      </c>
      <c r="F13" s="782" t="s">
        <v>3440</v>
      </c>
      <c r="G13" s="783"/>
      <c r="H13" s="784"/>
    </row>
    <row r="14" spans="1:22" ht="24.95" customHeight="1" x14ac:dyDescent="0.2">
      <c r="A14" s="780" t="s">
        <v>3458</v>
      </c>
      <c r="B14" s="781" t="s">
        <v>3459</v>
      </c>
      <c r="C14" s="782" t="s">
        <v>3437</v>
      </c>
      <c r="D14" s="782" t="s">
        <v>3460</v>
      </c>
      <c r="E14" s="782">
        <v>2005</v>
      </c>
      <c r="F14" s="782" t="s">
        <v>3440</v>
      </c>
      <c r="G14" s="783"/>
      <c r="H14" s="784"/>
    </row>
    <row r="15" spans="1:22" ht="24.95" customHeight="1" x14ac:dyDescent="0.2">
      <c r="A15" s="780" t="s">
        <v>3461</v>
      </c>
      <c r="B15" s="781" t="s">
        <v>3462</v>
      </c>
      <c r="C15" s="782"/>
      <c r="D15" s="782"/>
      <c r="E15" s="782"/>
      <c r="F15" s="782"/>
      <c r="G15" s="783"/>
      <c r="H15" s="784"/>
    </row>
    <row r="16" spans="1:22" ht="24.95" customHeight="1" x14ac:dyDescent="0.2">
      <c r="A16" s="780" t="s">
        <v>3463</v>
      </c>
      <c r="B16" s="781" t="s">
        <v>3464</v>
      </c>
      <c r="C16" s="782" t="s">
        <v>3437</v>
      </c>
      <c r="D16" s="782">
        <v>171000580</v>
      </c>
      <c r="E16" s="782">
        <v>2005</v>
      </c>
      <c r="F16" s="782" t="s">
        <v>3440</v>
      </c>
      <c r="G16" s="783"/>
      <c r="H16" s="784"/>
    </row>
    <row r="17" spans="1:8" ht="24.95" customHeight="1" x14ac:dyDescent="0.2">
      <c r="A17" s="780" t="s">
        <v>3465</v>
      </c>
      <c r="B17" s="781" t="s">
        <v>3466</v>
      </c>
      <c r="C17" s="782" t="s">
        <v>3437</v>
      </c>
      <c r="D17" s="782">
        <v>211004223</v>
      </c>
      <c r="E17" s="810">
        <v>2005</v>
      </c>
      <c r="F17" s="782" t="s">
        <v>3440</v>
      </c>
      <c r="G17" s="783"/>
      <c r="H17" s="784"/>
    </row>
    <row r="18" spans="1:8" ht="24.95" customHeight="1" x14ac:dyDescent="0.2">
      <c r="A18" s="780" t="s">
        <v>3467</v>
      </c>
      <c r="B18" s="781" t="s">
        <v>3468</v>
      </c>
      <c r="C18" s="782" t="s">
        <v>3469</v>
      </c>
      <c r="D18" s="782" t="s">
        <v>3470</v>
      </c>
      <c r="E18" s="785" t="s">
        <v>3441</v>
      </c>
      <c r="F18" s="785" t="s">
        <v>3441</v>
      </c>
      <c r="G18" s="785"/>
      <c r="H18" s="830"/>
    </row>
    <row r="19" spans="1:8" ht="24.95" customHeight="1" x14ac:dyDescent="0.2">
      <c r="A19" s="780" t="s">
        <v>3471</v>
      </c>
      <c r="B19" s="781" t="s">
        <v>3472</v>
      </c>
      <c r="C19" s="782" t="s">
        <v>3437</v>
      </c>
      <c r="D19" s="782" t="s">
        <v>3473</v>
      </c>
      <c r="E19" s="810">
        <v>2005</v>
      </c>
      <c r="F19" s="782" t="s">
        <v>3440</v>
      </c>
      <c r="G19" s="783"/>
      <c r="H19" s="784"/>
    </row>
    <row r="20" spans="1:8" ht="24.95" customHeight="1" x14ac:dyDescent="0.2">
      <c r="A20" s="780" t="s">
        <v>3474</v>
      </c>
      <c r="B20" s="781" t="s">
        <v>3475</v>
      </c>
      <c r="C20" s="782" t="s">
        <v>3437</v>
      </c>
      <c r="D20" s="782" t="s">
        <v>3476</v>
      </c>
      <c r="E20" s="810"/>
      <c r="F20" s="782" t="s">
        <v>3440</v>
      </c>
      <c r="G20" s="783"/>
      <c r="H20" s="784"/>
    </row>
    <row r="21" spans="1:8" ht="24.95" customHeight="1" x14ac:dyDescent="0.2">
      <c r="A21" s="780" t="s">
        <v>3477</v>
      </c>
      <c r="B21" s="781" t="s">
        <v>3478</v>
      </c>
      <c r="C21" s="782" t="s">
        <v>3437</v>
      </c>
      <c r="D21" s="782" t="s">
        <v>3479</v>
      </c>
      <c r="E21" s="810">
        <v>2005</v>
      </c>
      <c r="F21" s="782" t="s">
        <v>3440</v>
      </c>
      <c r="G21" s="783"/>
      <c r="H21" s="784"/>
    </row>
    <row r="22" spans="1:8" ht="24.95" customHeight="1" x14ac:dyDescent="0.2">
      <c r="A22" s="780" t="s">
        <v>3480</v>
      </c>
      <c r="B22" s="781" t="s">
        <v>3481</v>
      </c>
      <c r="C22" s="782" t="s">
        <v>3437</v>
      </c>
      <c r="D22" s="782" t="s">
        <v>3482</v>
      </c>
      <c r="E22" s="782">
        <v>2010</v>
      </c>
      <c r="F22" s="782" t="s">
        <v>3440</v>
      </c>
      <c r="G22" s="783"/>
      <c r="H22" s="784"/>
    </row>
    <row r="23" spans="1:8" ht="24.95" customHeight="1" x14ac:dyDescent="0.2">
      <c r="A23" s="780" t="s">
        <v>3483</v>
      </c>
      <c r="B23" s="781" t="s">
        <v>3484</v>
      </c>
      <c r="C23" s="782" t="s">
        <v>3437</v>
      </c>
      <c r="D23" s="782" t="s">
        <v>3485</v>
      </c>
      <c r="E23" s="782">
        <v>2009</v>
      </c>
      <c r="F23" s="782" t="s">
        <v>3440</v>
      </c>
      <c r="G23" s="783"/>
      <c r="H23" s="784"/>
    </row>
    <row r="24" spans="1:8" ht="24.95" customHeight="1" x14ac:dyDescent="0.2">
      <c r="A24" s="780" t="s">
        <v>3486</v>
      </c>
      <c r="B24" s="781" t="s">
        <v>3487</v>
      </c>
      <c r="C24" s="782" t="s">
        <v>3437</v>
      </c>
      <c r="D24" s="782" t="s">
        <v>3488</v>
      </c>
      <c r="E24" s="782">
        <v>2010</v>
      </c>
      <c r="F24" s="782" t="s">
        <v>3440</v>
      </c>
      <c r="G24" s="783"/>
      <c r="H24" s="784"/>
    </row>
    <row r="25" spans="1:8" ht="24.95" customHeight="1" x14ac:dyDescent="0.2">
      <c r="A25" s="780" t="s">
        <v>3489</v>
      </c>
      <c r="B25" s="781" t="s">
        <v>3490</v>
      </c>
      <c r="C25" s="782" t="s">
        <v>3437</v>
      </c>
      <c r="D25" s="782" t="s">
        <v>3491</v>
      </c>
      <c r="E25" s="782">
        <v>2014</v>
      </c>
      <c r="F25" s="782" t="s">
        <v>3440</v>
      </c>
      <c r="G25" s="783"/>
      <c r="H25" s="784"/>
    </row>
    <row r="26" spans="1:8" ht="24.95" customHeight="1" x14ac:dyDescent="0.2">
      <c r="A26" s="780" t="s">
        <v>3492</v>
      </c>
      <c r="B26" s="781" t="s">
        <v>3493</v>
      </c>
      <c r="C26" s="785" t="s">
        <v>3441</v>
      </c>
      <c r="D26" s="785" t="s">
        <v>3441</v>
      </c>
      <c r="E26" s="785" t="s">
        <v>3441</v>
      </c>
      <c r="F26" s="785" t="s">
        <v>3441</v>
      </c>
      <c r="G26" s="785"/>
      <c r="H26" s="830"/>
    </row>
    <row r="27" spans="1:8" ht="24.95" customHeight="1" x14ac:dyDescent="0.2">
      <c r="A27" s="780" t="s">
        <v>3494</v>
      </c>
      <c r="B27" s="781" t="s">
        <v>3495</v>
      </c>
      <c r="C27" s="782" t="s">
        <v>3437</v>
      </c>
      <c r="D27" s="782" t="s">
        <v>3496</v>
      </c>
      <c r="E27" s="782"/>
      <c r="F27" s="782" t="s">
        <v>3440</v>
      </c>
      <c r="G27" s="783"/>
      <c r="H27" s="784"/>
    </row>
    <row r="28" spans="1:8" ht="24.95" customHeight="1" x14ac:dyDescent="0.2">
      <c r="A28" s="780" t="s">
        <v>3497</v>
      </c>
      <c r="B28" s="781" t="s">
        <v>3498</v>
      </c>
      <c r="C28" s="782" t="s">
        <v>3437</v>
      </c>
      <c r="D28" s="782" t="s">
        <v>3499</v>
      </c>
      <c r="E28" s="782">
        <v>2014</v>
      </c>
      <c r="F28" s="782" t="s">
        <v>3440</v>
      </c>
      <c r="G28" s="783"/>
      <c r="H28" s="784"/>
    </row>
    <row r="29" spans="1:8" ht="24.95" customHeight="1" x14ac:dyDescent="0.2">
      <c r="A29" s="780" t="s">
        <v>3500</v>
      </c>
      <c r="B29" s="781" t="s">
        <v>3501</v>
      </c>
      <c r="C29" s="785" t="s">
        <v>3441</v>
      </c>
      <c r="D29" s="785" t="s">
        <v>3441</v>
      </c>
      <c r="E29" s="785" t="s">
        <v>3441</v>
      </c>
      <c r="F29" s="785" t="s">
        <v>3441</v>
      </c>
      <c r="G29" s="785"/>
      <c r="H29" s="830"/>
    </row>
    <row r="30" spans="1:8" ht="24.95" customHeight="1" x14ac:dyDescent="0.2">
      <c r="A30" s="780" t="s">
        <v>3502</v>
      </c>
      <c r="B30" s="781" t="s">
        <v>3503</v>
      </c>
      <c r="C30" s="782"/>
      <c r="D30" s="782"/>
      <c r="E30" s="782"/>
      <c r="F30" s="782"/>
      <c r="G30" s="783"/>
      <c r="H30" s="784"/>
    </row>
    <row r="31" spans="1:8" ht="24.95" customHeight="1" x14ac:dyDescent="0.2">
      <c r="A31" s="780" t="s">
        <v>3504</v>
      </c>
      <c r="B31" s="781" t="s">
        <v>3505</v>
      </c>
      <c r="C31" s="782" t="s">
        <v>3437</v>
      </c>
      <c r="D31" s="782" t="s">
        <v>3506</v>
      </c>
      <c r="E31" s="782">
        <v>2015</v>
      </c>
      <c r="F31" s="782" t="s">
        <v>3440</v>
      </c>
      <c r="G31" s="783"/>
      <c r="H31" s="784"/>
    </row>
    <row r="32" spans="1:8" ht="24.95" customHeight="1" x14ac:dyDescent="0.2">
      <c r="A32" s="780" t="s">
        <v>3507</v>
      </c>
      <c r="B32" s="781" t="s">
        <v>3508</v>
      </c>
      <c r="C32" s="782" t="s">
        <v>3437</v>
      </c>
      <c r="D32" s="782" t="s">
        <v>3509</v>
      </c>
      <c r="E32" s="782">
        <v>2015</v>
      </c>
      <c r="F32" s="782" t="s">
        <v>3440</v>
      </c>
      <c r="G32" s="783"/>
      <c r="H32" s="784"/>
    </row>
    <row r="33" spans="1:8" ht="24.95" customHeight="1" x14ac:dyDescent="0.2">
      <c r="A33" s="780" t="s">
        <v>3510</v>
      </c>
      <c r="B33" s="781" t="s">
        <v>3511</v>
      </c>
      <c r="C33" s="782" t="s">
        <v>3437</v>
      </c>
      <c r="D33" s="782" t="s">
        <v>3512</v>
      </c>
      <c r="E33" s="782">
        <v>2016</v>
      </c>
      <c r="F33" s="782" t="s">
        <v>3440</v>
      </c>
      <c r="G33" s="783"/>
      <c r="H33" s="784"/>
    </row>
    <row r="34" spans="1:8" ht="24.95" customHeight="1" x14ac:dyDescent="0.2">
      <c r="A34" s="780" t="s">
        <v>3513</v>
      </c>
      <c r="B34" s="781" t="s">
        <v>3514</v>
      </c>
      <c r="C34" s="785" t="s">
        <v>3437</v>
      </c>
      <c r="D34" s="785" t="s">
        <v>3515</v>
      </c>
      <c r="E34" s="785" t="s">
        <v>3516</v>
      </c>
      <c r="F34" s="785" t="s">
        <v>3440</v>
      </c>
      <c r="G34" s="783"/>
      <c r="H34" s="784"/>
    </row>
    <row r="35" spans="1:8" ht="24.95" customHeight="1" x14ac:dyDescent="0.2">
      <c r="A35" s="780" t="s">
        <v>3517</v>
      </c>
      <c r="B35" s="781" t="s">
        <v>3518</v>
      </c>
      <c r="C35" s="782" t="s">
        <v>3437</v>
      </c>
      <c r="D35" s="782" t="s">
        <v>3519</v>
      </c>
      <c r="E35" s="782">
        <v>2017</v>
      </c>
      <c r="F35" s="782" t="s">
        <v>3440</v>
      </c>
      <c r="G35" s="783"/>
      <c r="H35" s="784"/>
    </row>
    <row r="36" spans="1:8" ht="24.95" customHeight="1" x14ac:dyDescent="0.2">
      <c r="A36" s="780" t="s">
        <v>3520</v>
      </c>
      <c r="B36" s="781" t="s">
        <v>3521</v>
      </c>
      <c r="C36" s="785" t="s">
        <v>3441</v>
      </c>
      <c r="D36" s="785" t="s">
        <v>3441</v>
      </c>
      <c r="E36" s="785" t="s">
        <v>3441</v>
      </c>
      <c r="F36" s="785" t="s">
        <v>3441</v>
      </c>
      <c r="G36" s="785"/>
      <c r="H36" s="830"/>
    </row>
    <row r="37" spans="1:8" ht="24.95" customHeight="1" x14ac:dyDescent="0.2">
      <c r="A37" s="780" t="s">
        <v>3522</v>
      </c>
      <c r="B37" s="781" t="s">
        <v>3523</v>
      </c>
      <c r="C37" s="785" t="s">
        <v>3441</v>
      </c>
      <c r="D37" s="785" t="s">
        <v>3441</v>
      </c>
      <c r="E37" s="785" t="s">
        <v>3441</v>
      </c>
      <c r="F37" s="785" t="s">
        <v>3441</v>
      </c>
      <c r="G37" s="785"/>
      <c r="H37" s="830"/>
    </row>
    <row r="38" spans="1:8" ht="24.95" customHeight="1" x14ac:dyDescent="0.2">
      <c r="A38" s="780" t="s">
        <v>3524</v>
      </c>
      <c r="B38" s="781" t="s">
        <v>3525</v>
      </c>
      <c r="C38" s="782" t="s">
        <v>3437</v>
      </c>
      <c r="D38" s="782">
        <v>416007756</v>
      </c>
      <c r="E38" s="782">
        <v>2018</v>
      </c>
      <c r="F38" s="782" t="s">
        <v>3440</v>
      </c>
      <c r="G38" s="783"/>
      <c r="H38" s="784"/>
    </row>
    <row r="39" spans="1:8" ht="24.95" customHeight="1" x14ac:dyDescent="0.25">
      <c r="A39" s="791" t="s">
        <v>3669</v>
      </c>
      <c r="B39" s="811"/>
      <c r="C39" s="811"/>
      <c r="D39" s="811"/>
      <c r="E39" s="788"/>
      <c r="F39" s="788"/>
      <c r="G39" s="789"/>
      <c r="H39" s="790"/>
    </row>
    <row r="40" spans="1:8" ht="24.95" customHeight="1" x14ac:dyDescent="0.2">
      <c r="A40" s="780" t="s">
        <v>3435</v>
      </c>
      <c r="B40" s="781" t="s">
        <v>3436</v>
      </c>
      <c r="C40" s="782" t="s">
        <v>3437</v>
      </c>
      <c r="D40" s="782" t="s">
        <v>3526</v>
      </c>
      <c r="E40" s="782">
        <v>2001</v>
      </c>
      <c r="F40" s="782" t="s">
        <v>3440</v>
      </c>
      <c r="G40" s="783">
        <v>28529.439999999999</v>
      </c>
      <c r="H40" s="784">
        <v>291216.46999999997</v>
      </c>
    </row>
    <row r="41" spans="1:8" ht="24.95" customHeight="1" x14ac:dyDescent="0.2">
      <c r="A41" s="780" t="s">
        <v>3435</v>
      </c>
      <c r="B41" s="781" t="s">
        <v>3436</v>
      </c>
      <c r="C41" s="782" t="s">
        <v>3437</v>
      </c>
      <c r="D41" s="782" t="s">
        <v>3527</v>
      </c>
      <c r="E41" s="782">
        <v>2019</v>
      </c>
      <c r="F41" s="782" t="s">
        <v>3440</v>
      </c>
      <c r="G41" s="783">
        <v>1630964.83</v>
      </c>
      <c r="H41" s="784">
        <v>2766306.2</v>
      </c>
    </row>
    <row r="42" spans="1:8" ht="24.95" customHeight="1" x14ac:dyDescent="0.2">
      <c r="A42" s="780" t="s">
        <v>3435</v>
      </c>
      <c r="B42" s="781" t="s">
        <v>3436</v>
      </c>
      <c r="C42" s="782" t="s">
        <v>3528</v>
      </c>
      <c r="D42" s="782" t="s">
        <v>3438</v>
      </c>
      <c r="E42" s="782">
        <v>2013</v>
      </c>
      <c r="F42" s="782" t="s">
        <v>3440</v>
      </c>
      <c r="G42" s="783">
        <v>40696293.619999997</v>
      </c>
      <c r="H42" s="784">
        <v>41373369.770000003</v>
      </c>
    </row>
    <row r="43" spans="1:8" ht="24.95" customHeight="1" x14ac:dyDescent="0.2">
      <c r="A43" s="780" t="s">
        <v>3442</v>
      </c>
      <c r="B43" s="781" t="s">
        <v>3443</v>
      </c>
      <c r="C43" s="782" t="s">
        <v>3437</v>
      </c>
      <c r="D43" s="782" t="s">
        <v>3529</v>
      </c>
      <c r="E43" s="782">
        <v>2004</v>
      </c>
      <c r="F43" s="782" t="s">
        <v>3440</v>
      </c>
      <c r="G43" s="783">
        <v>612629.94999999995</v>
      </c>
      <c r="H43" s="784">
        <v>1035511.53</v>
      </c>
    </row>
    <row r="44" spans="1:8" ht="24.95" customHeight="1" x14ac:dyDescent="0.2">
      <c r="A44" s="780" t="s">
        <v>3442</v>
      </c>
      <c r="B44" s="781" t="s">
        <v>3443</v>
      </c>
      <c r="C44" s="782" t="s">
        <v>3437</v>
      </c>
      <c r="D44" s="782" t="s">
        <v>3530</v>
      </c>
      <c r="E44" s="782">
        <v>2008</v>
      </c>
      <c r="F44" s="782" t="s">
        <v>3440</v>
      </c>
      <c r="G44" s="783">
        <v>8494.4599999999991</v>
      </c>
      <c r="H44" s="784">
        <v>8545.5499999999993</v>
      </c>
    </row>
    <row r="45" spans="1:8" ht="24.95" customHeight="1" x14ac:dyDescent="0.2">
      <c r="A45" s="780" t="s">
        <v>3444</v>
      </c>
      <c r="B45" s="781" t="s">
        <v>3445</v>
      </c>
      <c r="C45" s="782" t="s">
        <v>3437</v>
      </c>
      <c r="D45" s="782" t="s">
        <v>3531</v>
      </c>
      <c r="E45" s="782">
        <v>2013</v>
      </c>
      <c r="F45" s="782" t="s">
        <v>3440</v>
      </c>
      <c r="G45" s="783">
        <v>218817.53</v>
      </c>
      <c r="H45" s="784">
        <v>141694.93</v>
      </c>
    </row>
    <row r="46" spans="1:8" ht="24.95" customHeight="1" x14ac:dyDescent="0.2">
      <c r="A46" s="780" t="s">
        <v>3446</v>
      </c>
      <c r="B46" s="781" t="s">
        <v>3447</v>
      </c>
      <c r="C46" s="782" t="s">
        <v>3437</v>
      </c>
      <c r="D46" s="782" t="s">
        <v>3532</v>
      </c>
      <c r="E46" s="782">
        <v>2001</v>
      </c>
      <c r="F46" s="782" t="s">
        <v>3440</v>
      </c>
      <c r="G46" s="783">
        <v>530757</v>
      </c>
      <c r="H46" s="784">
        <v>594834</v>
      </c>
    </row>
    <row r="47" spans="1:8" ht="24.95" customHeight="1" x14ac:dyDescent="0.2">
      <c r="A47" s="780" t="s">
        <v>3446</v>
      </c>
      <c r="B47" s="781" t="s">
        <v>3447</v>
      </c>
      <c r="C47" s="782" t="s">
        <v>3437</v>
      </c>
      <c r="D47" s="782">
        <v>161031445</v>
      </c>
      <c r="E47" s="782">
        <v>2001</v>
      </c>
      <c r="F47" s="782" t="s">
        <v>3440</v>
      </c>
      <c r="G47" s="783">
        <v>9377</v>
      </c>
      <c r="H47" s="784">
        <v>7079</v>
      </c>
    </row>
    <row r="48" spans="1:8" ht="24.95" customHeight="1" x14ac:dyDescent="0.2">
      <c r="A48" s="780" t="s">
        <v>3449</v>
      </c>
      <c r="B48" s="781" t="s">
        <v>3450</v>
      </c>
      <c r="C48" s="782" t="s">
        <v>3437</v>
      </c>
      <c r="D48" s="782" t="s">
        <v>3533</v>
      </c>
      <c r="E48" s="782">
        <v>2001</v>
      </c>
      <c r="F48" s="782" t="s">
        <v>3440</v>
      </c>
      <c r="G48" s="783">
        <v>1124645.53</v>
      </c>
      <c r="H48" s="784">
        <v>964204.36</v>
      </c>
    </row>
    <row r="49" spans="1:8" ht="24.95" customHeight="1" x14ac:dyDescent="0.2">
      <c r="A49" s="780" t="s">
        <v>3452</v>
      </c>
      <c r="B49" s="781" t="s">
        <v>3453</v>
      </c>
      <c r="C49" s="782" t="s">
        <v>3437</v>
      </c>
      <c r="D49" s="782" t="s">
        <v>3454</v>
      </c>
      <c r="E49" s="782">
        <v>2013</v>
      </c>
      <c r="F49" s="782"/>
      <c r="G49" s="783">
        <v>3991228.94</v>
      </c>
      <c r="H49" s="784">
        <v>3078734.99</v>
      </c>
    </row>
    <row r="50" spans="1:8" ht="24.95" customHeight="1" x14ac:dyDescent="0.2">
      <c r="A50" s="780" t="s">
        <v>3452</v>
      </c>
      <c r="B50" s="781" t="s">
        <v>3453</v>
      </c>
      <c r="C50" s="782" t="s">
        <v>3437</v>
      </c>
      <c r="D50" s="782" t="s">
        <v>3534</v>
      </c>
      <c r="E50" s="782">
        <v>2001</v>
      </c>
      <c r="F50" s="782"/>
      <c r="G50" s="783">
        <v>35596.35</v>
      </c>
      <c r="H50" s="784">
        <v>57489.4</v>
      </c>
    </row>
    <row r="51" spans="1:8" ht="24.95" customHeight="1" x14ac:dyDescent="0.2">
      <c r="A51" s="780" t="s">
        <v>3455</v>
      </c>
      <c r="B51" s="781" t="s">
        <v>3456</v>
      </c>
      <c r="C51" s="782" t="s">
        <v>3437</v>
      </c>
      <c r="D51" s="782" t="s">
        <v>3457</v>
      </c>
      <c r="E51" s="782">
        <v>2005</v>
      </c>
      <c r="F51" s="782" t="s">
        <v>3440</v>
      </c>
      <c r="G51" s="783">
        <v>213883.19</v>
      </c>
      <c r="H51" s="784">
        <v>69664.009999999995</v>
      </c>
    </row>
    <row r="52" spans="1:8" ht="24.95" customHeight="1" x14ac:dyDescent="0.2">
      <c r="A52" s="780" t="s">
        <v>3458</v>
      </c>
      <c r="B52" s="781" t="s">
        <v>3459</v>
      </c>
      <c r="C52" s="782" t="s">
        <v>3437</v>
      </c>
      <c r="D52" s="782" t="s">
        <v>3535</v>
      </c>
      <c r="E52" s="782">
        <v>2001</v>
      </c>
      <c r="F52" s="782" t="s">
        <v>3440</v>
      </c>
      <c r="G52" s="783">
        <v>578989.71</v>
      </c>
      <c r="H52" s="784">
        <v>640617.77</v>
      </c>
    </row>
    <row r="53" spans="1:8" ht="24.95" customHeight="1" x14ac:dyDescent="0.2">
      <c r="A53" s="780" t="s">
        <v>3458</v>
      </c>
      <c r="B53" s="781" t="s">
        <v>3459</v>
      </c>
      <c r="C53" s="782" t="s">
        <v>3437</v>
      </c>
      <c r="D53" s="782" t="s">
        <v>3536</v>
      </c>
      <c r="E53" s="782">
        <v>2002</v>
      </c>
      <c r="F53" s="782" t="s">
        <v>3440</v>
      </c>
      <c r="G53" s="783">
        <v>1248730.25</v>
      </c>
      <c r="H53" s="784">
        <v>724078.47</v>
      </c>
    </row>
    <row r="54" spans="1:8" ht="24.95" customHeight="1" x14ac:dyDescent="0.2">
      <c r="A54" s="780" t="s">
        <v>3458</v>
      </c>
      <c r="B54" s="781" t="s">
        <v>3459</v>
      </c>
      <c r="C54" s="782" t="s">
        <v>3537</v>
      </c>
      <c r="D54" s="782" t="s">
        <v>3538</v>
      </c>
      <c r="E54" s="782">
        <v>2013</v>
      </c>
      <c r="F54" s="782" t="s">
        <v>3440</v>
      </c>
      <c r="G54" s="783">
        <v>242011.3</v>
      </c>
      <c r="H54" s="784">
        <v>92290.01</v>
      </c>
    </row>
    <row r="55" spans="1:8" ht="24.95" customHeight="1" x14ac:dyDescent="0.2">
      <c r="A55" s="780" t="s">
        <v>3461</v>
      </c>
      <c r="B55" s="781" t="s">
        <v>3462</v>
      </c>
      <c r="C55" s="782"/>
      <c r="D55" s="782"/>
      <c r="E55" s="782"/>
      <c r="F55" s="782"/>
      <c r="G55" s="783"/>
      <c r="H55" s="784"/>
    </row>
    <row r="56" spans="1:8" ht="24.95" customHeight="1" x14ac:dyDescent="0.2">
      <c r="A56" s="780" t="s">
        <v>3463</v>
      </c>
      <c r="B56" s="781" t="s">
        <v>3464</v>
      </c>
      <c r="C56" s="782" t="s">
        <v>3437</v>
      </c>
      <c r="D56" s="782">
        <v>171000580</v>
      </c>
      <c r="E56" s="782">
        <v>2005</v>
      </c>
      <c r="F56" s="782" t="s">
        <v>3440</v>
      </c>
      <c r="G56" s="783">
        <v>17663.689999999999</v>
      </c>
      <c r="H56" s="784">
        <v>35089.86</v>
      </c>
    </row>
    <row r="57" spans="1:8" ht="24.95" customHeight="1" x14ac:dyDescent="0.2">
      <c r="A57" s="780" t="s">
        <v>3463</v>
      </c>
      <c r="B57" s="781" t="s">
        <v>3464</v>
      </c>
      <c r="C57" s="782" t="s">
        <v>3437</v>
      </c>
      <c r="D57" s="782">
        <v>171000335</v>
      </c>
      <c r="E57" s="782">
        <v>2003</v>
      </c>
      <c r="F57" s="782" t="s">
        <v>3440</v>
      </c>
      <c r="G57" s="783">
        <v>3622.44</v>
      </c>
      <c r="H57" s="784">
        <v>3624.26</v>
      </c>
    </row>
    <row r="58" spans="1:8" ht="24.95" customHeight="1" x14ac:dyDescent="0.2">
      <c r="A58" s="780" t="s">
        <v>3465</v>
      </c>
      <c r="B58" s="781" t="s">
        <v>3466</v>
      </c>
      <c r="C58" s="782" t="s">
        <v>3437</v>
      </c>
      <c r="D58" s="782" t="s">
        <v>3539</v>
      </c>
      <c r="E58" s="782">
        <v>2013</v>
      </c>
      <c r="F58" s="782" t="s">
        <v>3440</v>
      </c>
      <c r="G58" s="783">
        <v>198.18</v>
      </c>
      <c r="H58" s="784">
        <v>198.18</v>
      </c>
    </row>
    <row r="59" spans="1:8" ht="24.95" customHeight="1" x14ac:dyDescent="0.2">
      <c r="A59" s="780" t="s">
        <v>3465</v>
      </c>
      <c r="B59" s="781" t="s">
        <v>3466</v>
      </c>
      <c r="C59" s="782" t="s">
        <v>3437</v>
      </c>
      <c r="D59" s="782" t="s">
        <v>3539</v>
      </c>
      <c r="E59" s="782">
        <v>2013</v>
      </c>
      <c r="F59" s="782" t="s">
        <v>3440</v>
      </c>
      <c r="G59" s="783">
        <v>0.24</v>
      </c>
      <c r="H59" s="784">
        <v>0.24</v>
      </c>
    </row>
    <row r="60" spans="1:8" ht="24.95" customHeight="1" x14ac:dyDescent="0.2">
      <c r="A60" s="780" t="s">
        <v>3465</v>
      </c>
      <c r="B60" s="781" t="s">
        <v>3466</v>
      </c>
      <c r="C60" s="782" t="s">
        <v>3437</v>
      </c>
      <c r="D60" s="782" t="s">
        <v>3540</v>
      </c>
      <c r="E60" s="782">
        <v>2013</v>
      </c>
      <c r="F60" s="782" t="s">
        <v>3440</v>
      </c>
      <c r="G60" s="783">
        <v>28539</v>
      </c>
      <c r="H60" s="784">
        <v>7021</v>
      </c>
    </row>
    <row r="61" spans="1:8" ht="24.95" customHeight="1" x14ac:dyDescent="0.2">
      <c r="A61" s="780" t="s">
        <v>3467</v>
      </c>
      <c r="B61" s="781" t="s">
        <v>3468</v>
      </c>
      <c r="C61" s="782" t="s">
        <v>3437</v>
      </c>
      <c r="D61" s="782" t="s">
        <v>3541</v>
      </c>
      <c r="E61" s="782">
        <v>2003</v>
      </c>
      <c r="F61" s="782" t="s">
        <v>3440</v>
      </c>
      <c r="G61" s="783">
        <v>125727.12</v>
      </c>
      <c r="H61" s="784">
        <v>17928.63</v>
      </c>
    </row>
    <row r="62" spans="1:8" ht="24.95" customHeight="1" x14ac:dyDescent="0.2">
      <c r="A62" s="780" t="s">
        <v>3467</v>
      </c>
      <c r="B62" s="781" t="s">
        <v>3468</v>
      </c>
      <c r="C62" s="782" t="s">
        <v>3437</v>
      </c>
      <c r="D62" s="782" t="s">
        <v>3542</v>
      </c>
      <c r="E62" s="782">
        <v>2007</v>
      </c>
      <c r="F62" s="782" t="s">
        <v>3440</v>
      </c>
      <c r="G62" s="783">
        <v>38274.9</v>
      </c>
      <c r="H62" s="784">
        <v>4109.37</v>
      </c>
    </row>
    <row r="63" spans="1:8" ht="24.95" customHeight="1" x14ac:dyDescent="0.2">
      <c r="A63" s="780" t="s">
        <v>3467</v>
      </c>
      <c r="B63" s="781" t="s">
        <v>3468</v>
      </c>
      <c r="C63" s="782" t="s">
        <v>3543</v>
      </c>
      <c r="D63" s="782" t="s">
        <v>3537</v>
      </c>
      <c r="E63" s="782">
        <v>2013</v>
      </c>
      <c r="F63" s="782" t="s">
        <v>3440</v>
      </c>
      <c r="G63" s="783">
        <v>82243.820000000007</v>
      </c>
      <c r="H63" s="784">
        <v>270253.06</v>
      </c>
    </row>
    <row r="64" spans="1:8" ht="24.95" customHeight="1" x14ac:dyDescent="0.2">
      <c r="A64" s="780" t="s">
        <v>3471</v>
      </c>
      <c r="B64" s="781" t="s">
        <v>3472</v>
      </c>
      <c r="C64" s="782" t="s">
        <v>3437</v>
      </c>
      <c r="D64" s="782" t="s">
        <v>3544</v>
      </c>
      <c r="E64" s="782">
        <v>2003</v>
      </c>
      <c r="F64" s="782" t="s">
        <v>3440</v>
      </c>
      <c r="G64" s="783">
        <v>237615</v>
      </c>
      <c r="H64" s="784">
        <v>139073</v>
      </c>
    </row>
    <row r="65" spans="1:8" ht="24.95" customHeight="1" x14ac:dyDescent="0.2">
      <c r="A65" s="780" t="s">
        <v>3471</v>
      </c>
      <c r="B65" s="781" t="s">
        <v>3472</v>
      </c>
      <c r="C65" s="782" t="s">
        <v>3437</v>
      </c>
      <c r="D65" s="782" t="s">
        <v>3545</v>
      </c>
      <c r="E65" s="782">
        <v>2003</v>
      </c>
      <c r="F65" s="782" t="s">
        <v>3440</v>
      </c>
      <c r="G65" s="783">
        <v>1241576</v>
      </c>
      <c r="H65" s="784">
        <v>1129194</v>
      </c>
    </row>
    <row r="66" spans="1:8" ht="24.95" customHeight="1" x14ac:dyDescent="0.2">
      <c r="A66" s="780" t="s">
        <v>3474</v>
      </c>
      <c r="B66" s="781" t="s">
        <v>3475</v>
      </c>
      <c r="C66" s="782" t="s">
        <v>3437</v>
      </c>
      <c r="D66" s="782" t="s">
        <v>3546</v>
      </c>
      <c r="E66" s="782">
        <v>2004</v>
      </c>
      <c r="F66" s="782" t="s">
        <v>3440</v>
      </c>
      <c r="G66" s="783">
        <v>197156.44</v>
      </c>
      <c r="H66" s="784">
        <v>97525.94</v>
      </c>
    </row>
    <row r="67" spans="1:8" ht="24.95" customHeight="1" x14ac:dyDescent="0.2">
      <c r="A67" s="780" t="s">
        <v>3474</v>
      </c>
      <c r="B67" s="781" t="s">
        <v>3475</v>
      </c>
      <c r="C67" s="782" t="s">
        <v>3437</v>
      </c>
      <c r="D67" s="782" t="s">
        <v>3547</v>
      </c>
      <c r="E67" s="782">
        <v>2004</v>
      </c>
      <c r="F67" s="782" t="s">
        <v>3440</v>
      </c>
      <c r="G67" s="783">
        <v>922564.98</v>
      </c>
      <c r="H67" s="784">
        <v>1097875.6499999999</v>
      </c>
    </row>
    <row r="68" spans="1:8" ht="24.95" customHeight="1" x14ac:dyDescent="0.2">
      <c r="A68" s="780" t="s">
        <v>3474</v>
      </c>
      <c r="B68" s="781" t="s">
        <v>3475</v>
      </c>
      <c r="C68" s="782" t="s">
        <v>3437</v>
      </c>
      <c r="D68" s="782" t="s">
        <v>3548</v>
      </c>
      <c r="E68" s="782">
        <v>2005</v>
      </c>
      <c r="F68" s="782" t="s">
        <v>3440</v>
      </c>
      <c r="G68" s="783">
        <v>449305.26</v>
      </c>
      <c r="H68" s="784">
        <v>334105.25</v>
      </c>
    </row>
    <row r="69" spans="1:8" ht="24.95" customHeight="1" x14ac:dyDescent="0.2">
      <c r="A69" s="780" t="s">
        <v>3477</v>
      </c>
      <c r="B69" s="781" t="s">
        <v>3478</v>
      </c>
      <c r="C69" s="782" t="s">
        <v>3437</v>
      </c>
      <c r="D69" s="782" t="s">
        <v>3549</v>
      </c>
      <c r="E69" s="782">
        <v>2004</v>
      </c>
      <c r="F69" s="782" t="s">
        <v>3440</v>
      </c>
      <c r="G69" s="1312">
        <v>206586.15</v>
      </c>
      <c r="H69" s="784">
        <v>9952.5</v>
      </c>
    </row>
    <row r="70" spans="1:8" ht="24.95" customHeight="1" x14ac:dyDescent="0.2">
      <c r="A70" s="780" t="s">
        <v>3477</v>
      </c>
      <c r="B70" s="781" t="s">
        <v>3478</v>
      </c>
      <c r="C70" s="782" t="s">
        <v>3437</v>
      </c>
      <c r="D70" s="782" t="s">
        <v>3550</v>
      </c>
      <c r="E70" s="782"/>
      <c r="F70" s="782" t="s">
        <v>3440</v>
      </c>
      <c r="G70" s="1313"/>
      <c r="H70" s="784">
        <v>126742.13</v>
      </c>
    </row>
    <row r="71" spans="1:8" ht="24.95" customHeight="1" x14ac:dyDescent="0.2">
      <c r="A71" s="780" t="s">
        <v>3477</v>
      </c>
      <c r="B71" s="781" t="s">
        <v>3478</v>
      </c>
      <c r="C71" s="782" t="s">
        <v>3543</v>
      </c>
      <c r="D71" s="782" t="s">
        <v>3537</v>
      </c>
      <c r="E71" s="782">
        <v>2013</v>
      </c>
      <c r="F71" s="782" t="s">
        <v>3440</v>
      </c>
      <c r="G71" s="783">
        <v>25498.81</v>
      </c>
      <c r="H71" s="784">
        <v>27032.05</v>
      </c>
    </row>
    <row r="72" spans="1:8" ht="24.95" customHeight="1" x14ac:dyDescent="0.2">
      <c r="A72" s="780" t="s">
        <v>3480</v>
      </c>
      <c r="B72" s="781" t="s">
        <v>3481</v>
      </c>
      <c r="C72" s="782" t="s">
        <v>3437</v>
      </c>
      <c r="D72" s="782" t="s">
        <v>3551</v>
      </c>
      <c r="E72" s="782">
        <v>2010</v>
      </c>
      <c r="F72" s="782" t="s">
        <v>3440</v>
      </c>
      <c r="G72" s="783">
        <v>31599.25</v>
      </c>
      <c r="H72" s="784">
        <v>39711.919999999998</v>
      </c>
    </row>
    <row r="73" spans="1:8" ht="24.95" customHeight="1" x14ac:dyDescent="0.2">
      <c r="A73" s="780" t="s">
        <v>3483</v>
      </c>
      <c r="B73" s="781" t="s">
        <v>3484</v>
      </c>
      <c r="C73" s="782" t="s">
        <v>3437</v>
      </c>
      <c r="D73" s="782" t="s">
        <v>3552</v>
      </c>
      <c r="E73" s="782">
        <v>2009</v>
      </c>
      <c r="F73" s="782" t="s">
        <v>3440</v>
      </c>
      <c r="G73" s="783">
        <v>56093.94</v>
      </c>
      <c r="H73" s="784">
        <v>105319.56</v>
      </c>
    </row>
    <row r="74" spans="1:8" ht="24.95" customHeight="1" x14ac:dyDescent="0.2">
      <c r="A74" s="780" t="s">
        <v>3483</v>
      </c>
      <c r="B74" s="781" t="s">
        <v>3484</v>
      </c>
      <c r="C74" s="782" t="s">
        <v>3437</v>
      </c>
      <c r="D74" s="782" t="s">
        <v>3553</v>
      </c>
      <c r="E74" s="782">
        <v>2012</v>
      </c>
      <c r="F74" s="782" t="s">
        <v>3440</v>
      </c>
      <c r="G74" s="783">
        <v>23527.19</v>
      </c>
      <c r="H74" s="784">
        <v>117473.48</v>
      </c>
    </row>
    <row r="75" spans="1:8" ht="24.95" customHeight="1" x14ac:dyDescent="0.2">
      <c r="A75" s="780" t="s">
        <v>3483</v>
      </c>
      <c r="B75" s="781" t="s">
        <v>3484</v>
      </c>
      <c r="C75" s="782" t="s">
        <v>3528</v>
      </c>
      <c r="D75" s="782" t="s">
        <v>3485</v>
      </c>
      <c r="E75" s="782">
        <v>2013</v>
      </c>
      <c r="F75" s="782" t="s">
        <v>3440</v>
      </c>
      <c r="G75" s="783">
        <v>13571.68</v>
      </c>
      <c r="H75" s="784">
        <v>4376.1499999999996</v>
      </c>
    </row>
    <row r="76" spans="1:8" ht="24.95" customHeight="1" x14ac:dyDescent="0.2">
      <c r="A76" s="780" t="s">
        <v>3486</v>
      </c>
      <c r="B76" s="781" t="s">
        <v>3487</v>
      </c>
      <c r="C76" s="782" t="s">
        <v>3437</v>
      </c>
      <c r="D76" s="782" t="s">
        <v>3554</v>
      </c>
      <c r="E76" s="782">
        <v>2010</v>
      </c>
      <c r="F76" s="782" t="s">
        <v>3440</v>
      </c>
      <c r="G76" s="783"/>
      <c r="H76" s="784"/>
    </row>
    <row r="77" spans="1:8" ht="24.95" customHeight="1" x14ac:dyDescent="0.2">
      <c r="A77" s="780" t="s">
        <v>3486</v>
      </c>
      <c r="B77" s="781" t="s">
        <v>3487</v>
      </c>
      <c r="C77" s="782" t="s">
        <v>3437</v>
      </c>
      <c r="D77" s="782" t="s">
        <v>3555</v>
      </c>
      <c r="E77" s="782">
        <v>2012</v>
      </c>
      <c r="F77" s="782" t="s">
        <v>3440</v>
      </c>
      <c r="G77" s="783"/>
      <c r="H77" s="784"/>
    </row>
    <row r="78" spans="1:8" ht="24.95" customHeight="1" x14ac:dyDescent="0.2">
      <c r="A78" s="780" t="s">
        <v>3486</v>
      </c>
      <c r="B78" s="781" t="s">
        <v>3487</v>
      </c>
      <c r="C78" s="782" t="s">
        <v>3537</v>
      </c>
      <c r="D78" s="782" t="s">
        <v>3488</v>
      </c>
      <c r="E78" s="782">
        <v>2013</v>
      </c>
      <c r="F78" s="782" t="s">
        <v>3440</v>
      </c>
      <c r="G78" s="783"/>
      <c r="H78" s="784"/>
    </row>
    <row r="79" spans="1:8" ht="24.95" customHeight="1" x14ac:dyDescent="0.2">
      <c r="A79" s="780" t="s">
        <v>3489</v>
      </c>
      <c r="B79" s="781" t="s">
        <v>3490</v>
      </c>
      <c r="C79" s="782" t="s">
        <v>3437</v>
      </c>
      <c r="D79" s="782" t="s">
        <v>3556</v>
      </c>
      <c r="E79" s="782">
        <v>2014</v>
      </c>
      <c r="F79" s="782" t="s">
        <v>3440</v>
      </c>
      <c r="G79" s="783"/>
      <c r="H79" s="784"/>
    </row>
    <row r="80" spans="1:8" ht="24.95" customHeight="1" x14ac:dyDescent="0.2">
      <c r="A80" s="780" t="s">
        <v>3492</v>
      </c>
      <c r="B80" s="781" t="s">
        <v>3493</v>
      </c>
      <c r="C80" s="782" t="s">
        <v>3437</v>
      </c>
      <c r="D80" s="782" t="s">
        <v>3557</v>
      </c>
      <c r="E80" s="782">
        <v>2014</v>
      </c>
      <c r="F80" s="782" t="s">
        <v>3440</v>
      </c>
      <c r="G80" s="783">
        <v>2254.7600000000002</v>
      </c>
      <c r="H80" s="784">
        <v>1434.25</v>
      </c>
    </row>
    <row r="81" spans="1:8" ht="24.95" customHeight="1" x14ac:dyDescent="0.2">
      <c r="A81" s="780" t="s">
        <v>3494</v>
      </c>
      <c r="B81" s="781" t="s">
        <v>3495</v>
      </c>
      <c r="C81" s="782" t="s">
        <v>3437</v>
      </c>
      <c r="D81" s="782" t="s">
        <v>3558</v>
      </c>
      <c r="E81" s="782"/>
      <c r="F81" s="782" t="s">
        <v>3440</v>
      </c>
      <c r="G81" s="783">
        <v>323064.98</v>
      </c>
      <c r="H81" s="784">
        <v>380088.49</v>
      </c>
    </row>
    <row r="82" spans="1:8" ht="24.95" customHeight="1" x14ac:dyDescent="0.2">
      <c r="A82" s="780" t="s">
        <v>3494</v>
      </c>
      <c r="B82" s="781" t="s">
        <v>3495</v>
      </c>
      <c r="C82" s="782" t="s">
        <v>3437</v>
      </c>
      <c r="D82" s="782" t="s">
        <v>3559</v>
      </c>
      <c r="E82" s="782"/>
      <c r="F82" s="782" t="s">
        <v>3440</v>
      </c>
      <c r="G82" s="783">
        <v>337585.98</v>
      </c>
      <c r="H82" s="784">
        <v>358669.66</v>
      </c>
    </row>
    <row r="83" spans="1:8" ht="24.95" customHeight="1" x14ac:dyDescent="0.2">
      <c r="A83" s="780" t="s">
        <v>3494</v>
      </c>
      <c r="B83" s="781" t="s">
        <v>3495</v>
      </c>
      <c r="C83" s="782" t="s">
        <v>3437</v>
      </c>
      <c r="D83" s="782" t="s">
        <v>3560</v>
      </c>
      <c r="E83" s="782"/>
      <c r="F83" s="782" t="s">
        <v>3440</v>
      </c>
      <c r="G83" s="783">
        <v>138066.99</v>
      </c>
      <c r="H83" s="784">
        <v>138639.35</v>
      </c>
    </row>
    <row r="84" spans="1:8" ht="24.95" customHeight="1" x14ac:dyDescent="0.2">
      <c r="A84" s="780" t="s">
        <v>3497</v>
      </c>
      <c r="B84" s="781" t="s">
        <v>3498</v>
      </c>
      <c r="C84" s="782" t="s">
        <v>3437</v>
      </c>
      <c r="D84" s="782" t="s">
        <v>3499</v>
      </c>
      <c r="E84" s="782">
        <v>2014</v>
      </c>
      <c r="F84" s="782" t="s">
        <v>3440</v>
      </c>
      <c r="G84" s="783">
        <v>43386.45</v>
      </c>
      <c r="H84" s="784">
        <v>41697.71</v>
      </c>
    </row>
    <row r="85" spans="1:8" ht="24.95" customHeight="1" x14ac:dyDescent="0.2">
      <c r="A85" s="780" t="s">
        <v>3500</v>
      </c>
      <c r="B85" s="781" t="s">
        <v>3501</v>
      </c>
      <c r="C85" s="782" t="s">
        <v>3437</v>
      </c>
      <c r="D85" s="782">
        <v>166001080</v>
      </c>
      <c r="E85" s="782">
        <v>2016</v>
      </c>
      <c r="F85" s="782" t="s">
        <v>3440</v>
      </c>
      <c r="G85" s="783">
        <v>18030.02</v>
      </c>
      <c r="H85" s="784">
        <v>34540.51</v>
      </c>
    </row>
    <row r="86" spans="1:8" ht="24.95" customHeight="1" x14ac:dyDescent="0.2">
      <c r="A86" s="780" t="s">
        <v>3502</v>
      </c>
      <c r="B86" s="781" t="s">
        <v>3503</v>
      </c>
      <c r="C86" s="782" t="s">
        <v>3437</v>
      </c>
      <c r="D86" s="782" t="s">
        <v>3561</v>
      </c>
      <c r="E86" s="782">
        <v>2016</v>
      </c>
      <c r="F86" s="782" t="s">
        <v>3440</v>
      </c>
      <c r="G86" s="783">
        <v>106180</v>
      </c>
      <c r="H86" s="784">
        <v>593.53</v>
      </c>
    </row>
    <row r="87" spans="1:8" ht="24.95" customHeight="1" x14ac:dyDescent="0.2">
      <c r="A87" s="780" t="s">
        <v>3504</v>
      </c>
      <c r="B87" s="781" t="s">
        <v>3505</v>
      </c>
      <c r="C87" s="782" t="s">
        <v>3437</v>
      </c>
      <c r="D87" s="782" t="s">
        <v>3562</v>
      </c>
      <c r="E87" s="782">
        <v>2015</v>
      </c>
      <c r="F87" s="782" t="s">
        <v>3440</v>
      </c>
      <c r="G87" s="783">
        <v>18725.13</v>
      </c>
      <c r="H87" s="784">
        <v>634.96</v>
      </c>
    </row>
    <row r="88" spans="1:8" ht="24.95" customHeight="1" x14ac:dyDescent="0.2">
      <c r="A88" s="780" t="s">
        <v>3504</v>
      </c>
      <c r="B88" s="781" t="s">
        <v>3505</v>
      </c>
      <c r="C88" s="782" t="s">
        <v>3437</v>
      </c>
      <c r="D88" s="782" t="s">
        <v>3563</v>
      </c>
      <c r="E88" s="782">
        <v>2015</v>
      </c>
      <c r="F88" s="782" t="s">
        <v>3440</v>
      </c>
      <c r="G88" s="783">
        <v>106218.91</v>
      </c>
      <c r="H88" s="784">
        <v>37479.58</v>
      </c>
    </row>
    <row r="89" spans="1:8" ht="24.95" customHeight="1" x14ac:dyDescent="0.2">
      <c r="A89" s="780" t="s">
        <v>3504</v>
      </c>
      <c r="B89" s="781" t="s">
        <v>3505</v>
      </c>
      <c r="C89" s="782" t="s">
        <v>3437</v>
      </c>
      <c r="D89" s="782" t="s">
        <v>3564</v>
      </c>
      <c r="E89" s="782">
        <v>2015</v>
      </c>
      <c r="F89" s="782" t="s">
        <v>3440</v>
      </c>
      <c r="G89" s="783">
        <v>243056.23</v>
      </c>
      <c r="H89" s="784">
        <v>310914.53000000003</v>
      </c>
    </row>
    <row r="90" spans="1:8" ht="24.95" customHeight="1" x14ac:dyDescent="0.2">
      <c r="A90" s="780" t="s">
        <v>3507</v>
      </c>
      <c r="B90" s="781" t="s">
        <v>3508</v>
      </c>
      <c r="C90" s="782" t="s">
        <v>3437</v>
      </c>
      <c r="D90" s="782" t="s">
        <v>3565</v>
      </c>
      <c r="E90" s="782">
        <v>2015</v>
      </c>
      <c r="F90" s="782" t="s">
        <v>3440</v>
      </c>
      <c r="G90" s="783">
        <v>116155.43</v>
      </c>
      <c r="H90" s="784">
        <v>74983.69</v>
      </c>
    </row>
    <row r="91" spans="1:8" ht="24.95" customHeight="1" x14ac:dyDescent="0.2">
      <c r="A91" s="780" t="s">
        <v>3507</v>
      </c>
      <c r="B91" s="781" t="s">
        <v>3508</v>
      </c>
      <c r="C91" s="782" t="s">
        <v>3437</v>
      </c>
      <c r="D91" s="782" t="s">
        <v>3566</v>
      </c>
      <c r="E91" s="782">
        <v>2015</v>
      </c>
      <c r="F91" s="782" t="s">
        <v>3440</v>
      </c>
      <c r="G91" s="783">
        <v>340909.21</v>
      </c>
      <c r="H91" s="784">
        <v>243594.22</v>
      </c>
    </row>
    <row r="92" spans="1:8" ht="24.95" customHeight="1" x14ac:dyDescent="0.2">
      <c r="A92" s="780" t="s">
        <v>3507</v>
      </c>
      <c r="B92" s="781" t="s">
        <v>3508</v>
      </c>
      <c r="C92" s="782" t="s">
        <v>3567</v>
      </c>
      <c r="D92" s="782" t="s">
        <v>3568</v>
      </c>
      <c r="E92" s="782">
        <v>2015</v>
      </c>
      <c r="F92" s="782" t="s">
        <v>3440</v>
      </c>
      <c r="G92" s="783">
        <v>36738.519999999997</v>
      </c>
      <c r="H92" s="784">
        <v>111406.04</v>
      </c>
    </row>
    <row r="93" spans="1:8" ht="24.95" customHeight="1" x14ac:dyDescent="0.2">
      <c r="A93" s="780" t="s">
        <v>3510</v>
      </c>
      <c r="B93" s="781" t="s">
        <v>3511</v>
      </c>
      <c r="C93" s="782" t="s">
        <v>3437</v>
      </c>
      <c r="D93" s="782" t="s">
        <v>3512</v>
      </c>
      <c r="E93" s="782">
        <v>2016</v>
      </c>
      <c r="F93" s="782" t="s">
        <v>3440</v>
      </c>
      <c r="G93" s="783">
        <v>437456.95</v>
      </c>
      <c r="H93" s="784">
        <v>464871.41000000038</v>
      </c>
    </row>
    <row r="94" spans="1:8" ht="24.95" customHeight="1" x14ac:dyDescent="0.2">
      <c r="A94" s="780" t="s">
        <v>3513</v>
      </c>
      <c r="B94" s="781" t="s">
        <v>3514</v>
      </c>
      <c r="C94" s="782" t="s">
        <v>3537</v>
      </c>
      <c r="D94" s="782" t="s">
        <v>3569</v>
      </c>
      <c r="E94" s="782">
        <v>2017</v>
      </c>
      <c r="F94" s="782" t="s">
        <v>3440</v>
      </c>
      <c r="G94" s="783">
        <v>62786.49</v>
      </c>
      <c r="H94" s="784">
        <v>77755.81</v>
      </c>
    </row>
    <row r="95" spans="1:8" ht="24.95" customHeight="1" x14ac:dyDescent="0.2">
      <c r="A95" s="780" t="s">
        <v>3517</v>
      </c>
      <c r="B95" s="781" t="s">
        <v>3518</v>
      </c>
      <c r="C95" s="782" t="s">
        <v>3437</v>
      </c>
      <c r="D95" s="782" t="s">
        <v>3570</v>
      </c>
      <c r="E95" s="782">
        <v>2018</v>
      </c>
      <c r="F95" s="782" t="s">
        <v>3440</v>
      </c>
      <c r="G95" s="783">
        <v>12117.9</v>
      </c>
      <c r="H95" s="784">
        <v>11916.82</v>
      </c>
    </row>
    <row r="96" spans="1:8" ht="24.95" customHeight="1" x14ac:dyDescent="0.2">
      <c r="A96" s="780" t="s">
        <v>3520</v>
      </c>
      <c r="B96" s="781" t="s">
        <v>3521</v>
      </c>
      <c r="C96" s="782" t="s">
        <v>3437</v>
      </c>
      <c r="D96" s="782" t="s">
        <v>3571</v>
      </c>
      <c r="E96" s="782">
        <v>2017</v>
      </c>
      <c r="F96" s="782" t="s">
        <v>3440</v>
      </c>
      <c r="G96" s="783">
        <v>85068.34</v>
      </c>
      <c r="H96" s="784">
        <v>101774.27</v>
      </c>
    </row>
    <row r="97" spans="1:8" ht="24.95" customHeight="1" x14ac:dyDescent="0.2">
      <c r="A97" s="780" t="s">
        <v>3520</v>
      </c>
      <c r="B97" s="781" t="s">
        <v>3521</v>
      </c>
      <c r="C97" s="782" t="s">
        <v>3437</v>
      </c>
      <c r="D97" s="782" t="s">
        <v>3572</v>
      </c>
      <c r="E97" s="782">
        <v>2017</v>
      </c>
      <c r="F97" s="782" t="s">
        <v>3440</v>
      </c>
      <c r="G97" s="783">
        <v>94811.5</v>
      </c>
      <c r="H97" s="784">
        <v>87482</v>
      </c>
    </row>
    <row r="98" spans="1:8" ht="24.95" customHeight="1" x14ac:dyDescent="0.2">
      <c r="A98" s="780" t="s">
        <v>3520</v>
      </c>
      <c r="B98" s="781" t="s">
        <v>3521</v>
      </c>
      <c r="C98" s="782" t="s">
        <v>3528</v>
      </c>
      <c r="D98" s="782" t="s">
        <v>3573</v>
      </c>
      <c r="E98" s="782">
        <v>2017</v>
      </c>
      <c r="F98" s="782" t="s">
        <v>3440</v>
      </c>
      <c r="G98" s="783">
        <v>1950.27</v>
      </c>
      <c r="H98" s="784">
        <v>11540.54</v>
      </c>
    </row>
    <row r="99" spans="1:8" ht="24.95" customHeight="1" x14ac:dyDescent="0.2">
      <c r="A99" s="780" t="s">
        <v>3522</v>
      </c>
      <c r="B99" s="781" t="s">
        <v>3523</v>
      </c>
      <c r="C99" s="782" t="s">
        <v>3437</v>
      </c>
      <c r="D99" s="782">
        <v>163003171</v>
      </c>
      <c r="E99" s="782">
        <v>2017</v>
      </c>
      <c r="F99" s="782" t="s">
        <v>3440</v>
      </c>
      <c r="G99" s="783">
        <v>57777.58</v>
      </c>
      <c r="H99" s="784">
        <v>62318.09</v>
      </c>
    </row>
    <row r="100" spans="1:8" ht="24.95" customHeight="1" x14ac:dyDescent="0.2">
      <c r="A100" s="780" t="s">
        <v>3524</v>
      </c>
      <c r="B100" s="781" t="s">
        <v>3525</v>
      </c>
      <c r="C100" s="782" t="s">
        <v>3437</v>
      </c>
      <c r="D100" s="782">
        <v>416007748</v>
      </c>
      <c r="E100" s="782">
        <v>2018</v>
      </c>
      <c r="F100" s="782" t="s">
        <v>3440</v>
      </c>
      <c r="G100" s="783"/>
      <c r="H100" s="784"/>
    </row>
    <row r="101" spans="1:8" ht="24.95" customHeight="1" x14ac:dyDescent="0.25">
      <c r="A101" s="791" t="s">
        <v>3574</v>
      </c>
      <c r="B101" s="792"/>
      <c r="C101" s="792"/>
      <c r="D101" s="792"/>
      <c r="E101" s="793"/>
      <c r="F101" s="793"/>
      <c r="G101" s="789"/>
      <c r="H101" s="790"/>
    </row>
    <row r="102" spans="1:8" ht="24.95" customHeight="1" x14ac:dyDescent="0.25">
      <c r="A102" s="791" t="s">
        <v>3575</v>
      </c>
      <c r="B102" s="794"/>
      <c r="C102" s="794"/>
      <c r="D102" s="795"/>
      <c r="E102" s="794"/>
      <c r="F102" s="794"/>
      <c r="G102" s="796"/>
      <c r="H102" s="797"/>
    </row>
    <row r="103" spans="1:8" ht="24.95" customHeight="1" x14ac:dyDescent="0.2">
      <c r="A103" s="780" t="s">
        <v>3435</v>
      </c>
      <c r="B103" s="781" t="s">
        <v>3436</v>
      </c>
      <c r="C103" s="812" t="s">
        <v>3437</v>
      </c>
      <c r="D103" s="813" t="s">
        <v>3576</v>
      </c>
      <c r="E103" s="785" t="s">
        <v>3577</v>
      </c>
      <c r="F103" s="812" t="s">
        <v>3440</v>
      </c>
      <c r="G103" s="814">
        <v>452641.38</v>
      </c>
      <c r="H103" s="815">
        <v>452641.38</v>
      </c>
    </row>
    <row r="104" spans="1:8" ht="24.95" customHeight="1" x14ac:dyDescent="0.2">
      <c r="A104" s="780" t="s">
        <v>3442</v>
      </c>
      <c r="B104" s="781" t="s">
        <v>3443</v>
      </c>
      <c r="C104" s="812" t="s">
        <v>3437</v>
      </c>
      <c r="D104" s="813" t="s">
        <v>3578</v>
      </c>
      <c r="E104" s="785">
        <v>2014</v>
      </c>
      <c r="F104" s="812" t="s">
        <v>3440</v>
      </c>
      <c r="G104" s="814">
        <v>1555.49</v>
      </c>
      <c r="H104" s="815">
        <v>1555.49</v>
      </c>
    </row>
    <row r="105" spans="1:8" ht="24.95" customHeight="1" x14ac:dyDescent="0.2">
      <c r="A105" s="780" t="s">
        <v>3442</v>
      </c>
      <c r="B105" s="781" t="s">
        <v>3443</v>
      </c>
      <c r="C105" s="812" t="s">
        <v>3437</v>
      </c>
      <c r="D105" s="813" t="s">
        <v>3579</v>
      </c>
      <c r="E105" s="785">
        <v>2014</v>
      </c>
      <c r="F105" s="812" t="s">
        <v>3440</v>
      </c>
      <c r="G105" s="814">
        <v>133648.07999999999</v>
      </c>
      <c r="H105" s="815">
        <v>147217.54999999999</v>
      </c>
    </row>
    <row r="106" spans="1:8" ht="24.95" customHeight="1" x14ac:dyDescent="0.2">
      <c r="A106" s="780" t="s">
        <v>3442</v>
      </c>
      <c r="B106" s="781" t="s">
        <v>3443</v>
      </c>
      <c r="C106" s="812" t="s">
        <v>3437</v>
      </c>
      <c r="D106" s="813" t="s">
        <v>3580</v>
      </c>
      <c r="E106" s="785">
        <v>2014</v>
      </c>
      <c r="F106" s="812" t="s">
        <v>3440</v>
      </c>
      <c r="G106" s="814">
        <v>0</v>
      </c>
      <c r="H106" s="815">
        <v>0</v>
      </c>
    </row>
    <row r="107" spans="1:8" ht="24.95" customHeight="1" x14ac:dyDescent="0.2">
      <c r="A107" s="780" t="s">
        <v>3442</v>
      </c>
      <c r="B107" s="781" t="s">
        <v>3443</v>
      </c>
      <c r="C107" s="812" t="s">
        <v>3437</v>
      </c>
      <c r="D107" s="813" t="s">
        <v>3581</v>
      </c>
      <c r="E107" s="785">
        <v>2014</v>
      </c>
      <c r="F107" s="812" t="s">
        <v>3582</v>
      </c>
      <c r="G107" s="814">
        <v>0</v>
      </c>
      <c r="H107" s="815">
        <v>0</v>
      </c>
    </row>
    <row r="108" spans="1:8" ht="24.95" customHeight="1" x14ac:dyDescent="0.2">
      <c r="A108" s="780" t="s">
        <v>3442</v>
      </c>
      <c r="B108" s="781" t="s">
        <v>3443</v>
      </c>
      <c r="C108" s="812" t="s">
        <v>3437</v>
      </c>
      <c r="D108" s="813" t="s">
        <v>3583</v>
      </c>
      <c r="E108" s="785">
        <v>2014</v>
      </c>
      <c r="F108" s="812" t="s">
        <v>3582</v>
      </c>
      <c r="G108" s="814">
        <v>299667.87</v>
      </c>
      <c r="H108" s="815">
        <v>0</v>
      </c>
    </row>
    <row r="109" spans="1:8" ht="24.95" customHeight="1" x14ac:dyDescent="0.2">
      <c r="A109" s="780" t="s">
        <v>3444</v>
      </c>
      <c r="B109" s="781" t="s">
        <v>3445</v>
      </c>
      <c r="C109" s="812" t="s">
        <v>3437</v>
      </c>
      <c r="D109" s="813">
        <v>161047783</v>
      </c>
      <c r="E109" s="785">
        <v>2018</v>
      </c>
      <c r="F109" s="812" t="s">
        <v>3440</v>
      </c>
      <c r="G109" s="814">
        <v>755539.23</v>
      </c>
      <c r="H109" s="815">
        <v>686458.34</v>
      </c>
    </row>
    <row r="110" spans="1:8" ht="24.95" customHeight="1" x14ac:dyDescent="0.2">
      <c r="A110" s="780" t="s">
        <v>3584</v>
      </c>
      <c r="B110" s="781" t="s">
        <v>3447</v>
      </c>
      <c r="C110" s="812" t="s">
        <v>3437</v>
      </c>
      <c r="D110" s="812" t="s">
        <v>3585</v>
      </c>
      <c r="E110" s="785">
        <v>2013</v>
      </c>
      <c r="F110" s="812" t="s">
        <v>3440</v>
      </c>
      <c r="G110" s="814">
        <v>87877</v>
      </c>
      <c r="H110" s="815">
        <v>87383</v>
      </c>
    </row>
    <row r="111" spans="1:8" ht="24.95" customHeight="1" x14ac:dyDescent="0.2">
      <c r="A111" s="780" t="s">
        <v>3446</v>
      </c>
      <c r="B111" s="781" t="s">
        <v>3447</v>
      </c>
      <c r="C111" s="812" t="s">
        <v>3437</v>
      </c>
      <c r="D111" s="812" t="s">
        <v>3586</v>
      </c>
      <c r="E111" s="785">
        <v>2013</v>
      </c>
      <c r="F111" s="812" t="s">
        <v>3440</v>
      </c>
      <c r="G111" s="814">
        <v>2541</v>
      </c>
      <c r="H111" s="815">
        <v>2541</v>
      </c>
    </row>
    <row r="112" spans="1:8" ht="24.95" customHeight="1" x14ac:dyDescent="0.2">
      <c r="A112" s="780" t="s">
        <v>3449</v>
      </c>
      <c r="B112" s="781" t="s">
        <v>3450</v>
      </c>
      <c r="C112" s="785" t="s">
        <v>3437</v>
      </c>
      <c r="D112" s="785">
        <v>161204560</v>
      </c>
      <c r="E112" s="785" t="s">
        <v>3587</v>
      </c>
      <c r="F112" s="785" t="s">
        <v>3440</v>
      </c>
      <c r="G112" s="816">
        <v>162.82</v>
      </c>
      <c r="H112" s="815">
        <v>14756.82</v>
      </c>
    </row>
    <row r="113" spans="1:8" ht="24.95" customHeight="1" x14ac:dyDescent="0.2">
      <c r="A113" s="780" t="s">
        <v>3452</v>
      </c>
      <c r="B113" s="781" t="s">
        <v>3453</v>
      </c>
      <c r="C113" s="812" t="s">
        <v>3437</v>
      </c>
      <c r="D113" s="812" t="s">
        <v>3454</v>
      </c>
      <c r="E113" s="785" t="s">
        <v>3588</v>
      </c>
      <c r="F113" s="812" t="s">
        <v>3440</v>
      </c>
      <c r="G113" s="814">
        <v>549550.73</v>
      </c>
      <c r="H113" s="815">
        <v>549550.73</v>
      </c>
    </row>
    <row r="114" spans="1:8" ht="24.95" customHeight="1" x14ac:dyDescent="0.2">
      <c r="A114" s="780" t="s">
        <v>3455</v>
      </c>
      <c r="B114" s="781" t="s">
        <v>3456</v>
      </c>
      <c r="C114" s="785" t="s">
        <v>3441</v>
      </c>
      <c r="D114" s="785" t="s">
        <v>3441</v>
      </c>
      <c r="E114" s="785" t="s">
        <v>3441</v>
      </c>
      <c r="F114" s="785" t="s">
        <v>3441</v>
      </c>
      <c r="G114" s="785"/>
      <c r="H114" s="830"/>
    </row>
    <row r="115" spans="1:8" ht="24.95" customHeight="1" x14ac:dyDescent="0.2">
      <c r="A115" s="780" t="s">
        <v>3458</v>
      </c>
      <c r="B115" s="781" t="s">
        <v>3459</v>
      </c>
      <c r="C115" s="785" t="s">
        <v>3441</v>
      </c>
      <c r="D115" s="785" t="s">
        <v>3441</v>
      </c>
      <c r="E115" s="785" t="s">
        <v>3441</v>
      </c>
      <c r="F115" s="785" t="s">
        <v>3441</v>
      </c>
      <c r="G115" s="785"/>
      <c r="H115" s="815"/>
    </row>
    <row r="116" spans="1:8" ht="24.95" customHeight="1" x14ac:dyDescent="0.2">
      <c r="A116" s="780" t="s">
        <v>3461</v>
      </c>
      <c r="B116" s="781" t="s">
        <v>3462</v>
      </c>
      <c r="C116" s="812"/>
      <c r="D116" s="813"/>
      <c r="E116" s="812"/>
      <c r="F116" s="812"/>
      <c r="G116" s="814"/>
      <c r="H116" s="815"/>
    </row>
    <row r="117" spans="1:8" ht="24.95" customHeight="1" x14ac:dyDescent="0.2">
      <c r="A117" s="780" t="s">
        <v>3463</v>
      </c>
      <c r="B117" s="781" t="s">
        <v>3464</v>
      </c>
      <c r="C117" s="785" t="s">
        <v>3441</v>
      </c>
      <c r="D117" s="785" t="s">
        <v>3441</v>
      </c>
      <c r="E117" s="785" t="s">
        <v>3441</v>
      </c>
      <c r="F117" s="785" t="s">
        <v>3441</v>
      </c>
      <c r="G117" s="785"/>
      <c r="H117" s="830"/>
    </row>
    <row r="118" spans="1:8" ht="24.95" customHeight="1" x14ac:dyDescent="0.2">
      <c r="A118" s="780" t="s">
        <v>3465</v>
      </c>
      <c r="B118" s="781" t="s">
        <v>3466</v>
      </c>
      <c r="C118" s="785" t="s">
        <v>3441</v>
      </c>
      <c r="D118" s="785" t="s">
        <v>3441</v>
      </c>
      <c r="E118" s="785" t="s">
        <v>3441</v>
      </c>
      <c r="F118" s="785" t="s">
        <v>3441</v>
      </c>
      <c r="G118" s="785"/>
      <c r="H118" s="830"/>
    </row>
    <row r="119" spans="1:8" ht="24.95" customHeight="1" x14ac:dyDescent="0.2">
      <c r="A119" s="780" t="s">
        <v>3467</v>
      </c>
      <c r="B119" s="781" t="s">
        <v>3468</v>
      </c>
      <c r="C119" s="785" t="s">
        <v>3441</v>
      </c>
      <c r="D119" s="785" t="s">
        <v>3441</v>
      </c>
      <c r="E119" s="785" t="s">
        <v>3441</v>
      </c>
      <c r="F119" s="785" t="s">
        <v>3441</v>
      </c>
      <c r="G119" s="785"/>
      <c r="H119" s="830"/>
    </row>
    <row r="120" spans="1:8" ht="24.95" customHeight="1" x14ac:dyDescent="0.2">
      <c r="A120" s="780" t="s">
        <v>3471</v>
      </c>
      <c r="B120" s="781" t="s">
        <v>3472</v>
      </c>
      <c r="C120" s="785" t="s">
        <v>3441</v>
      </c>
      <c r="D120" s="785" t="s">
        <v>3441</v>
      </c>
      <c r="E120" s="785" t="s">
        <v>3441</v>
      </c>
      <c r="F120" s="785" t="s">
        <v>3441</v>
      </c>
      <c r="G120" s="785"/>
      <c r="H120" s="830"/>
    </row>
    <row r="121" spans="1:8" ht="24.95" customHeight="1" x14ac:dyDescent="0.2">
      <c r="A121" s="780" t="s">
        <v>3474</v>
      </c>
      <c r="B121" s="781" t="s">
        <v>3475</v>
      </c>
      <c r="C121" s="785" t="s">
        <v>3441</v>
      </c>
      <c r="D121" s="785" t="s">
        <v>3441</v>
      </c>
      <c r="E121" s="785" t="s">
        <v>3441</v>
      </c>
      <c r="F121" s="785" t="s">
        <v>3441</v>
      </c>
      <c r="G121" s="785"/>
      <c r="H121" s="830"/>
    </row>
    <row r="122" spans="1:8" ht="24.95" customHeight="1" x14ac:dyDescent="0.2">
      <c r="A122" s="780" t="s">
        <v>3477</v>
      </c>
      <c r="B122" s="781" t="s">
        <v>3478</v>
      </c>
      <c r="C122" s="785" t="s">
        <v>3441</v>
      </c>
      <c r="D122" s="785" t="s">
        <v>3441</v>
      </c>
      <c r="E122" s="785" t="s">
        <v>3441</v>
      </c>
      <c r="F122" s="785" t="s">
        <v>3441</v>
      </c>
      <c r="G122" s="785"/>
      <c r="H122" s="830"/>
    </row>
    <row r="123" spans="1:8" ht="24.95" customHeight="1" x14ac:dyDescent="0.2">
      <c r="A123" s="780" t="s">
        <v>3480</v>
      </c>
      <c r="B123" s="781" t="s">
        <v>3481</v>
      </c>
      <c r="C123" s="785" t="s">
        <v>3441</v>
      </c>
      <c r="D123" s="785" t="s">
        <v>3441</v>
      </c>
      <c r="E123" s="785" t="s">
        <v>3441</v>
      </c>
      <c r="F123" s="785" t="s">
        <v>3441</v>
      </c>
      <c r="G123" s="785"/>
      <c r="H123" s="830"/>
    </row>
    <row r="124" spans="1:8" ht="24.95" customHeight="1" x14ac:dyDescent="0.2">
      <c r="A124" s="780" t="s">
        <v>3483</v>
      </c>
      <c r="B124" s="781" t="s">
        <v>3484</v>
      </c>
      <c r="C124" s="785" t="s">
        <v>3441</v>
      </c>
      <c r="D124" s="785"/>
      <c r="E124" s="785"/>
      <c r="F124" s="785"/>
      <c r="G124" s="785"/>
      <c r="H124" s="815"/>
    </row>
    <row r="125" spans="1:8" ht="24.95" customHeight="1" x14ac:dyDescent="0.2">
      <c r="A125" s="780" t="s">
        <v>3486</v>
      </c>
      <c r="B125" s="781" t="s">
        <v>3487</v>
      </c>
      <c r="C125" s="785" t="s">
        <v>3441</v>
      </c>
      <c r="D125" s="785" t="s">
        <v>3441</v>
      </c>
      <c r="E125" s="785" t="s">
        <v>3441</v>
      </c>
      <c r="F125" s="785" t="s">
        <v>3441</v>
      </c>
      <c r="G125" s="785"/>
      <c r="H125" s="830"/>
    </row>
    <row r="126" spans="1:8" ht="24.95" customHeight="1" x14ac:dyDescent="0.2">
      <c r="A126" s="780" t="s">
        <v>3489</v>
      </c>
      <c r="B126" s="781" t="s">
        <v>3490</v>
      </c>
      <c r="C126" s="785" t="s">
        <v>3441</v>
      </c>
      <c r="D126" s="785" t="s">
        <v>3441</v>
      </c>
      <c r="E126" s="785" t="s">
        <v>3441</v>
      </c>
      <c r="F126" s="785" t="s">
        <v>3441</v>
      </c>
      <c r="G126" s="785"/>
      <c r="H126" s="830"/>
    </row>
    <row r="127" spans="1:8" ht="24.95" customHeight="1" x14ac:dyDescent="0.2">
      <c r="A127" s="780" t="s">
        <v>3492</v>
      </c>
      <c r="B127" s="781" t="s">
        <v>3493</v>
      </c>
      <c r="C127" s="785" t="s">
        <v>3441</v>
      </c>
      <c r="D127" s="785" t="s">
        <v>3441</v>
      </c>
      <c r="E127" s="785" t="s">
        <v>3441</v>
      </c>
      <c r="F127" s="785" t="s">
        <v>3441</v>
      </c>
      <c r="G127" s="785"/>
      <c r="H127" s="830"/>
    </row>
    <row r="128" spans="1:8" ht="24.95" customHeight="1" x14ac:dyDescent="0.2">
      <c r="A128" s="780" t="s">
        <v>3494</v>
      </c>
      <c r="B128" s="781" t="s">
        <v>3495</v>
      </c>
      <c r="C128" s="785" t="s">
        <v>3441</v>
      </c>
      <c r="D128" s="785" t="s">
        <v>3441</v>
      </c>
      <c r="E128" s="785" t="s">
        <v>3441</v>
      </c>
      <c r="F128" s="785" t="s">
        <v>3441</v>
      </c>
      <c r="G128" s="785"/>
      <c r="H128" s="830"/>
    </row>
    <row r="129" spans="1:8" ht="24.95" customHeight="1" x14ac:dyDescent="0.2">
      <c r="A129" s="780" t="s">
        <v>3497</v>
      </c>
      <c r="B129" s="781" t="s">
        <v>3498</v>
      </c>
      <c r="C129" s="785" t="s">
        <v>3441</v>
      </c>
      <c r="D129" s="785" t="s">
        <v>3441</v>
      </c>
      <c r="E129" s="785" t="s">
        <v>3441</v>
      </c>
      <c r="F129" s="785" t="s">
        <v>3441</v>
      </c>
      <c r="G129" s="785"/>
      <c r="H129" s="830"/>
    </row>
    <row r="130" spans="1:8" ht="24.95" customHeight="1" x14ac:dyDescent="0.2">
      <c r="A130" s="780" t="s">
        <v>3500</v>
      </c>
      <c r="B130" s="781" t="s">
        <v>3501</v>
      </c>
      <c r="C130" s="785" t="s">
        <v>3441</v>
      </c>
      <c r="D130" s="785" t="s">
        <v>3441</v>
      </c>
      <c r="E130" s="785" t="s">
        <v>3441</v>
      </c>
      <c r="F130" s="785" t="s">
        <v>3441</v>
      </c>
      <c r="G130" s="785"/>
      <c r="H130" s="830"/>
    </row>
    <row r="131" spans="1:8" ht="24.95" customHeight="1" x14ac:dyDescent="0.2">
      <c r="A131" s="780" t="s">
        <v>3502</v>
      </c>
      <c r="B131" s="781" t="s">
        <v>3503</v>
      </c>
      <c r="C131" s="782"/>
      <c r="D131" s="782"/>
      <c r="E131" s="782"/>
      <c r="F131" s="782"/>
      <c r="G131" s="783"/>
      <c r="H131" s="784"/>
    </row>
    <row r="132" spans="1:8" ht="24.95" customHeight="1" x14ac:dyDescent="0.2">
      <c r="A132" s="780" t="s">
        <v>3504</v>
      </c>
      <c r="B132" s="781" t="s">
        <v>3505</v>
      </c>
      <c r="C132" s="785" t="s">
        <v>3437</v>
      </c>
      <c r="D132" s="785" t="s">
        <v>3589</v>
      </c>
      <c r="E132" s="785" t="s">
        <v>3590</v>
      </c>
      <c r="F132" s="785" t="s">
        <v>3440</v>
      </c>
      <c r="G132" s="785" t="s">
        <v>3591</v>
      </c>
      <c r="H132" s="815">
        <v>22061</v>
      </c>
    </row>
    <row r="133" spans="1:8" ht="24.95" customHeight="1" x14ac:dyDescent="0.2">
      <c r="A133" s="780" t="s">
        <v>3507</v>
      </c>
      <c r="B133" s="781" t="s">
        <v>3508</v>
      </c>
      <c r="C133" s="785" t="s">
        <v>3441</v>
      </c>
      <c r="D133" s="785" t="s">
        <v>3441</v>
      </c>
      <c r="E133" s="785" t="s">
        <v>3441</v>
      </c>
      <c r="F133" s="785" t="s">
        <v>3441</v>
      </c>
      <c r="G133" s="785"/>
      <c r="H133" s="830"/>
    </row>
    <row r="134" spans="1:8" ht="24.95" customHeight="1" x14ac:dyDescent="0.2">
      <c r="A134" s="780" t="s">
        <v>3510</v>
      </c>
      <c r="B134" s="781" t="s">
        <v>3511</v>
      </c>
      <c r="C134" s="785" t="s">
        <v>3441</v>
      </c>
      <c r="D134" s="785" t="s">
        <v>3441</v>
      </c>
      <c r="E134" s="785" t="s">
        <v>3441</v>
      </c>
      <c r="F134" s="785" t="s">
        <v>3441</v>
      </c>
      <c r="G134" s="785"/>
      <c r="H134" s="830"/>
    </row>
    <row r="135" spans="1:8" ht="24.95" customHeight="1" x14ac:dyDescent="0.2">
      <c r="A135" s="780" t="s">
        <v>3513</v>
      </c>
      <c r="B135" s="781" t="s">
        <v>3514</v>
      </c>
      <c r="C135" s="785" t="s">
        <v>3441</v>
      </c>
      <c r="D135" s="785" t="s">
        <v>3441</v>
      </c>
      <c r="E135" s="785" t="s">
        <v>3441</v>
      </c>
      <c r="F135" s="785" t="s">
        <v>3441</v>
      </c>
      <c r="G135" s="785"/>
      <c r="H135" s="830"/>
    </row>
    <row r="136" spans="1:8" ht="24.95" customHeight="1" x14ac:dyDescent="0.2">
      <c r="A136" s="780" t="s">
        <v>3517</v>
      </c>
      <c r="B136" s="781" t="s">
        <v>3518</v>
      </c>
      <c r="C136" s="785" t="s">
        <v>3441</v>
      </c>
      <c r="D136" s="785" t="s">
        <v>3441</v>
      </c>
      <c r="E136" s="785" t="s">
        <v>3441</v>
      </c>
      <c r="F136" s="785" t="s">
        <v>3441</v>
      </c>
      <c r="G136" s="785"/>
      <c r="H136" s="830"/>
    </row>
    <row r="137" spans="1:8" ht="24.95" customHeight="1" x14ac:dyDescent="0.2">
      <c r="A137" s="780" t="s">
        <v>3520</v>
      </c>
      <c r="B137" s="781" t="s">
        <v>3521</v>
      </c>
      <c r="C137" s="785" t="s">
        <v>3528</v>
      </c>
      <c r="D137" s="785" t="s">
        <v>3592</v>
      </c>
      <c r="E137" s="785" t="s">
        <v>3590</v>
      </c>
      <c r="F137" s="785" t="s">
        <v>3440</v>
      </c>
      <c r="G137" s="785"/>
      <c r="H137" s="831" t="s">
        <v>3593</v>
      </c>
    </row>
    <row r="138" spans="1:8" ht="24.95" customHeight="1" x14ac:dyDescent="0.2">
      <c r="A138" s="780" t="s">
        <v>3522</v>
      </c>
      <c r="B138" s="781" t="s">
        <v>3523</v>
      </c>
      <c r="C138" s="785" t="s">
        <v>3441</v>
      </c>
      <c r="D138" s="785" t="s">
        <v>3441</v>
      </c>
      <c r="E138" s="785" t="s">
        <v>3441</v>
      </c>
      <c r="F138" s="785" t="s">
        <v>3441</v>
      </c>
      <c r="G138" s="785"/>
      <c r="H138" s="830"/>
    </row>
    <row r="139" spans="1:8" ht="24.95" customHeight="1" x14ac:dyDescent="0.2">
      <c r="A139" s="780" t="s">
        <v>3524</v>
      </c>
      <c r="B139" s="781" t="s">
        <v>3525</v>
      </c>
      <c r="C139" s="785" t="s">
        <v>3441</v>
      </c>
      <c r="D139" s="785" t="s">
        <v>3441</v>
      </c>
      <c r="E139" s="785" t="s">
        <v>3441</v>
      </c>
      <c r="F139" s="785" t="s">
        <v>3441</v>
      </c>
      <c r="G139" s="785"/>
      <c r="H139" s="830"/>
    </row>
    <row r="140" spans="1:8" ht="24.95" customHeight="1" x14ac:dyDescent="0.25">
      <c r="A140" s="791" t="s">
        <v>38</v>
      </c>
      <c r="B140" s="792"/>
      <c r="C140" s="792"/>
      <c r="D140" s="792"/>
      <c r="E140" s="793"/>
      <c r="F140" s="793"/>
      <c r="G140" s="789"/>
      <c r="H140" s="790"/>
    </row>
    <row r="141" spans="1:8" ht="24.95" customHeight="1" x14ac:dyDescent="0.2">
      <c r="A141" s="780" t="s">
        <v>3594</v>
      </c>
      <c r="B141" s="781" t="s">
        <v>3436</v>
      </c>
      <c r="C141" s="782" t="s">
        <v>3437</v>
      </c>
      <c r="D141" s="782" t="s">
        <v>3595</v>
      </c>
      <c r="E141" s="782">
        <v>2005</v>
      </c>
      <c r="F141" s="782" t="s">
        <v>3440</v>
      </c>
      <c r="G141" s="783">
        <v>7132.13</v>
      </c>
      <c r="H141" s="784">
        <v>7132.13</v>
      </c>
    </row>
    <row r="142" spans="1:8" ht="24.95" customHeight="1" x14ac:dyDescent="0.2">
      <c r="A142" s="780" t="s">
        <v>3594</v>
      </c>
      <c r="B142" s="781" t="s">
        <v>3436</v>
      </c>
      <c r="C142" s="782" t="s">
        <v>3437</v>
      </c>
      <c r="D142" s="782" t="s">
        <v>3596</v>
      </c>
      <c r="E142" s="782">
        <v>2012</v>
      </c>
      <c r="F142" s="782" t="s">
        <v>3440</v>
      </c>
      <c r="G142" s="783">
        <v>22460</v>
      </c>
      <c r="H142" s="784">
        <v>22460</v>
      </c>
    </row>
    <row r="143" spans="1:8" ht="24.95" customHeight="1" x14ac:dyDescent="0.2">
      <c r="A143" s="780" t="s">
        <v>3597</v>
      </c>
      <c r="B143" s="781" t="s">
        <v>3436</v>
      </c>
      <c r="C143" s="782" t="s">
        <v>3437</v>
      </c>
      <c r="D143" s="782" t="s">
        <v>3598</v>
      </c>
      <c r="E143" s="782">
        <v>2010</v>
      </c>
      <c r="F143" s="782" t="s">
        <v>3440</v>
      </c>
      <c r="G143" s="783">
        <v>85335</v>
      </c>
      <c r="H143" s="784">
        <v>85335</v>
      </c>
    </row>
    <row r="144" spans="1:8" ht="24.95" customHeight="1" x14ac:dyDescent="0.2">
      <c r="A144" s="780" t="s">
        <v>3597</v>
      </c>
      <c r="B144" s="781" t="s">
        <v>3436</v>
      </c>
      <c r="C144" s="782" t="s">
        <v>3437</v>
      </c>
      <c r="D144" s="782" t="s">
        <v>3599</v>
      </c>
      <c r="E144" s="782">
        <v>2007</v>
      </c>
      <c r="F144" s="782" t="s">
        <v>3440</v>
      </c>
      <c r="G144" s="783">
        <v>24283.5</v>
      </c>
      <c r="H144" s="784">
        <v>24283.5</v>
      </c>
    </row>
    <row r="145" spans="1:8" ht="24.95" customHeight="1" x14ac:dyDescent="0.2">
      <c r="A145" s="780" t="s">
        <v>3597</v>
      </c>
      <c r="B145" s="781" t="s">
        <v>3436</v>
      </c>
      <c r="C145" s="782" t="s">
        <v>3437</v>
      </c>
      <c r="D145" s="782" t="s">
        <v>3600</v>
      </c>
      <c r="E145" s="782">
        <v>2012</v>
      </c>
      <c r="F145" s="782" t="s">
        <v>3440</v>
      </c>
      <c r="G145" s="783">
        <v>33922.04</v>
      </c>
      <c r="H145" s="784">
        <v>33922.04</v>
      </c>
    </row>
    <row r="146" spans="1:8" ht="24.95" customHeight="1" x14ac:dyDescent="0.2">
      <c r="A146" s="780" t="s">
        <v>3597</v>
      </c>
      <c r="B146" s="781" t="s">
        <v>3436</v>
      </c>
      <c r="C146" s="782" t="s">
        <v>3437</v>
      </c>
      <c r="D146" s="782" t="s">
        <v>3601</v>
      </c>
      <c r="E146" s="782">
        <v>2012</v>
      </c>
      <c r="F146" s="782" t="s">
        <v>3440</v>
      </c>
      <c r="G146" s="783">
        <v>53001.09</v>
      </c>
      <c r="H146" s="784">
        <v>53001.09</v>
      </c>
    </row>
    <row r="147" spans="1:8" ht="24.95" customHeight="1" x14ac:dyDescent="0.2">
      <c r="A147" s="780" t="s">
        <v>3442</v>
      </c>
      <c r="B147" s="781" t="s">
        <v>3443</v>
      </c>
      <c r="C147" s="782" t="s">
        <v>3437</v>
      </c>
      <c r="D147" s="782" t="s">
        <v>3602</v>
      </c>
      <c r="E147" s="782">
        <v>2010</v>
      </c>
      <c r="F147" s="782" t="s">
        <v>3440</v>
      </c>
      <c r="G147" s="783">
        <v>1611.34</v>
      </c>
      <c r="H147" s="784">
        <v>1611.34</v>
      </c>
    </row>
    <row r="148" spans="1:8" ht="24.95" customHeight="1" x14ac:dyDescent="0.2">
      <c r="A148" s="780" t="s">
        <v>3442</v>
      </c>
      <c r="B148" s="781" t="s">
        <v>3443</v>
      </c>
      <c r="C148" s="782" t="s">
        <v>3437</v>
      </c>
      <c r="D148" s="782" t="s">
        <v>3603</v>
      </c>
      <c r="E148" s="782">
        <v>2012</v>
      </c>
      <c r="F148" s="782" t="s">
        <v>3440</v>
      </c>
      <c r="G148" s="783">
        <v>9495.7999999999993</v>
      </c>
      <c r="H148" s="784">
        <v>9495.7999999999993</v>
      </c>
    </row>
    <row r="149" spans="1:8" ht="24.95" customHeight="1" x14ac:dyDescent="0.2">
      <c r="A149" s="780" t="s">
        <v>3442</v>
      </c>
      <c r="B149" s="781" t="s">
        <v>3443</v>
      </c>
      <c r="C149" s="782" t="s">
        <v>3437</v>
      </c>
      <c r="D149" s="782" t="s">
        <v>3604</v>
      </c>
      <c r="E149" s="782">
        <v>2007</v>
      </c>
      <c r="F149" s="782" t="s">
        <v>3440</v>
      </c>
      <c r="G149" s="783">
        <v>151669.13</v>
      </c>
      <c r="H149" s="784">
        <v>151669.13</v>
      </c>
    </row>
    <row r="150" spans="1:8" ht="24.95" customHeight="1" x14ac:dyDescent="0.2">
      <c r="A150" s="780" t="s">
        <v>3442</v>
      </c>
      <c r="B150" s="781" t="s">
        <v>3443</v>
      </c>
      <c r="C150" s="782" t="s">
        <v>3437</v>
      </c>
      <c r="D150" s="782" t="s">
        <v>3605</v>
      </c>
      <c r="E150" s="782">
        <v>2011</v>
      </c>
      <c r="F150" s="782" t="s">
        <v>3440</v>
      </c>
      <c r="G150" s="783">
        <v>3691.83</v>
      </c>
      <c r="H150" s="784">
        <v>3691.83</v>
      </c>
    </row>
    <row r="151" spans="1:8" ht="24.95" customHeight="1" x14ac:dyDescent="0.2">
      <c r="A151" s="780" t="s">
        <v>3442</v>
      </c>
      <c r="B151" s="781" t="s">
        <v>3443</v>
      </c>
      <c r="C151" s="782" t="s">
        <v>3437</v>
      </c>
      <c r="D151" s="782" t="s">
        <v>3606</v>
      </c>
      <c r="E151" s="782">
        <v>2008</v>
      </c>
      <c r="F151" s="782" t="s">
        <v>3440</v>
      </c>
      <c r="G151" s="783">
        <v>730836.54</v>
      </c>
      <c r="H151" s="784">
        <v>617224.37</v>
      </c>
    </row>
    <row r="152" spans="1:8" ht="24.95" customHeight="1" x14ac:dyDescent="0.2">
      <c r="A152" s="780" t="s">
        <v>3444</v>
      </c>
      <c r="B152" s="781" t="s">
        <v>3445</v>
      </c>
      <c r="C152" s="781" t="s">
        <v>3437</v>
      </c>
      <c r="D152" s="782" t="s">
        <v>3531</v>
      </c>
      <c r="E152" s="782">
        <v>2017</v>
      </c>
      <c r="F152" s="782" t="s">
        <v>3440</v>
      </c>
      <c r="G152" s="783"/>
      <c r="H152" s="784"/>
    </row>
    <row r="153" spans="1:8" ht="24.95" customHeight="1" x14ac:dyDescent="0.2">
      <c r="A153" s="780" t="s">
        <v>3607</v>
      </c>
      <c r="B153" s="781" t="s">
        <v>3447</v>
      </c>
      <c r="C153" s="781" t="s">
        <v>3437</v>
      </c>
      <c r="D153" s="782" t="s">
        <v>3608</v>
      </c>
      <c r="E153" s="782">
        <v>2009</v>
      </c>
      <c r="F153" s="782" t="s">
        <v>3440</v>
      </c>
      <c r="G153" s="783">
        <v>10826</v>
      </c>
      <c r="H153" s="784">
        <v>520841</v>
      </c>
    </row>
    <row r="154" spans="1:8" ht="24.95" customHeight="1" x14ac:dyDescent="0.2">
      <c r="A154" s="780" t="s">
        <v>3607</v>
      </c>
      <c r="B154" s="781" t="s">
        <v>3447</v>
      </c>
      <c r="C154" s="781" t="s">
        <v>3437</v>
      </c>
      <c r="D154" s="782">
        <v>161036803</v>
      </c>
      <c r="E154" s="782">
        <v>2004</v>
      </c>
      <c r="F154" s="782" t="s">
        <v>3440</v>
      </c>
      <c r="G154" s="783">
        <v>548</v>
      </c>
      <c r="H154" s="784">
        <v>548</v>
      </c>
    </row>
    <row r="155" spans="1:8" ht="24.95" customHeight="1" x14ac:dyDescent="0.2">
      <c r="A155" s="780" t="s">
        <v>3609</v>
      </c>
      <c r="B155" s="781" t="s">
        <v>3447</v>
      </c>
      <c r="C155" s="781" t="s">
        <v>3437</v>
      </c>
      <c r="D155" s="782">
        <v>161036927</v>
      </c>
      <c r="E155" s="782">
        <v>2004</v>
      </c>
      <c r="F155" s="782" t="s">
        <v>3440</v>
      </c>
      <c r="G155" s="783">
        <v>3559</v>
      </c>
      <c r="H155" s="784">
        <v>3559</v>
      </c>
    </row>
    <row r="156" spans="1:8" ht="24.95" customHeight="1" x14ac:dyDescent="0.2">
      <c r="A156" s="780" t="s">
        <v>3609</v>
      </c>
      <c r="B156" s="781" t="s">
        <v>3447</v>
      </c>
      <c r="C156" s="781" t="s">
        <v>3437</v>
      </c>
      <c r="D156" s="782">
        <v>161112291</v>
      </c>
      <c r="E156" s="782">
        <v>2009</v>
      </c>
      <c r="F156" s="782" t="s">
        <v>3440</v>
      </c>
      <c r="G156" s="783">
        <v>142</v>
      </c>
      <c r="H156" s="784">
        <v>142</v>
      </c>
    </row>
    <row r="157" spans="1:8" ht="24.95" customHeight="1" x14ac:dyDescent="0.2">
      <c r="A157" s="780" t="s">
        <v>3607</v>
      </c>
      <c r="B157" s="781" t="s">
        <v>3447</v>
      </c>
      <c r="C157" s="781" t="s">
        <v>3437</v>
      </c>
      <c r="D157" s="782">
        <v>161121894</v>
      </c>
      <c r="E157" s="782">
        <v>2010</v>
      </c>
      <c r="F157" s="782" t="s">
        <v>3440</v>
      </c>
      <c r="G157" s="783">
        <v>1084</v>
      </c>
      <c r="H157" s="784">
        <v>1084</v>
      </c>
    </row>
    <row r="158" spans="1:8" ht="24.95" customHeight="1" x14ac:dyDescent="0.2">
      <c r="A158" s="780" t="s">
        <v>3607</v>
      </c>
      <c r="B158" s="781" t="s">
        <v>3447</v>
      </c>
      <c r="C158" s="781" t="s">
        <v>3437</v>
      </c>
      <c r="D158" s="832">
        <v>161131814</v>
      </c>
      <c r="E158" s="782">
        <v>2011</v>
      </c>
      <c r="F158" s="782" t="s">
        <v>3440</v>
      </c>
      <c r="G158" s="783">
        <v>255205</v>
      </c>
      <c r="H158" s="784">
        <v>255205</v>
      </c>
    </row>
    <row r="159" spans="1:8" ht="24.95" customHeight="1" x14ac:dyDescent="0.2">
      <c r="A159" s="780" t="s">
        <v>3449</v>
      </c>
      <c r="B159" s="781" t="s">
        <v>3450</v>
      </c>
      <c r="C159" s="781" t="s">
        <v>3437</v>
      </c>
      <c r="D159" s="782" t="s">
        <v>3451</v>
      </c>
      <c r="E159" s="782">
        <v>2017</v>
      </c>
      <c r="F159" s="782" t="s">
        <v>3440</v>
      </c>
      <c r="G159" s="783">
        <v>626785.87999999989</v>
      </c>
      <c r="H159" s="784">
        <v>402004.33</v>
      </c>
    </row>
    <row r="160" spans="1:8" ht="24.95" customHeight="1" x14ac:dyDescent="0.2">
      <c r="A160" s="780" t="s">
        <v>3452</v>
      </c>
      <c r="B160" s="781" t="s">
        <v>3453</v>
      </c>
      <c r="C160" s="781" t="s">
        <v>3437</v>
      </c>
      <c r="D160" s="782" t="s">
        <v>3454</v>
      </c>
      <c r="E160" s="782"/>
      <c r="F160" s="782"/>
      <c r="G160" s="783"/>
      <c r="H160" s="784"/>
    </row>
    <row r="161" spans="1:8" ht="24.95" customHeight="1" x14ac:dyDescent="0.2">
      <c r="A161" s="780" t="s">
        <v>3455</v>
      </c>
      <c r="B161" s="781" t="s">
        <v>3456</v>
      </c>
      <c r="C161" s="785" t="s">
        <v>3441</v>
      </c>
      <c r="D161" s="785" t="s">
        <v>3441</v>
      </c>
      <c r="E161" s="785" t="s">
        <v>3441</v>
      </c>
      <c r="F161" s="785" t="s">
        <v>3441</v>
      </c>
      <c r="G161" s="785"/>
      <c r="H161" s="830"/>
    </row>
    <row r="162" spans="1:8" ht="24.95" customHeight="1" x14ac:dyDescent="0.2">
      <c r="A162" s="780" t="s">
        <v>3458</v>
      </c>
      <c r="B162" s="781" t="s">
        <v>3459</v>
      </c>
      <c r="C162" s="785" t="s">
        <v>3437</v>
      </c>
      <c r="D162" s="785" t="s">
        <v>3610</v>
      </c>
      <c r="E162" s="785" t="s">
        <v>3611</v>
      </c>
      <c r="F162" s="785" t="s">
        <v>3440</v>
      </c>
      <c r="G162" s="817">
        <v>38817.919999999998</v>
      </c>
      <c r="H162" s="833">
        <v>38817.919999999998</v>
      </c>
    </row>
    <row r="163" spans="1:8" ht="24.95" customHeight="1" x14ac:dyDescent="0.2">
      <c r="A163" s="780" t="s">
        <v>3458</v>
      </c>
      <c r="B163" s="781" t="s">
        <v>3459</v>
      </c>
      <c r="C163" s="785" t="s">
        <v>3437</v>
      </c>
      <c r="D163" s="785" t="s">
        <v>3612</v>
      </c>
      <c r="E163" s="785" t="s">
        <v>3613</v>
      </c>
      <c r="F163" s="785" t="s">
        <v>3440</v>
      </c>
      <c r="G163" s="818">
        <v>5192.33</v>
      </c>
      <c r="H163" s="833">
        <v>1497.33</v>
      </c>
    </row>
    <row r="164" spans="1:8" ht="24.95" customHeight="1" x14ac:dyDescent="0.2">
      <c r="A164" s="780" t="s">
        <v>3458</v>
      </c>
      <c r="B164" s="781" t="s">
        <v>3459</v>
      </c>
      <c r="C164" s="785" t="s">
        <v>3437</v>
      </c>
      <c r="D164" s="785" t="s">
        <v>3614</v>
      </c>
      <c r="E164" s="785" t="s">
        <v>3615</v>
      </c>
      <c r="F164" s="785" t="s">
        <v>3440</v>
      </c>
      <c r="G164" s="818">
        <v>8935.0400000000009</v>
      </c>
      <c r="H164" s="833">
        <v>8935.0400000000009</v>
      </c>
    </row>
    <row r="165" spans="1:8" ht="24.95" customHeight="1" x14ac:dyDescent="0.2">
      <c r="A165" s="780" t="s">
        <v>3458</v>
      </c>
      <c r="B165" s="781" t="s">
        <v>3459</v>
      </c>
      <c r="C165" s="785" t="s">
        <v>3437</v>
      </c>
      <c r="D165" s="785" t="s">
        <v>3616</v>
      </c>
      <c r="E165" s="785" t="s">
        <v>3516</v>
      </c>
      <c r="F165" s="785" t="s">
        <v>3440</v>
      </c>
      <c r="G165" s="818">
        <v>7904339.25</v>
      </c>
      <c r="H165" s="833">
        <v>9627731.3399999999</v>
      </c>
    </row>
    <row r="166" spans="1:8" ht="24.95" customHeight="1" x14ac:dyDescent="0.2">
      <c r="A166" s="780" t="s">
        <v>3461</v>
      </c>
      <c r="B166" s="781" t="s">
        <v>3462</v>
      </c>
      <c r="C166" s="782" t="s">
        <v>3437</v>
      </c>
      <c r="D166" s="782" t="s">
        <v>3617</v>
      </c>
      <c r="E166" s="782">
        <v>2003</v>
      </c>
      <c r="F166" s="782" t="s">
        <v>3440</v>
      </c>
      <c r="G166" s="783">
        <v>7163.65</v>
      </c>
      <c r="H166" s="784">
        <v>7163.65</v>
      </c>
    </row>
    <row r="167" spans="1:8" ht="24.95" customHeight="1" x14ac:dyDescent="0.2">
      <c r="A167" s="780" t="s">
        <v>3463</v>
      </c>
      <c r="B167" s="781" t="s">
        <v>3464</v>
      </c>
      <c r="C167" s="785" t="s">
        <v>3441</v>
      </c>
      <c r="D167" s="785" t="s">
        <v>3441</v>
      </c>
      <c r="E167" s="785" t="s">
        <v>3441</v>
      </c>
      <c r="F167" s="785" t="s">
        <v>3441</v>
      </c>
      <c r="G167" s="785"/>
      <c r="H167" s="830"/>
    </row>
    <row r="168" spans="1:8" ht="24.95" customHeight="1" x14ac:dyDescent="0.2">
      <c r="A168" s="780" t="s">
        <v>3465</v>
      </c>
      <c r="B168" s="781" t="s">
        <v>3466</v>
      </c>
      <c r="C168" s="785" t="s">
        <v>3437</v>
      </c>
      <c r="D168" s="785" t="s">
        <v>3618</v>
      </c>
      <c r="E168" s="785" t="s">
        <v>3619</v>
      </c>
      <c r="F168" s="785" t="s">
        <v>3440</v>
      </c>
      <c r="G168" s="818" t="s">
        <v>3620</v>
      </c>
      <c r="H168" s="831" t="s">
        <v>3620</v>
      </c>
    </row>
    <row r="169" spans="1:8" ht="24.95" customHeight="1" x14ac:dyDescent="0.2">
      <c r="A169" s="780" t="s">
        <v>3467</v>
      </c>
      <c r="B169" s="781" t="s">
        <v>3468</v>
      </c>
      <c r="C169" s="782" t="s">
        <v>3437</v>
      </c>
      <c r="D169" s="782" t="s">
        <v>3621</v>
      </c>
      <c r="E169" s="782">
        <v>2003</v>
      </c>
      <c r="F169" s="782" t="s">
        <v>3440</v>
      </c>
      <c r="G169" s="783">
        <v>7248.59</v>
      </c>
      <c r="H169" s="784">
        <v>7248.59</v>
      </c>
    </row>
    <row r="170" spans="1:8" ht="24.95" customHeight="1" x14ac:dyDescent="0.2">
      <c r="A170" s="780" t="s">
        <v>3467</v>
      </c>
      <c r="B170" s="781" t="s">
        <v>3468</v>
      </c>
      <c r="C170" s="782" t="s">
        <v>3437</v>
      </c>
      <c r="D170" s="782" t="s">
        <v>3622</v>
      </c>
      <c r="E170" s="782">
        <v>2007</v>
      </c>
      <c r="F170" s="782" t="s">
        <v>3440</v>
      </c>
      <c r="G170" s="783">
        <v>337</v>
      </c>
      <c r="H170" s="784">
        <v>337</v>
      </c>
    </row>
    <row r="171" spans="1:8" ht="24.95" customHeight="1" x14ac:dyDescent="0.2">
      <c r="A171" s="780" t="s">
        <v>3467</v>
      </c>
      <c r="B171" s="781" t="s">
        <v>3468</v>
      </c>
      <c r="C171" s="782" t="s">
        <v>3623</v>
      </c>
      <c r="D171" s="782" t="s">
        <v>3623</v>
      </c>
      <c r="E171" s="782">
        <v>2017</v>
      </c>
      <c r="F171" s="782" t="s">
        <v>3440</v>
      </c>
      <c r="G171" s="783">
        <v>1430838.92</v>
      </c>
      <c r="H171" s="784">
        <v>2458720.71</v>
      </c>
    </row>
    <row r="172" spans="1:8" ht="24.95" customHeight="1" x14ac:dyDescent="0.2">
      <c r="A172" s="780" t="s">
        <v>3471</v>
      </c>
      <c r="B172" s="781" t="s">
        <v>3472</v>
      </c>
      <c r="C172" s="782" t="s">
        <v>3437</v>
      </c>
      <c r="D172" s="782" t="s">
        <v>3473</v>
      </c>
      <c r="E172" s="782">
        <v>2003</v>
      </c>
      <c r="F172" s="782" t="s">
        <v>3440</v>
      </c>
      <c r="G172" s="783">
        <v>247</v>
      </c>
      <c r="H172" s="784">
        <v>247</v>
      </c>
    </row>
    <row r="173" spans="1:8" ht="24.95" customHeight="1" x14ac:dyDescent="0.2">
      <c r="A173" s="780" t="s">
        <v>3474</v>
      </c>
      <c r="B173" s="781" t="s">
        <v>3475</v>
      </c>
      <c r="C173" s="782" t="s">
        <v>3437</v>
      </c>
      <c r="D173" s="782" t="s">
        <v>3624</v>
      </c>
      <c r="E173" s="782">
        <v>2004</v>
      </c>
      <c r="F173" s="782" t="s">
        <v>3440</v>
      </c>
      <c r="G173" s="783">
        <v>256070.85</v>
      </c>
      <c r="H173" s="784">
        <v>256070.85</v>
      </c>
    </row>
    <row r="174" spans="1:8" ht="24.95" customHeight="1" x14ac:dyDescent="0.2">
      <c r="A174" s="780" t="s">
        <v>3474</v>
      </c>
      <c r="B174" s="781" t="s">
        <v>3475</v>
      </c>
      <c r="C174" s="782" t="s">
        <v>3625</v>
      </c>
      <c r="D174" s="782" t="s">
        <v>3626</v>
      </c>
      <c r="E174" s="782"/>
      <c r="F174" s="782" t="s">
        <v>3440</v>
      </c>
      <c r="G174" s="783">
        <v>1568458.8</v>
      </c>
      <c r="H174" s="784">
        <v>3686697.38</v>
      </c>
    </row>
    <row r="175" spans="1:8" ht="24.95" customHeight="1" x14ac:dyDescent="0.2">
      <c r="A175" s="780" t="s">
        <v>3477</v>
      </c>
      <c r="B175" s="781" t="s">
        <v>3478</v>
      </c>
      <c r="C175" s="782" t="s">
        <v>3437</v>
      </c>
      <c r="D175" s="782" t="s">
        <v>3627</v>
      </c>
      <c r="E175" s="782">
        <v>2004</v>
      </c>
      <c r="F175" s="782" t="s">
        <v>3440</v>
      </c>
      <c r="G175" s="783">
        <v>159001</v>
      </c>
      <c r="H175" s="784">
        <v>159001.23000000001</v>
      </c>
    </row>
    <row r="176" spans="1:8" ht="24.95" customHeight="1" x14ac:dyDescent="0.2">
      <c r="A176" s="780" t="s">
        <v>3477</v>
      </c>
      <c r="B176" s="781" t="s">
        <v>3478</v>
      </c>
      <c r="C176" s="782" t="s">
        <v>3437</v>
      </c>
      <c r="D176" s="782" t="s">
        <v>3628</v>
      </c>
      <c r="E176" s="782"/>
      <c r="F176" s="782" t="s">
        <v>3440</v>
      </c>
      <c r="G176" s="783">
        <v>4823.78</v>
      </c>
      <c r="H176" s="784">
        <v>4823.78</v>
      </c>
    </row>
    <row r="177" spans="1:8" ht="24.95" customHeight="1" x14ac:dyDescent="0.2">
      <c r="A177" s="780" t="s">
        <v>3477</v>
      </c>
      <c r="B177" s="781" t="s">
        <v>3478</v>
      </c>
      <c r="C177" s="782" t="s">
        <v>3623</v>
      </c>
      <c r="D177" s="782" t="s">
        <v>3626</v>
      </c>
      <c r="E177" s="782">
        <v>2017</v>
      </c>
      <c r="F177" s="782" t="s">
        <v>3440</v>
      </c>
      <c r="G177" s="783">
        <v>821960.16</v>
      </c>
      <c r="H177" s="784">
        <v>1576518.16</v>
      </c>
    </row>
    <row r="178" spans="1:8" ht="24.95" customHeight="1" x14ac:dyDescent="0.2">
      <c r="A178" s="780" t="s">
        <v>3480</v>
      </c>
      <c r="B178" s="781" t="s">
        <v>3481</v>
      </c>
      <c r="C178" s="785" t="s">
        <v>3441</v>
      </c>
      <c r="D178" s="785" t="s">
        <v>3441</v>
      </c>
      <c r="E178" s="785" t="s">
        <v>3441</v>
      </c>
      <c r="F178" s="785" t="s">
        <v>3441</v>
      </c>
      <c r="G178" s="785"/>
      <c r="H178" s="830"/>
    </row>
    <row r="179" spans="1:8" ht="24.95" customHeight="1" x14ac:dyDescent="0.2">
      <c r="A179" s="780" t="s">
        <v>3483</v>
      </c>
      <c r="B179" s="781" t="s">
        <v>3484</v>
      </c>
      <c r="C179" s="782" t="s">
        <v>3437</v>
      </c>
      <c r="D179" s="782" t="s">
        <v>3629</v>
      </c>
      <c r="E179" s="782">
        <v>2009</v>
      </c>
      <c r="F179" s="782" t="s">
        <v>3440</v>
      </c>
      <c r="G179" s="783">
        <v>17136.61</v>
      </c>
      <c r="H179" s="784">
        <v>17136.61</v>
      </c>
    </row>
    <row r="180" spans="1:8" ht="24.95" customHeight="1" x14ac:dyDescent="0.2">
      <c r="A180" s="780" t="s">
        <v>3483</v>
      </c>
      <c r="B180" s="781" t="s">
        <v>3484</v>
      </c>
      <c r="C180" s="782" t="s">
        <v>3528</v>
      </c>
      <c r="D180" s="782" t="s">
        <v>3485</v>
      </c>
      <c r="E180" s="782">
        <v>2017</v>
      </c>
      <c r="F180" s="782" t="s">
        <v>3440</v>
      </c>
      <c r="G180" s="783">
        <v>2364154</v>
      </c>
      <c r="H180" s="784">
        <v>3213578.66</v>
      </c>
    </row>
    <row r="181" spans="1:8" ht="24.95" customHeight="1" x14ac:dyDescent="0.2">
      <c r="A181" s="780" t="s">
        <v>3483</v>
      </c>
      <c r="B181" s="781" t="s">
        <v>3484</v>
      </c>
      <c r="C181" s="782" t="s">
        <v>3437</v>
      </c>
      <c r="D181" s="782" t="s">
        <v>3630</v>
      </c>
      <c r="E181" s="782">
        <v>2009</v>
      </c>
      <c r="F181" s="782" t="s">
        <v>3440</v>
      </c>
      <c r="G181" s="783">
        <v>5044</v>
      </c>
      <c r="H181" s="784">
        <v>5044</v>
      </c>
    </row>
    <row r="182" spans="1:8" ht="24.95" customHeight="1" x14ac:dyDescent="0.2">
      <c r="A182" s="780" t="s">
        <v>3483</v>
      </c>
      <c r="B182" s="781" t="s">
        <v>3484</v>
      </c>
      <c r="C182" s="782" t="s">
        <v>3437</v>
      </c>
      <c r="D182" s="782" t="s">
        <v>3631</v>
      </c>
      <c r="E182" s="782">
        <v>2011</v>
      </c>
      <c r="F182" s="782" t="s">
        <v>3440</v>
      </c>
      <c r="G182" s="783">
        <v>9100</v>
      </c>
      <c r="H182" s="784">
        <v>9100</v>
      </c>
    </row>
    <row r="183" spans="1:8" ht="24.95" customHeight="1" x14ac:dyDescent="0.2">
      <c r="A183" s="780" t="s">
        <v>3483</v>
      </c>
      <c r="B183" s="781" t="s">
        <v>3484</v>
      </c>
      <c r="C183" s="782" t="s">
        <v>3437</v>
      </c>
      <c r="D183" s="782" t="s">
        <v>3632</v>
      </c>
      <c r="E183" s="782">
        <v>2011</v>
      </c>
      <c r="F183" s="782" t="s">
        <v>3440</v>
      </c>
      <c r="G183" s="783">
        <v>20801.18</v>
      </c>
      <c r="H183" s="784">
        <v>16201.18</v>
      </c>
    </row>
    <row r="184" spans="1:8" ht="24.95" customHeight="1" x14ac:dyDescent="0.2">
      <c r="A184" s="780" t="s">
        <v>3483</v>
      </c>
      <c r="B184" s="781" t="s">
        <v>3484</v>
      </c>
      <c r="C184" s="782" t="s">
        <v>3437</v>
      </c>
      <c r="D184" s="782" t="s">
        <v>3633</v>
      </c>
      <c r="E184" s="782">
        <v>2012</v>
      </c>
      <c r="F184" s="782" t="s">
        <v>3440</v>
      </c>
      <c r="G184" s="783">
        <v>0.4</v>
      </c>
      <c r="H184" s="784">
        <v>0.4</v>
      </c>
    </row>
    <row r="185" spans="1:8" ht="24.95" customHeight="1" x14ac:dyDescent="0.2">
      <c r="A185" s="780" t="s">
        <v>3486</v>
      </c>
      <c r="B185" s="781" t="s">
        <v>3487</v>
      </c>
      <c r="C185" s="782" t="s">
        <v>3437</v>
      </c>
      <c r="D185" s="782" t="s">
        <v>3634</v>
      </c>
      <c r="E185" s="782">
        <v>2010</v>
      </c>
      <c r="F185" s="782" t="s">
        <v>3440</v>
      </c>
      <c r="G185" s="783"/>
      <c r="H185" s="784"/>
    </row>
    <row r="186" spans="1:8" ht="24.95" customHeight="1" x14ac:dyDescent="0.2">
      <c r="A186" s="780" t="s">
        <v>3486</v>
      </c>
      <c r="B186" s="781" t="s">
        <v>3487</v>
      </c>
      <c r="C186" s="782" t="s">
        <v>3437</v>
      </c>
      <c r="D186" s="782" t="s">
        <v>3488</v>
      </c>
      <c r="E186" s="782">
        <v>2017</v>
      </c>
      <c r="F186" s="782" t="s">
        <v>3440</v>
      </c>
      <c r="G186" s="783"/>
      <c r="H186" s="784"/>
    </row>
    <row r="187" spans="1:8" ht="24.95" customHeight="1" x14ac:dyDescent="0.2">
      <c r="A187" s="780" t="s">
        <v>3489</v>
      </c>
      <c r="B187" s="781" t="s">
        <v>3490</v>
      </c>
      <c r="C187" s="785" t="s">
        <v>3441</v>
      </c>
      <c r="D187" s="785" t="s">
        <v>3441</v>
      </c>
      <c r="E187" s="785" t="s">
        <v>3441</v>
      </c>
      <c r="F187" s="785" t="s">
        <v>3441</v>
      </c>
      <c r="G187" s="785"/>
      <c r="H187" s="830"/>
    </row>
    <row r="188" spans="1:8" ht="24.95" customHeight="1" x14ac:dyDescent="0.2">
      <c r="A188" s="780" t="s">
        <v>3492</v>
      </c>
      <c r="B188" s="781" t="s">
        <v>3493</v>
      </c>
      <c r="C188" s="785" t="s">
        <v>3441</v>
      </c>
      <c r="D188" s="785" t="s">
        <v>3441</v>
      </c>
      <c r="E188" s="785" t="s">
        <v>3441</v>
      </c>
      <c r="F188" s="785" t="s">
        <v>3441</v>
      </c>
      <c r="G188" s="785"/>
      <c r="H188" s="830"/>
    </row>
    <row r="189" spans="1:8" ht="24.95" customHeight="1" x14ac:dyDescent="0.2">
      <c r="A189" s="780" t="s">
        <v>3494</v>
      </c>
      <c r="B189" s="781" t="s">
        <v>3495</v>
      </c>
      <c r="C189" s="782" t="s">
        <v>3437</v>
      </c>
      <c r="D189" s="782" t="s">
        <v>3635</v>
      </c>
      <c r="E189" s="782"/>
      <c r="F189" s="782" t="s">
        <v>3440</v>
      </c>
      <c r="G189" s="783">
        <v>509.6</v>
      </c>
      <c r="H189" s="784">
        <v>0.96</v>
      </c>
    </row>
    <row r="190" spans="1:8" ht="24.95" customHeight="1" x14ac:dyDescent="0.2">
      <c r="A190" s="780" t="s">
        <v>3494</v>
      </c>
      <c r="B190" s="781" t="s">
        <v>3495</v>
      </c>
      <c r="C190" s="782" t="s">
        <v>3437</v>
      </c>
      <c r="D190" s="782" t="s">
        <v>3560</v>
      </c>
      <c r="E190" s="782"/>
      <c r="F190" s="782" t="s">
        <v>3440</v>
      </c>
      <c r="G190" s="783">
        <v>275953.51</v>
      </c>
      <c r="H190" s="784">
        <v>346141.49</v>
      </c>
    </row>
    <row r="191" spans="1:8" ht="24.95" customHeight="1" x14ac:dyDescent="0.2">
      <c r="A191" s="780" t="s">
        <v>3497</v>
      </c>
      <c r="B191" s="781" t="s">
        <v>3498</v>
      </c>
      <c r="C191" s="785" t="s">
        <v>3441</v>
      </c>
      <c r="D191" s="785" t="s">
        <v>3441</v>
      </c>
      <c r="E191" s="785" t="s">
        <v>3441</v>
      </c>
      <c r="F191" s="785" t="s">
        <v>3441</v>
      </c>
      <c r="G191" s="785"/>
      <c r="H191" s="830"/>
    </row>
    <row r="192" spans="1:8" ht="24.95" customHeight="1" x14ac:dyDescent="0.2">
      <c r="A192" s="780" t="s">
        <v>3500</v>
      </c>
      <c r="B192" s="781" t="s">
        <v>3501</v>
      </c>
      <c r="C192" s="785" t="s">
        <v>3441</v>
      </c>
      <c r="D192" s="785" t="s">
        <v>3441</v>
      </c>
      <c r="E192" s="785" t="s">
        <v>3441</v>
      </c>
      <c r="F192" s="785" t="s">
        <v>3441</v>
      </c>
      <c r="G192" s="785"/>
      <c r="H192" s="830"/>
    </row>
    <row r="193" spans="1:8" ht="24.95" customHeight="1" x14ac:dyDescent="0.2">
      <c r="A193" s="780" t="s">
        <v>3502</v>
      </c>
      <c r="B193" s="781" t="s">
        <v>3503</v>
      </c>
      <c r="C193" s="782"/>
      <c r="D193" s="782"/>
      <c r="E193" s="782"/>
      <c r="F193" s="782"/>
      <c r="G193" s="783"/>
      <c r="H193" s="784"/>
    </row>
    <row r="194" spans="1:8" ht="24.95" customHeight="1" x14ac:dyDescent="0.2">
      <c r="A194" s="780" t="s">
        <v>3504</v>
      </c>
      <c r="B194" s="781" t="s">
        <v>3505</v>
      </c>
      <c r="C194" s="782" t="s">
        <v>3437</v>
      </c>
      <c r="D194" s="782" t="s">
        <v>3562</v>
      </c>
      <c r="E194" s="782">
        <v>2017</v>
      </c>
      <c r="F194" s="782" t="s">
        <v>3440</v>
      </c>
      <c r="G194" s="783">
        <v>488999.57</v>
      </c>
      <c r="H194" s="784">
        <v>1334097.3700000001</v>
      </c>
    </row>
    <row r="195" spans="1:8" ht="24.95" customHeight="1" x14ac:dyDescent="0.2">
      <c r="A195" s="780" t="s">
        <v>3504</v>
      </c>
      <c r="B195" s="781" t="s">
        <v>3505</v>
      </c>
      <c r="C195" s="782" t="s">
        <v>3437</v>
      </c>
      <c r="D195" s="782" t="s">
        <v>3636</v>
      </c>
      <c r="E195" s="782">
        <v>2015</v>
      </c>
      <c r="F195" s="782" t="s">
        <v>3440</v>
      </c>
      <c r="G195" s="783">
        <v>16990.810000000001</v>
      </c>
      <c r="H195" s="784">
        <v>16990.810000000001</v>
      </c>
    </row>
    <row r="196" spans="1:8" ht="24.95" customHeight="1" x14ac:dyDescent="0.2">
      <c r="A196" s="780" t="s">
        <v>3507</v>
      </c>
      <c r="B196" s="781" t="s">
        <v>3508</v>
      </c>
      <c r="C196" s="782" t="s">
        <v>3437</v>
      </c>
      <c r="D196" s="782" t="s">
        <v>3637</v>
      </c>
      <c r="E196" s="782">
        <v>2017</v>
      </c>
      <c r="F196" s="782" t="s">
        <v>3440</v>
      </c>
      <c r="G196" s="783">
        <v>7859.33</v>
      </c>
      <c r="H196" s="784">
        <v>7859.33</v>
      </c>
    </row>
    <row r="197" spans="1:8" ht="24.95" customHeight="1" x14ac:dyDescent="0.2">
      <c r="A197" s="780" t="s">
        <v>3507</v>
      </c>
      <c r="B197" s="781" t="s">
        <v>3508</v>
      </c>
      <c r="C197" s="782" t="s">
        <v>3437</v>
      </c>
      <c r="D197" s="782" t="s">
        <v>3638</v>
      </c>
      <c r="E197" s="782">
        <v>2015</v>
      </c>
      <c r="F197" s="782" t="s">
        <v>3440</v>
      </c>
      <c r="G197" s="783">
        <v>351444.64</v>
      </c>
      <c r="H197" s="784">
        <v>830948.22</v>
      </c>
    </row>
    <row r="198" spans="1:8" ht="24.95" customHeight="1" x14ac:dyDescent="0.2">
      <c r="A198" s="780" t="s">
        <v>3510</v>
      </c>
      <c r="B198" s="781" t="s">
        <v>3511</v>
      </c>
      <c r="C198" s="785" t="s">
        <v>3441</v>
      </c>
      <c r="D198" s="785" t="s">
        <v>3441</v>
      </c>
      <c r="E198" s="785" t="s">
        <v>3441</v>
      </c>
      <c r="F198" s="785" t="s">
        <v>3441</v>
      </c>
      <c r="G198" s="785"/>
      <c r="H198" s="830"/>
    </row>
    <row r="199" spans="1:8" ht="24.95" customHeight="1" x14ac:dyDescent="0.2">
      <c r="A199" s="780" t="s">
        <v>3513</v>
      </c>
      <c r="B199" s="781" t="s">
        <v>3514</v>
      </c>
      <c r="C199" s="785" t="s">
        <v>3441</v>
      </c>
      <c r="D199" s="785" t="s">
        <v>3441</v>
      </c>
      <c r="E199" s="785" t="s">
        <v>3441</v>
      </c>
      <c r="F199" s="785" t="s">
        <v>3441</v>
      </c>
      <c r="G199" s="785"/>
      <c r="H199" s="830"/>
    </row>
    <row r="200" spans="1:8" ht="24.95" customHeight="1" x14ac:dyDescent="0.2">
      <c r="A200" s="780" t="s">
        <v>3517</v>
      </c>
      <c r="B200" s="781" t="s">
        <v>3518</v>
      </c>
      <c r="C200" s="785" t="s">
        <v>3441</v>
      </c>
      <c r="D200" s="785" t="s">
        <v>3441</v>
      </c>
      <c r="E200" s="785" t="s">
        <v>3441</v>
      </c>
      <c r="F200" s="785" t="s">
        <v>3441</v>
      </c>
      <c r="G200" s="785"/>
      <c r="H200" s="830"/>
    </row>
    <row r="201" spans="1:8" ht="24.95" customHeight="1" x14ac:dyDescent="0.2">
      <c r="A201" s="780" t="s">
        <v>3520</v>
      </c>
      <c r="B201" s="781" t="s">
        <v>3521</v>
      </c>
      <c r="C201" s="782" t="s">
        <v>3528</v>
      </c>
      <c r="D201" s="782" t="s">
        <v>3592</v>
      </c>
      <c r="E201" s="782">
        <v>2017</v>
      </c>
      <c r="F201" s="782" t="s">
        <v>3440</v>
      </c>
      <c r="G201" s="783">
        <v>1324817.57</v>
      </c>
      <c r="H201" s="784">
        <v>1323733.77</v>
      </c>
    </row>
    <row r="202" spans="1:8" ht="24.95" customHeight="1" x14ac:dyDescent="0.2">
      <c r="A202" s="780" t="s">
        <v>3522</v>
      </c>
      <c r="B202" s="781" t="s">
        <v>3523</v>
      </c>
      <c r="C202" s="785" t="s">
        <v>3441</v>
      </c>
      <c r="D202" s="785" t="s">
        <v>3441</v>
      </c>
      <c r="E202" s="785" t="s">
        <v>3441</v>
      </c>
      <c r="F202" s="785" t="s">
        <v>3441</v>
      </c>
      <c r="G202" s="785"/>
      <c r="H202" s="830"/>
    </row>
    <row r="203" spans="1:8" ht="24.95" customHeight="1" x14ac:dyDescent="0.2">
      <c r="A203" s="780" t="s">
        <v>3524</v>
      </c>
      <c r="B203" s="781" t="s">
        <v>3525</v>
      </c>
      <c r="C203" s="785" t="s">
        <v>3441</v>
      </c>
      <c r="D203" s="785" t="s">
        <v>3441</v>
      </c>
      <c r="E203" s="785" t="s">
        <v>3441</v>
      </c>
      <c r="F203" s="785" t="s">
        <v>3441</v>
      </c>
      <c r="G203" s="785"/>
      <c r="H203" s="830"/>
    </row>
    <row r="204" spans="1:8" ht="24.95" customHeight="1" x14ac:dyDescent="0.25">
      <c r="A204" s="791" t="s">
        <v>39</v>
      </c>
      <c r="B204" s="792"/>
      <c r="C204" s="792"/>
      <c r="D204" s="792"/>
      <c r="E204" s="793"/>
      <c r="F204" s="793"/>
      <c r="G204" s="789"/>
      <c r="H204" s="790"/>
    </row>
    <row r="205" spans="1:8" ht="24.95" customHeight="1" x14ac:dyDescent="0.2">
      <c r="A205" s="780" t="s">
        <v>3435</v>
      </c>
      <c r="B205" s="781" t="s">
        <v>3436</v>
      </c>
      <c r="C205" s="785" t="s">
        <v>3528</v>
      </c>
      <c r="D205" s="785" t="s">
        <v>3639</v>
      </c>
      <c r="E205" s="785" t="s">
        <v>3577</v>
      </c>
      <c r="F205" s="785" t="s">
        <v>3440</v>
      </c>
      <c r="G205" s="817">
        <v>36374377.979999997</v>
      </c>
      <c r="H205" s="833">
        <v>89636798.689999998</v>
      </c>
    </row>
    <row r="206" spans="1:8" ht="24.95" customHeight="1" x14ac:dyDescent="0.2">
      <c r="A206" s="780" t="s">
        <v>3442</v>
      </c>
      <c r="B206" s="781" t="s">
        <v>3443</v>
      </c>
      <c r="C206" s="782" t="s">
        <v>3437</v>
      </c>
      <c r="D206" s="782" t="s">
        <v>3640</v>
      </c>
      <c r="E206" s="782">
        <v>2007</v>
      </c>
      <c r="F206" s="782" t="s">
        <v>3440</v>
      </c>
      <c r="G206" s="818">
        <v>3308023.15</v>
      </c>
      <c r="H206" s="833">
        <v>3312640.68</v>
      </c>
    </row>
    <row r="207" spans="1:8" ht="24.95" customHeight="1" x14ac:dyDescent="0.2">
      <c r="A207" s="780" t="s">
        <v>3442</v>
      </c>
      <c r="B207" s="781" t="s">
        <v>3443</v>
      </c>
      <c r="C207" s="782" t="s">
        <v>3437</v>
      </c>
      <c r="D207" s="785" t="s">
        <v>3606</v>
      </c>
      <c r="E207" s="785" t="s">
        <v>3611</v>
      </c>
      <c r="F207" s="782" t="s">
        <v>3440</v>
      </c>
      <c r="G207" s="818">
        <v>3201643.3</v>
      </c>
      <c r="H207" s="833" t="s">
        <v>3641</v>
      </c>
    </row>
    <row r="208" spans="1:8" ht="24.95" customHeight="1" x14ac:dyDescent="0.2">
      <c r="A208" s="780" t="s">
        <v>3442</v>
      </c>
      <c r="B208" s="781" t="s">
        <v>3443</v>
      </c>
      <c r="C208" s="782" t="s">
        <v>3437</v>
      </c>
      <c r="D208" s="785" t="s">
        <v>3606</v>
      </c>
      <c r="E208" s="785" t="s">
        <v>3611</v>
      </c>
      <c r="F208" s="782" t="s">
        <v>3440</v>
      </c>
      <c r="G208" s="818">
        <v>10727.58</v>
      </c>
      <c r="H208" s="833">
        <v>11962.19</v>
      </c>
    </row>
    <row r="209" spans="1:8" ht="24.95" customHeight="1" x14ac:dyDescent="0.2">
      <c r="A209" s="780" t="s">
        <v>3442</v>
      </c>
      <c r="B209" s="781" t="s">
        <v>3443</v>
      </c>
      <c r="C209" s="782" t="s">
        <v>3437</v>
      </c>
      <c r="D209" s="785" t="s">
        <v>3606</v>
      </c>
      <c r="E209" s="785" t="s">
        <v>3611</v>
      </c>
      <c r="F209" s="782" t="s">
        <v>3440</v>
      </c>
      <c r="G209" s="818">
        <v>18807108.219999999</v>
      </c>
      <c r="H209" s="833">
        <v>934796.04</v>
      </c>
    </row>
    <row r="210" spans="1:8" ht="24.95" customHeight="1" x14ac:dyDescent="0.2">
      <c r="A210" s="780" t="s">
        <v>3442</v>
      </c>
      <c r="B210" s="781" t="s">
        <v>3443</v>
      </c>
      <c r="C210" s="782" t="s">
        <v>3437</v>
      </c>
      <c r="D210" s="785" t="s">
        <v>3606</v>
      </c>
      <c r="E210" s="785" t="s">
        <v>3611</v>
      </c>
      <c r="F210" s="782" t="s">
        <v>3440</v>
      </c>
      <c r="G210" s="818">
        <v>1433.01</v>
      </c>
      <c r="H210" s="833">
        <v>1450.06</v>
      </c>
    </row>
    <row r="211" spans="1:8" ht="24.95" customHeight="1" x14ac:dyDescent="0.2">
      <c r="A211" s="780" t="s">
        <v>3444</v>
      </c>
      <c r="B211" s="781" t="s">
        <v>3445</v>
      </c>
      <c r="C211" s="782" t="s">
        <v>3437</v>
      </c>
      <c r="D211" s="782" t="s">
        <v>3531</v>
      </c>
      <c r="E211" s="782">
        <v>2008</v>
      </c>
      <c r="F211" s="782" t="s">
        <v>3440</v>
      </c>
      <c r="G211" s="783">
        <v>11117035.34</v>
      </c>
      <c r="H211" s="784">
        <v>11365903.159999998</v>
      </c>
    </row>
    <row r="212" spans="1:8" ht="24.95" customHeight="1" x14ac:dyDescent="0.2">
      <c r="A212" s="780" t="s">
        <v>3446</v>
      </c>
      <c r="B212" s="781" t="s">
        <v>3447</v>
      </c>
      <c r="C212" s="782" t="s">
        <v>3437</v>
      </c>
      <c r="D212" s="782" t="s">
        <v>3608</v>
      </c>
      <c r="E212" s="782">
        <v>2008</v>
      </c>
      <c r="F212" s="782" t="s">
        <v>3440</v>
      </c>
      <c r="G212" s="783">
        <v>27570229</v>
      </c>
      <c r="H212" s="784">
        <v>21762452.77</v>
      </c>
    </row>
    <row r="213" spans="1:8" ht="24.95" customHeight="1" x14ac:dyDescent="0.2">
      <c r="A213" s="780" t="s">
        <v>3446</v>
      </c>
      <c r="B213" s="781" t="s">
        <v>3447</v>
      </c>
      <c r="C213" s="782" t="s">
        <v>3437</v>
      </c>
      <c r="D213" s="782">
        <v>161079391</v>
      </c>
      <c r="E213" s="782">
        <v>2007</v>
      </c>
      <c r="F213" s="782" t="s">
        <v>3440</v>
      </c>
      <c r="G213" s="783">
        <v>180218</v>
      </c>
      <c r="H213" s="784">
        <v>180515</v>
      </c>
    </row>
    <row r="214" spans="1:8" ht="24.95" customHeight="1" x14ac:dyDescent="0.2">
      <c r="A214" s="780" t="s">
        <v>3449</v>
      </c>
      <c r="B214" s="781" t="s">
        <v>3450</v>
      </c>
      <c r="C214" s="782" t="s">
        <v>3437</v>
      </c>
      <c r="D214" s="782" t="s">
        <v>3451</v>
      </c>
      <c r="E214" s="782">
        <v>2008</v>
      </c>
      <c r="F214" s="782" t="s">
        <v>3440</v>
      </c>
      <c r="G214" s="783">
        <v>7162420.6000000006</v>
      </c>
      <c r="H214" s="784">
        <v>2612764.7399999998</v>
      </c>
    </row>
    <row r="215" spans="1:8" ht="24.95" customHeight="1" x14ac:dyDescent="0.2">
      <c r="A215" s="780" t="s">
        <v>3452</v>
      </c>
      <c r="B215" s="781" t="s">
        <v>3453</v>
      </c>
      <c r="C215" s="782" t="s">
        <v>3437</v>
      </c>
      <c r="D215" s="782" t="s">
        <v>3454</v>
      </c>
      <c r="E215" s="782">
        <v>2009</v>
      </c>
      <c r="F215" s="782"/>
      <c r="G215" s="783">
        <v>800.51</v>
      </c>
      <c r="H215" s="784">
        <v>805.28</v>
      </c>
    </row>
    <row r="216" spans="1:8" ht="24.95" customHeight="1" x14ac:dyDescent="0.2">
      <c r="A216" s="780" t="s">
        <v>3452</v>
      </c>
      <c r="B216" s="781" t="s">
        <v>3453</v>
      </c>
      <c r="C216" s="782" t="s">
        <v>3437</v>
      </c>
      <c r="D216" s="782" t="s">
        <v>3454</v>
      </c>
      <c r="E216" s="782">
        <v>2009</v>
      </c>
      <c r="F216" s="782"/>
      <c r="G216" s="783">
        <v>1475150.43</v>
      </c>
      <c r="H216" s="784">
        <v>1484002.28</v>
      </c>
    </row>
    <row r="217" spans="1:8" ht="24.95" customHeight="1" x14ac:dyDescent="0.2">
      <c r="A217" s="780" t="s">
        <v>3452</v>
      </c>
      <c r="B217" s="781" t="s">
        <v>3453</v>
      </c>
      <c r="C217" s="782" t="s">
        <v>3437</v>
      </c>
      <c r="D217" s="782" t="s">
        <v>3454</v>
      </c>
      <c r="E217" s="782">
        <v>2009</v>
      </c>
      <c r="F217" s="782"/>
      <c r="G217" s="783">
        <v>8850243.0700000003</v>
      </c>
      <c r="H217" s="784">
        <v>7894729.6900000004</v>
      </c>
    </row>
    <row r="218" spans="1:8" ht="24.95" customHeight="1" x14ac:dyDescent="0.2">
      <c r="A218" s="780" t="s">
        <v>3452</v>
      </c>
      <c r="B218" s="781" t="s">
        <v>3453</v>
      </c>
      <c r="C218" s="782" t="s">
        <v>3437</v>
      </c>
      <c r="D218" s="782" t="s">
        <v>3454</v>
      </c>
      <c r="E218" s="782">
        <v>2009</v>
      </c>
      <c r="F218" s="782"/>
      <c r="G218" s="783">
        <v>145.38</v>
      </c>
      <c r="H218" s="784">
        <v>146.21</v>
      </c>
    </row>
    <row r="219" spans="1:8" ht="24.95" customHeight="1" x14ac:dyDescent="0.2">
      <c r="A219" s="780" t="s">
        <v>3455</v>
      </c>
      <c r="B219" s="781" t="s">
        <v>3456</v>
      </c>
      <c r="C219" s="782" t="s">
        <v>3437</v>
      </c>
      <c r="D219" s="786" t="s">
        <v>3457</v>
      </c>
      <c r="E219" s="782">
        <v>2005</v>
      </c>
      <c r="F219" s="782" t="s">
        <v>3440</v>
      </c>
      <c r="G219" s="783">
        <v>54991.199999999997</v>
      </c>
      <c r="H219" s="784">
        <v>51391.199999999997</v>
      </c>
    </row>
    <row r="220" spans="1:8" ht="24.95" customHeight="1" x14ac:dyDescent="0.2">
      <c r="A220" s="780" t="s">
        <v>3455</v>
      </c>
      <c r="B220" s="781" t="s">
        <v>3456</v>
      </c>
      <c r="C220" s="782" t="s">
        <v>3437</v>
      </c>
      <c r="D220" s="786" t="s">
        <v>3457</v>
      </c>
      <c r="E220" s="782">
        <v>2005</v>
      </c>
      <c r="F220" s="782" t="s">
        <v>3440</v>
      </c>
      <c r="G220" s="783">
        <v>167214.54999999999</v>
      </c>
      <c r="H220" s="784">
        <v>167375.57</v>
      </c>
    </row>
    <row r="221" spans="1:8" ht="24.95" customHeight="1" x14ac:dyDescent="0.2">
      <c r="A221" s="780" t="s">
        <v>3458</v>
      </c>
      <c r="B221" s="781" t="s">
        <v>3459</v>
      </c>
      <c r="C221" s="782" t="s">
        <v>3437</v>
      </c>
      <c r="D221" s="786" t="s">
        <v>3642</v>
      </c>
      <c r="E221" s="782">
        <v>2009</v>
      </c>
      <c r="F221" s="782" t="s">
        <v>3440</v>
      </c>
      <c r="G221" s="783">
        <v>50077.51</v>
      </c>
      <c r="H221" s="784">
        <v>50377.98</v>
      </c>
    </row>
    <row r="222" spans="1:8" ht="24.95" customHeight="1" x14ac:dyDescent="0.2">
      <c r="A222" s="780" t="s">
        <v>3458</v>
      </c>
      <c r="B222" s="781" t="s">
        <v>3459</v>
      </c>
      <c r="C222" s="782" t="s">
        <v>3437</v>
      </c>
      <c r="D222" s="786" t="s">
        <v>3643</v>
      </c>
      <c r="E222" s="782">
        <v>2015</v>
      </c>
      <c r="F222" s="782" t="s">
        <v>3440</v>
      </c>
      <c r="G222" s="783">
        <v>96413.18</v>
      </c>
      <c r="H222" s="784">
        <v>8714.42</v>
      </c>
    </row>
    <row r="223" spans="1:8" ht="24.95" customHeight="1" x14ac:dyDescent="0.2">
      <c r="A223" s="780" t="s">
        <v>3458</v>
      </c>
      <c r="B223" s="781" t="s">
        <v>3459</v>
      </c>
      <c r="C223" s="782" t="s">
        <v>3437</v>
      </c>
      <c r="D223" s="786" t="s">
        <v>3644</v>
      </c>
      <c r="E223" s="782">
        <v>2018</v>
      </c>
      <c r="F223" s="782" t="s">
        <v>3440</v>
      </c>
      <c r="G223" s="783">
        <v>52542.57</v>
      </c>
      <c r="H223" s="784">
        <v>52857.83</v>
      </c>
    </row>
    <row r="224" spans="1:8" ht="24.95" customHeight="1" x14ac:dyDescent="0.2">
      <c r="A224" s="780" t="s">
        <v>3461</v>
      </c>
      <c r="B224" s="781" t="s">
        <v>3462</v>
      </c>
      <c r="C224" s="782" t="s">
        <v>3437</v>
      </c>
      <c r="D224" s="786" t="s">
        <v>3645</v>
      </c>
      <c r="E224" s="782">
        <v>2007</v>
      </c>
      <c r="F224" s="782" t="s">
        <v>3440</v>
      </c>
      <c r="G224" s="783">
        <v>23.75</v>
      </c>
      <c r="H224" s="784">
        <v>23.75</v>
      </c>
    </row>
    <row r="225" spans="1:8" ht="24.95" customHeight="1" x14ac:dyDescent="0.2">
      <c r="A225" s="780" t="s">
        <v>3463</v>
      </c>
      <c r="B225" s="781" t="s">
        <v>3464</v>
      </c>
      <c r="C225" s="782" t="s">
        <v>3437</v>
      </c>
      <c r="D225" s="782">
        <v>171000580</v>
      </c>
      <c r="E225" s="782">
        <v>2005</v>
      </c>
      <c r="F225" s="782" t="s">
        <v>3440</v>
      </c>
      <c r="G225" s="783"/>
      <c r="H225" s="784"/>
    </row>
    <row r="226" spans="1:8" ht="24.95" customHeight="1" x14ac:dyDescent="0.2">
      <c r="A226" s="780" t="s">
        <v>3646</v>
      </c>
      <c r="B226" s="781" t="s">
        <v>3466</v>
      </c>
      <c r="C226" s="782" t="s">
        <v>3437</v>
      </c>
      <c r="D226" s="782" t="s">
        <v>3647</v>
      </c>
      <c r="E226" s="782">
        <v>2010</v>
      </c>
      <c r="F226" s="782" t="s">
        <v>3440</v>
      </c>
      <c r="G226" s="783">
        <v>46493.29</v>
      </c>
      <c r="H226" s="784">
        <v>46493.29</v>
      </c>
    </row>
    <row r="227" spans="1:8" ht="24.95" customHeight="1" x14ac:dyDescent="0.2">
      <c r="A227" s="780" t="s">
        <v>3467</v>
      </c>
      <c r="B227" s="781" t="s">
        <v>3468</v>
      </c>
      <c r="C227" s="782" t="s">
        <v>3528</v>
      </c>
      <c r="D227" s="782" t="s">
        <v>3647</v>
      </c>
      <c r="E227" s="782">
        <v>2015</v>
      </c>
      <c r="F227" s="782" t="s">
        <v>3440</v>
      </c>
      <c r="G227" s="783">
        <v>60778.75</v>
      </c>
      <c r="H227" s="784">
        <v>24322.13</v>
      </c>
    </row>
    <row r="228" spans="1:8" ht="24.95" customHeight="1" x14ac:dyDescent="0.2">
      <c r="A228" s="780" t="s">
        <v>3471</v>
      </c>
      <c r="B228" s="781" t="s">
        <v>3472</v>
      </c>
      <c r="C228" s="782" t="s">
        <v>3437</v>
      </c>
      <c r="D228" s="782" t="s">
        <v>3648</v>
      </c>
      <c r="E228" s="782">
        <v>2014</v>
      </c>
      <c r="F228" s="782" t="s">
        <v>3440</v>
      </c>
      <c r="G228" s="783"/>
      <c r="H228" s="784"/>
    </row>
    <row r="229" spans="1:8" ht="24.95" customHeight="1" x14ac:dyDescent="0.2">
      <c r="A229" s="780" t="s">
        <v>3474</v>
      </c>
      <c r="B229" s="781" t="s">
        <v>3475</v>
      </c>
      <c r="C229" s="785" t="s">
        <v>3441</v>
      </c>
      <c r="D229" s="785" t="s">
        <v>3441</v>
      </c>
      <c r="E229" s="785" t="s">
        <v>3441</v>
      </c>
      <c r="F229" s="785" t="s">
        <v>3441</v>
      </c>
      <c r="G229" s="785"/>
      <c r="H229" s="830"/>
    </row>
    <row r="230" spans="1:8" ht="24.95" customHeight="1" x14ac:dyDescent="0.2">
      <c r="A230" s="780" t="s">
        <v>3477</v>
      </c>
      <c r="B230" s="781" t="s">
        <v>3478</v>
      </c>
      <c r="C230" s="782" t="s">
        <v>3437</v>
      </c>
      <c r="D230" s="782" t="s">
        <v>3649</v>
      </c>
      <c r="E230" s="782">
        <v>2015</v>
      </c>
      <c r="F230" s="782" t="s">
        <v>3440</v>
      </c>
      <c r="G230" s="783">
        <v>118704.39</v>
      </c>
      <c r="H230" s="784">
        <v>26186.7</v>
      </c>
    </row>
    <row r="231" spans="1:8" ht="24.95" customHeight="1" x14ac:dyDescent="0.2">
      <c r="A231" s="780" t="s">
        <v>3480</v>
      </c>
      <c r="B231" s="781" t="s">
        <v>3481</v>
      </c>
      <c r="C231" s="782" t="s">
        <v>3437</v>
      </c>
      <c r="D231" s="782" t="s">
        <v>3551</v>
      </c>
      <c r="E231" s="782">
        <v>2010</v>
      </c>
      <c r="F231" s="782" t="s">
        <v>3440</v>
      </c>
      <c r="G231" s="783">
        <v>77782.38</v>
      </c>
      <c r="H231" s="784">
        <v>77784.819999999992</v>
      </c>
    </row>
    <row r="232" spans="1:8" ht="24.95" customHeight="1" x14ac:dyDescent="0.2">
      <c r="A232" s="780" t="s">
        <v>3483</v>
      </c>
      <c r="B232" s="781" t="s">
        <v>3484</v>
      </c>
      <c r="C232" s="782" t="s">
        <v>3528</v>
      </c>
      <c r="D232" s="782" t="s">
        <v>3485</v>
      </c>
      <c r="E232" s="782">
        <v>2015</v>
      </c>
      <c r="F232" s="782" t="s">
        <v>3440</v>
      </c>
      <c r="G232" s="783">
        <v>144.62</v>
      </c>
      <c r="H232" s="784">
        <v>145.44999999999999</v>
      </c>
    </row>
    <row r="233" spans="1:8" ht="24.95" customHeight="1" x14ac:dyDescent="0.2">
      <c r="A233" s="780" t="s">
        <v>3483</v>
      </c>
      <c r="B233" s="781" t="s">
        <v>3484</v>
      </c>
      <c r="C233" s="782" t="s">
        <v>3528</v>
      </c>
      <c r="D233" s="782" t="s">
        <v>3485</v>
      </c>
      <c r="E233" s="782">
        <v>2015</v>
      </c>
      <c r="F233" s="782" t="s">
        <v>3440</v>
      </c>
      <c r="G233" s="783">
        <v>375598.95</v>
      </c>
      <c r="H233" s="784">
        <v>90488.03</v>
      </c>
    </row>
    <row r="234" spans="1:8" ht="24.95" customHeight="1" x14ac:dyDescent="0.2">
      <c r="A234" s="780" t="s">
        <v>3486</v>
      </c>
      <c r="B234" s="781" t="s">
        <v>3487</v>
      </c>
      <c r="C234" s="782" t="s">
        <v>3437</v>
      </c>
      <c r="D234" s="782" t="s">
        <v>3488</v>
      </c>
      <c r="E234" s="782">
        <v>2015</v>
      </c>
      <c r="F234" s="782" t="s">
        <v>3440</v>
      </c>
      <c r="G234" s="783"/>
      <c r="H234" s="784"/>
    </row>
    <row r="235" spans="1:8" ht="24.95" customHeight="1" x14ac:dyDescent="0.2">
      <c r="A235" s="780" t="s">
        <v>3489</v>
      </c>
      <c r="B235" s="781" t="s">
        <v>3490</v>
      </c>
      <c r="C235" s="782" t="s">
        <v>3437</v>
      </c>
      <c r="D235" s="810" t="s">
        <v>3491</v>
      </c>
      <c r="E235" s="810">
        <v>2015</v>
      </c>
      <c r="F235" s="782" t="s">
        <v>3440</v>
      </c>
      <c r="G235" s="783"/>
      <c r="H235" s="784"/>
    </row>
    <row r="236" spans="1:8" ht="24.95" customHeight="1" x14ac:dyDescent="0.2">
      <c r="A236" s="780" t="s">
        <v>3492</v>
      </c>
      <c r="B236" s="781" t="s">
        <v>3493</v>
      </c>
      <c r="C236" s="810" t="s">
        <v>3437</v>
      </c>
      <c r="D236" s="810" t="s">
        <v>3650</v>
      </c>
      <c r="E236" s="810">
        <v>2015</v>
      </c>
      <c r="F236" s="810" t="s">
        <v>3651</v>
      </c>
      <c r="G236" s="819">
        <v>25551.16</v>
      </c>
      <c r="H236" s="820">
        <v>993.16</v>
      </c>
    </row>
    <row r="237" spans="1:8" ht="24.95" customHeight="1" x14ac:dyDescent="0.2">
      <c r="A237" s="780" t="s">
        <v>3494</v>
      </c>
      <c r="B237" s="781" t="s">
        <v>3495</v>
      </c>
      <c r="C237" s="785" t="s">
        <v>3441</v>
      </c>
      <c r="D237" s="785" t="s">
        <v>3441</v>
      </c>
      <c r="E237" s="785" t="s">
        <v>3441</v>
      </c>
      <c r="F237" s="785" t="s">
        <v>3441</v>
      </c>
      <c r="G237" s="785"/>
      <c r="H237" s="830"/>
    </row>
    <row r="238" spans="1:8" ht="24.95" customHeight="1" x14ac:dyDescent="0.2">
      <c r="A238" s="780" t="s">
        <v>3497</v>
      </c>
      <c r="B238" s="781" t="s">
        <v>3498</v>
      </c>
      <c r="C238" s="782" t="s">
        <v>3437</v>
      </c>
      <c r="D238" s="782" t="s">
        <v>3499</v>
      </c>
      <c r="E238" s="782">
        <v>2014</v>
      </c>
      <c r="F238" s="782" t="s">
        <v>3440</v>
      </c>
      <c r="G238" s="783">
        <v>38586.07</v>
      </c>
      <c r="H238" s="784">
        <v>38586.07</v>
      </c>
    </row>
    <row r="239" spans="1:8" ht="24.95" customHeight="1" x14ac:dyDescent="0.2">
      <c r="A239" s="780" t="s">
        <v>3500</v>
      </c>
      <c r="B239" s="781" t="s">
        <v>3501</v>
      </c>
      <c r="C239" s="782" t="s">
        <v>3437</v>
      </c>
      <c r="D239" s="782">
        <v>166001080</v>
      </c>
      <c r="E239" s="810">
        <v>2016</v>
      </c>
      <c r="F239" s="782" t="s">
        <v>3440</v>
      </c>
      <c r="G239" s="819">
        <v>62685.17</v>
      </c>
      <c r="H239" s="820">
        <v>59235.17</v>
      </c>
    </row>
    <row r="240" spans="1:8" ht="24.95" customHeight="1" x14ac:dyDescent="0.2">
      <c r="A240" s="780" t="s">
        <v>3502</v>
      </c>
      <c r="B240" s="781" t="s">
        <v>3503</v>
      </c>
      <c r="C240" s="782" t="s">
        <v>3437</v>
      </c>
      <c r="D240" s="782" t="s">
        <v>3652</v>
      </c>
      <c r="E240" s="782">
        <v>2016</v>
      </c>
      <c r="F240" s="782" t="s">
        <v>3440</v>
      </c>
      <c r="G240" s="783">
        <v>31890</v>
      </c>
      <c r="H240" s="784">
        <v>31880.41</v>
      </c>
    </row>
    <row r="241" spans="1:8" ht="24.95" customHeight="1" x14ac:dyDescent="0.2">
      <c r="A241" s="780" t="s">
        <v>3504</v>
      </c>
      <c r="B241" s="781" t="s">
        <v>3505</v>
      </c>
      <c r="C241" s="785" t="s">
        <v>3441</v>
      </c>
      <c r="D241" s="785" t="s">
        <v>3441</v>
      </c>
      <c r="E241" s="785" t="s">
        <v>3441</v>
      </c>
      <c r="F241" s="785" t="s">
        <v>3441</v>
      </c>
      <c r="G241" s="785"/>
      <c r="H241" s="830"/>
    </row>
    <row r="242" spans="1:8" ht="24.95" customHeight="1" x14ac:dyDescent="0.2">
      <c r="A242" s="780" t="s">
        <v>3507</v>
      </c>
      <c r="B242" s="781" t="s">
        <v>3508</v>
      </c>
      <c r="C242" s="785" t="s">
        <v>3441</v>
      </c>
      <c r="D242" s="785" t="s">
        <v>3441</v>
      </c>
      <c r="E242" s="785" t="s">
        <v>3441</v>
      </c>
      <c r="F242" s="785" t="s">
        <v>3441</v>
      </c>
      <c r="G242" s="785"/>
      <c r="H242" s="830"/>
    </row>
    <row r="243" spans="1:8" ht="24.95" customHeight="1" x14ac:dyDescent="0.2">
      <c r="A243" s="780" t="s">
        <v>3510</v>
      </c>
      <c r="B243" s="781" t="s">
        <v>3511</v>
      </c>
      <c r="C243" s="782" t="s">
        <v>3437</v>
      </c>
      <c r="D243" s="782" t="s">
        <v>3512</v>
      </c>
      <c r="E243" s="810">
        <v>2016</v>
      </c>
      <c r="F243" s="782" t="s">
        <v>3440</v>
      </c>
      <c r="G243" s="819">
        <v>83363.259999999995</v>
      </c>
      <c r="H243" s="820">
        <v>83363.259999999995</v>
      </c>
    </row>
    <row r="244" spans="1:8" ht="24.95" customHeight="1" x14ac:dyDescent="0.2">
      <c r="A244" s="780" t="s">
        <v>3513</v>
      </c>
      <c r="B244" s="781" t="s">
        <v>3514</v>
      </c>
      <c r="C244" s="782" t="s">
        <v>3528</v>
      </c>
      <c r="D244" s="810" t="s">
        <v>3653</v>
      </c>
      <c r="E244" s="810">
        <v>2017</v>
      </c>
      <c r="F244" s="810" t="s">
        <v>3440</v>
      </c>
      <c r="G244" s="819">
        <v>29905.85</v>
      </c>
      <c r="H244" s="784">
        <v>118.97</v>
      </c>
    </row>
    <row r="245" spans="1:8" ht="24.95" customHeight="1" x14ac:dyDescent="0.2">
      <c r="A245" s="780" t="s">
        <v>3517</v>
      </c>
      <c r="B245" s="781" t="s">
        <v>3518</v>
      </c>
      <c r="C245" s="810" t="s">
        <v>3437</v>
      </c>
      <c r="D245" s="810" t="s">
        <v>3570</v>
      </c>
      <c r="E245" s="810">
        <v>2017</v>
      </c>
      <c r="F245" s="810" t="s">
        <v>3440</v>
      </c>
      <c r="G245" s="819">
        <v>15339.96</v>
      </c>
      <c r="H245" s="820">
        <v>8139.96</v>
      </c>
    </row>
    <row r="246" spans="1:8" ht="24.95" customHeight="1" x14ac:dyDescent="0.2">
      <c r="A246" s="780" t="s">
        <v>3520</v>
      </c>
      <c r="B246" s="781" t="s">
        <v>3521</v>
      </c>
      <c r="C246" s="810" t="s">
        <v>3528</v>
      </c>
      <c r="D246" s="810" t="s">
        <v>3573</v>
      </c>
      <c r="E246" s="810">
        <v>2017</v>
      </c>
      <c r="F246" s="810" t="s">
        <v>3440</v>
      </c>
      <c r="G246" s="819">
        <v>283165.09000000003</v>
      </c>
      <c r="H246" s="820">
        <v>16454.580000000002</v>
      </c>
    </row>
    <row r="247" spans="1:8" ht="24.95" customHeight="1" x14ac:dyDescent="0.2">
      <c r="A247" s="780" t="s">
        <v>3522</v>
      </c>
      <c r="B247" s="781" t="s">
        <v>3523</v>
      </c>
      <c r="C247" s="810" t="s">
        <v>3437</v>
      </c>
      <c r="D247" s="810">
        <v>163003171</v>
      </c>
      <c r="E247" s="810">
        <v>2017</v>
      </c>
      <c r="F247" s="810" t="s">
        <v>3440</v>
      </c>
      <c r="G247" s="819">
        <v>26094.73</v>
      </c>
      <c r="H247" s="820">
        <v>26094.73</v>
      </c>
    </row>
    <row r="248" spans="1:8" ht="24.95" customHeight="1" x14ac:dyDescent="0.2">
      <c r="A248" s="780" t="s">
        <v>3524</v>
      </c>
      <c r="B248" s="781" t="s">
        <v>3525</v>
      </c>
      <c r="C248" s="785" t="s">
        <v>3441</v>
      </c>
      <c r="D248" s="785" t="s">
        <v>3441</v>
      </c>
      <c r="E248" s="785" t="s">
        <v>3441</v>
      </c>
      <c r="F248" s="785" t="s">
        <v>3441</v>
      </c>
      <c r="G248" s="785"/>
      <c r="H248" s="809"/>
    </row>
    <row r="249" spans="1:8" ht="24.95" customHeight="1" x14ac:dyDescent="0.2">
      <c r="A249" s="798"/>
      <c r="B249" s="787"/>
      <c r="C249" s="799"/>
      <c r="D249" s="799"/>
      <c r="E249" s="799"/>
      <c r="F249" s="799"/>
      <c r="G249" s="800"/>
      <c r="H249" s="801"/>
    </row>
    <row r="250" spans="1:8" ht="24.95" customHeight="1" x14ac:dyDescent="0.25">
      <c r="A250" s="802" t="s">
        <v>3654</v>
      </c>
      <c r="B250" s="792"/>
      <c r="C250" s="792"/>
      <c r="D250" s="792"/>
      <c r="E250" s="793"/>
      <c r="F250" s="793"/>
      <c r="G250" s="789"/>
      <c r="H250" s="790"/>
    </row>
    <row r="251" spans="1:8" ht="24.95" customHeight="1" x14ac:dyDescent="0.25">
      <c r="A251" s="802" t="s">
        <v>3655</v>
      </c>
      <c r="B251" s="792"/>
      <c r="C251" s="792"/>
      <c r="D251" s="792"/>
      <c r="E251" s="793"/>
      <c r="F251" s="793"/>
      <c r="G251" s="789"/>
      <c r="H251" s="790"/>
    </row>
    <row r="252" spans="1:8" ht="24.95" customHeight="1" x14ac:dyDescent="0.25">
      <c r="A252" s="802" t="s">
        <v>3656</v>
      </c>
      <c r="B252" s="792"/>
      <c r="C252" s="792"/>
      <c r="D252" s="792"/>
      <c r="E252" s="793"/>
      <c r="F252" s="793"/>
      <c r="G252" s="789"/>
      <c r="H252" s="790"/>
    </row>
    <row r="253" spans="1:8" ht="24.95" customHeight="1" x14ac:dyDescent="0.25">
      <c r="A253" s="802" t="s">
        <v>3657</v>
      </c>
      <c r="B253" s="792"/>
      <c r="C253" s="792"/>
      <c r="D253" s="792"/>
      <c r="E253" s="793"/>
      <c r="F253" s="793"/>
      <c r="G253" s="789"/>
      <c r="H253" s="790"/>
    </row>
    <row r="254" spans="1:8" ht="24.95" customHeight="1" x14ac:dyDescent="0.25">
      <c r="A254" s="803" t="s">
        <v>3658</v>
      </c>
      <c r="B254" s="792"/>
      <c r="C254" s="792"/>
      <c r="D254" s="792"/>
      <c r="E254" s="793"/>
      <c r="F254" s="793"/>
      <c r="G254" s="789"/>
      <c r="H254" s="790"/>
    </row>
    <row r="255" spans="1:8" ht="24.95" customHeight="1" x14ac:dyDescent="0.2">
      <c r="A255" s="780" t="s">
        <v>3659</v>
      </c>
      <c r="B255" s="781" t="s">
        <v>3447</v>
      </c>
      <c r="C255" s="821" t="s">
        <v>3660</v>
      </c>
      <c r="D255" s="822">
        <v>100007166</v>
      </c>
      <c r="E255" s="821">
        <v>1999</v>
      </c>
      <c r="F255" s="821" t="s">
        <v>3440</v>
      </c>
      <c r="G255" s="823">
        <v>12991</v>
      </c>
      <c r="H255" s="824">
        <v>8301</v>
      </c>
    </row>
    <row r="256" spans="1:8" ht="24.95" customHeight="1" x14ac:dyDescent="0.2">
      <c r="A256" s="780" t="s">
        <v>3661</v>
      </c>
      <c r="B256" s="781" t="s">
        <v>3447</v>
      </c>
      <c r="C256" s="821" t="s">
        <v>3660</v>
      </c>
      <c r="D256" s="822">
        <v>100004258</v>
      </c>
      <c r="E256" s="821">
        <v>2007</v>
      </c>
      <c r="F256" s="821" t="s">
        <v>3440</v>
      </c>
      <c r="G256" s="823">
        <v>14144</v>
      </c>
      <c r="H256" s="824">
        <v>13661</v>
      </c>
    </row>
    <row r="257" spans="1:8" ht="24.95" customHeight="1" x14ac:dyDescent="0.2">
      <c r="A257" s="780" t="s">
        <v>3458</v>
      </c>
      <c r="B257" s="781" t="s">
        <v>3459</v>
      </c>
      <c r="C257" s="821" t="s">
        <v>3437</v>
      </c>
      <c r="D257" s="822" t="s">
        <v>3662</v>
      </c>
      <c r="E257" s="821">
        <v>2000</v>
      </c>
      <c r="F257" s="821" t="s">
        <v>3440</v>
      </c>
      <c r="G257" s="823">
        <v>876928.06</v>
      </c>
      <c r="H257" s="824">
        <v>815482.17</v>
      </c>
    </row>
    <row r="258" spans="1:8" ht="24.95" customHeight="1" x14ac:dyDescent="0.2">
      <c r="A258" s="780" t="s">
        <v>3458</v>
      </c>
      <c r="B258" s="781" t="s">
        <v>3459</v>
      </c>
      <c r="C258" s="821"/>
      <c r="D258" s="822" t="s">
        <v>3663</v>
      </c>
      <c r="E258" s="821">
        <v>2000</v>
      </c>
      <c r="F258" s="821" t="s">
        <v>3440</v>
      </c>
      <c r="G258" s="823">
        <v>18516.45</v>
      </c>
      <c r="H258" s="824">
        <v>18456.45</v>
      </c>
    </row>
    <row r="259" spans="1:8" ht="24.95" customHeight="1" x14ac:dyDescent="0.2">
      <c r="A259" s="780" t="s">
        <v>3458</v>
      </c>
      <c r="B259" s="781" t="s">
        <v>3459</v>
      </c>
      <c r="C259" s="821"/>
      <c r="D259" s="822" t="s">
        <v>3664</v>
      </c>
      <c r="E259" s="821">
        <v>2006</v>
      </c>
      <c r="F259" s="821" t="s">
        <v>3440</v>
      </c>
      <c r="G259" s="823">
        <v>18578.419999999998</v>
      </c>
      <c r="H259" s="824">
        <v>18578.419999999998</v>
      </c>
    </row>
    <row r="260" spans="1:8" ht="24.95" customHeight="1" x14ac:dyDescent="0.2">
      <c r="A260" s="780" t="s">
        <v>3463</v>
      </c>
      <c r="B260" s="781" t="s">
        <v>3464</v>
      </c>
      <c r="C260" s="821" t="s">
        <v>3437</v>
      </c>
      <c r="D260" s="821">
        <v>171000807</v>
      </c>
      <c r="E260" s="821">
        <v>2007</v>
      </c>
      <c r="F260" s="821" t="s">
        <v>3440</v>
      </c>
      <c r="G260" s="823">
        <v>6817.21</v>
      </c>
      <c r="H260" s="824">
        <v>6817.21</v>
      </c>
    </row>
    <row r="261" spans="1:8" ht="24.95" customHeight="1" x14ac:dyDescent="0.2">
      <c r="A261" s="780" t="s">
        <v>3665</v>
      </c>
      <c r="B261" s="781" t="s">
        <v>3472</v>
      </c>
      <c r="C261" s="782" t="s">
        <v>3437</v>
      </c>
      <c r="D261" s="782" t="s">
        <v>3666</v>
      </c>
      <c r="E261" s="782">
        <v>2003</v>
      </c>
      <c r="F261" s="782" t="s">
        <v>3440</v>
      </c>
      <c r="G261" s="823">
        <v>733730</v>
      </c>
      <c r="H261" s="824">
        <v>760318</v>
      </c>
    </row>
    <row r="262" spans="1:8" ht="24.95" customHeight="1" thickBot="1" x14ac:dyDescent="0.25">
      <c r="A262" s="834" t="s">
        <v>3667</v>
      </c>
      <c r="B262" s="835" t="s">
        <v>3484</v>
      </c>
      <c r="C262" s="836" t="s">
        <v>3469</v>
      </c>
      <c r="D262" s="836" t="s">
        <v>3485</v>
      </c>
      <c r="E262" s="836"/>
      <c r="F262" s="836" t="s">
        <v>3440</v>
      </c>
      <c r="G262" s="837">
        <v>0</v>
      </c>
      <c r="H262" s="838">
        <v>89818</v>
      </c>
    </row>
    <row r="263" spans="1:8" ht="21" customHeight="1" thickBot="1" x14ac:dyDescent="0.35">
      <c r="A263" s="825" t="s">
        <v>3668</v>
      </c>
      <c r="B263" s="826"/>
      <c r="C263" s="826"/>
      <c r="D263" s="826"/>
      <c r="E263" s="827"/>
      <c r="F263" s="827"/>
      <c r="G263" s="828"/>
      <c r="H263" s="829">
        <f>SUM(H6:H262)</f>
        <v>228868022.3199999</v>
      </c>
    </row>
  </sheetData>
  <mergeCells count="4">
    <mergeCell ref="C4:H4"/>
    <mergeCell ref="B4:B5"/>
    <mergeCell ref="A4:A5"/>
    <mergeCell ref="G69:G70"/>
  </mergeCells>
  <printOptions horizontalCentered="1"/>
  <pageMargins left="0.23622047244094491" right="0.23622047244094491" top="0.74803149606299213" bottom="0.74803149606299213" header="0.31496062992125984" footer="0.31496062992125984"/>
  <pageSetup paperSize="9" scale="80" orientation="landscape" r:id="rId1"/>
  <headerFooter alignWithMargins="0">
    <oddHeader xml:space="preserve">&amp;C&amp;"Arial,Negrita"&amp;18PROYECTO DE PRESUPUESTO 2021
</oddHeader>
    <oddFooter>&amp;L&amp;"Arial,Negrita"&amp;8PROYECTO DE PRESUPUESTO PARA EL AÑO FISCAL 2020
INFORMACIÓN PARA LA COMISIÓN DE PRESUPUESTO Y CUENTA GENERAL DE LA REPÚBLICA DEL CONGRESO DE LA REPÚBLICA</oddFooter>
  </headerFooter>
  <colBreaks count="1" manualBreakCount="1">
    <brk id="8" max="1048575" man="1"/>
  </col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5">
    <tabColor theme="9" tint="-0.249977111117893"/>
  </sheetPr>
  <dimension ref="A1:V4534"/>
  <sheetViews>
    <sheetView zoomScaleNormal="100" zoomScaleSheetLayoutView="100" zoomScalePageLayoutView="75" workbookViewId="0">
      <selection activeCell="C6" sqref="C6"/>
    </sheetView>
  </sheetViews>
  <sheetFormatPr baseColWidth="10" defaultColWidth="11.42578125" defaultRowHeight="12" x14ac:dyDescent="0.2"/>
  <cols>
    <col min="1" max="7" width="18.7109375" style="3" customWidth="1"/>
    <col min="8" max="9" width="18.7109375" style="48" customWidth="1"/>
    <col min="10" max="10" width="18.7109375" style="3" customWidth="1"/>
    <col min="11" max="12" width="7.140625" style="32" customWidth="1"/>
    <col min="13" max="13" width="10.7109375" style="3" customWidth="1"/>
    <col min="14" max="15" width="7.140625" style="3" customWidth="1"/>
    <col min="16" max="16" width="10.140625" style="3" customWidth="1"/>
    <col min="17" max="16384" width="11.42578125" style="3"/>
  </cols>
  <sheetData>
    <row r="1" spans="1:22" s="63" customFormat="1" x14ac:dyDescent="0.2">
      <c r="A1" s="83" t="s">
        <v>429</v>
      </c>
      <c r="B1" s="83"/>
      <c r="C1" s="83"/>
      <c r="D1" s="83"/>
      <c r="E1" s="83"/>
      <c r="F1" s="83"/>
      <c r="G1" s="83"/>
      <c r="H1" s="83"/>
      <c r="I1" s="83"/>
      <c r="J1" s="83"/>
      <c r="K1" s="83"/>
      <c r="L1" s="83"/>
    </row>
    <row r="2" spans="1:22" s="5" customFormat="1" x14ac:dyDescent="0.2">
      <c r="A2" s="82" t="s">
        <v>340</v>
      </c>
      <c r="B2" s="82"/>
      <c r="C2" s="82"/>
      <c r="D2" s="82"/>
      <c r="E2" s="82"/>
      <c r="F2" s="82"/>
      <c r="G2" s="82"/>
      <c r="H2" s="82"/>
      <c r="I2" s="82"/>
      <c r="J2" s="82"/>
      <c r="K2" s="82"/>
      <c r="L2" s="82"/>
      <c r="M2" s="82"/>
      <c r="N2" s="82"/>
      <c r="O2" s="82"/>
      <c r="P2" s="82"/>
      <c r="Q2" s="82"/>
      <c r="R2" s="82"/>
      <c r="S2" s="82"/>
      <c r="T2" s="82"/>
      <c r="U2" s="82"/>
      <c r="V2" s="82"/>
    </row>
    <row r="3" spans="1:22" s="66" customFormat="1" ht="12.75" thickBot="1" x14ac:dyDescent="0.25">
      <c r="A3" s="11" t="s">
        <v>11901</v>
      </c>
      <c r="K3" s="32"/>
      <c r="L3" s="32"/>
    </row>
    <row r="4" spans="1:22" s="43" customFormat="1" ht="28.5" customHeight="1" thickBot="1" x14ac:dyDescent="0.25">
      <c r="A4" s="1317" t="s">
        <v>127</v>
      </c>
      <c r="B4" s="1318"/>
      <c r="C4" s="1318"/>
      <c r="D4" s="1318"/>
      <c r="E4" s="1319"/>
      <c r="F4" s="1320" t="s">
        <v>128</v>
      </c>
      <c r="G4" s="1321"/>
      <c r="H4" s="1322"/>
      <c r="I4" s="1322"/>
      <c r="J4" s="1323"/>
      <c r="K4" s="1314" t="s">
        <v>365</v>
      </c>
      <c r="L4" s="1315"/>
      <c r="M4" s="1316"/>
      <c r="N4" s="1314" t="s">
        <v>366</v>
      </c>
      <c r="O4" s="1315"/>
      <c r="P4" s="1316"/>
    </row>
    <row r="5" spans="1:22" s="44" customFormat="1" ht="80.099999999999994" customHeight="1" thickBot="1" x14ac:dyDescent="0.25">
      <c r="A5" s="164" t="s">
        <v>86</v>
      </c>
      <c r="B5" s="165" t="s">
        <v>3</v>
      </c>
      <c r="C5" s="165" t="s">
        <v>84</v>
      </c>
      <c r="D5" s="166" t="s">
        <v>87</v>
      </c>
      <c r="E5" s="167" t="s">
        <v>108</v>
      </c>
      <c r="F5" s="164" t="s">
        <v>115</v>
      </c>
      <c r="G5" s="166" t="s">
        <v>116</v>
      </c>
      <c r="H5" s="166" t="s">
        <v>130</v>
      </c>
      <c r="I5" s="165" t="s">
        <v>131</v>
      </c>
      <c r="J5" s="168" t="s">
        <v>120</v>
      </c>
      <c r="K5" s="169" t="s">
        <v>117</v>
      </c>
      <c r="L5" s="170" t="s">
        <v>118</v>
      </c>
      <c r="M5" s="171" t="s">
        <v>119</v>
      </c>
      <c r="N5" s="169" t="s">
        <v>117</v>
      </c>
      <c r="O5" s="170" t="s">
        <v>118</v>
      </c>
      <c r="P5" s="171" t="s">
        <v>119</v>
      </c>
    </row>
    <row r="6" spans="1:22" ht="20.100000000000001" customHeight="1" x14ac:dyDescent="0.25">
      <c r="A6" s="918" t="s">
        <v>11902</v>
      </c>
      <c r="B6" s="944" t="s">
        <v>3901</v>
      </c>
      <c r="C6" s="919" t="s">
        <v>3902</v>
      </c>
      <c r="D6" s="919" t="s">
        <v>3903</v>
      </c>
      <c r="E6" s="920">
        <v>1150</v>
      </c>
      <c r="F6" s="919">
        <v>24360716</v>
      </c>
      <c r="G6" s="919" t="s">
        <v>3904</v>
      </c>
      <c r="H6" s="919" t="s">
        <v>3905</v>
      </c>
      <c r="I6" s="919"/>
      <c r="J6" s="919" t="s">
        <v>3693</v>
      </c>
      <c r="K6" s="920"/>
      <c r="L6" s="920">
        <v>12</v>
      </c>
      <c r="M6" s="920">
        <f t="shared" ref="M6:M69" si="0">E6*L6</f>
        <v>13800</v>
      </c>
      <c r="N6" s="919"/>
      <c r="O6" s="919"/>
      <c r="P6" s="921">
        <f t="shared" ref="P6:P69" si="1">E6*O6</f>
        <v>0</v>
      </c>
    </row>
    <row r="7" spans="1:22" ht="20.100000000000001" customHeight="1" x14ac:dyDescent="0.25">
      <c r="A7" s="918" t="s">
        <v>11902</v>
      </c>
      <c r="B7" s="944" t="s">
        <v>3901</v>
      </c>
      <c r="C7" s="919" t="s">
        <v>3902</v>
      </c>
      <c r="D7" s="919" t="s">
        <v>3906</v>
      </c>
      <c r="E7" s="920">
        <v>9500</v>
      </c>
      <c r="F7" s="919">
        <v>24002916</v>
      </c>
      <c r="G7" s="919" t="s">
        <v>3907</v>
      </c>
      <c r="H7" s="919" t="s">
        <v>3908</v>
      </c>
      <c r="I7" s="919" t="s">
        <v>3909</v>
      </c>
      <c r="J7" s="919"/>
      <c r="K7" s="920">
        <v>1</v>
      </c>
      <c r="L7" s="920">
        <v>3</v>
      </c>
      <c r="M7" s="920">
        <f t="shared" si="0"/>
        <v>28500</v>
      </c>
      <c r="N7" s="919"/>
      <c r="O7" s="919"/>
      <c r="P7" s="921">
        <f t="shared" si="1"/>
        <v>0</v>
      </c>
    </row>
    <row r="8" spans="1:22" ht="20.100000000000001" customHeight="1" x14ac:dyDescent="0.25">
      <c r="A8" s="918" t="s">
        <v>11902</v>
      </c>
      <c r="B8" s="944" t="s">
        <v>3901</v>
      </c>
      <c r="C8" s="919" t="s">
        <v>3902</v>
      </c>
      <c r="D8" s="919" t="s">
        <v>3903</v>
      </c>
      <c r="E8" s="920">
        <v>1150</v>
      </c>
      <c r="F8" s="919">
        <v>23802283</v>
      </c>
      <c r="G8" s="919" t="s">
        <v>3910</v>
      </c>
      <c r="H8" s="919" t="s">
        <v>3911</v>
      </c>
      <c r="I8" s="919"/>
      <c r="J8" s="919" t="s">
        <v>3693</v>
      </c>
      <c r="K8" s="920"/>
      <c r="L8" s="920">
        <v>12</v>
      </c>
      <c r="M8" s="920">
        <f t="shared" si="0"/>
        <v>13800</v>
      </c>
      <c r="N8" s="919"/>
      <c r="O8" s="919"/>
      <c r="P8" s="921">
        <f t="shared" si="1"/>
        <v>0</v>
      </c>
    </row>
    <row r="9" spans="1:22" ht="20.100000000000001" customHeight="1" x14ac:dyDescent="0.25">
      <c r="A9" s="918" t="s">
        <v>11902</v>
      </c>
      <c r="B9" s="944" t="s">
        <v>3901</v>
      </c>
      <c r="C9" s="919" t="s">
        <v>3902</v>
      </c>
      <c r="D9" s="919" t="s">
        <v>3912</v>
      </c>
      <c r="E9" s="920">
        <v>1850</v>
      </c>
      <c r="F9" s="919">
        <v>43341493</v>
      </c>
      <c r="G9" s="919" t="s">
        <v>3913</v>
      </c>
      <c r="H9" s="919" t="s">
        <v>3914</v>
      </c>
      <c r="I9" s="919" t="s">
        <v>3915</v>
      </c>
      <c r="J9" s="919"/>
      <c r="K9" s="920"/>
      <c r="L9" s="920">
        <v>12</v>
      </c>
      <c r="M9" s="920">
        <f t="shared" si="0"/>
        <v>22200</v>
      </c>
      <c r="N9" s="919"/>
      <c r="O9" s="919"/>
      <c r="P9" s="921">
        <f t="shared" si="1"/>
        <v>0</v>
      </c>
    </row>
    <row r="10" spans="1:22" ht="20.100000000000001" customHeight="1" x14ac:dyDescent="0.25">
      <c r="A10" s="918" t="s">
        <v>11902</v>
      </c>
      <c r="B10" s="944" t="s">
        <v>3901</v>
      </c>
      <c r="C10" s="919" t="s">
        <v>3902</v>
      </c>
      <c r="D10" s="919" t="s">
        <v>3916</v>
      </c>
      <c r="E10" s="920">
        <v>2050</v>
      </c>
      <c r="F10" s="919">
        <v>40986785</v>
      </c>
      <c r="G10" s="919" t="s">
        <v>3917</v>
      </c>
      <c r="H10" s="919" t="s">
        <v>3918</v>
      </c>
      <c r="I10" s="919" t="s">
        <v>3679</v>
      </c>
      <c r="J10" s="919"/>
      <c r="K10" s="920">
        <v>1</v>
      </c>
      <c r="L10" s="920">
        <v>1</v>
      </c>
      <c r="M10" s="920">
        <f t="shared" si="0"/>
        <v>2050</v>
      </c>
      <c r="N10" s="919"/>
      <c r="O10" s="919"/>
      <c r="P10" s="921">
        <f t="shared" si="1"/>
        <v>0</v>
      </c>
    </row>
    <row r="11" spans="1:22" ht="20.100000000000001" customHeight="1" x14ac:dyDescent="0.25">
      <c r="A11" s="918" t="s">
        <v>11902</v>
      </c>
      <c r="B11" s="944" t="s">
        <v>3901</v>
      </c>
      <c r="C11" s="919" t="s">
        <v>3902</v>
      </c>
      <c r="D11" s="919" t="s">
        <v>3919</v>
      </c>
      <c r="E11" s="920">
        <v>2300</v>
      </c>
      <c r="F11" s="919">
        <v>71428979</v>
      </c>
      <c r="G11" s="919" t="s">
        <v>3920</v>
      </c>
      <c r="H11" s="919" t="s">
        <v>3921</v>
      </c>
      <c r="I11" s="919" t="s">
        <v>3679</v>
      </c>
      <c r="J11" s="919"/>
      <c r="K11" s="920">
        <v>1</v>
      </c>
      <c r="L11" s="920">
        <v>4</v>
      </c>
      <c r="M11" s="920">
        <f t="shared" si="0"/>
        <v>9200</v>
      </c>
      <c r="N11" s="919"/>
      <c r="O11" s="919"/>
      <c r="P11" s="921">
        <f t="shared" si="1"/>
        <v>0</v>
      </c>
    </row>
    <row r="12" spans="1:22" ht="20.100000000000001" customHeight="1" x14ac:dyDescent="0.25">
      <c r="A12" s="918" t="s">
        <v>11902</v>
      </c>
      <c r="B12" s="944" t="s">
        <v>3901</v>
      </c>
      <c r="C12" s="919" t="s">
        <v>3902</v>
      </c>
      <c r="D12" s="919" t="s">
        <v>3912</v>
      </c>
      <c r="E12" s="920">
        <v>1850</v>
      </c>
      <c r="F12" s="919">
        <v>47766929</v>
      </c>
      <c r="G12" s="919" t="s">
        <v>3922</v>
      </c>
      <c r="H12" s="919" t="s">
        <v>3923</v>
      </c>
      <c r="I12" s="919" t="s">
        <v>3915</v>
      </c>
      <c r="J12" s="919"/>
      <c r="K12" s="920">
        <v>1</v>
      </c>
      <c r="L12" s="920">
        <v>7</v>
      </c>
      <c r="M12" s="920">
        <f t="shared" si="0"/>
        <v>12950</v>
      </c>
      <c r="N12" s="919"/>
      <c r="O12" s="919"/>
      <c r="P12" s="921">
        <f t="shared" si="1"/>
        <v>0</v>
      </c>
    </row>
    <row r="13" spans="1:22" ht="20.100000000000001" customHeight="1" x14ac:dyDescent="0.25">
      <c r="A13" s="918" t="s">
        <v>11902</v>
      </c>
      <c r="B13" s="944" t="s">
        <v>3901</v>
      </c>
      <c r="C13" s="919" t="s">
        <v>3902</v>
      </c>
      <c r="D13" s="919" t="s">
        <v>3919</v>
      </c>
      <c r="E13" s="920">
        <v>2300</v>
      </c>
      <c r="F13" s="919">
        <v>41745608</v>
      </c>
      <c r="G13" s="919" t="s">
        <v>3924</v>
      </c>
      <c r="H13" s="919" t="s">
        <v>3925</v>
      </c>
      <c r="I13" s="919" t="s">
        <v>3679</v>
      </c>
      <c r="J13" s="919"/>
      <c r="K13" s="920">
        <v>1</v>
      </c>
      <c r="L13" s="920">
        <v>4</v>
      </c>
      <c r="M13" s="920">
        <f t="shared" si="0"/>
        <v>9200</v>
      </c>
      <c r="N13" s="919"/>
      <c r="O13" s="919"/>
      <c r="P13" s="921">
        <f t="shared" si="1"/>
        <v>0</v>
      </c>
    </row>
    <row r="14" spans="1:22" ht="20.100000000000001" customHeight="1" x14ac:dyDescent="0.25">
      <c r="A14" s="918" t="s">
        <v>11902</v>
      </c>
      <c r="B14" s="944" t="s">
        <v>3901</v>
      </c>
      <c r="C14" s="919" t="s">
        <v>3902</v>
      </c>
      <c r="D14" s="919" t="s">
        <v>3912</v>
      </c>
      <c r="E14" s="920">
        <v>1850</v>
      </c>
      <c r="F14" s="919">
        <v>47221456</v>
      </c>
      <c r="G14" s="919" t="s">
        <v>3926</v>
      </c>
      <c r="H14" s="919" t="s">
        <v>3921</v>
      </c>
      <c r="I14" s="919" t="s">
        <v>3915</v>
      </c>
      <c r="J14" s="919"/>
      <c r="K14" s="920"/>
      <c r="L14" s="920">
        <v>12</v>
      </c>
      <c r="M14" s="920">
        <f t="shared" si="0"/>
        <v>22200</v>
      </c>
      <c r="N14" s="919"/>
      <c r="O14" s="919"/>
      <c r="P14" s="921">
        <f t="shared" si="1"/>
        <v>0</v>
      </c>
    </row>
    <row r="15" spans="1:22" ht="20.100000000000001" customHeight="1" x14ac:dyDescent="0.25">
      <c r="A15" s="918" t="s">
        <v>11902</v>
      </c>
      <c r="B15" s="944" t="s">
        <v>3901</v>
      </c>
      <c r="C15" s="919" t="s">
        <v>3902</v>
      </c>
      <c r="D15" s="919" t="s">
        <v>3912</v>
      </c>
      <c r="E15" s="920">
        <v>1850</v>
      </c>
      <c r="F15" s="919">
        <v>71655917</v>
      </c>
      <c r="G15" s="919" t="s">
        <v>3927</v>
      </c>
      <c r="H15" s="919" t="s">
        <v>3928</v>
      </c>
      <c r="I15" s="919" t="s">
        <v>3915</v>
      </c>
      <c r="J15" s="919"/>
      <c r="K15" s="920"/>
      <c r="L15" s="920"/>
      <c r="M15" s="920">
        <f t="shared" si="0"/>
        <v>0</v>
      </c>
      <c r="N15" s="919">
        <v>1</v>
      </c>
      <c r="O15" s="919">
        <v>1</v>
      </c>
      <c r="P15" s="921">
        <f t="shared" si="1"/>
        <v>1850</v>
      </c>
    </row>
    <row r="16" spans="1:22" ht="20.100000000000001" customHeight="1" x14ac:dyDescent="0.25">
      <c r="A16" s="918" t="s">
        <v>11902</v>
      </c>
      <c r="B16" s="944" t="s">
        <v>3929</v>
      </c>
      <c r="C16" s="919" t="s">
        <v>3902</v>
      </c>
      <c r="D16" s="919" t="s">
        <v>3916</v>
      </c>
      <c r="E16" s="920">
        <v>2050</v>
      </c>
      <c r="F16" s="940">
        <v>70525600</v>
      </c>
      <c r="G16" s="919" t="s">
        <v>3930</v>
      </c>
      <c r="H16" s="919" t="s">
        <v>3931</v>
      </c>
      <c r="I16" s="919" t="s">
        <v>3679</v>
      </c>
      <c r="J16" s="919"/>
      <c r="K16" s="920">
        <v>1</v>
      </c>
      <c r="L16" s="920">
        <v>4</v>
      </c>
      <c r="M16" s="920">
        <f t="shared" si="0"/>
        <v>8200</v>
      </c>
      <c r="N16" s="919"/>
      <c r="O16" s="919"/>
      <c r="P16" s="921">
        <f t="shared" si="1"/>
        <v>0</v>
      </c>
    </row>
    <row r="17" spans="1:16" ht="20.100000000000001" customHeight="1" x14ac:dyDescent="0.25">
      <c r="A17" s="918" t="s">
        <v>11902</v>
      </c>
      <c r="B17" s="944" t="s">
        <v>3929</v>
      </c>
      <c r="C17" s="919" t="s">
        <v>3902</v>
      </c>
      <c r="D17" s="919" t="s">
        <v>3919</v>
      </c>
      <c r="E17" s="920">
        <v>2300</v>
      </c>
      <c r="F17" s="940">
        <v>70583259</v>
      </c>
      <c r="G17" s="919" t="s">
        <v>3932</v>
      </c>
      <c r="H17" s="919" t="s">
        <v>3921</v>
      </c>
      <c r="I17" s="919" t="s">
        <v>3679</v>
      </c>
      <c r="J17" s="919"/>
      <c r="K17" s="920">
        <v>1</v>
      </c>
      <c r="L17" s="920">
        <v>7</v>
      </c>
      <c r="M17" s="920">
        <f t="shared" si="0"/>
        <v>16100</v>
      </c>
      <c r="N17" s="919"/>
      <c r="O17" s="919"/>
      <c r="P17" s="921">
        <f t="shared" si="1"/>
        <v>0</v>
      </c>
    </row>
    <row r="18" spans="1:16" ht="20.100000000000001" customHeight="1" x14ac:dyDescent="0.25">
      <c r="A18" s="918" t="s">
        <v>11902</v>
      </c>
      <c r="B18" s="944" t="s">
        <v>3901</v>
      </c>
      <c r="C18" s="919" t="s">
        <v>3902</v>
      </c>
      <c r="D18" s="919" t="s">
        <v>3933</v>
      </c>
      <c r="E18" s="920">
        <v>1450</v>
      </c>
      <c r="F18" s="919">
        <v>42920752</v>
      </c>
      <c r="G18" s="919" t="s">
        <v>3934</v>
      </c>
      <c r="H18" s="919" t="s">
        <v>3935</v>
      </c>
      <c r="I18" s="919" t="s">
        <v>3915</v>
      </c>
      <c r="J18" s="919"/>
      <c r="K18" s="920">
        <v>1</v>
      </c>
      <c r="L18" s="920">
        <v>1</v>
      </c>
      <c r="M18" s="920">
        <f t="shared" si="0"/>
        <v>1450</v>
      </c>
      <c r="N18" s="919"/>
      <c r="O18" s="919"/>
      <c r="P18" s="921">
        <f t="shared" si="1"/>
        <v>0</v>
      </c>
    </row>
    <row r="19" spans="1:16" ht="20.100000000000001" customHeight="1" x14ac:dyDescent="0.25">
      <c r="A19" s="918" t="s">
        <v>11902</v>
      </c>
      <c r="B19" s="944" t="s">
        <v>3901</v>
      </c>
      <c r="C19" s="919" t="s">
        <v>3902</v>
      </c>
      <c r="D19" s="919" t="s">
        <v>3912</v>
      </c>
      <c r="E19" s="920">
        <v>1850</v>
      </c>
      <c r="F19" s="919">
        <v>43655315</v>
      </c>
      <c r="G19" s="919" t="s">
        <v>3936</v>
      </c>
      <c r="H19" s="919" t="s">
        <v>3937</v>
      </c>
      <c r="I19" s="919" t="s">
        <v>3915</v>
      </c>
      <c r="J19" s="919"/>
      <c r="K19" s="920">
        <v>1</v>
      </c>
      <c r="L19" s="920">
        <v>7</v>
      </c>
      <c r="M19" s="920">
        <f t="shared" si="0"/>
        <v>12950</v>
      </c>
      <c r="N19" s="919"/>
      <c r="O19" s="919"/>
      <c r="P19" s="921">
        <f t="shared" si="1"/>
        <v>0</v>
      </c>
    </row>
    <row r="20" spans="1:16" ht="20.100000000000001" customHeight="1" x14ac:dyDescent="0.25">
      <c r="A20" s="918" t="s">
        <v>11902</v>
      </c>
      <c r="B20" s="944" t="s">
        <v>3901</v>
      </c>
      <c r="C20" s="919" t="s">
        <v>3902</v>
      </c>
      <c r="D20" s="919" t="s">
        <v>3919</v>
      </c>
      <c r="E20" s="920">
        <v>2300</v>
      </c>
      <c r="F20" s="919">
        <v>46244019</v>
      </c>
      <c r="G20" s="919" t="s">
        <v>3938</v>
      </c>
      <c r="H20" s="919" t="s">
        <v>3939</v>
      </c>
      <c r="I20" s="919" t="s">
        <v>3679</v>
      </c>
      <c r="J20" s="919"/>
      <c r="K20" s="920">
        <v>1</v>
      </c>
      <c r="L20" s="920">
        <v>4</v>
      </c>
      <c r="M20" s="920">
        <f t="shared" si="0"/>
        <v>9200</v>
      </c>
      <c r="N20" s="919"/>
      <c r="O20" s="919"/>
      <c r="P20" s="921">
        <f t="shared" si="1"/>
        <v>0</v>
      </c>
    </row>
    <row r="21" spans="1:16" ht="20.100000000000001" customHeight="1" x14ac:dyDescent="0.25">
      <c r="A21" s="918" t="s">
        <v>11902</v>
      </c>
      <c r="B21" s="944" t="s">
        <v>3901</v>
      </c>
      <c r="C21" s="919" t="s">
        <v>3902</v>
      </c>
      <c r="D21" s="919" t="s">
        <v>3940</v>
      </c>
      <c r="E21" s="920">
        <v>2550</v>
      </c>
      <c r="F21" s="919">
        <v>47620195</v>
      </c>
      <c r="G21" s="919" t="s">
        <v>3941</v>
      </c>
      <c r="H21" s="919" t="s">
        <v>3942</v>
      </c>
      <c r="I21" s="919" t="s">
        <v>3679</v>
      </c>
      <c r="J21" s="919"/>
      <c r="K21" s="920"/>
      <c r="L21" s="920"/>
      <c r="M21" s="920">
        <f t="shared" si="0"/>
        <v>0</v>
      </c>
      <c r="N21" s="919">
        <v>1</v>
      </c>
      <c r="O21" s="919">
        <v>1</v>
      </c>
      <c r="P21" s="921">
        <f t="shared" si="1"/>
        <v>2550</v>
      </c>
    </row>
    <row r="22" spans="1:16" ht="20.100000000000001" customHeight="1" x14ac:dyDescent="0.25">
      <c r="A22" s="918" t="s">
        <v>11902</v>
      </c>
      <c r="B22" s="944" t="s">
        <v>3901</v>
      </c>
      <c r="C22" s="919" t="s">
        <v>3902</v>
      </c>
      <c r="D22" s="919" t="s">
        <v>3943</v>
      </c>
      <c r="E22" s="920">
        <v>2000</v>
      </c>
      <c r="F22" s="919">
        <v>74232729</v>
      </c>
      <c r="G22" s="919" t="s">
        <v>3944</v>
      </c>
      <c r="H22" s="919" t="s">
        <v>3945</v>
      </c>
      <c r="I22" s="919" t="s">
        <v>3915</v>
      </c>
      <c r="J22" s="919"/>
      <c r="K22" s="920"/>
      <c r="L22" s="920"/>
      <c r="M22" s="920">
        <f t="shared" si="0"/>
        <v>0</v>
      </c>
      <c r="N22" s="919">
        <v>1</v>
      </c>
      <c r="O22" s="919">
        <v>1</v>
      </c>
      <c r="P22" s="921">
        <f t="shared" si="1"/>
        <v>2000</v>
      </c>
    </row>
    <row r="23" spans="1:16" ht="20.100000000000001" customHeight="1" x14ac:dyDescent="0.25">
      <c r="A23" s="918" t="s">
        <v>11902</v>
      </c>
      <c r="B23" s="944" t="s">
        <v>3901</v>
      </c>
      <c r="C23" s="919" t="s">
        <v>3902</v>
      </c>
      <c r="D23" s="923" t="s">
        <v>3906</v>
      </c>
      <c r="E23" s="920">
        <v>9500</v>
      </c>
      <c r="F23" s="919">
        <v>42816426</v>
      </c>
      <c r="G23" s="919" t="s">
        <v>3946</v>
      </c>
      <c r="H23" s="919" t="s">
        <v>3947</v>
      </c>
      <c r="I23" s="919" t="s">
        <v>3909</v>
      </c>
      <c r="J23" s="919"/>
      <c r="K23" s="920"/>
      <c r="L23" s="920"/>
      <c r="M23" s="920">
        <f t="shared" si="0"/>
        <v>0</v>
      </c>
      <c r="N23" s="919">
        <v>1</v>
      </c>
      <c r="O23" s="919">
        <v>1</v>
      </c>
      <c r="P23" s="921">
        <f t="shared" si="1"/>
        <v>9500</v>
      </c>
    </row>
    <row r="24" spans="1:16" ht="20.100000000000001" customHeight="1" x14ac:dyDescent="0.25">
      <c r="A24" s="918" t="s">
        <v>11902</v>
      </c>
      <c r="B24" s="944" t="s">
        <v>3901</v>
      </c>
      <c r="C24" s="919" t="s">
        <v>3902</v>
      </c>
      <c r="D24" s="919" t="s">
        <v>3940</v>
      </c>
      <c r="E24" s="920">
        <v>3000</v>
      </c>
      <c r="F24" s="919">
        <v>70524179</v>
      </c>
      <c r="G24" s="919" t="s">
        <v>3948</v>
      </c>
      <c r="H24" s="919" t="s">
        <v>3937</v>
      </c>
      <c r="I24" s="919" t="s">
        <v>3679</v>
      </c>
      <c r="J24" s="919"/>
      <c r="K24" s="920">
        <v>1</v>
      </c>
      <c r="L24" s="920">
        <v>4</v>
      </c>
      <c r="M24" s="920">
        <f t="shared" si="0"/>
        <v>12000</v>
      </c>
      <c r="N24" s="919"/>
      <c r="O24" s="919"/>
      <c r="P24" s="921">
        <f t="shared" si="1"/>
        <v>0</v>
      </c>
    </row>
    <row r="25" spans="1:16" ht="20.100000000000001" customHeight="1" x14ac:dyDescent="0.25">
      <c r="A25" s="918" t="s">
        <v>11902</v>
      </c>
      <c r="B25" s="944" t="s">
        <v>3901</v>
      </c>
      <c r="C25" s="919" t="s">
        <v>3902</v>
      </c>
      <c r="D25" s="919" t="s">
        <v>3949</v>
      </c>
      <c r="E25" s="920">
        <v>8000</v>
      </c>
      <c r="F25" s="919">
        <v>40983860</v>
      </c>
      <c r="G25" s="919" t="s">
        <v>3950</v>
      </c>
      <c r="H25" s="919" t="s">
        <v>3951</v>
      </c>
      <c r="I25" s="919" t="s">
        <v>3909</v>
      </c>
      <c r="J25" s="919"/>
      <c r="K25" s="920"/>
      <c r="L25" s="920"/>
      <c r="M25" s="920">
        <f t="shared" si="0"/>
        <v>0</v>
      </c>
      <c r="N25" s="919">
        <v>1</v>
      </c>
      <c r="O25" s="919">
        <v>4</v>
      </c>
      <c r="P25" s="921">
        <f t="shared" si="1"/>
        <v>32000</v>
      </c>
    </row>
    <row r="26" spans="1:16" ht="20.100000000000001" customHeight="1" x14ac:dyDescent="0.25">
      <c r="A26" s="918" t="s">
        <v>11902</v>
      </c>
      <c r="B26" s="944" t="s">
        <v>3901</v>
      </c>
      <c r="C26" s="919" t="s">
        <v>3902</v>
      </c>
      <c r="D26" s="919" t="s">
        <v>3952</v>
      </c>
      <c r="E26" s="920">
        <v>2550</v>
      </c>
      <c r="F26" s="919">
        <v>70340139</v>
      </c>
      <c r="G26" s="919" t="s">
        <v>3953</v>
      </c>
      <c r="H26" s="919" t="s">
        <v>3918</v>
      </c>
      <c r="I26" s="919" t="s">
        <v>3679</v>
      </c>
      <c r="J26" s="919"/>
      <c r="K26" s="920">
        <v>1</v>
      </c>
      <c r="L26" s="920">
        <v>4</v>
      </c>
      <c r="M26" s="920">
        <f t="shared" si="0"/>
        <v>10200</v>
      </c>
      <c r="N26" s="919"/>
      <c r="O26" s="919"/>
      <c r="P26" s="921">
        <f t="shared" si="1"/>
        <v>0</v>
      </c>
    </row>
    <row r="27" spans="1:16" ht="20.100000000000001" customHeight="1" x14ac:dyDescent="0.25">
      <c r="A27" s="918" t="s">
        <v>11902</v>
      </c>
      <c r="B27" s="944" t="s">
        <v>3901</v>
      </c>
      <c r="C27" s="919" t="s">
        <v>3902</v>
      </c>
      <c r="D27" s="919" t="s">
        <v>3952</v>
      </c>
      <c r="E27" s="920">
        <v>2550</v>
      </c>
      <c r="F27" s="919">
        <v>72662999</v>
      </c>
      <c r="G27" s="919" t="s">
        <v>3954</v>
      </c>
      <c r="H27" s="919" t="s">
        <v>3955</v>
      </c>
      <c r="I27" s="919" t="s">
        <v>3679</v>
      </c>
      <c r="J27" s="919"/>
      <c r="K27" s="920">
        <v>1</v>
      </c>
      <c r="L27" s="920">
        <v>7</v>
      </c>
      <c r="M27" s="920">
        <f t="shared" si="0"/>
        <v>17850</v>
      </c>
      <c r="N27" s="919"/>
      <c r="O27" s="919"/>
      <c r="P27" s="921">
        <f t="shared" si="1"/>
        <v>0</v>
      </c>
    </row>
    <row r="28" spans="1:16" ht="20.100000000000001" customHeight="1" x14ac:dyDescent="0.25">
      <c r="A28" s="918" t="s">
        <v>11902</v>
      </c>
      <c r="B28" s="944" t="s">
        <v>3901</v>
      </c>
      <c r="C28" s="919" t="s">
        <v>3902</v>
      </c>
      <c r="D28" s="919" t="s">
        <v>3940</v>
      </c>
      <c r="E28" s="920">
        <v>2550</v>
      </c>
      <c r="F28" s="919">
        <v>47158212</v>
      </c>
      <c r="G28" s="919" t="s">
        <v>3956</v>
      </c>
      <c r="H28" s="919" t="s">
        <v>3918</v>
      </c>
      <c r="I28" s="919" t="s">
        <v>3679</v>
      </c>
      <c r="J28" s="919"/>
      <c r="K28" s="920"/>
      <c r="L28" s="920"/>
      <c r="M28" s="920">
        <f t="shared" si="0"/>
        <v>0</v>
      </c>
      <c r="N28" s="919">
        <v>1</v>
      </c>
      <c r="O28" s="919">
        <v>1</v>
      </c>
      <c r="P28" s="921">
        <f t="shared" si="1"/>
        <v>2550</v>
      </c>
    </row>
    <row r="29" spans="1:16" ht="20.100000000000001" customHeight="1" x14ac:dyDescent="0.25">
      <c r="A29" s="918" t="s">
        <v>11902</v>
      </c>
      <c r="B29" s="944" t="s">
        <v>3901</v>
      </c>
      <c r="C29" s="919" t="s">
        <v>3902</v>
      </c>
      <c r="D29" s="919" t="s">
        <v>3957</v>
      </c>
      <c r="E29" s="920">
        <v>4000</v>
      </c>
      <c r="F29" s="919">
        <v>23816907</v>
      </c>
      <c r="G29" s="919" t="s">
        <v>3958</v>
      </c>
      <c r="H29" s="919" t="s">
        <v>3947</v>
      </c>
      <c r="I29" s="919" t="s">
        <v>3679</v>
      </c>
      <c r="J29" s="919"/>
      <c r="K29" s="920">
        <v>1</v>
      </c>
      <c r="L29" s="920">
        <v>1</v>
      </c>
      <c r="M29" s="920">
        <f t="shared" si="0"/>
        <v>4000</v>
      </c>
      <c r="N29" s="919"/>
      <c r="O29" s="919"/>
      <c r="P29" s="921">
        <f t="shared" si="1"/>
        <v>0</v>
      </c>
    </row>
    <row r="30" spans="1:16" ht="20.100000000000001" customHeight="1" x14ac:dyDescent="0.25">
      <c r="A30" s="918" t="s">
        <v>11902</v>
      </c>
      <c r="B30" s="944" t="s">
        <v>3901</v>
      </c>
      <c r="C30" s="919" t="s">
        <v>3902</v>
      </c>
      <c r="D30" s="919" t="s">
        <v>3959</v>
      </c>
      <c r="E30" s="920">
        <v>1250</v>
      </c>
      <c r="F30" s="919">
        <v>23965116</v>
      </c>
      <c r="G30" s="919" t="s">
        <v>3960</v>
      </c>
      <c r="H30" s="919" t="s">
        <v>3961</v>
      </c>
      <c r="I30" s="919"/>
      <c r="J30" s="919" t="s">
        <v>3693</v>
      </c>
      <c r="K30" s="920">
        <v>1</v>
      </c>
      <c r="L30" s="920">
        <v>4</v>
      </c>
      <c r="M30" s="920">
        <f t="shared" si="0"/>
        <v>5000</v>
      </c>
      <c r="N30" s="919"/>
      <c r="O30" s="919"/>
      <c r="P30" s="921">
        <f t="shared" si="1"/>
        <v>0</v>
      </c>
    </row>
    <row r="31" spans="1:16" ht="20.100000000000001" customHeight="1" x14ac:dyDescent="0.25">
      <c r="A31" s="918" t="s">
        <v>11902</v>
      </c>
      <c r="B31" s="944" t="s">
        <v>3901</v>
      </c>
      <c r="C31" s="919" t="s">
        <v>3902</v>
      </c>
      <c r="D31" s="919" t="s">
        <v>3940</v>
      </c>
      <c r="E31" s="920">
        <v>2550</v>
      </c>
      <c r="F31" s="919">
        <v>43199483</v>
      </c>
      <c r="G31" s="919" t="s">
        <v>3962</v>
      </c>
      <c r="H31" s="919" t="s">
        <v>3925</v>
      </c>
      <c r="I31" s="919" t="s">
        <v>3679</v>
      </c>
      <c r="J31" s="919"/>
      <c r="K31" s="920"/>
      <c r="L31" s="920"/>
      <c r="M31" s="920">
        <f t="shared" si="0"/>
        <v>0</v>
      </c>
      <c r="N31" s="919">
        <v>1</v>
      </c>
      <c r="O31" s="919">
        <v>1</v>
      </c>
      <c r="P31" s="921">
        <f t="shared" si="1"/>
        <v>2550</v>
      </c>
    </row>
    <row r="32" spans="1:16" ht="20.100000000000001" customHeight="1" x14ac:dyDescent="0.25">
      <c r="A32" s="918" t="s">
        <v>11902</v>
      </c>
      <c r="B32" s="944" t="s">
        <v>3929</v>
      </c>
      <c r="C32" s="919" t="s">
        <v>3902</v>
      </c>
      <c r="D32" s="919" t="s">
        <v>3916</v>
      </c>
      <c r="E32" s="920">
        <v>2050</v>
      </c>
      <c r="F32" s="922">
        <v>40708011</v>
      </c>
      <c r="G32" s="919" t="s">
        <v>3963</v>
      </c>
      <c r="H32" s="919" t="s">
        <v>3931</v>
      </c>
      <c r="I32" s="919" t="s">
        <v>3679</v>
      </c>
      <c r="J32" s="919"/>
      <c r="K32" s="920">
        <v>1</v>
      </c>
      <c r="L32" s="920">
        <v>4</v>
      </c>
      <c r="M32" s="920">
        <f t="shared" si="0"/>
        <v>8200</v>
      </c>
      <c r="N32" s="919"/>
      <c r="O32" s="919"/>
      <c r="P32" s="921">
        <f t="shared" si="1"/>
        <v>0</v>
      </c>
    </row>
    <row r="33" spans="1:16" ht="20.100000000000001" customHeight="1" x14ac:dyDescent="0.25">
      <c r="A33" s="918" t="s">
        <v>11902</v>
      </c>
      <c r="B33" s="944" t="s">
        <v>3901</v>
      </c>
      <c r="C33" s="919" t="s">
        <v>3902</v>
      </c>
      <c r="D33" s="919" t="s">
        <v>3903</v>
      </c>
      <c r="E33" s="920">
        <v>1150</v>
      </c>
      <c r="F33" s="919">
        <v>23870134</v>
      </c>
      <c r="G33" s="919" t="s">
        <v>3964</v>
      </c>
      <c r="H33" s="919" t="s">
        <v>3965</v>
      </c>
      <c r="I33" s="919"/>
      <c r="J33" s="919" t="s">
        <v>3693</v>
      </c>
      <c r="K33" s="920"/>
      <c r="L33" s="920">
        <v>12</v>
      </c>
      <c r="M33" s="920">
        <f t="shared" si="0"/>
        <v>13800</v>
      </c>
      <c r="N33" s="919"/>
      <c r="O33" s="919"/>
      <c r="P33" s="921">
        <f t="shared" si="1"/>
        <v>0</v>
      </c>
    </row>
    <row r="34" spans="1:16" ht="20.100000000000001" customHeight="1" x14ac:dyDescent="0.25">
      <c r="A34" s="918" t="s">
        <v>11902</v>
      </c>
      <c r="B34" s="944" t="s">
        <v>3901</v>
      </c>
      <c r="C34" s="919" t="s">
        <v>3902</v>
      </c>
      <c r="D34" s="919" t="s">
        <v>3912</v>
      </c>
      <c r="E34" s="920">
        <v>1850</v>
      </c>
      <c r="F34" s="919">
        <v>24991496</v>
      </c>
      <c r="G34" s="919" t="s">
        <v>3966</v>
      </c>
      <c r="H34" s="919" t="s">
        <v>3935</v>
      </c>
      <c r="I34" s="919" t="s">
        <v>3915</v>
      </c>
      <c r="J34" s="919"/>
      <c r="K34" s="920"/>
      <c r="L34" s="920">
        <v>12</v>
      </c>
      <c r="M34" s="920">
        <f t="shared" si="0"/>
        <v>22200</v>
      </c>
      <c r="N34" s="919"/>
      <c r="O34" s="919"/>
      <c r="P34" s="921">
        <f t="shared" si="1"/>
        <v>0</v>
      </c>
    </row>
    <row r="35" spans="1:16" ht="20.100000000000001" customHeight="1" x14ac:dyDescent="0.25">
      <c r="A35" s="918" t="s">
        <v>11902</v>
      </c>
      <c r="B35" s="944" t="s">
        <v>3901</v>
      </c>
      <c r="C35" s="919" t="s">
        <v>3902</v>
      </c>
      <c r="D35" s="919" t="s">
        <v>3959</v>
      </c>
      <c r="E35" s="920">
        <v>1250</v>
      </c>
      <c r="F35" s="919">
        <v>24381344</v>
      </c>
      <c r="G35" s="919" t="s">
        <v>3967</v>
      </c>
      <c r="H35" s="919" t="s">
        <v>3968</v>
      </c>
      <c r="I35" s="919"/>
      <c r="J35" s="919" t="s">
        <v>3693</v>
      </c>
      <c r="K35" s="920"/>
      <c r="L35" s="920">
        <v>12</v>
      </c>
      <c r="M35" s="920">
        <f t="shared" si="0"/>
        <v>15000</v>
      </c>
      <c r="N35" s="919"/>
      <c r="O35" s="919"/>
      <c r="P35" s="921">
        <f t="shared" si="1"/>
        <v>0</v>
      </c>
    </row>
    <row r="36" spans="1:16" ht="20.100000000000001" customHeight="1" x14ac:dyDescent="0.25">
      <c r="A36" s="918" t="s">
        <v>11902</v>
      </c>
      <c r="B36" s="944" t="s">
        <v>3901</v>
      </c>
      <c r="C36" s="919" t="s">
        <v>3902</v>
      </c>
      <c r="D36" s="919" t="s">
        <v>3912</v>
      </c>
      <c r="E36" s="920">
        <v>1850</v>
      </c>
      <c r="F36" s="919">
        <v>23991378</v>
      </c>
      <c r="G36" s="919" t="s">
        <v>3969</v>
      </c>
      <c r="H36" s="919" t="s">
        <v>3937</v>
      </c>
      <c r="I36" s="919" t="s">
        <v>3915</v>
      </c>
      <c r="J36" s="919"/>
      <c r="K36" s="920">
        <v>1</v>
      </c>
      <c r="L36" s="920">
        <v>7</v>
      </c>
      <c r="M36" s="920">
        <f t="shared" si="0"/>
        <v>12950</v>
      </c>
      <c r="N36" s="919"/>
      <c r="O36" s="919"/>
      <c r="P36" s="921">
        <f t="shared" si="1"/>
        <v>0</v>
      </c>
    </row>
    <row r="37" spans="1:16" ht="20.100000000000001" customHeight="1" x14ac:dyDescent="0.25">
      <c r="A37" s="918" t="s">
        <v>11902</v>
      </c>
      <c r="B37" s="944" t="s">
        <v>3929</v>
      </c>
      <c r="C37" s="919" t="s">
        <v>3902</v>
      </c>
      <c r="D37" s="919" t="s">
        <v>3919</v>
      </c>
      <c r="E37" s="920">
        <v>2300</v>
      </c>
      <c r="F37" s="922">
        <v>41053108</v>
      </c>
      <c r="G37" s="919" t="s">
        <v>3970</v>
      </c>
      <c r="H37" s="919" t="s">
        <v>3939</v>
      </c>
      <c r="I37" s="919" t="s">
        <v>3679</v>
      </c>
      <c r="J37" s="919"/>
      <c r="K37" s="920">
        <v>1</v>
      </c>
      <c r="L37" s="920">
        <v>7</v>
      </c>
      <c r="M37" s="920">
        <f t="shared" si="0"/>
        <v>16100</v>
      </c>
      <c r="N37" s="919"/>
      <c r="O37" s="919"/>
      <c r="P37" s="921">
        <f t="shared" si="1"/>
        <v>0</v>
      </c>
    </row>
    <row r="38" spans="1:16" ht="20.100000000000001" customHeight="1" x14ac:dyDescent="0.25">
      <c r="A38" s="918" t="s">
        <v>11902</v>
      </c>
      <c r="B38" s="944" t="s">
        <v>3901</v>
      </c>
      <c r="C38" s="919" t="s">
        <v>3902</v>
      </c>
      <c r="D38" s="919" t="s">
        <v>3903</v>
      </c>
      <c r="E38" s="920">
        <v>1150</v>
      </c>
      <c r="F38" s="919">
        <v>41486161</v>
      </c>
      <c r="G38" s="919" t="s">
        <v>3971</v>
      </c>
      <c r="H38" s="919"/>
      <c r="I38" s="919"/>
      <c r="J38" s="919" t="s">
        <v>3693</v>
      </c>
      <c r="K38" s="920"/>
      <c r="L38" s="920">
        <v>12</v>
      </c>
      <c r="M38" s="920">
        <f t="shared" si="0"/>
        <v>13800</v>
      </c>
      <c r="N38" s="919"/>
      <c r="O38" s="919"/>
      <c r="P38" s="921">
        <f t="shared" si="1"/>
        <v>0</v>
      </c>
    </row>
    <row r="39" spans="1:16" ht="20.100000000000001" customHeight="1" x14ac:dyDescent="0.25">
      <c r="A39" s="918" t="s">
        <v>11902</v>
      </c>
      <c r="B39" s="944" t="s">
        <v>3901</v>
      </c>
      <c r="C39" s="919" t="s">
        <v>3902</v>
      </c>
      <c r="D39" s="919" t="s">
        <v>3957</v>
      </c>
      <c r="E39" s="920">
        <v>4000</v>
      </c>
      <c r="F39" s="919">
        <v>40480846</v>
      </c>
      <c r="G39" s="919" t="s">
        <v>3972</v>
      </c>
      <c r="H39" s="919" t="s">
        <v>3937</v>
      </c>
      <c r="I39" s="919" t="s">
        <v>3679</v>
      </c>
      <c r="J39" s="919"/>
      <c r="K39" s="920">
        <v>1</v>
      </c>
      <c r="L39" s="920">
        <v>4</v>
      </c>
      <c r="M39" s="920">
        <f t="shared" si="0"/>
        <v>16000</v>
      </c>
      <c r="N39" s="919"/>
      <c r="O39" s="919"/>
      <c r="P39" s="921">
        <f t="shared" si="1"/>
        <v>0</v>
      </c>
    </row>
    <row r="40" spans="1:16" ht="20.100000000000001" customHeight="1" x14ac:dyDescent="0.25">
      <c r="A40" s="918" t="s">
        <v>11902</v>
      </c>
      <c r="B40" s="944" t="s">
        <v>3929</v>
      </c>
      <c r="C40" s="919" t="s">
        <v>3902</v>
      </c>
      <c r="D40" s="919" t="s">
        <v>3973</v>
      </c>
      <c r="E40" s="920">
        <v>5200</v>
      </c>
      <c r="F40" s="922">
        <v>23884429</v>
      </c>
      <c r="G40" s="919" t="s">
        <v>3974</v>
      </c>
      <c r="H40" s="919" t="s">
        <v>3921</v>
      </c>
      <c r="I40" s="919" t="s">
        <v>3703</v>
      </c>
      <c r="J40" s="919"/>
      <c r="K40" s="920"/>
      <c r="L40" s="920"/>
      <c r="M40" s="920">
        <f t="shared" si="0"/>
        <v>0</v>
      </c>
      <c r="N40" s="919">
        <v>1</v>
      </c>
      <c r="O40" s="919">
        <v>5</v>
      </c>
      <c r="P40" s="921">
        <f t="shared" si="1"/>
        <v>26000</v>
      </c>
    </row>
    <row r="41" spans="1:16" ht="20.100000000000001" customHeight="1" x14ac:dyDescent="0.25">
      <c r="A41" s="918" t="s">
        <v>11902</v>
      </c>
      <c r="B41" s="944" t="s">
        <v>3901</v>
      </c>
      <c r="C41" s="919" t="s">
        <v>3902</v>
      </c>
      <c r="D41" s="919" t="s">
        <v>3903</v>
      </c>
      <c r="E41" s="920">
        <v>1150</v>
      </c>
      <c r="F41" s="919">
        <v>23899167</v>
      </c>
      <c r="G41" s="919" t="s">
        <v>3975</v>
      </c>
      <c r="H41" s="919" t="s">
        <v>3976</v>
      </c>
      <c r="I41" s="919"/>
      <c r="J41" s="919" t="s">
        <v>3693</v>
      </c>
      <c r="K41" s="920"/>
      <c r="L41" s="920">
        <v>12</v>
      </c>
      <c r="M41" s="920">
        <f t="shared" si="0"/>
        <v>13800</v>
      </c>
      <c r="N41" s="919"/>
      <c r="O41" s="919"/>
      <c r="P41" s="921">
        <f t="shared" si="1"/>
        <v>0</v>
      </c>
    </row>
    <row r="42" spans="1:16" ht="20.100000000000001" customHeight="1" x14ac:dyDescent="0.25">
      <c r="A42" s="918" t="s">
        <v>11902</v>
      </c>
      <c r="B42" s="944" t="s">
        <v>3901</v>
      </c>
      <c r="C42" s="919" t="s">
        <v>3902</v>
      </c>
      <c r="D42" s="919" t="s">
        <v>3903</v>
      </c>
      <c r="E42" s="920">
        <v>1150</v>
      </c>
      <c r="F42" s="919">
        <v>23939757</v>
      </c>
      <c r="G42" s="919" t="s">
        <v>3977</v>
      </c>
      <c r="H42" s="919" t="s">
        <v>3978</v>
      </c>
      <c r="I42" s="919"/>
      <c r="J42" s="919" t="s">
        <v>3693</v>
      </c>
      <c r="K42" s="920"/>
      <c r="L42" s="920">
        <v>12</v>
      </c>
      <c r="M42" s="920">
        <f t="shared" si="0"/>
        <v>13800</v>
      </c>
      <c r="N42" s="919"/>
      <c r="O42" s="919"/>
      <c r="P42" s="921">
        <f t="shared" si="1"/>
        <v>0</v>
      </c>
    </row>
    <row r="43" spans="1:16" ht="20.100000000000001" customHeight="1" x14ac:dyDescent="0.25">
      <c r="A43" s="918" t="s">
        <v>11902</v>
      </c>
      <c r="B43" s="944" t="s">
        <v>3901</v>
      </c>
      <c r="C43" s="919" t="s">
        <v>3902</v>
      </c>
      <c r="D43" s="919" t="s">
        <v>3919</v>
      </c>
      <c r="E43" s="920">
        <v>4000</v>
      </c>
      <c r="F43" s="919">
        <v>41486148</v>
      </c>
      <c r="G43" s="919" t="s">
        <v>3979</v>
      </c>
      <c r="H43" s="919" t="s">
        <v>3937</v>
      </c>
      <c r="I43" s="919" t="s">
        <v>3679</v>
      </c>
      <c r="J43" s="919"/>
      <c r="K43" s="920"/>
      <c r="L43" s="920"/>
      <c r="M43" s="920">
        <f t="shared" si="0"/>
        <v>0</v>
      </c>
      <c r="N43" s="919">
        <v>1</v>
      </c>
      <c r="O43" s="919">
        <v>1</v>
      </c>
      <c r="P43" s="921">
        <f t="shared" si="1"/>
        <v>4000</v>
      </c>
    </row>
    <row r="44" spans="1:16" ht="20.100000000000001" customHeight="1" x14ac:dyDescent="0.25">
      <c r="A44" s="918" t="s">
        <v>11902</v>
      </c>
      <c r="B44" s="944" t="s">
        <v>3901</v>
      </c>
      <c r="C44" s="919" t="s">
        <v>3902</v>
      </c>
      <c r="D44" s="919" t="s">
        <v>3933</v>
      </c>
      <c r="E44" s="920">
        <v>1450</v>
      </c>
      <c r="F44" s="919">
        <v>23940613</v>
      </c>
      <c r="G44" s="919" t="s">
        <v>3980</v>
      </c>
      <c r="H44" s="919" t="s">
        <v>3935</v>
      </c>
      <c r="I44" s="919" t="s">
        <v>3915</v>
      </c>
      <c r="J44" s="919"/>
      <c r="K44" s="920"/>
      <c r="L44" s="920">
        <v>12</v>
      </c>
      <c r="M44" s="920">
        <f t="shared" si="0"/>
        <v>17400</v>
      </c>
      <c r="N44" s="919"/>
      <c r="O44" s="919"/>
      <c r="P44" s="921">
        <f t="shared" si="1"/>
        <v>0</v>
      </c>
    </row>
    <row r="45" spans="1:16" ht="20.100000000000001" customHeight="1" x14ac:dyDescent="0.25">
      <c r="A45" s="918" t="s">
        <v>11902</v>
      </c>
      <c r="B45" s="944" t="s">
        <v>3901</v>
      </c>
      <c r="C45" s="919" t="s">
        <v>3902</v>
      </c>
      <c r="D45" s="919" t="s">
        <v>3912</v>
      </c>
      <c r="E45" s="920">
        <v>1850</v>
      </c>
      <c r="F45" s="919">
        <v>25180159</v>
      </c>
      <c r="G45" s="919" t="s">
        <v>3981</v>
      </c>
      <c r="H45" s="919" t="s">
        <v>3955</v>
      </c>
      <c r="I45" s="919" t="s">
        <v>3915</v>
      </c>
      <c r="J45" s="919"/>
      <c r="K45" s="920"/>
      <c r="L45" s="920">
        <v>12</v>
      </c>
      <c r="M45" s="920">
        <f t="shared" si="0"/>
        <v>22200</v>
      </c>
      <c r="N45" s="919"/>
      <c r="O45" s="919"/>
      <c r="P45" s="921">
        <f t="shared" si="1"/>
        <v>0</v>
      </c>
    </row>
    <row r="46" spans="1:16" ht="20.100000000000001" customHeight="1" x14ac:dyDescent="0.25">
      <c r="A46" s="918" t="s">
        <v>11902</v>
      </c>
      <c r="B46" s="944" t="s">
        <v>3901</v>
      </c>
      <c r="C46" s="919" t="s">
        <v>3902</v>
      </c>
      <c r="D46" s="919" t="s">
        <v>3952</v>
      </c>
      <c r="E46" s="920">
        <v>2550</v>
      </c>
      <c r="F46" s="919">
        <v>40518959</v>
      </c>
      <c r="G46" s="919" t="s">
        <v>3982</v>
      </c>
      <c r="H46" s="919" t="s">
        <v>3942</v>
      </c>
      <c r="I46" s="919" t="s">
        <v>3679</v>
      </c>
      <c r="J46" s="919"/>
      <c r="K46" s="920"/>
      <c r="L46" s="920">
        <v>12</v>
      </c>
      <c r="M46" s="920">
        <f t="shared" si="0"/>
        <v>30600</v>
      </c>
      <c r="N46" s="919"/>
      <c r="O46" s="919"/>
      <c r="P46" s="921">
        <f t="shared" si="1"/>
        <v>0</v>
      </c>
    </row>
    <row r="47" spans="1:16" ht="20.100000000000001" customHeight="1" x14ac:dyDescent="0.25">
      <c r="A47" s="918" t="s">
        <v>11902</v>
      </c>
      <c r="B47" s="944" t="s">
        <v>3901</v>
      </c>
      <c r="C47" s="919" t="s">
        <v>3902</v>
      </c>
      <c r="D47" s="919" t="s">
        <v>3933</v>
      </c>
      <c r="E47" s="920">
        <v>1450</v>
      </c>
      <c r="F47" s="919">
        <v>23803241</v>
      </c>
      <c r="G47" s="919" t="s">
        <v>3983</v>
      </c>
      <c r="H47" s="919" t="s">
        <v>3984</v>
      </c>
      <c r="I47" s="919" t="s">
        <v>3915</v>
      </c>
      <c r="J47" s="919"/>
      <c r="K47" s="920">
        <v>1</v>
      </c>
      <c r="L47" s="920">
        <v>1</v>
      </c>
      <c r="M47" s="920">
        <f t="shared" si="0"/>
        <v>1450</v>
      </c>
      <c r="N47" s="919"/>
      <c r="O47" s="919"/>
      <c r="P47" s="921">
        <f t="shared" si="1"/>
        <v>0</v>
      </c>
    </row>
    <row r="48" spans="1:16" ht="20.100000000000001" customHeight="1" x14ac:dyDescent="0.25">
      <c r="A48" s="918" t="s">
        <v>11902</v>
      </c>
      <c r="B48" s="944" t="s">
        <v>3901</v>
      </c>
      <c r="C48" s="919" t="s">
        <v>3902</v>
      </c>
      <c r="D48" s="919" t="s">
        <v>3943</v>
      </c>
      <c r="E48" s="920">
        <v>2000</v>
      </c>
      <c r="F48" s="919">
        <v>40591696</v>
      </c>
      <c r="G48" s="919" t="s">
        <v>3985</v>
      </c>
      <c r="H48" s="919" t="s">
        <v>3914</v>
      </c>
      <c r="I48" s="919" t="s">
        <v>3915</v>
      </c>
      <c r="J48" s="919"/>
      <c r="K48" s="920"/>
      <c r="L48" s="920"/>
      <c r="M48" s="920">
        <f t="shared" si="0"/>
        <v>0</v>
      </c>
      <c r="N48" s="919">
        <v>1</v>
      </c>
      <c r="O48" s="919">
        <v>1</v>
      </c>
      <c r="P48" s="921">
        <f t="shared" si="1"/>
        <v>2000</v>
      </c>
    </row>
    <row r="49" spans="1:16" ht="20.100000000000001" customHeight="1" x14ac:dyDescent="0.25">
      <c r="A49" s="918" t="s">
        <v>11902</v>
      </c>
      <c r="B49" s="944" t="s">
        <v>3901</v>
      </c>
      <c r="C49" s="919" t="s">
        <v>3902</v>
      </c>
      <c r="D49" s="919" t="s">
        <v>3959</v>
      </c>
      <c r="E49" s="920">
        <v>1250</v>
      </c>
      <c r="F49" s="919">
        <v>42306696</v>
      </c>
      <c r="G49" s="919" t="s">
        <v>3986</v>
      </c>
      <c r="H49" s="919" t="s">
        <v>3987</v>
      </c>
      <c r="I49" s="919"/>
      <c r="J49" s="919" t="s">
        <v>3693</v>
      </c>
      <c r="K49" s="920">
        <v>1</v>
      </c>
      <c r="L49" s="920">
        <v>4</v>
      </c>
      <c r="M49" s="920">
        <f t="shared" si="0"/>
        <v>5000</v>
      </c>
      <c r="N49" s="919"/>
      <c r="O49" s="919"/>
      <c r="P49" s="921">
        <f t="shared" si="1"/>
        <v>0</v>
      </c>
    </row>
    <row r="50" spans="1:16" ht="20.100000000000001" customHeight="1" x14ac:dyDescent="0.25">
      <c r="A50" s="918" t="s">
        <v>11902</v>
      </c>
      <c r="B50" s="944" t="s">
        <v>3901</v>
      </c>
      <c r="C50" s="919" t="s">
        <v>3902</v>
      </c>
      <c r="D50" s="919" t="s">
        <v>3952</v>
      </c>
      <c r="E50" s="920">
        <v>2550</v>
      </c>
      <c r="F50" s="919">
        <v>10581494</v>
      </c>
      <c r="G50" s="919" t="s">
        <v>3988</v>
      </c>
      <c r="H50" s="919" t="s">
        <v>3955</v>
      </c>
      <c r="I50" s="919" t="s">
        <v>3679</v>
      </c>
      <c r="J50" s="919"/>
      <c r="K50" s="920">
        <v>1</v>
      </c>
      <c r="L50" s="920">
        <v>7</v>
      </c>
      <c r="M50" s="920">
        <f t="shared" si="0"/>
        <v>17850</v>
      </c>
      <c r="N50" s="919"/>
      <c r="O50" s="919"/>
      <c r="P50" s="921">
        <f t="shared" si="1"/>
        <v>0</v>
      </c>
    </row>
    <row r="51" spans="1:16" ht="20.100000000000001" customHeight="1" x14ac:dyDescent="0.25">
      <c r="A51" s="918" t="s">
        <v>11902</v>
      </c>
      <c r="B51" s="944" t="s">
        <v>3901</v>
      </c>
      <c r="C51" s="919" t="s">
        <v>3902</v>
      </c>
      <c r="D51" s="919" t="s">
        <v>3952</v>
      </c>
      <c r="E51" s="920">
        <v>2550</v>
      </c>
      <c r="F51" s="919">
        <v>41962247</v>
      </c>
      <c r="G51" s="919" t="s">
        <v>3989</v>
      </c>
      <c r="H51" s="919" t="s">
        <v>3937</v>
      </c>
      <c r="I51" s="919" t="s">
        <v>3679</v>
      </c>
      <c r="J51" s="919"/>
      <c r="K51" s="920">
        <v>1</v>
      </c>
      <c r="L51" s="920">
        <v>4</v>
      </c>
      <c r="M51" s="920">
        <f t="shared" si="0"/>
        <v>10200</v>
      </c>
      <c r="N51" s="919"/>
      <c r="O51" s="919"/>
      <c r="P51" s="921">
        <f t="shared" si="1"/>
        <v>0</v>
      </c>
    </row>
    <row r="52" spans="1:16" ht="20.100000000000001" customHeight="1" x14ac:dyDescent="0.25">
      <c r="A52" s="918" t="s">
        <v>11902</v>
      </c>
      <c r="B52" s="944" t="s">
        <v>3901</v>
      </c>
      <c r="C52" s="919" t="s">
        <v>3902</v>
      </c>
      <c r="D52" s="919" t="s">
        <v>3933</v>
      </c>
      <c r="E52" s="920">
        <v>1450</v>
      </c>
      <c r="F52" s="919">
        <v>23899332</v>
      </c>
      <c r="G52" s="919" t="s">
        <v>3990</v>
      </c>
      <c r="H52" s="919" t="s">
        <v>3991</v>
      </c>
      <c r="I52" s="919"/>
      <c r="J52" s="919"/>
      <c r="K52" s="920"/>
      <c r="L52" s="920">
        <v>12</v>
      </c>
      <c r="M52" s="920">
        <f t="shared" si="0"/>
        <v>17400</v>
      </c>
      <c r="N52" s="919"/>
      <c r="O52" s="919"/>
      <c r="P52" s="921">
        <f t="shared" si="1"/>
        <v>0</v>
      </c>
    </row>
    <row r="53" spans="1:16" ht="20.100000000000001" customHeight="1" x14ac:dyDescent="0.25">
      <c r="A53" s="918" t="s">
        <v>11902</v>
      </c>
      <c r="B53" s="944" t="s">
        <v>3901</v>
      </c>
      <c r="C53" s="919" t="s">
        <v>3902</v>
      </c>
      <c r="D53" s="919" t="s">
        <v>3952</v>
      </c>
      <c r="E53" s="920">
        <v>2550</v>
      </c>
      <c r="F53" s="919">
        <v>40613713</v>
      </c>
      <c r="G53" s="919" t="s">
        <v>3992</v>
      </c>
      <c r="H53" s="919" t="s">
        <v>3947</v>
      </c>
      <c r="I53" s="919" t="s">
        <v>3679</v>
      </c>
      <c r="J53" s="919"/>
      <c r="K53" s="920">
        <v>1</v>
      </c>
      <c r="L53" s="920">
        <v>7</v>
      </c>
      <c r="M53" s="920">
        <f t="shared" si="0"/>
        <v>17850</v>
      </c>
      <c r="N53" s="919"/>
      <c r="O53" s="919"/>
      <c r="P53" s="921">
        <f t="shared" si="1"/>
        <v>0</v>
      </c>
    </row>
    <row r="54" spans="1:16" ht="20.100000000000001" customHeight="1" x14ac:dyDescent="0.25">
      <c r="A54" s="918" t="s">
        <v>11902</v>
      </c>
      <c r="B54" s="944" t="s">
        <v>3901</v>
      </c>
      <c r="C54" s="919" t="s">
        <v>3902</v>
      </c>
      <c r="D54" s="919" t="s">
        <v>3993</v>
      </c>
      <c r="E54" s="920">
        <v>11500</v>
      </c>
      <c r="F54" s="919">
        <v>23952169</v>
      </c>
      <c r="G54" s="919" t="s">
        <v>3994</v>
      </c>
      <c r="H54" s="919" t="s">
        <v>3995</v>
      </c>
      <c r="I54" s="919" t="s">
        <v>3909</v>
      </c>
      <c r="J54" s="919"/>
      <c r="K54" s="920"/>
      <c r="L54" s="920"/>
      <c r="M54" s="920">
        <f t="shared" si="0"/>
        <v>0</v>
      </c>
      <c r="N54" s="919">
        <v>1</v>
      </c>
      <c r="O54" s="919">
        <v>1</v>
      </c>
      <c r="P54" s="921">
        <f t="shared" si="1"/>
        <v>11500</v>
      </c>
    </row>
    <row r="55" spans="1:16" ht="20.100000000000001" customHeight="1" x14ac:dyDescent="0.25">
      <c r="A55" s="918" t="s">
        <v>11902</v>
      </c>
      <c r="B55" s="944" t="s">
        <v>3901</v>
      </c>
      <c r="C55" s="919" t="s">
        <v>3902</v>
      </c>
      <c r="D55" s="919" t="s">
        <v>3940</v>
      </c>
      <c r="E55" s="920">
        <v>3000</v>
      </c>
      <c r="F55" s="919">
        <v>43416096</v>
      </c>
      <c r="G55" s="919" t="s">
        <v>3996</v>
      </c>
      <c r="H55" s="919" t="s">
        <v>3997</v>
      </c>
      <c r="I55" s="919" t="s">
        <v>3679</v>
      </c>
      <c r="J55" s="919"/>
      <c r="K55" s="920">
        <v>1</v>
      </c>
      <c r="L55" s="920">
        <v>4</v>
      </c>
      <c r="M55" s="920">
        <f t="shared" si="0"/>
        <v>12000</v>
      </c>
      <c r="N55" s="919"/>
      <c r="O55" s="919"/>
      <c r="P55" s="921">
        <f t="shared" si="1"/>
        <v>0</v>
      </c>
    </row>
    <row r="56" spans="1:16" ht="20.100000000000001" customHeight="1" x14ac:dyDescent="0.25">
      <c r="A56" s="918" t="s">
        <v>11902</v>
      </c>
      <c r="B56" s="944" t="s">
        <v>3901</v>
      </c>
      <c r="C56" s="919" t="s">
        <v>3902</v>
      </c>
      <c r="D56" s="919" t="s">
        <v>3912</v>
      </c>
      <c r="E56" s="920">
        <v>1850</v>
      </c>
      <c r="F56" s="919">
        <v>45362726</v>
      </c>
      <c r="G56" s="919" t="s">
        <v>3998</v>
      </c>
      <c r="H56" s="919" t="s">
        <v>3999</v>
      </c>
      <c r="I56" s="919" t="s">
        <v>3915</v>
      </c>
      <c r="J56" s="919"/>
      <c r="K56" s="920">
        <v>1</v>
      </c>
      <c r="L56" s="920">
        <v>4</v>
      </c>
      <c r="M56" s="920">
        <f t="shared" si="0"/>
        <v>7400</v>
      </c>
      <c r="N56" s="919"/>
      <c r="O56" s="919"/>
      <c r="P56" s="921">
        <f t="shared" si="1"/>
        <v>0</v>
      </c>
    </row>
    <row r="57" spans="1:16" ht="20.100000000000001" customHeight="1" x14ac:dyDescent="0.25">
      <c r="A57" s="918" t="s">
        <v>11902</v>
      </c>
      <c r="B57" s="944" t="s">
        <v>3901</v>
      </c>
      <c r="C57" s="919" t="s">
        <v>3902</v>
      </c>
      <c r="D57" s="919" t="s">
        <v>3933</v>
      </c>
      <c r="E57" s="920">
        <v>1450</v>
      </c>
      <c r="F57" s="919">
        <v>23957375</v>
      </c>
      <c r="G57" s="919" t="s">
        <v>4000</v>
      </c>
      <c r="H57" s="919" t="s">
        <v>3991</v>
      </c>
      <c r="I57" s="919"/>
      <c r="J57" s="919"/>
      <c r="K57" s="920"/>
      <c r="L57" s="920">
        <v>12</v>
      </c>
      <c r="M57" s="920">
        <f t="shared" si="0"/>
        <v>17400</v>
      </c>
      <c r="N57" s="919"/>
      <c r="O57" s="919"/>
      <c r="P57" s="921">
        <f t="shared" si="1"/>
        <v>0</v>
      </c>
    </row>
    <row r="58" spans="1:16" ht="20.100000000000001" customHeight="1" x14ac:dyDescent="0.25">
      <c r="A58" s="918" t="s">
        <v>11902</v>
      </c>
      <c r="B58" s="944" t="s">
        <v>3901</v>
      </c>
      <c r="C58" s="919" t="s">
        <v>3902</v>
      </c>
      <c r="D58" s="919" t="s">
        <v>3912</v>
      </c>
      <c r="E58" s="920">
        <v>1850</v>
      </c>
      <c r="F58" s="919">
        <v>45113043</v>
      </c>
      <c r="G58" s="919" t="s">
        <v>4001</v>
      </c>
      <c r="H58" s="919" t="s">
        <v>3955</v>
      </c>
      <c r="I58" s="919" t="s">
        <v>3915</v>
      </c>
      <c r="J58" s="919"/>
      <c r="K58" s="920">
        <v>1</v>
      </c>
      <c r="L58" s="920">
        <v>7</v>
      </c>
      <c r="M58" s="920">
        <f t="shared" si="0"/>
        <v>12950</v>
      </c>
      <c r="N58" s="919"/>
      <c r="O58" s="919"/>
      <c r="P58" s="921">
        <f t="shared" si="1"/>
        <v>0</v>
      </c>
    </row>
    <row r="59" spans="1:16" ht="20.100000000000001" customHeight="1" x14ac:dyDescent="0.25">
      <c r="A59" s="918" t="s">
        <v>11902</v>
      </c>
      <c r="B59" s="944" t="s">
        <v>3901</v>
      </c>
      <c r="C59" s="919" t="s">
        <v>3902</v>
      </c>
      <c r="D59" s="919" t="s">
        <v>3957</v>
      </c>
      <c r="E59" s="920">
        <v>4000</v>
      </c>
      <c r="F59" s="919">
        <v>40862541</v>
      </c>
      <c r="G59" s="919" t="s">
        <v>4002</v>
      </c>
      <c r="H59" s="919" t="s">
        <v>3955</v>
      </c>
      <c r="I59" s="919" t="s">
        <v>3679</v>
      </c>
      <c r="J59" s="919"/>
      <c r="K59" s="920">
        <v>1</v>
      </c>
      <c r="L59" s="920">
        <v>4</v>
      </c>
      <c r="M59" s="920">
        <f t="shared" si="0"/>
        <v>16000</v>
      </c>
      <c r="N59" s="919"/>
      <c r="O59" s="919"/>
      <c r="P59" s="921">
        <f t="shared" si="1"/>
        <v>0</v>
      </c>
    </row>
    <row r="60" spans="1:16" ht="20.100000000000001" customHeight="1" x14ac:dyDescent="0.25">
      <c r="A60" s="918" t="s">
        <v>11902</v>
      </c>
      <c r="B60" s="944" t="s">
        <v>3901</v>
      </c>
      <c r="C60" s="919" t="s">
        <v>3902</v>
      </c>
      <c r="D60" s="919" t="s">
        <v>3912</v>
      </c>
      <c r="E60" s="920">
        <v>1850</v>
      </c>
      <c r="F60" s="919">
        <v>60019626</v>
      </c>
      <c r="G60" s="919" t="s">
        <v>4003</v>
      </c>
      <c r="H60" s="919" t="s">
        <v>4004</v>
      </c>
      <c r="I60" s="919" t="s">
        <v>3915</v>
      </c>
      <c r="J60" s="919"/>
      <c r="K60" s="920">
        <v>1</v>
      </c>
      <c r="L60" s="920">
        <v>7</v>
      </c>
      <c r="M60" s="920">
        <f t="shared" si="0"/>
        <v>12950</v>
      </c>
      <c r="N60" s="919"/>
      <c r="O60" s="919"/>
      <c r="P60" s="921">
        <f t="shared" si="1"/>
        <v>0</v>
      </c>
    </row>
    <row r="61" spans="1:16" ht="20.100000000000001" customHeight="1" x14ac:dyDescent="0.25">
      <c r="A61" s="918" t="s">
        <v>11902</v>
      </c>
      <c r="B61" s="944" t="s">
        <v>3901</v>
      </c>
      <c r="C61" s="919" t="s">
        <v>3902</v>
      </c>
      <c r="D61" s="919" t="s">
        <v>3940</v>
      </c>
      <c r="E61" s="920">
        <v>2550</v>
      </c>
      <c r="F61" s="919">
        <v>44659354</v>
      </c>
      <c r="G61" s="919" t="s">
        <v>4005</v>
      </c>
      <c r="H61" s="919" t="s">
        <v>3918</v>
      </c>
      <c r="I61" s="919" t="s">
        <v>3679</v>
      </c>
      <c r="J61" s="919"/>
      <c r="K61" s="920"/>
      <c r="L61" s="920"/>
      <c r="M61" s="920">
        <f t="shared" si="0"/>
        <v>0</v>
      </c>
      <c r="N61" s="919">
        <v>1</v>
      </c>
      <c r="O61" s="919">
        <v>1</v>
      </c>
      <c r="P61" s="921">
        <f t="shared" si="1"/>
        <v>2550</v>
      </c>
    </row>
    <row r="62" spans="1:16" ht="20.100000000000001" customHeight="1" x14ac:dyDescent="0.25">
      <c r="A62" s="924" t="s">
        <v>466</v>
      </c>
      <c r="B62" s="945" t="s">
        <v>3901</v>
      </c>
      <c r="C62" s="923" t="s">
        <v>3902</v>
      </c>
      <c r="D62" s="923" t="s">
        <v>4006</v>
      </c>
      <c r="E62" s="925">
        <v>1700</v>
      </c>
      <c r="F62" s="923" t="s">
        <v>4007</v>
      </c>
      <c r="G62" s="923" t="s">
        <v>4008</v>
      </c>
      <c r="H62" s="923" t="s">
        <v>4006</v>
      </c>
      <c r="I62" s="923" t="s">
        <v>3686</v>
      </c>
      <c r="J62" s="923"/>
      <c r="K62" s="925">
        <v>1</v>
      </c>
      <c r="L62" s="925">
        <v>12</v>
      </c>
      <c r="M62" s="925">
        <f t="shared" si="0"/>
        <v>20400</v>
      </c>
      <c r="N62" s="923"/>
      <c r="O62" s="923"/>
      <c r="P62" s="926">
        <f t="shared" si="1"/>
        <v>0</v>
      </c>
    </row>
    <row r="63" spans="1:16" ht="20.100000000000001" customHeight="1" x14ac:dyDescent="0.25">
      <c r="A63" s="924" t="s">
        <v>466</v>
      </c>
      <c r="B63" s="944" t="s">
        <v>3901</v>
      </c>
      <c r="C63" s="919" t="s">
        <v>3902</v>
      </c>
      <c r="D63" s="919" t="s">
        <v>4009</v>
      </c>
      <c r="E63" s="920">
        <v>1000</v>
      </c>
      <c r="F63" s="919" t="s">
        <v>4010</v>
      </c>
      <c r="G63" s="919" t="s">
        <v>4011</v>
      </c>
      <c r="H63" s="919" t="s">
        <v>4009</v>
      </c>
      <c r="I63" s="919" t="s">
        <v>3679</v>
      </c>
      <c r="J63" s="919"/>
      <c r="K63" s="920">
        <v>1</v>
      </c>
      <c r="L63" s="920">
        <v>12</v>
      </c>
      <c r="M63" s="920">
        <f t="shared" si="0"/>
        <v>12000</v>
      </c>
      <c r="N63" s="919"/>
      <c r="O63" s="919"/>
      <c r="P63" s="921">
        <f t="shared" si="1"/>
        <v>0</v>
      </c>
    </row>
    <row r="64" spans="1:16" ht="20.100000000000001" customHeight="1" x14ac:dyDescent="0.25">
      <c r="A64" s="924" t="s">
        <v>466</v>
      </c>
      <c r="B64" s="944" t="s">
        <v>3901</v>
      </c>
      <c r="C64" s="919" t="s">
        <v>3902</v>
      </c>
      <c r="D64" s="919" t="s">
        <v>4009</v>
      </c>
      <c r="E64" s="920">
        <v>1500</v>
      </c>
      <c r="F64" s="919" t="s">
        <v>4012</v>
      </c>
      <c r="G64" s="919" t="s">
        <v>4013</v>
      </c>
      <c r="H64" s="919" t="s">
        <v>4009</v>
      </c>
      <c r="I64" s="919" t="s">
        <v>3679</v>
      </c>
      <c r="J64" s="919"/>
      <c r="K64" s="920">
        <v>1</v>
      </c>
      <c r="L64" s="920">
        <v>12</v>
      </c>
      <c r="M64" s="920">
        <f t="shared" si="0"/>
        <v>18000</v>
      </c>
      <c r="N64" s="919"/>
      <c r="O64" s="919"/>
      <c r="P64" s="921">
        <f t="shared" si="1"/>
        <v>0</v>
      </c>
    </row>
    <row r="65" spans="1:16" ht="20.100000000000001" customHeight="1" x14ac:dyDescent="0.25">
      <c r="A65" s="924" t="s">
        <v>466</v>
      </c>
      <c r="B65" s="944" t="s">
        <v>3901</v>
      </c>
      <c r="C65" s="919" t="s">
        <v>3902</v>
      </c>
      <c r="D65" s="919" t="s">
        <v>4014</v>
      </c>
      <c r="E65" s="920">
        <v>1000</v>
      </c>
      <c r="F65" s="919" t="s">
        <v>4015</v>
      </c>
      <c r="G65" s="919" t="s">
        <v>4016</v>
      </c>
      <c r="H65" s="919" t="s">
        <v>4014</v>
      </c>
      <c r="I65" s="919" t="s">
        <v>3693</v>
      </c>
      <c r="J65" s="919"/>
      <c r="K65" s="920">
        <v>1</v>
      </c>
      <c r="L65" s="920">
        <v>12</v>
      </c>
      <c r="M65" s="920">
        <f t="shared" si="0"/>
        <v>12000</v>
      </c>
      <c r="N65" s="919"/>
      <c r="O65" s="919"/>
      <c r="P65" s="921">
        <f t="shared" si="1"/>
        <v>0</v>
      </c>
    </row>
    <row r="66" spans="1:16" ht="20.100000000000001" customHeight="1" x14ac:dyDescent="0.25">
      <c r="A66" s="924" t="s">
        <v>466</v>
      </c>
      <c r="B66" s="944" t="s">
        <v>3901</v>
      </c>
      <c r="C66" s="919" t="s">
        <v>3902</v>
      </c>
      <c r="D66" s="919" t="s">
        <v>4017</v>
      </c>
      <c r="E66" s="920">
        <v>1800</v>
      </c>
      <c r="F66" s="919" t="s">
        <v>4018</v>
      </c>
      <c r="G66" s="919" t="s">
        <v>4019</v>
      </c>
      <c r="H66" s="919" t="s">
        <v>4017</v>
      </c>
      <c r="I66" s="919" t="s">
        <v>3686</v>
      </c>
      <c r="J66" s="919"/>
      <c r="K66" s="920">
        <v>1</v>
      </c>
      <c r="L66" s="920">
        <v>12</v>
      </c>
      <c r="M66" s="920">
        <f t="shared" si="0"/>
        <v>21600</v>
      </c>
      <c r="N66" s="919"/>
      <c r="O66" s="919"/>
      <c r="P66" s="921">
        <f t="shared" si="1"/>
        <v>0</v>
      </c>
    </row>
    <row r="67" spans="1:16" ht="20.100000000000001" customHeight="1" x14ac:dyDescent="0.25">
      <c r="A67" s="924" t="s">
        <v>466</v>
      </c>
      <c r="B67" s="944" t="s">
        <v>3901</v>
      </c>
      <c r="C67" s="919" t="s">
        <v>3902</v>
      </c>
      <c r="D67" s="919" t="s">
        <v>4020</v>
      </c>
      <c r="E67" s="920">
        <v>1700</v>
      </c>
      <c r="F67" s="919" t="s">
        <v>4021</v>
      </c>
      <c r="G67" s="919" t="s">
        <v>4022</v>
      </c>
      <c r="H67" s="919" t="s">
        <v>4020</v>
      </c>
      <c r="I67" s="919" t="s">
        <v>3679</v>
      </c>
      <c r="J67" s="919"/>
      <c r="K67" s="920">
        <v>1</v>
      </c>
      <c r="L67" s="920">
        <v>12</v>
      </c>
      <c r="M67" s="920">
        <f t="shared" si="0"/>
        <v>20400</v>
      </c>
      <c r="N67" s="919"/>
      <c r="O67" s="919"/>
      <c r="P67" s="921">
        <f t="shared" si="1"/>
        <v>0</v>
      </c>
    </row>
    <row r="68" spans="1:16" ht="20.100000000000001" customHeight="1" x14ac:dyDescent="0.25">
      <c r="A68" s="924" t="s">
        <v>466</v>
      </c>
      <c r="B68" s="944" t="s">
        <v>3929</v>
      </c>
      <c r="C68" s="919" t="s">
        <v>3902</v>
      </c>
      <c r="D68" s="919" t="s">
        <v>4009</v>
      </c>
      <c r="E68" s="920">
        <v>850</v>
      </c>
      <c r="F68" s="922" t="s">
        <v>4023</v>
      </c>
      <c r="G68" s="919" t="s">
        <v>4024</v>
      </c>
      <c r="H68" s="919" t="s">
        <v>4009</v>
      </c>
      <c r="I68" s="919" t="s">
        <v>3679</v>
      </c>
      <c r="J68" s="919"/>
      <c r="K68" s="920">
        <v>1</v>
      </c>
      <c r="L68" s="920">
        <v>12</v>
      </c>
      <c r="M68" s="920">
        <f t="shared" si="0"/>
        <v>10200</v>
      </c>
      <c r="N68" s="919"/>
      <c r="O68" s="919"/>
      <c r="P68" s="921">
        <f t="shared" si="1"/>
        <v>0</v>
      </c>
    </row>
    <row r="69" spans="1:16" ht="20.100000000000001" customHeight="1" x14ac:dyDescent="0.25">
      <c r="A69" s="924" t="s">
        <v>466</v>
      </c>
      <c r="B69" s="944" t="s">
        <v>3929</v>
      </c>
      <c r="C69" s="919" t="s">
        <v>3902</v>
      </c>
      <c r="D69" s="919" t="s">
        <v>4006</v>
      </c>
      <c r="E69" s="920">
        <v>1500</v>
      </c>
      <c r="F69" s="922" t="s">
        <v>4025</v>
      </c>
      <c r="G69" s="919" t="s">
        <v>4026</v>
      </c>
      <c r="H69" s="919" t="s">
        <v>4006</v>
      </c>
      <c r="I69" s="919" t="s">
        <v>3686</v>
      </c>
      <c r="J69" s="919"/>
      <c r="K69" s="920">
        <v>1</v>
      </c>
      <c r="L69" s="920">
        <v>12</v>
      </c>
      <c r="M69" s="920">
        <f t="shared" si="0"/>
        <v>18000</v>
      </c>
      <c r="N69" s="919"/>
      <c r="O69" s="919"/>
      <c r="P69" s="921">
        <f t="shared" si="1"/>
        <v>0</v>
      </c>
    </row>
    <row r="70" spans="1:16" ht="20.100000000000001" customHeight="1" x14ac:dyDescent="0.25">
      <c r="A70" s="924" t="s">
        <v>466</v>
      </c>
      <c r="B70" s="944" t="s">
        <v>3901</v>
      </c>
      <c r="C70" s="919" t="s">
        <v>3902</v>
      </c>
      <c r="D70" s="919" t="s">
        <v>4017</v>
      </c>
      <c r="E70" s="920">
        <v>1500</v>
      </c>
      <c r="F70" s="919" t="s">
        <v>4027</v>
      </c>
      <c r="G70" s="919" t="s">
        <v>4028</v>
      </c>
      <c r="H70" s="919" t="s">
        <v>4017</v>
      </c>
      <c r="I70" s="919" t="s">
        <v>3686</v>
      </c>
      <c r="J70" s="919"/>
      <c r="K70" s="920">
        <v>1</v>
      </c>
      <c r="L70" s="920">
        <v>12</v>
      </c>
      <c r="M70" s="920">
        <f t="shared" ref="M70:M133" si="2">E70*L70</f>
        <v>18000</v>
      </c>
      <c r="N70" s="919"/>
      <c r="O70" s="919"/>
      <c r="P70" s="921">
        <f t="shared" ref="P70:P133" si="3">E70*O70</f>
        <v>0</v>
      </c>
    </row>
    <row r="71" spans="1:16" ht="20.100000000000001" customHeight="1" x14ac:dyDescent="0.25">
      <c r="A71" s="924" t="s">
        <v>466</v>
      </c>
      <c r="B71" s="944" t="s">
        <v>3929</v>
      </c>
      <c r="C71" s="919" t="s">
        <v>3902</v>
      </c>
      <c r="D71" s="919" t="s">
        <v>4006</v>
      </c>
      <c r="E71" s="920">
        <v>850</v>
      </c>
      <c r="F71" s="922" t="s">
        <v>4029</v>
      </c>
      <c r="G71" s="919" t="s">
        <v>4030</v>
      </c>
      <c r="H71" s="919" t="s">
        <v>4006</v>
      </c>
      <c r="I71" s="919" t="s">
        <v>3686</v>
      </c>
      <c r="J71" s="919"/>
      <c r="K71" s="920">
        <v>1</v>
      </c>
      <c r="L71" s="920">
        <v>12</v>
      </c>
      <c r="M71" s="920">
        <f t="shared" si="2"/>
        <v>10200</v>
      </c>
      <c r="N71" s="919"/>
      <c r="O71" s="919"/>
      <c r="P71" s="921">
        <f t="shared" si="3"/>
        <v>0</v>
      </c>
    </row>
    <row r="72" spans="1:16" ht="20.100000000000001" customHeight="1" x14ac:dyDescent="0.25">
      <c r="A72" s="924" t="s">
        <v>466</v>
      </c>
      <c r="B72" s="944" t="s">
        <v>3901</v>
      </c>
      <c r="C72" s="919" t="s">
        <v>3902</v>
      </c>
      <c r="D72" s="919" t="s">
        <v>4017</v>
      </c>
      <c r="E72" s="920">
        <v>1700</v>
      </c>
      <c r="F72" s="919" t="s">
        <v>4031</v>
      </c>
      <c r="G72" s="919" t="s">
        <v>4032</v>
      </c>
      <c r="H72" s="919" t="s">
        <v>4017</v>
      </c>
      <c r="I72" s="919" t="s">
        <v>3686</v>
      </c>
      <c r="J72" s="919"/>
      <c r="K72" s="920">
        <v>1</v>
      </c>
      <c r="L72" s="920">
        <v>12</v>
      </c>
      <c r="M72" s="920">
        <f t="shared" si="2"/>
        <v>20400</v>
      </c>
      <c r="N72" s="919"/>
      <c r="O72" s="919"/>
      <c r="P72" s="921">
        <f t="shared" si="3"/>
        <v>0</v>
      </c>
    </row>
    <row r="73" spans="1:16" ht="20.100000000000001" customHeight="1" x14ac:dyDescent="0.25">
      <c r="A73" s="924" t="s">
        <v>466</v>
      </c>
      <c r="B73" s="944" t="s">
        <v>3929</v>
      </c>
      <c r="C73" s="919" t="s">
        <v>3902</v>
      </c>
      <c r="D73" s="919" t="s">
        <v>4006</v>
      </c>
      <c r="E73" s="920">
        <v>850</v>
      </c>
      <c r="F73" s="922" t="s">
        <v>4033</v>
      </c>
      <c r="G73" s="919" t="s">
        <v>4034</v>
      </c>
      <c r="H73" s="919" t="s">
        <v>4006</v>
      </c>
      <c r="I73" s="919" t="s">
        <v>3686</v>
      </c>
      <c r="J73" s="919"/>
      <c r="K73" s="920">
        <v>1</v>
      </c>
      <c r="L73" s="920">
        <v>12</v>
      </c>
      <c r="M73" s="920">
        <f t="shared" si="2"/>
        <v>10200</v>
      </c>
      <c r="N73" s="919"/>
      <c r="O73" s="919"/>
      <c r="P73" s="921">
        <f t="shared" si="3"/>
        <v>0</v>
      </c>
    </row>
    <row r="74" spans="1:16" ht="20.100000000000001" customHeight="1" x14ac:dyDescent="0.25">
      <c r="A74" s="924" t="s">
        <v>466</v>
      </c>
      <c r="B74" s="944" t="s">
        <v>3901</v>
      </c>
      <c r="C74" s="919" t="s">
        <v>3902</v>
      </c>
      <c r="D74" s="919" t="s">
        <v>4035</v>
      </c>
      <c r="E74" s="920">
        <v>1500</v>
      </c>
      <c r="F74" s="919" t="s">
        <v>4036</v>
      </c>
      <c r="G74" s="919" t="s">
        <v>4037</v>
      </c>
      <c r="H74" s="919" t="s">
        <v>4035</v>
      </c>
      <c r="I74" s="919" t="s">
        <v>3679</v>
      </c>
      <c r="J74" s="919"/>
      <c r="K74" s="920">
        <v>1</v>
      </c>
      <c r="L74" s="920">
        <v>12</v>
      </c>
      <c r="M74" s="920">
        <f t="shared" si="2"/>
        <v>18000</v>
      </c>
      <c r="N74" s="919"/>
      <c r="O74" s="919"/>
      <c r="P74" s="921">
        <f t="shared" si="3"/>
        <v>0</v>
      </c>
    </row>
    <row r="75" spans="1:16" ht="20.100000000000001" customHeight="1" x14ac:dyDescent="0.25">
      <c r="A75" s="924" t="s">
        <v>466</v>
      </c>
      <c r="B75" s="944" t="s">
        <v>3901</v>
      </c>
      <c r="C75" s="919" t="s">
        <v>3902</v>
      </c>
      <c r="D75" s="919" t="s">
        <v>4038</v>
      </c>
      <c r="E75" s="920">
        <v>1700</v>
      </c>
      <c r="F75" s="919" t="s">
        <v>4039</v>
      </c>
      <c r="G75" s="919" t="s">
        <v>4040</v>
      </c>
      <c r="H75" s="919" t="s">
        <v>4038</v>
      </c>
      <c r="I75" s="919" t="s">
        <v>3686</v>
      </c>
      <c r="J75" s="919"/>
      <c r="K75" s="920">
        <v>1</v>
      </c>
      <c r="L75" s="920">
        <v>12</v>
      </c>
      <c r="M75" s="920">
        <f t="shared" si="2"/>
        <v>20400</v>
      </c>
      <c r="N75" s="919"/>
      <c r="O75" s="919"/>
      <c r="P75" s="921">
        <f t="shared" si="3"/>
        <v>0</v>
      </c>
    </row>
    <row r="76" spans="1:16" ht="20.100000000000001" customHeight="1" x14ac:dyDescent="0.25">
      <c r="A76" s="924" t="s">
        <v>466</v>
      </c>
      <c r="B76" s="944" t="s">
        <v>3901</v>
      </c>
      <c r="C76" s="919" t="s">
        <v>3902</v>
      </c>
      <c r="D76" s="919" t="s">
        <v>3955</v>
      </c>
      <c r="E76" s="920">
        <v>2000</v>
      </c>
      <c r="F76" s="919" t="s">
        <v>4041</v>
      </c>
      <c r="G76" s="919" t="s">
        <v>4042</v>
      </c>
      <c r="H76" s="919" t="s">
        <v>3955</v>
      </c>
      <c r="I76" s="919" t="s">
        <v>3679</v>
      </c>
      <c r="J76" s="919"/>
      <c r="K76" s="920">
        <v>1</v>
      </c>
      <c r="L76" s="920">
        <v>12</v>
      </c>
      <c r="M76" s="920">
        <f t="shared" si="2"/>
        <v>24000</v>
      </c>
      <c r="N76" s="919"/>
      <c r="O76" s="919"/>
      <c r="P76" s="921">
        <f t="shared" si="3"/>
        <v>0</v>
      </c>
    </row>
    <row r="77" spans="1:16" ht="20.100000000000001" customHeight="1" x14ac:dyDescent="0.25">
      <c r="A77" s="924" t="s">
        <v>466</v>
      </c>
      <c r="B77" s="944" t="s">
        <v>3901</v>
      </c>
      <c r="C77" s="919" t="s">
        <v>3902</v>
      </c>
      <c r="D77" s="919" t="s">
        <v>4017</v>
      </c>
      <c r="E77" s="920">
        <v>1700</v>
      </c>
      <c r="F77" s="919" t="s">
        <v>4043</v>
      </c>
      <c r="G77" s="919" t="s">
        <v>4044</v>
      </c>
      <c r="H77" s="919" t="s">
        <v>4017</v>
      </c>
      <c r="I77" s="919" t="s">
        <v>3686</v>
      </c>
      <c r="J77" s="919"/>
      <c r="K77" s="920">
        <v>1</v>
      </c>
      <c r="L77" s="920">
        <v>12</v>
      </c>
      <c r="M77" s="920">
        <f t="shared" si="2"/>
        <v>20400</v>
      </c>
      <c r="N77" s="919"/>
      <c r="O77" s="919"/>
      <c r="P77" s="921">
        <f t="shared" si="3"/>
        <v>0</v>
      </c>
    </row>
    <row r="78" spans="1:16" ht="20.100000000000001" customHeight="1" x14ac:dyDescent="0.25">
      <c r="A78" s="924" t="s">
        <v>466</v>
      </c>
      <c r="B78" s="944" t="s">
        <v>3901</v>
      </c>
      <c r="C78" s="919" t="s">
        <v>3902</v>
      </c>
      <c r="D78" s="919" t="s">
        <v>4017</v>
      </c>
      <c r="E78" s="920">
        <v>1700</v>
      </c>
      <c r="F78" s="919" t="s">
        <v>4045</v>
      </c>
      <c r="G78" s="919" t="s">
        <v>4046</v>
      </c>
      <c r="H78" s="919" t="s">
        <v>4017</v>
      </c>
      <c r="I78" s="919" t="s">
        <v>3686</v>
      </c>
      <c r="J78" s="919"/>
      <c r="K78" s="920">
        <v>1</v>
      </c>
      <c r="L78" s="920">
        <v>12</v>
      </c>
      <c r="M78" s="920">
        <f t="shared" si="2"/>
        <v>20400</v>
      </c>
      <c r="N78" s="919"/>
      <c r="O78" s="919"/>
      <c r="P78" s="921">
        <f t="shared" si="3"/>
        <v>0</v>
      </c>
    </row>
    <row r="79" spans="1:16" ht="20.100000000000001" customHeight="1" x14ac:dyDescent="0.25">
      <c r="A79" s="924" t="s">
        <v>466</v>
      </c>
      <c r="B79" s="944" t="s">
        <v>3901</v>
      </c>
      <c r="C79" s="919" t="s">
        <v>3902</v>
      </c>
      <c r="D79" s="919" t="s">
        <v>4047</v>
      </c>
      <c r="E79" s="920">
        <v>2000</v>
      </c>
      <c r="F79" s="919" t="s">
        <v>4048</v>
      </c>
      <c r="G79" s="919" t="s">
        <v>4049</v>
      </c>
      <c r="H79" s="919" t="s">
        <v>4047</v>
      </c>
      <c r="I79" s="919" t="s">
        <v>3693</v>
      </c>
      <c r="J79" s="919"/>
      <c r="K79" s="920">
        <v>1</v>
      </c>
      <c r="L79" s="920">
        <v>12</v>
      </c>
      <c r="M79" s="920">
        <f t="shared" si="2"/>
        <v>24000</v>
      </c>
      <c r="N79" s="919"/>
      <c r="O79" s="919"/>
      <c r="P79" s="921">
        <f t="shared" si="3"/>
        <v>0</v>
      </c>
    </row>
    <row r="80" spans="1:16" ht="20.100000000000001" customHeight="1" x14ac:dyDescent="0.25">
      <c r="A80" s="924" t="s">
        <v>466</v>
      </c>
      <c r="B80" s="944" t="s">
        <v>3901</v>
      </c>
      <c r="C80" s="919" t="s">
        <v>3902</v>
      </c>
      <c r="D80" s="919" t="s">
        <v>4047</v>
      </c>
      <c r="E80" s="920">
        <v>2000</v>
      </c>
      <c r="F80" s="919" t="s">
        <v>4050</v>
      </c>
      <c r="G80" s="919" t="s">
        <v>4051</v>
      </c>
      <c r="H80" s="919" t="s">
        <v>4047</v>
      </c>
      <c r="I80" s="919" t="s">
        <v>3693</v>
      </c>
      <c r="J80" s="919"/>
      <c r="K80" s="920">
        <v>1</v>
      </c>
      <c r="L80" s="920">
        <v>12</v>
      </c>
      <c r="M80" s="920">
        <f t="shared" si="2"/>
        <v>24000</v>
      </c>
      <c r="N80" s="919"/>
      <c r="O80" s="919"/>
      <c r="P80" s="921">
        <f t="shared" si="3"/>
        <v>0</v>
      </c>
    </row>
    <row r="81" spans="1:16" ht="20.100000000000001" customHeight="1" x14ac:dyDescent="0.25">
      <c r="A81" s="924" t="s">
        <v>466</v>
      </c>
      <c r="B81" s="944" t="s">
        <v>3901</v>
      </c>
      <c r="C81" s="919" t="s">
        <v>3902</v>
      </c>
      <c r="D81" s="919" t="s">
        <v>4047</v>
      </c>
      <c r="E81" s="920">
        <v>1800</v>
      </c>
      <c r="F81" s="919" t="s">
        <v>4052</v>
      </c>
      <c r="G81" s="919" t="s">
        <v>4053</v>
      </c>
      <c r="H81" s="919" t="s">
        <v>4047</v>
      </c>
      <c r="I81" s="919" t="s">
        <v>3693</v>
      </c>
      <c r="J81" s="919"/>
      <c r="K81" s="920">
        <v>1</v>
      </c>
      <c r="L81" s="920">
        <v>12</v>
      </c>
      <c r="M81" s="920">
        <f t="shared" si="2"/>
        <v>21600</v>
      </c>
      <c r="N81" s="919"/>
      <c r="O81" s="919"/>
      <c r="P81" s="921">
        <f t="shared" si="3"/>
        <v>0</v>
      </c>
    </row>
    <row r="82" spans="1:16" ht="20.100000000000001" customHeight="1" x14ac:dyDescent="0.25">
      <c r="A82" s="924" t="s">
        <v>466</v>
      </c>
      <c r="B82" s="944" t="s">
        <v>3901</v>
      </c>
      <c r="C82" s="919" t="s">
        <v>3902</v>
      </c>
      <c r="D82" s="919" t="s">
        <v>4047</v>
      </c>
      <c r="E82" s="920">
        <v>850</v>
      </c>
      <c r="F82" s="919" t="s">
        <v>4054</v>
      </c>
      <c r="G82" s="919" t="s">
        <v>4055</v>
      </c>
      <c r="H82" s="919" t="s">
        <v>4047</v>
      </c>
      <c r="I82" s="919" t="s">
        <v>3693</v>
      </c>
      <c r="J82" s="919"/>
      <c r="K82" s="920">
        <v>1</v>
      </c>
      <c r="L82" s="920">
        <v>12</v>
      </c>
      <c r="M82" s="920">
        <f t="shared" si="2"/>
        <v>10200</v>
      </c>
      <c r="N82" s="919"/>
      <c r="O82" s="919"/>
      <c r="P82" s="921">
        <f t="shared" si="3"/>
        <v>0</v>
      </c>
    </row>
    <row r="83" spans="1:16" ht="20.100000000000001" customHeight="1" x14ac:dyDescent="0.25">
      <c r="A83" s="924" t="s">
        <v>466</v>
      </c>
      <c r="B83" s="944" t="s">
        <v>3901</v>
      </c>
      <c r="C83" s="919" t="s">
        <v>3902</v>
      </c>
      <c r="D83" s="919" t="s">
        <v>3955</v>
      </c>
      <c r="E83" s="920">
        <v>2100</v>
      </c>
      <c r="F83" s="919" t="s">
        <v>4056</v>
      </c>
      <c r="G83" s="919" t="s">
        <v>4057</v>
      </c>
      <c r="H83" s="919" t="s">
        <v>3955</v>
      </c>
      <c r="I83" s="919" t="s">
        <v>3679</v>
      </c>
      <c r="J83" s="919"/>
      <c r="K83" s="920">
        <v>1</v>
      </c>
      <c r="L83" s="920">
        <v>12</v>
      </c>
      <c r="M83" s="920">
        <f t="shared" si="2"/>
        <v>25200</v>
      </c>
      <c r="N83" s="919"/>
      <c r="O83" s="919"/>
      <c r="P83" s="921">
        <f t="shared" si="3"/>
        <v>0</v>
      </c>
    </row>
    <row r="84" spans="1:16" ht="20.100000000000001" customHeight="1" x14ac:dyDescent="0.25">
      <c r="A84" s="924" t="s">
        <v>466</v>
      </c>
      <c r="B84" s="944" t="s">
        <v>3901</v>
      </c>
      <c r="C84" s="919" t="s">
        <v>3902</v>
      </c>
      <c r="D84" s="919" t="s">
        <v>4047</v>
      </c>
      <c r="E84" s="920">
        <v>2500</v>
      </c>
      <c r="F84" s="919" t="s">
        <v>4058</v>
      </c>
      <c r="G84" s="919" t="s">
        <v>4059</v>
      </c>
      <c r="H84" s="919" t="s">
        <v>4047</v>
      </c>
      <c r="I84" s="919" t="s">
        <v>3693</v>
      </c>
      <c r="J84" s="919"/>
      <c r="K84" s="920">
        <v>1</v>
      </c>
      <c r="L84" s="920">
        <v>12</v>
      </c>
      <c r="M84" s="920">
        <f t="shared" si="2"/>
        <v>30000</v>
      </c>
      <c r="N84" s="919"/>
      <c r="O84" s="919"/>
      <c r="P84" s="921">
        <f t="shared" si="3"/>
        <v>0</v>
      </c>
    </row>
    <row r="85" spans="1:16" ht="20.100000000000001" customHeight="1" x14ac:dyDescent="0.25">
      <c r="A85" s="924" t="s">
        <v>466</v>
      </c>
      <c r="B85" s="944" t="s">
        <v>3901</v>
      </c>
      <c r="C85" s="919" t="s">
        <v>3902</v>
      </c>
      <c r="D85" s="919" t="s">
        <v>4060</v>
      </c>
      <c r="E85" s="920">
        <v>2100</v>
      </c>
      <c r="F85" s="919" t="s">
        <v>4041</v>
      </c>
      <c r="G85" s="919" t="s">
        <v>4042</v>
      </c>
      <c r="H85" s="919" t="s">
        <v>4060</v>
      </c>
      <c r="I85" s="919" t="s">
        <v>3679</v>
      </c>
      <c r="J85" s="919"/>
      <c r="K85" s="920">
        <v>1</v>
      </c>
      <c r="L85" s="920">
        <v>12</v>
      </c>
      <c r="M85" s="920">
        <f t="shared" si="2"/>
        <v>25200</v>
      </c>
      <c r="N85" s="919"/>
      <c r="O85" s="919"/>
      <c r="P85" s="921">
        <f t="shared" si="3"/>
        <v>0</v>
      </c>
    </row>
    <row r="86" spans="1:16" ht="20.100000000000001" customHeight="1" x14ac:dyDescent="0.25">
      <c r="A86" s="924" t="s">
        <v>466</v>
      </c>
      <c r="B86" s="944" t="s">
        <v>3929</v>
      </c>
      <c r="C86" s="919" t="s">
        <v>3902</v>
      </c>
      <c r="D86" s="919" t="s">
        <v>4061</v>
      </c>
      <c r="E86" s="920">
        <v>3000</v>
      </c>
      <c r="F86" s="922" t="s">
        <v>4041</v>
      </c>
      <c r="G86" s="919" t="s">
        <v>4042</v>
      </c>
      <c r="H86" s="919" t="s">
        <v>4061</v>
      </c>
      <c r="I86" s="919" t="s">
        <v>3679</v>
      </c>
      <c r="J86" s="919"/>
      <c r="K86" s="920">
        <v>1</v>
      </c>
      <c r="L86" s="920">
        <v>12</v>
      </c>
      <c r="M86" s="920">
        <f t="shared" si="2"/>
        <v>36000</v>
      </c>
      <c r="N86" s="919"/>
      <c r="O86" s="919"/>
      <c r="P86" s="921">
        <f t="shared" si="3"/>
        <v>0</v>
      </c>
    </row>
    <row r="87" spans="1:16" ht="20.100000000000001" customHeight="1" x14ac:dyDescent="0.25">
      <c r="A87" s="924" t="s">
        <v>466</v>
      </c>
      <c r="B87" s="944" t="s">
        <v>3929</v>
      </c>
      <c r="C87" s="919" t="s">
        <v>3902</v>
      </c>
      <c r="D87" s="919" t="s">
        <v>4061</v>
      </c>
      <c r="E87" s="920">
        <v>3000</v>
      </c>
      <c r="F87" s="922" t="s">
        <v>4041</v>
      </c>
      <c r="G87" s="919" t="s">
        <v>4062</v>
      </c>
      <c r="H87" s="919" t="s">
        <v>4061</v>
      </c>
      <c r="I87" s="919" t="s">
        <v>3679</v>
      </c>
      <c r="J87" s="919"/>
      <c r="K87" s="920">
        <v>1</v>
      </c>
      <c r="L87" s="920">
        <v>12</v>
      </c>
      <c r="M87" s="920">
        <f t="shared" si="2"/>
        <v>36000</v>
      </c>
      <c r="N87" s="919"/>
      <c r="O87" s="919"/>
      <c r="P87" s="921">
        <f t="shared" si="3"/>
        <v>0</v>
      </c>
    </row>
    <row r="88" spans="1:16" ht="20.100000000000001" customHeight="1" x14ac:dyDescent="0.25">
      <c r="A88" s="924" t="s">
        <v>466</v>
      </c>
      <c r="B88" s="944" t="s">
        <v>3929</v>
      </c>
      <c r="C88" s="919" t="s">
        <v>3902</v>
      </c>
      <c r="D88" s="919" t="s">
        <v>3955</v>
      </c>
      <c r="E88" s="920">
        <v>3000</v>
      </c>
      <c r="F88" s="922" t="s">
        <v>4041</v>
      </c>
      <c r="G88" s="919" t="s">
        <v>4042</v>
      </c>
      <c r="H88" s="919" t="s">
        <v>3955</v>
      </c>
      <c r="I88" s="919" t="s">
        <v>3679</v>
      </c>
      <c r="J88" s="919"/>
      <c r="K88" s="920">
        <v>1</v>
      </c>
      <c r="L88" s="920">
        <v>12</v>
      </c>
      <c r="M88" s="920">
        <f t="shared" si="2"/>
        <v>36000</v>
      </c>
      <c r="N88" s="919"/>
      <c r="O88" s="919"/>
      <c r="P88" s="921">
        <f t="shared" si="3"/>
        <v>0</v>
      </c>
    </row>
    <row r="89" spans="1:16" ht="20.100000000000001" customHeight="1" x14ac:dyDescent="0.25">
      <c r="A89" s="924" t="s">
        <v>466</v>
      </c>
      <c r="B89" s="944" t="s">
        <v>3929</v>
      </c>
      <c r="C89" s="919" t="s">
        <v>3902</v>
      </c>
      <c r="D89" s="919" t="s">
        <v>3935</v>
      </c>
      <c r="E89" s="920">
        <v>2000</v>
      </c>
      <c r="F89" s="922" t="s">
        <v>4063</v>
      </c>
      <c r="G89" s="919" t="s">
        <v>4064</v>
      </c>
      <c r="H89" s="919" t="s">
        <v>3935</v>
      </c>
      <c r="I89" s="919" t="s">
        <v>3686</v>
      </c>
      <c r="J89" s="919"/>
      <c r="K89" s="920">
        <v>1</v>
      </c>
      <c r="L89" s="920">
        <v>12</v>
      </c>
      <c r="M89" s="920">
        <f t="shared" si="2"/>
        <v>24000</v>
      </c>
      <c r="N89" s="919"/>
      <c r="O89" s="919"/>
      <c r="P89" s="921">
        <f t="shared" si="3"/>
        <v>0</v>
      </c>
    </row>
    <row r="90" spans="1:16" ht="20.100000000000001" customHeight="1" x14ac:dyDescent="0.25">
      <c r="A90" s="924" t="s">
        <v>466</v>
      </c>
      <c r="B90" s="944" t="s">
        <v>3929</v>
      </c>
      <c r="C90" s="919" t="s">
        <v>3902</v>
      </c>
      <c r="D90" s="919" t="s">
        <v>4065</v>
      </c>
      <c r="E90" s="920">
        <v>1000</v>
      </c>
      <c r="F90" s="922" t="s">
        <v>4041</v>
      </c>
      <c r="G90" s="919" t="s">
        <v>4042</v>
      </c>
      <c r="H90" s="919" t="s">
        <v>4065</v>
      </c>
      <c r="I90" s="919" t="s">
        <v>3686</v>
      </c>
      <c r="J90" s="919"/>
      <c r="K90" s="920">
        <v>1</v>
      </c>
      <c r="L90" s="920">
        <v>12</v>
      </c>
      <c r="M90" s="920">
        <f t="shared" si="2"/>
        <v>12000</v>
      </c>
      <c r="N90" s="919"/>
      <c r="O90" s="919"/>
      <c r="P90" s="921">
        <f t="shared" si="3"/>
        <v>0</v>
      </c>
    </row>
    <row r="91" spans="1:16" ht="20.100000000000001" customHeight="1" x14ac:dyDescent="0.25">
      <c r="A91" s="924" t="s">
        <v>466</v>
      </c>
      <c r="B91" s="944" t="s">
        <v>3929</v>
      </c>
      <c r="C91" s="919" t="s">
        <v>3902</v>
      </c>
      <c r="D91" s="919" t="s">
        <v>4065</v>
      </c>
      <c r="E91" s="920">
        <v>1000</v>
      </c>
      <c r="F91" s="922" t="s">
        <v>4041</v>
      </c>
      <c r="G91" s="919" t="s">
        <v>4042</v>
      </c>
      <c r="H91" s="919" t="s">
        <v>4065</v>
      </c>
      <c r="I91" s="919" t="s">
        <v>3686</v>
      </c>
      <c r="J91" s="919"/>
      <c r="K91" s="920">
        <v>1</v>
      </c>
      <c r="L91" s="920">
        <v>12</v>
      </c>
      <c r="M91" s="920">
        <f t="shared" si="2"/>
        <v>12000</v>
      </c>
      <c r="N91" s="919"/>
      <c r="O91" s="919"/>
      <c r="P91" s="921">
        <f t="shared" si="3"/>
        <v>0</v>
      </c>
    </row>
    <row r="92" spans="1:16" ht="20.100000000000001" customHeight="1" x14ac:dyDescent="0.25">
      <c r="A92" s="924" t="s">
        <v>466</v>
      </c>
      <c r="B92" s="944" t="s">
        <v>3929</v>
      </c>
      <c r="C92" s="919" t="s">
        <v>3902</v>
      </c>
      <c r="D92" s="919" t="s">
        <v>4065</v>
      </c>
      <c r="E92" s="920">
        <v>1000</v>
      </c>
      <c r="F92" s="922" t="s">
        <v>4041</v>
      </c>
      <c r="G92" s="919" t="s">
        <v>4042</v>
      </c>
      <c r="H92" s="919" t="s">
        <v>4065</v>
      </c>
      <c r="I92" s="919" t="s">
        <v>3686</v>
      </c>
      <c r="J92" s="919"/>
      <c r="K92" s="920">
        <v>1</v>
      </c>
      <c r="L92" s="920">
        <v>12</v>
      </c>
      <c r="M92" s="920">
        <f t="shared" si="2"/>
        <v>12000</v>
      </c>
      <c r="N92" s="919"/>
      <c r="O92" s="919"/>
      <c r="P92" s="921">
        <f t="shared" si="3"/>
        <v>0</v>
      </c>
    </row>
    <row r="93" spans="1:16" ht="20.100000000000001" customHeight="1" x14ac:dyDescent="0.25">
      <c r="A93" s="924" t="s">
        <v>466</v>
      </c>
      <c r="B93" s="944" t="s">
        <v>3929</v>
      </c>
      <c r="C93" s="919" t="s">
        <v>3902</v>
      </c>
      <c r="D93" s="919" t="s">
        <v>4066</v>
      </c>
      <c r="E93" s="920">
        <v>1000</v>
      </c>
      <c r="F93" s="922" t="s">
        <v>4067</v>
      </c>
      <c r="G93" s="919" t="s">
        <v>4068</v>
      </c>
      <c r="H93" s="919" t="s">
        <v>4066</v>
      </c>
      <c r="I93" s="919" t="s">
        <v>3693</v>
      </c>
      <c r="J93" s="919"/>
      <c r="K93" s="920">
        <v>1</v>
      </c>
      <c r="L93" s="920">
        <v>12</v>
      </c>
      <c r="M93" s="920">
        <f t="shared" si="2"/>
        <v>12000</v>
      </c>
      <c r="N93" s="919"/>
      <c r="O93" s="919"/>
      <c r="P93" s="921">
        <f t="shared" si="3"/>
        <v>0</v>
      </c>
    </row>
    <row r="94" spans="1:16" ht="20.100000000000001" customHeight="1" x14ac:dyDescent="0.25">
      <c r="A94" s="924" t="s">
        <v>466</v>
      </c>
      <c r="B94" s="944" t="s">
        <v>3929</v>
      </c>
      <c r="C94" s="919" t="s">
        <v>3902</v>
      </c>
      <c r="D94" s="919" t="s">
        <v>4066</v>
      </c>
      <c r="E94" s="920">
        <v>1000</v>
      </c>
      <c r="F94" s="922" t="s">
        <v>4041</v>
      </c>
      <c r="G94" s="919" t="s">
        <v>4042</v>
      </c>
      <c r="H94" s="919" t="s">
        <v>4066</v>
      </c>
      <c r="I94" s="919" t="s">
        <v>3693</v>
      </c>
      <c r="J94" s="919"/>
      <c r="K94" s="920">
        <v>1</v>
      </c>
      <c r="L94" s="920">
        <v>12</v>
      </c>
      <c r="M94" s="920">
        <f t="shared" si="2"/>
        <v>12000</v>
      </c>
      <c r="N94" s="919"/>
      <c r="O94" s="919"/>
      <c r="P94" s="921">
        <f t="shared" si="3"/>
        <v>0</v>
      </c>
    </row>
    <row r="95" spans="1:16" ht="20.100000000000001" customHeight="1" x14ac:dyDescent="0.25">
      <c r="A95" s="924" t="s">
        <v>466</v>
      </c>
      <c r="B95" s="944" t="s">
        <v>3929</v>
      </c>
      <c r="C95" s="919" t="s">
        <v>3902</v>
      </c>
      <c r="D95" s="919" t="s">
        <v>4069</v>
      </c>
      <c r="E95" s="920">
        <v>2000</v>
      </c>
      <c r="F95" s="922" t="s">
        <v>4041</v>
      </c>
      <c r="G95" s="919" t="s">
        <v>4042</v>
      </c>
      <c r="H95" s="919" t="s">
        <v>4069</v>
      </c>
      <c r="I95" s="919" t="s">
        <v>3679</v>
      </c>
      <c r="J95" s="919"/>
      <c r="K95" s="920">
        <v>1</v>
      </c>
      <c r="L95" s="920">
        <v>12</v>
      </c>
      <c r="M95" s="920">
        <f t="shared" si="2"/>
        <v>24000</v>
      </c>
      <c r="N95" s="919"/>
      <c r="O95" s="919"/>
      <c r="P95" s="921">
        <f t="shared" si="3"/>
        <v>0</v>
      </c>
    </row>
    <row r="96" spans="1:16" ht="20.100000000000001" customHeight="1" x14ac:dyDescent="0.25">
      <c r="A96" s="924" t="s">
        <v>466</v>
      </c>
      <c r="B96" s="944" t="s">
        <v>3929</v>
      </c>
      <c r="C96" s="919" t="s">
        <v>3902</v>
      </c>
      <c r="D96" s="919" t="s">
        <v>4070</v>
      </c>
      <c r="E96" s="920">
        <v>2000</v>
      </c>
      <c r="F96" s="922" t="s">
        <v>4041</v>
      </c>
      <c r="G96" s="919" t="s">
        <v>4062</v>
      </c>
      <c r="H96" s="919" t="s">
        <v>4070</v>
      </c>
      <c r="I96" s="919" t="s">
        <v>3679</v>
      </c>
      <c r="J96" s="919"/>
      <c r="K96" s="920">
        <v>1</v>
      </c>
      <c r="L96" s="920">
        <v>12</v>
      </c>
      <c r="M96" s="920">
        <f t="shared" si="2"/>
        <v>24000</v>
      </c>
      <c r="N96" s="919"/>
      <c r="O96" s="919"/>
      <c r="P96" s="921">
        <f t="shared" si="3"/>
        <v>0</v>
      </c>
    </row>
    <row r="97" spans="1:16" ht="20.100000000000001" customHeight="1" x14ac:dyDescent="0.25">
      <c r="A97" s="924" t="s">
        <v>466</v>
      </c>
      <c r="B97" s="944" t="s">
        <v>3929</v>
      </c>
      <c r="C97" s="919" t="s">
        <v>3902</v>
      </c>
      <c r="D97" s="919" t="s">
        <v>3976</v>
      </c>
      <c r="E97" s="920">
        <v>1000</v>
      </c>
      <c r="F97" s="922" t="s">
        <v>4041</v>
      </c>
      <c r="G97" s="919" t="s">
        <v>4042</v>
      </c>
      <c r="H97" s="919" t="s">
        <v>3976</v>
      </c>
      <c r="I97" s="919" t="s">
        <v>3693</v>
      </c>
      <c r="J97" s="919"/>
      <c r="K97" s="920">
        <v>1</v>
      </c>
      <c r="L97" s="920">
        <v>12</v>
      </c>
      <c r="M97" s="920">
        <f t="shared" si="2"/>
        <v>12000</v>
      </c>
      <c r="N97" s="919"/>
      <c r="O97" s="919"/>
      <c r="P97" s="921">
        <f t="shared" si="3"/>
        <v>0</v>
      </c>
    </row>
    <row r="98" spans="1:16" ht="20.100000000000001" customHeight="1" x14ac:dyDescent="0.25">
      <c r="A98" s="924" t="s">
        <v>466</v>
      </c>
      <c r="B98" s="944" t="s">
        <v>3929</v>
      </c>
      <c r="C98" s="919" t="s">
        <v>3902</v>
      </c>
      <c r="D98" s="919" t="s">
        <v>4047</v>
      </c>
      <c r="E98" s="920">
        <v>950</v>
      </c>
      <c r="F98" s="922" t="s">
        <v>4071</v>
      </c>
      <c r="G98" s="919" t="s">
        <v>4072</v>
      </c>
      <c r="H98" s="919" t="s">
        <v>4047</v>
      </c>
      <c r="I98" s="919" t="s">
        <v>3686</v>
      </c>
      <c r="J98" s="919"/>
      <c r="K98" s="920">
        <v>1</v>
      </c>
      <c r="L98" s="920">
        <v>12</v>
      </c>
      <c r="M98" s="920">
        <f t="shared" si="2"/>
        <v>11400</v>
      </c>
      <c r="N98" s="919"/>
      <c r="O98" s="919"/>
      <c r="P98" s="921">
        <f t="shared" si="3"/>
        <v>0</v>
      </c>
    </row>
    <row r="99" spans="1:16" ht="20.100000000000001" customHeight="1" x14ac:dyDescent="0.25">
      <c r="A99" s="924" t="s">
        <v>466</v>
      </c>
      <c r="B99" s="944" t="s">
        <v>3929</v>
      </c>
      <c r="C99" s="919" t="s">
        <v>3902</v>
      </c>
      <c r="D99" s="919" t="s">
        <v>4047</v>
      </c>
      <c r="E99" s="920">
        <v>950</v>
      </c>
      <c r="F99" s="922" t="s">
        <v>4073</v>
      </c>
      <c r="G99" s="919" t="s">
        <v>4074</v>
      </c>
      <c r="H99" s="919" t="s">
        <v>4047</v>
      </c>
      <c r="I99" s="919" t="s">
        <v>3686</v>
      </c>
      <c r="J99" s="919"/>
      <c r="K99" s="920">
        <v>1</v>
      </c>
      <c r="L99" s="920">
        <v>12</v>
      </c>
      <c r="M99" s="920">
        <f t="shared" si="2"/>
        <v>11400</v>
      </c>
      <c r="N99" s="919"/>
      <c r="O99" s="919"/>
      <c r="P99" s="921">
        <f t="shared" si="3"/>
        <v>0</v>
      </c>
    </row>
    <row r="100" spans="1:16" ht="20.100000000000001" customHeight="1" x14ac:dyDescent="0.25">
      <c r="A100" s="924" t="s">
        <v>466</v>
      </c>
      <c r="B100" s="944" t="s">
        <v>3929</v>
      </c>
      <c r="C100" s="919" t="s">
        <v>3902</v>
      </c>
      <c r="D100" s="919" t="s">
        <v>4047</v>
      </c>
      <c r="E100" s="920">
        <v>950</v>
      </c>
      <c r="F100" s="922" t="s">
        <v>4075</v>
      </c>
      <c r="G100" s="919" t="s">
        <v>4076</v>
      </c>
      <c r="H100" s="919" t="s">
        <v>4047</v>
      </c>
      <c r="I100" s="919" t="s">
        <v>3686</v>
      </c>
      <c r="J100" s="919"/>
      <c r="K100" s="920">
        <v>1</v>
      </c>
      <c r="L100" s="920">
        <v>12</v>
      </c>
      <c r="M100" s="920">
        <f t="shared" si="2"/>
        <v>11400</v>
      </c>
      <c r="N100" s="919"/>
      <c r="O100" s="919"/>
      <c r="P100" s="921">
        <f t="shared" si="3"/>
        <v>0</v>
      </c>
    </row>
    <row r="101" spans="1:16" ht="20.100000000000001" customHeight="1" x14ac:dyDescent="0.25">
      <c r="A101" s="924" t="s">
        <v>466</v>
      </c>
      <c r="B101" s="944" t="s">
        <v>3929</v>
      </c>
      <c r="C101" s="919" t="s">
        <v>3902</v>
      </c>
      <c r="D101" s="919" t="s">
        <v>4047</v>
      </c>
      <c r="E101" s="920">
        <v>950</v>
      </c>
      <c r="F101" s="922" t="s">
        <v>4077</v>
      </c>
      <c r="G101" s="919" t="s">
        <v>4078</v>
      </c>
      <c r="H101" s="919" t="s">
        <v>4047</v>
      </c>
      <c r="I101" s="919" t="s">
        <v>3686</v>
      </c>
      <c r="J101" s="919"/>
      <c r="K101" s="920">
        <v>1</v>
      </c>
      <c r="L101" s="920">
        <v>12</v>
      </c>
      <c r="M101" s="920">
        <f t="shared" si="2"/>
        <v>11400</v>
      </c>
      <c r="N101" s="919"/>
      <c r="O101" s="919"/>
      <c r="P101" s="921">
        <f t="shared" si="3"/>
        <v>0</v>
      </c>
    </row>
    <row r="102" spans="1:16" ht="20.100000000000001" customHeight="1" x14ac:dyDescent="0.25">
      <c r="A102" s="924" t="s">
        <v>466</v>
      </c>
      <c r="B102" s="944" t="s">
        <v>3901</v>
      </c>
      <c r="C102" s="919" t="s">
        <v>3902</v>
      </c>
      <c r="D102" s="919" t="s">
        <v>4079</v>
      </c>
      <c r="E102" s="920">
        <v>3000</v>
      </c>
      <c r="F102" s="919" t="s">
        <v>4041</v>
      </c>
      <c r="G102" s="919" t="s">
        <v>4042</v>
      </c>
      <c r="H102" s="919" t="s">
        <v>4079</v>
      </c>
      <c r="I102" s="919" t="s">
        <v>3679</v>
      </c>
      <c r="J102" s="919"/>
      <c r="K102" s="920">
        <v>1</v>
      </c>
      <c r="L102" s="920">
        <v>12</v>
      </c>
      <c r="M102" s="920">
        <f t="shared" si="2"/>
        <v>36000</v>
      </c>
      <c r="N102" s="919"/>
      <c r="O102" s="919"/>
      <c r="P102" s="921">
        <f t="shared" si="3"/>
        <v>0</v>
      </c>
    </row>
    <row r="103" spans="1:16" ht="20.100000000000001" customHeight="1" x14ac:dyDescent="0.25">
      <c r="A103" s="924" t="s">
        <v>466</v>
      </c>
      <c r="B103" s="944" t="s">
        <v>3901</v>
      </c>
      <c r="C103" s="919" t="s">
        <v>3902</v>
      </c>
      <c r="D103" s="919" t="s">
        <v>4080</v>
      </c>
      <c r="E103" s="920">
        <v>2000</v>
      </c>
      <c r="F103" s="919" t="s">
        <v>4041</v>
      </c>
      <c r="G103" s="919" t="s">
        <v>4042</v>
      </c>
      <c r="H103" s="919" t="s">
        <v>4080</v>
      </c>
      <c r="I103" s="919" t="s">
        <v>3679</v>
      </c>
      <c r="J103" s="919"/>
      <c r="K103" s="920">
        <v>1</v>
      </c>
      <c r="L103" s="920">
        <v>12</v>
      </c>
      <c r="M103" s="920">
        <f t="shared" si="2"/>
        <v>24000</v>
      </c>
      <c r="N103" s="919"/>
      <c r="O103" s="919"/>
      <c r="P103" s="921">
        <f t="shared" si="3"/>
        <v>0</v>
      </c>
    </row>
    <row r="104" spans="1:16" ht="20.100000000000001" customHeight="1" x14ac:dyDescent="0.25">
      <c r="A104" s="924" t="s">
        <v>466</v>
      </c>
      <c r="B104" s="944" t="s">
        <v>3901</v>
      </c>
      <c r="C104" s="919" t="s">
        <v>3902</v>
      </c>
      <c r="D104" s="919" t="s">
        <v>4080</v>
      </c>
      <c r="E104" s="920">
        <v>2000</v>
      </c>
      <c r="F104" s="919" t="s">
        <v>4041</v>
      </c>
      <c r="G104" s="919" t="s">
        <v>4042</v>
      </c>
      <c r="H104" s="919" t="s">
        <v>4080</v>
      </c>
      <c r="I104" s="919" t="s">
        <v>3679</v>
      </c>
      <c r="J104" s="919"/>
      <c r="K104" s="920">
        <v>1</v>
      </c>
      <c r="L104" s="920">
        <v>12</v>
      </c>
      <c r="M104" s="920">
        <f t="shared" si="2"/>
        <v>24000</v>
      </c>
      <c r="N104" s="919"/>
      <c r="O104" s="919"/>
      <c r="P104" s="921">
        <f t="shared" si="3"/>
        <v>0</v>
      </c>
    </row>
    <row r="105" spans="1:16" ht="20.100000000000001" customHeight="1" x14ac:dyDescent="0.25">
      <c r="A105" s="924" t="s">
        <v>466</v>
      </c>
      <c r="B105" s="944" t="s">
        <v>3901</v>
      </c>
      <c r="C105" s="919" t="s">
        <v>3902</v>
      </c>
      <c r="D105" s="919" t="s">
        <v>4080</v>
      </c>
      <c r="E105" s="920">
        <v>2000</v>
      </c>
      <c r="F105" s="919" t="s">
        <v>4081</v>
      </c>
      <c r="G105" s="919" t="s">
        <v>4082</v>
      </c>
      <c r="H105" s="919" t="s">
        <v>4080</v>
      </c>
      <c r="I105" s="919" t="s">
        <v>3679</v>
      </c>
      <c r="J105" s="919"/>
      <c r="K105" s="920">
        <v>1</v>
      </c>
      <c r="L105" s="920">
        <v>12</v>
      </c>
      <c r="M105" s="920">
        <f t="shared" si="2"/>
        <v>24000</v>
      </c>
      <c r="N105" s="919"/>
      <c r="O105" s="919"/>
      <c r="P105" s="921">
        <f t="shared" si="3"/>
        <v>0</v>
      </c>
    </row>
    <row r="106" spans="1:16" ht="20.100000000000001" customHeight="1" x14ac:dyDescent="0.25">
      <c r="A106" s="924" t="s">
        <v>466</v>
      </c>
      <c r="B106" s="944" t="s">
        <v>3901</v>
      </c>
      <c r="C106" s="919" t="s">
        <v>3902</v>
      </c>
      <c r="D106" s="919" t="s">
        <v>4080</v>
      </c>
      <c r="E106" s="920">
        <v>1873</v>
      </c>
      <c r="F106" s="919" t="s">
        <v>4041</v>
      </c>
      <c r="G106" s="919" t="s">
        <v>4062</v>
      </c>
      <c r="H106" s="919" t="s">
        <v>4080</v>
      </c>
      <c r="I106" s="919" t="s">
        <v>3679</v>
      </c>
      <c r="J106" s="919"/>
      <c r="K106" s="920">
        <v>1</v>
      </c>
      <c r="L106" s="920">
        <v>12</v>
      </c>
      <c r="M106" s="920">
        <f t="shared" si="2"/>
        <v>22476</v>
      </c>
      <c r="N106" s="919"/>
      <c r="O106" s="919"/>
      <c r="P106" s="921">
        <f t="shared" si="3"/>
        <v>0</v>
      </c>
    </row>
    <row r="107" spans="1:16" ht="20.100000000000001" customHeight="1" x14ac:dyDescent="0.25">
      <c r="A107" s="924" t="s">
        <v>466</v>
      </c>
      <c r="B107" s="944" t="s">
        <v>3901</v>
      </c>
      <c r="C107" s="919" t="s">
        <v>3902</v>
      </c>
      <c r="D107" s="919" t="s">
        <v>4080</v>
      </c>
      <c r="E107" s="920">
        <v>1873</v>
      </c>
      <c r="F107" s="919" t="s">
        <v>4041</v>
      </c>
      <c r="G107" s="919" t="s">
        <v>4062</v>
      </c>
      <c r="H107" s="919" t="s">
        <v>4080</v>
      </c>
      <c r="I107" s="919" t="s">
        <v>3679</v>
      </c>
      <c r="J107" s="919"/>
      <c r="K107" s="920">
        <v>1</v>
      </c>
      <c r="L107" s="920">
        <v>12</v>
      </c>
      <c r="M107" s="920">
        <f t="shared" si="2"/>
        <v>22476</v>
      </c>
      <c r="N107" s="919"/>
      <c r="O107" s="919"/>
      <c r="P107" s="921">
        <f t="shared" si="3"/>
        <v>0</v>
      </c>
    </row>
    <row r="108" spans="1:16" ht="20.100000000000001" customHeight="1" x14ac:dyDescent="0.25">
      <c r="A108" s="924" t="s">
        <v>466</v>
      </c>
      <c r="B108" s="944" t="s">
        <v>3901</v>
      </c>
      <c r="C108" s="919" t="s">
        <v>3902</v>
      </c>
      <c r="D108" s="919" t="s">
        <v>4079</v>
      </c>
      <c r="E108" s="920">
        <v>3000</v>
      </c>
      <c r="F108" s="919" t="s">
        <v>4041</v>
      </c>
      <c r="G108" s="919" t="s">
        <v>4042</v>
      </c>
      <c r="H108" s="919" t="s">
        <v>4079</v>
      </c>
      <c r="I108" s="919" t="s">
        <v>3679</v>
      </c>
      <c r="J108" s="919"/>
      <c r="K108" s="920">
        <v>1</v>
      </c>
      <c r="L108" s="920">
        <v>12</v>
      </c>
      <c r="M108" s="920">
        <f t="shared" si="2"/>
        <v>36000</v>
      </c>
      <c r="N108" s="919"/>
      <c r="O108" s="919"/>
      <c r="P108" s="921">
        <f t="shared" si="3"/>
        <v>0</v>
      </c>
    </row>
    <row r="109" spans="1:16" ht="20.100000000000001" customHeight="1" x14ac:dyDescent="0.25">
      <c r="A109" s="924" t="s">
        <v>466</v>
      </c>
      <c r="B109" s="944" t="s">
        <v>3901</v>
      </c>
      <c r="C109" s="919" t="s">
        <v>3902</v>
      </c>
      <c r="D109" s="919" t="s">
        <v>4080</v>
      </c>
      <c r="E109" s="920">
        <v>1768</v>
      </c>
      <c r="F109" s="919" t="s">
        <v>4083</v>
      </c>
      <c r="G109" s="919" t="s">
        <v>4084</v>
      </c>
      <c r="H109" s="919" t="s">
        <v>4080</v>
      </c>
      <c r="I109" s="919" t="s">
        <v>3679</v>
      </c>
      <c r="J109" s="919"/>
      <c r="K109" s="920">
        <v>1</v>
      </c>
      <c r="L109" s="920">
        <v>12</v>
      </c>
      <c r="M109" s="920">
        <f t="shared" si="2"/>
        <v>21216</v>
      </c>
      <c r="N109" s="919"/>
      <c r="O109" s="919"/>
      <c r="P109" s="921">
        <f t="shared" si="3"/>
        <v>0</v>
      </c>
    </row>
    <row r="110" spans="1:16" ht="20.100000000000001" customHeight="1" x14ac:dyDescent="0.25">
      <c r="A110" s="924" t="s">
        <v>466</v>
      </c>
      <c r="B110" s="944" t="s">
        <v>3901</v>
      </c>
      <c r="C110" s="919" t="s">
        <v>3902</v>
      </c>
      <c r="D110" s="919" t="s">
        <v>4085</v>
      </c>
      <c r="E110" s="920">
        <v>3000</v>
      </c>
      <c r="F110" s="919" t="s">
        <v>4086</v>
      </c>
      <c r="G110" s="919" t="s">
        <v>4087</v>
      </c>
      <c r="H110" s="919" t="s">
        <v>4085</v>
      </c>
      <c r="I110" s="919" t="s">
        <v>3679</v>
      </c>
      <c r="J110" s="919"/>
      <c r="K110" s="920">
        <v>1</v>
      </c>
      <c r="L110" s="920">
        <v>12</v>
      </c>
      <c r="M110" s="920">
        <f t="shared" si="2"/>
        <v>36000</v>
      </c>
      <c r="N110" s="919"/>
      <c r="O110" s="919"/>
      <c r="P110" s="921">
        <f t="shared" si="3"/>
        <v>0</v>
      </c>
    </row>
    <row r="111" spans="1:16" ht="20.100000000000001" customHeight="1" x14ac:dyDescent="0.25">
      <c r="A111" s="924" t="s">
        <v>466</v>
      </c>
      <c r="B111" s="944" t="s">
        <v>3901</v>
      </c>
      <c r="C111" s="919" t="s">
        <v>3902</v>
      </c>
      <c r="D111" s="919" t="s">
        <v>4088</v>
      </c>
      <c r="E111" s="920">
        <v>1000</v>
      </c>
      <c r="F111" s="919" t="s">
        <v>4041</v>
      </c>
      <c r="G111" s="919" t="s">
        <v>4042</v>
      </c>
      <c r="H111" s="919" t="s">
        <v>4088</v>
      </c>
      <c r="I111" s="919" t="s">
        <v>3693</v>
      </c>
      <c r="J111" s="919"/>
      <c r="K111" s="920">
        <v>1</v>
      </c>
      <c r="L111" s="920">
        <v>12</v>
      </c>
      <c r="M111" s="920">
        <f t="shared" si="2"/>
        <v>12000</v>
      </c>
      <c r="N111" s="919"/>
      <c r="O111" s="919"/>
      <c r="P111" s="921">
        <f t="shared" si="3"/>
        <v>0</v>
      </c>
    </row>
    <row r="112" spans="1:16" ht="20.100000000000001" customHeight="1" x14ac:dyDescent="0.25">
      <c r="A112" s="924" t="s">
        <v>466</v>
      </c>
      <c r="B112" s="944" t="s">
        <v>3901</v>
      </c>
      <c r="C112" s="919" t="s">
        <v>3902</v>
      </c>
      <c r="D112" s="919" t="s">
        <v>4065</v>
      </c>
      <c r="E112" s="920">
        <v>1000</v>
      </c>
      <c r="F112" s="919" t="s">
        <v>4041</v>
      </c>
      <c r="G112" s="919" t="s">
        <v>4042</v>
      </c>
      <c r="H112" s="919" t="s">
        <v>4065</v>
      </c>
      <c r="I112" s="919" t="s">
        <v>3686</v>
      </c>
      <c r="J112" s="919"/>
      <c r="K112" s="920">
        <v>1</v>
      </c>
      <c r="L112" s="920">
        <v>12</v>
      </c>
      <c r="M112" s="920">
        <f t="shared" si="2"/>
        <v>12000</v>
      </c>
      <c r="N112" s="919"/>
      <c r="O112" s="919"/>
      <c r="P112" s="921">
        <f t="shared" si="3"/>
        <v>0</v>
      </c>
    </row>
    <row r="113" spans="1:16" ht="20.100000000000001" customHeight="1" x14ac:dyDescent="0.25">
      <c r="A113" s="924" t="s">
        <v>466</v>
      </c>
      <c r="B113" s="944" t="s">
        <v>3901</v>
      </c>
      <c r="C113" s="919" t="s">
        <v>3902</v>
      </c>
      <c r="D113" s="919" t="s">
        <v>3905</v>
      </c>
      <c r="E113" s="920">
        <v>2000</v>
      </c>
      <c r="F113" s="919" t="s">
        <v>4089</v>
      </c>
      <c r="G113" s="919" t="s">
        <v>4090</v>
      </c>
      <c r="H113" s="919" t="s">
        <v>3905</v>
      </c>
      <c r="I113" s="919" t="s">
        <v>3679</v>
      </c>
      <c r="J113" s="919"/>
      <c r="K113" s="920">
        <v>1</v>
      </c>
      <c r="L113" s="920">
        <v>12</v>
      </c>
      <c r="M113" s="920">
        <f t="shared" si="2"/>
        <v>24000</v>
      </c>
      <c r="N113" s="919"/>
      <c r="O113" s="919"/>
      <c r="P113" s="921">
        <f t="shared" si="3"/>
        <v>0</v>
      </c>
    </row>
    <row r="114" spans="1:16" ht="20.100000000000001" customHeight="1" x14ac:dyDescent="0.25">
      <c r="A114" s="924" t="s">
        <v>466</v>
      </c>
      <c r="B114" s="944" t="s">
        <v>3901</v>
      </c>
      <c r="C114" s="919" t="s">
        <v>3902</v>
      </c>
      <c r="D114" s="919" t="s">
        <v>4038</v>
      </c>
      <c r="E114" s="920">
        <v>2000</v>
      </c>
      <c r="F114" s="919" t="s">
        <v>4041</v>
      </c>
      <c r="G114" s="919" t="s">
        <v>4042</v>
      </c>
      <c r="H114" s="919" t="s">
        <v>4038</v>
      </c>
      <c r="I114" s="919" t="s">
        <v>3679</v>
      </c>
      <c r="J114" s="919"/>
      <c r="K114" s="920">
        <v>1</v>
      </c>
      <c r="L114" s="920">
        <v>12</v>
      </c>
      <c r="M114" s="920">
        <f t="shared" si="2"/>
        <v>24000</v>
      </c>
      <c r="N114" s="919"/>
      <c r="O114" s="919"/>
      <c r="P114" s="921">
        <f t="shared" si="3"/>
        <v>0</v>
      </c>
    </row>
    <row r="115" spans="1:16" ht="20.100000000000001" customHeight="1" x14ac:dyDescent="0.25">
      <c r="A115" s="924" t="s">
        <v>466</v>
      </c>
      <c r="B115" s="944" t="s">
        <v>3901</v>
      </c>
      <c r="C115" s="919" t="s">
        <v>3902</v>
      </c>
      <c r="D115" s="919" t="s">
        <v>4069</v>
      </c>
      <c r="E115" s="920">
        <v>2000</v>
      </c>
      <c r="F115" s="919" t="s">
        <v>4041</v>
      </c>
      <c r="G115" s="919" t="s">
        <v>4042</v>
      </c>
      <c r="H115" s="919" t="s">
        <v>4069</v>
      </c>
      <c r="I115" s="919" t="s">
        <v>3679</v>
      </c>
      <c r="J115" s="919"/>
      <c r="K115" s="920">
        <v>1</v>
      </c>
      <c r="L115" s="920">
        <v>12</v>
      </c>
      <c r="M115" s="920">
        <f t="shared" si="2"/>
        <v>24000</v>
      </c>
      <c r="N115" s="919"/>
      <c r="O115" s="919"/>
      <c r="P115" s="921">
        <f t="shared" si="3"/>
        <v>0</v>
      </c>
    </row>
    <row r="116" spans="1:16" ht="20.100000000000001" customHeight="1" x14ac:dyDescent="0.25">
      <c r="A116" s="924" t="s">
        <v>466</v>
      </c>
      <c r="B116" s="944" t="s">
        <v>3901</v>
      </c>
      <c r="C116" s="919" t="s">
        <v>3902</v>
      </c>
      <c r="D116" s="919" t="s">
        <v>4065</v>
      </c>
      <c r="E116" s="920">
        <v>1000</v>
      </c>
      <c r="F116" s="919" t="s">
        <v>4041</v>
      </c>
      <c r="G116" s="919" t="s">
        <v>4042</v>
      </c>
      <c r="H116" s="919" t="s">
        <v>4065</v>
      </c>
      <c r="I116" s="919" t="s">
        <v>3686</v>
      </c>
      <c r="J116" s="919"/>
      <c r="K116" s="920">
        <v>1</v>
      </c>
      <c r="L116" s="920">
        <v>12</v>
      </c>
      <c r="M116" s="920">
        <f t="shared" si="2"/>
        <v>12000</v>
      </c>
      <c r="N116" s="919"/>
      <c r="O116" s="919"/>
      <c r="P116" s="921">
        <f t="shared" si="3"/>
        <v>0</v>
      </c>
    </row>
    <row r="117" spans="1:16" ht="20.100000000000001" customHeight="1" x14ac:dyDescent="0.25">
      <c r="A117" s="924" t="s">
        <v>466</v>
      </c>
      <c r="B117" s="944" t="s">
        <v>3901</v>
      </c>
      <c r="C117" s="919" t="s">
        <v>3902</v>
      </c>
      <c r="D117" s="919" t="s">
        <v>4091</v>
      </c>
      <c r="E117" s="920">
        <v>1000</v>
      </c>
      <c r="F117" s="919" t="s">
        <v>4041</v>
      </c>
      <c r="G117" s="919" t="s">
        <v>4042</v>
      </c>
      <c r="H117" s="919" t="s">
        <v>4091</v>
      </c>
      <c r="I117" s="919" t="s">
        <v>3693</v>
      </c>
      <c r="J117" s="919"/>
      <c r="K117" s="920">
        <v>1</v>
      </c>
      <c r="L117" s="920">
        <v>12</v>
      </c>
      <c r="M117" s="920">
        <f t="shared" si="2"/>
        <v>12000</v>
      </c>
      <c r="N117" s="919"/>
      <c r="O117" s="919"/>
      <c r="P117" s="921">
        <f t="shared" si="3"/>
        <v>0</v>
      </c>
    </row>
    <row r="118" spans="1:16" ht="20.100000000000001" customHeight="1" x14ac:dyDescent="0.25">
      <c r="A118" s="924" t="s">
        <v>466</v>
      </c>
      <c r="B118" s="944" t="s">
        <v>3901</v>
      </c>
      <c r="C118" s="919" t="s">
        <v>3902</v>
      </c>
      <c r="D118" s="919" t="s">
        <v>4065</v>
      </c>
      <c r="E118" s="920">
        <v>1000</v>
      </c>
      <c r="F118" s="919" t="s">
        <v>4041</v>
      </c>
      <c r="G118" s="919" t="s">
        <v>4042</v>
      </c>
      <c r="H118" s="919" t="s">
        <v>4065</v>
      </c>
      <c r="I118" s="919" t="s">
        <v>3686</v>
      </c>
      <c r="J118" s="919"/>
      <c r="K118" s="920">
        <v>1</v>
      </c>
      <c r="L118" s="920">
        <v>12</v>
      </c>
      <c r="M118" s="920">
        <f t="shared" si="2"/>
        <v>12000</v>
      </c>
      <c r="N118" s="919"/>
      <c r="O118" s="919"/>
      <c r="P118" s="921">
        <f t="shared" si="3"/>
        <v>0</v>
      </c>
    </row>
    <row r="119" spans="1:16" ht="20.100000000000001" customHeight="1" x14ac:dyDescent="0.25">
      <c r="A119" s="924" t="s">
        <v>466</v>
      </c>
      <c r="B119" s="944" t="s">
        <v>3901</v>
      </c>
      <c r="C119" s="919" t="s">
        <v>3902</v>
      </c>
      <c r="D119" s="919" t="s">
        <v>4065</v>
      </c>
      <c r="E119" s="920">
        <v>1000</v>
      </c>
      <c r="F119" s="919" t="s">
        <v>4092</v>
      </c>
      <c r="G119" s="919" t="s">
        <v>4093</v>
      </c>
      <c r="H119" s="919" t="s">
        <v>4065</v>
      </c>
      <c r="I119" s="919" t="s">
        <v>3686</v>
      </c>
      <c r="J119" s="919"/>
      <c r="K119" s="920">
        <v>1</v>
      </c>
      <c r="L119" s="920">
        <v>12</v>
      </c>
      <c r="M119" s="920">
        <f t="shared" si="2"/>
        <v>12000</v>
      </c>
      <c r="N119" s="919"/>
      <c r="O119" s="919"/>
      <c r="P119" s="921">
        <f t="shared" si="3"/>
        <v>0</v>
      </c>
    </row>
    <row r="120" spans="1:16" ht="20.100000000000001" customHeight="1" x14ac:dyDescent="0.25">
      <c r="A120" s="924" t="s">
        <v>466</v>
      </c>
      <c r="B120" s="944" t="s">
        <v>3901</v>
      </c>
      <c r="C120" s="919" t="s">
        <v>3902</v>
      </c>
      <c r="D120" s="919" t="s">
        <v>4094</v>
      </c>
      <c r="E120" s="920">
        <v>1000</v>
      </c>
      <c r="F120" s="919" t="s">
        <v>4041</v>
      </c>
      <c r="G120" s="919" t="s">
        <v>4062</v>
      </c>
      <c r="H120" s="919" t="s">
        <v>4094</v>
      </c>
      <c r="I120" s="919" t="s">
        <v>3693</v>
      </c>
      <c r="J120" s="919"/>
      <c r="K120" s="920">
        <v>1</v>
      </c>
      <c r="L120" s="920">
        <v>12</v>
      </c>
      <c r="M120" s="920">
        <f t="shared" si="2"/>
        <v>12000</v>
      </c>
      <c r="N120" s="919"/>
      <c r="O120" s="919"/>
      <c r="P120" s="921">
        <f t="shared" si="3"/>
        <v>0</v>
      </c>
    </row>
    <row r="121" spans="1:16" ht="20.100000000000001" customHeight="1" x14ac:dyDescent="0.25">
      <c r="A121" s="924" t="s">
        <v>466</v>
      </c>
      <c r="B121" s="944" t="s">
        <v>3901</v>
      </c>
      <c r="C121" s="919" t="s">
        <v>3902</v>
      </c>
      <c r="D121" s="919" t="s">
        <v>3955</v>
      </c>
      <c r="E121" s="920">
        <v>3000</v>
      </c>
      <c r="F121" s="919" t="s">
        <v>4041</v>
      </c>
      <c r="G121" s="919" t="s">
        <v>4042</v>
      </c>
      <c r="H121" s="919" t="s">
        <v>3955</v>
      </c>
      <c r="I121" s="919" t="s">
        <v>3679</v>
      </c>
      <c r="J121" s="919"/>
      <c r="K121" s="920">
        <v>1</v>
      </c>
      <c r="L121" s="920">
        <v>12</v>
      </c>
      <c r="M121" s="920">
        <f t="shared" si="2"/>
        <v>36000</v>
      </c>
      <c r="N121" s="919"/>
      <c r="O121" s="919"/>
      <c r="P121" s="921">
        <f t="shared" si="3"/>
        <v>0</v>
      </c>
    </row>
    <row r="122" spans="1:16" ht="20.100000000000001" customHeight="1" x14ac:dyDescent="0.25">
      <c r="A122" s="924" t="s">
        <v>466</v>
      </c>
      <c r="B122" s="944" t="s">
        <v>3901</v>
      </c>
      <c r="C122" s="919" t="s">
        <v>3902</v>
      </c>
      <c r="D122" s="919" t="s">
        <v>4080</v>
      </c>
      <c r="E122" s="920">
        <v>2000</v>
      </c>
      <c r="F122" s="919" t="s">
        <v>4041</v>
      </c>
      <c r="G122" s="919" t="s">
        <v>4042</v>
      </c>
      <c r="H122" s="919" t="s">
        <v>4080</v>
      </c>
      <c r="I122" s="919" t="s">
        <v>3686</v>
      </c>
      <c r="J122" s="919"/>
      <c r="K122" s="920">
        <v>1</v>
      </c>
      <c r="L122" s="920">
        <v>12</v>
      </c>
      <c r="M122" s="920">
        <f t="shared" si="2"/>
        <v>24000</v>
      </c>
      <c r="N122" s="919"/>
      <c r="O122" s="919"/>
      <c r="P122" s="921">
        <f t="shared" si="3"/>
        <v>0</v>
      </c>
    </row>
    <row r="123" spans="1:16" ht="20.100000000000001" customHeight="1" x14ac:dyDescent="0.25">
      <c r="A123" s="924" t="s">
        <v>466</v>
      </c>
      <c r="B123" s="944" t="s">
        <v>3901</v>
      </c>
      <c r="C123" s="919" t="s">
        <v>3902</v>
      </c>
      <c r="D123" s="919" t="s">
        <v>4091</v>
      </c>
      <c r="E123" s="920">
        <v>1000</v>
      </c>
      <c r="F123" s="919" t="s">
        <v>4041</v>
      </c>
      <c r="G123" s="919" t="s">
        <v>4042</v>
      </c>
      <c r="H123" s="919" t="s">
        <v>4091</v>
      </c>
      <c r="I123" s="919" t="s">
        <v>3693</v>
      </c>
      <c r="J123" s="919"/>
      <c r="K123" s="920">
        <v>1</v>
      </c>
      <c r="L123" s="920">
        <v>12</v>
      </c>
      <c r="M123" s="920">
        <f t="shared" si="2"/>
        <v>12000</v>
      </c>
      <c r="N123" s="919"/>
      <c r="O123" s="919"/>
      <c r="P123" s="921">
        <f t="shared" si="3"/>
        <v>0</v>
      </c>
    </row>
    <row r="124" spans="1:16" ht="20.100000000000001" customHeight="1" x14ac:dyDescent="0.25">
      <c r="A124" s="924" t="s">
        <v>466</v>
      </c>
      <c r="B124" s="944" t="s">
        <v>3901</v>
      </c>
      <c r="C124" s="919" t="s">
        <v>3902</v>
      </c>
      <c r="D124" s="919" t="s">
        <v>4065</v>
      </c>
      <c r="E124" s="920">
        <v>1000</v>
      </c>
      <c r="F124" s="919" t="s">
        <v>4041</v>
      </c>
      <c r="G124" s="919" t="s">
        <v>4042</v>
      </c>
      <c r="H124" s="919" t="s">
        <v>4065</v>
      </c>
      <c r="I124" s="919" t="s">
        <v>3686</v>
      </c>
      <c r="J124" s="919"/>
      <c r="K124" s="920">
        <v>1</v>
      </c>
      <c r="L124" s="920">
        <v>12</v>
      </c>
      <c r="M124" s="920">
        <f t="shared" si="2"/>
        <v>12000</v>
      </c>
      <c r="N124" s="919"/>
      <c r="O124" s="919"/>
      <c r="P124" s="921">
        <f t="shared" si="3"/>
        <v>0</v>
      </c>
    </row>
    <row r="125" spans="1:16" ht="20.100000000000001" customHeight="1" x14ac:dyDescent="0.25">
      <c r="A125" s="924" t="s">
        <v>466</v>
      </c>
      <c r="B125" s="944" t="s">
        <v>3901</v>
      </c>
      <c r="C125" s="919" t="s">
        <v>3902</v>
      </c>
      <c r="D125" s="919" t="s">
        <v>4079</v>
      </c>
      <c r="E125" s="920">
        <v>3000</v>
      </c>
      <c r="F125" s="919" t="s">
        <v>4041</v>
      </c>
      <c r="G125" s="919" t="s">
        <v>4042</v>
      </c>
      <c r="H125" s="919" t="s">
        <v>4079</v>
      </c>
      <c r="I125" s="919" t="s">
        <v>3679</v>
      </c>
      <c r="J125" s="919"/>
      <c r="K125" s="920">
        <v>1</v>
      </c>
      <c r="L125" s="920">
        <v>12</v>
      </c>
      <c r="M125" s="920">
        <f t="shared" si="2"/>
        <v>36000</v>
      </c>
      <c r="N125" s="919"/>
      <c r="O125" s="919"/>
      <c r="P125" s="921">
        <f t="shared" si="3"/>
        <v>0</v>
      </c>
    </row>
    <row r="126" spans="1:16" ht="20.100000000000001" customHeight="1" x14ac:dyDescent="0.25">
      <c r="A126" s="924" t="s">
        <v>466</v>
      </c>
      <c r="B126" s="944" t="s">
        <v>3901</v>
      </c>
      <c r="C126" s="919" t="s">
        <v>3902</v>
      </c>
      <c r="D126" s="919" t="s">
        <v>4079</v>
      </c>
      <c r="E126" s="920">
        <v>3000</v>
      </c>
      <c r="F126" s="919" t="s">
        <v>4041</v>
      </c>
      <c r="G126" s="919" t="s">
        <v>4042</v>
      </c>
      <c r="H126" s="919" t="s">
        <v>4079</v>
      </c>
      <c r="I126" s="919" t="s">
        <v>3679</v>
      </c>
      <c r="J126" s="919"/>
      <c r="K126" s="920">
        <v>1</v>
      </c>
      <c r="L126" s="920">
        <v>12</v>
      </c>
      <c r="M126" s="920">
        <f t="shared" si="2"/>
        <v>36000</v>
      </c>
      <c r="N126" s="919"/>
      <c r="O126" s="919"/>
      <c r="P126" s="921">
        <f t="shared" si="3"/>
        <v>0</v>
      </c>
    </row>
    <row r="127" spans="1:16" ht="20.100000000000001" customHeight="1" x14ac:dyDescent="0.25">
      <c r="A127" s="924" t="s">
        <v>466</v>
      </c>
      <c r="B127" s="944" t="s">
        <v>3901</v>
      </c>
      <c r="C127" s="919" t="s">
        <v>3902</v>
      </c>
      <c r="D127" s="919" t="s">
        <v>4065</v>
      </c>
      <c r="E127" s="920">
        <v>1000</v>
      </c>
      <c r="F127" s="919" t="s">
        <v>4041</v>
      </c>
      <c r="G127" s="919" t="s">
        <v>4062</v>
      </c>
      <c r="H127" s="919" t="s">
        <v>4065</v>
      </c>
      <c r="I127" s="919" t="s">
        <v>3686</v>
      </c>
      <c r="J127" s="919"/>
      <c r="K127" s="920">
        <v>1</v>
      </c>
      <c r="L127" s="920">
        <v>12</v>
      </c>
      <c r="M127" s="920">
        <f t="shared" si="2"/>
        <v>12000</v>
      </c>
      <c r="N127" s="919"/>
      <c r="O127" s="919"/>
      <c r="P127" s="921">
        <f t="shared" si="3"/>
        <v>0</v>
      </c>
    </row>
    <row r="128" spans="1:16" ht="20.100000000000001" customHeight="1" x14ac:dyDescent="0.25">
      <c r="A128" s="924" t="s">
        <v>466</v>
      </c>
      <c r="B128" s="944" t="s">
        <v>3901</v>
      </c>
      <c r="C128" s="919" t="s">
        <v>3902</v>
      </c>
      <c r="D128" s="919" t="s">
        <v>4061</v>
      </c>
      <c r="E128" s="920">
        <v>3000</v>
      </c>
      <c r="F128" s="919" t="s">
        <v>4095</v>
      </c>
      <c r="G128" s="919" t="s">
        <v>4096</v>
      </c>
      <c r="H128" s="919" t="s">
        <v>4061</v>
      </c>
      <c r="I128" s="919" t="s">
        <v>3679</v>
      </c>
      <c r="J128" s="919"/>
      <c r="K128" s="920">
        <v>1</v>
      </c>
      <c r="L128" s="920">
        <v>12</v>
      </c>
      <c r="M128" s="920">
        <f t="shared" si="2"/>
        <v>36000</v>
      </c>
      <c r="N128" s="919"/>
      <c r="O128" s="919"/>
      <c r="P128" s="921">
        <f t="shared" si="3"/>
        <v>0</v>
      </c>
    </row>
    <row r="129" spans="1:16" ht="20.100000000000001" customHeight="1" x14ac:dyDescent="0.25">
      <c r="A129" s="924" t="s">
        <v>466</v>
      </c>
      <c r="B129" s="944" t="s">
        <v>3901</v>
      </c>
      <c r="C129" s="919" t="s">
        <v>3902</v>
      </c>
      <c r="D129" s="919" t="s">
        <v>4097</v>
      </c>
      <c r="E129" s="920">
        <v>2000</v>
      </c>
      <c r="F129" s="919" t="s">
        <v>4098</v>
      </c>
      <c r="G129" s="919" t="s">
        <v>4099</v>
      </c>
      <c r="H129" s="919" t="s">
        <v>4097</v>
      </c>
      <c r="I129" s="919" t="s">
        <v>3679</v>
      </c>
      <c r="J129" s="919"/>
      <c r="K129" s="920">
        <v>1</v>
      </c>
      <c r="L129" s="920">
        <v>12</v>
      </c>
      <c r="M129" s="920">
        <f t="shared" si="2"/>
        <v>24000</v>
      </c>
      <c r="N129" s="919"/>
      <c r="O129" s="919"/>
      <c r="P129" s="921">
        <f t="shared" si="3"/>
        <v>0</v>
      </c>
    </row>
    <row r="130" spans="1:16" ht="20.100000000000001" customHeight="1" x14ac:dyDescent="0.25">
      <c r="A130" s="924" t="s">
        <v>466</v>
      </c>
      <c r="B130" s="944" t="s">
        <v>3901</v>
      </c>
      <c r="C130" s="919" t="s">
        <v>3902</v>
      </c>
      <c r="D130" s="919" t="s">
        <v>4097</v>
      </c>
      <c r="E130" s="920">
        <v>2000</v>
      </c>
      <c r="F130" s="919" t="s">
        <v>4100</v>
      </c>
      <c r="G130" s="919" t="s">
        <v>4101</v>
      </c>
      <c r="H130" s="919" t="s">
        <v>4097</v>
      </c>
      <c r="I130" s="919" t="s">
        <v>3679</v>
      </c>
      <c r="J130" s="919"/>
      <c r="K130" s="920">
        <v>1</v>
      </c>
      <c r="L130" s="920">
        <v>12</v>
      </c>
      <c r="M130" s="920">
        <f t="shared" si="2"/>
        <v>24000</v>
      </c>
      <c r="N130" s="919"/>
      <c r="O130" s="919"/>
      <c r="P130" s="921">
        <f t="shared" si="3"/>
        <v>0</v>
      </c>
    </row>
    <row r="131" spans="1:16" ht="20.100000000000001" customHeight="1" x14ac:dyDescent="0.25">
      <c r="A131" s="924" t="s">
        <v>466</v>
      </c>
      <c r="B131" s="944" t="s">
        <v>3901</v>
      </c>
      <c r="C131" s="919" t="s">
        <v>3902</v>
      </c>
      <c r="D131" s="919" t="s">
        <v>4097</v>
      </c>
      <c r="E131" s="920">
        <v>2000</v>
      </c>
      <c r="F131" s="919" t="s">
        <v>4041</v>
      </c>
      <c r="G131" s="919" t="s">
        <v>4042</v>
      </c>
      <c r="H131" s="919" t="s">
        <v>4097</v>
      </c>
      <c r="I131" s="919" t="s">
        <v>3679</v>
      </c>
      <c r="J131" s="919"/>
      <c r="K131" s="920">
        <v>1</v>
      </c>
      <c r="L131" s="920">
        <v>12</v>
      </c>
      <c r="M131" s="920">
        <f t="shared" si="2"/>
        <v>24000</v>
      </c>
      <c r="N131" s="919"/>
      <c r="O131" s="919"/>
      <c r="P131" s="921">
        <f t="shared" si="3"/>
        <v>0</v>
      </c>
    </row>
    <row r="132" spans="1:16" ht="20.100000000000001" customHeight="1" x14ac:dyDescent="0.25">
      <c r="A132" s="924" t="s">
        <v>466</v>
      </c>
      <c r="B132" s="944" t="s">
        <v>3901</v>
      </c>
      <c r="C132" s="919" t="s">
        <v>3902</v>
      </c>
      <c r="D132" s="919" t="s">
        <v>4061</v>
      </c>
      <c r="E132" s="920">
        <v>3000</v>
      </c>
      <c r="F132" s="919" t="s">
        <v>4041</v>
      </c>
      <c r="G132" s="919" t="s">
        <v>4062</v>
      </c>
      <c r="H132" s="919" t="s">
        <v>4061</v>
      </c>
      <c r="I132" s="919" t="s">
        <v>3679</v>
      </c>
      <c r="J132" s="919"/>
      <c r="K132" s="920">
        <v>1</v>
      </c>
      <c r="L132" s="920">
        <v>12</v>
      </c>
      <c r="M132" s="920">
        <f t="shared" si="2"/>
        <v>36000</v>
      </c>
      <c r="N132" s="919"/>
      <c r="O132" s="919"/>
      <c r="P132" s="921">
        <f t="shared" si="3"/>
        <v>0</v>
      </c>
    </row>
    <row r="133" spans="1:16" ht="20.100000000000001" customHeight="1" x14ac:dyDescent="0.25">
      <c r="A133" s="924" t="s">
        <v>466</v>
      </c>
      <c r="B133" s="944" t="s">
        <v>3901</v>
      </c>
      <c r="C133" s="919" t="s">
        <v>3902</v>
      </c>
      <c r="D133" s="919" t="s">
        <v>4038</v>
      </c>
      <c r="E133" s="920">
        <v>2000</v>
      </c>
      <c r="F133" s="919" t="s">
        <v>4102</v>
      </c>
      <c r="G133" s="919" t="s">
        <v>4103</v>
      </c>
      <c r="H133" s="919" t="s">
        <v>4038</v>
      </c>
      <c r="I133" s="919" t="s">
        <v>3679</v>
      </c>
      <c r="J133" s="919"/>
      <c r="K133" s="920">
        <v>1</v>
      </c>
      <c r="L133" s="920">
        <v>12</v>
      </c>
      <c r="M133" s="920">
        <f t="shared" si="2"/>
        <v>24000</v>
      </c>
      <c r="N133" s="919"/>
      <c r="O133" s="919"/>
      <c r="P133" s="921">
        <f t="shared" si="3"/>
        <v>0</v>
      </c>
    </row>
    <row r="134" spans="1:16" ht="20.100000000000001" customHeight="1" x14ac:dyDescent="0.25">
      <c r="A134" s="924" t="s">
        <v>466</v>
      </c>
      <c r="B134" s="944" t="s">
        <v>3901</v>
      </c>
      <c r="C134" s="919" t="s">
        <v>3902</v>
      </c>
      <c r="D134" s="919" t="s">
        <v>4097</v>
      </c>
      <c r="E134" s="920">
        <v>2000</v>
      </c>
      <c r="F134" s="919" t="s">
        <v>4041</v>
      </c>
      <c r="G134" s="919" t="s">
        <v>4042</v>
      </c>
      <c r="H134" s="919" t="s">
        <v>4097</v>
      </c>
      <c r="I134" s="919" t="s">
        <v>3679</v>
      </c>
      <c r="J134" s="919"/>
      <c r="K134" s="920">
        <v>1</v>
      </c>
      <c r="L134" s="920">
        <v>12</v>
      </c>
      <c r="M134" s="920">
        <f t="shared" ref="M134:M197" si="4">E134*L134</f>
        <v>24000</v>
      </c>
      <c r="N134" s="919"/>
      <c r="O134" s="919"/>
      <c r="P134" s="921">
        <f t="shared" ref="P134:P197" si="5">E134*O134</f>
        <v>0</v>
      </c>
    </row>
    <row r="135" spans="1:16" ht="20.100000000000001" customHeight="1" x14ac:dyDescent="0.25">
      <c r="A135" s="924" t="s">
        <v>466</v>
      </c>
      <c r="B135" s="944" t="s">
        <v>3901</v>
      </c>
      <c r="C135" s="919" t="s">
        <v>3902</v>
      </c>
      <c r="D135" s="919" t="s">
        <v>3935</v>
      </c>
      <c r="E135" s="920">
        <v>2000</v>
      </c>
      <c r="F135" s="919" t="s">
        <v>4104</v>
      </c>
      <c r="G135" s="919" t="s">
        <v>4105</v>
      </c>
      <c r="H135" s="919" t="s">
        <v>3935</v>
      </c>
      <c r="I135" s="919" t="s">
        <v>3679</v>
      </c>
      <c r="J135" s="919"/>
      <c r="K135" s="920">
        <v>1</v>
      </c>
      <c r="L135" s="920">
        <v>12</v>
      </c>
      <c r="M135" s="920">
        <f t="shared" si="4"/>
        <v>24000</v>
      </c>
      <c r="N135" s="919"/>
      <c r="O135" s="919"/>
      <c r="P135" s="921">
        <f t="shared" si="5"/>
        <v>0</v>
      </c>
    </row>
    <row r="136" spans="1:16" ht="20.100000000000001" customHeight="1" x14ac:dyDescent="0.25">
      <c r="A136" s="924" t="s">
        <v>466</v>
      </c>
      <c r="B136" s="944" t="s">
        <v>3901</v>
      </c>
      <c r="C136" s="919" t="s">
        <v>3902</v>
      </c>
      <c r="D136" s="919" t="s">
        <v>4097</v>
      </c>
      <c r="E136" s="920">
        <v>2000</v>
      </c>
      <c r="F136" s="919" t="s">
        <v>4041</v>
      </c>
      <c r="G136" s="919" t="s">
        <v>4042</v>
      </c>
      <c r="H136" s="919" t="s">
        <v>4097</v>
      </c>
      <c r="I136" s="919" t="s">
        <v>3679</v>
      </c>
      <c r="J136" s="919"/>
      <c r="K136" s="920">
        <v>1</v>
      </c>
      <c r="L136" s="920">
        <v>12</v>
      </c>
      <c r="M136" s="920">
        <f t="shared" si="4"/>
        <v>24000</v>
      </c>
      <c r="N136" s="919"/>
      <c r="O136" s="919"/>
      <c r="P136" s="921">
        <f t="shared" si="5"/>
        <v>0</v>
      </c>
    </row>
    <row r="137" spans="1:16" ht="20.100000000000001" customHeight="1" x14ac:dyDescent="0.25">
      <c r="A137" s="924" t="s">
        <v>466</v>
      </c>
      <c r="B137" s="944" t="s">
        <v>3901</v>
      </c>
      <c r="C137" s="919" t="s">
        <v>3902</v>
      </c>
      <c r="D137" s="919" t="s">
        <v>3955</v>
      </c>
      <c r="E137" s="920">
        <v>3000</v>
      </c>
      <c r="F137" s="919" t="s">
        <v>4106</v>
      </c>
      <c r="G137" s="919" t="s">
        <v>4107</v>
      </c>
      <c r="H137" s="919" t="s">
        <v>3955</v>
      </c>
      <c r="I137" s="919" t="s">
        <v>3679</v>
      </c>
      <c r="J137" s="919"/>
      <c r="K137" s="920">
        <v>1</v>
      </c>
      <c r="L137" s="920">
        <v>12</v>
      </c>
      <c r="M137" s="920">
        <f t="shared" si="4"/>
        <v>36000</v>
      </c>
      <c r="N137" s="919"/>
      <c r="O137" s="919"/>
      <c r="P137" s="921">
        <f t="shared" si="5"/>
        <v>0</v>
      </c>
    </row>
    <row r="138" spans="1:16" ht="20.100000000000001" customHeight="1" x14ac:dyDescent="0.25">
      <c r="A138" s="924" t="s">
        <v>466</v>
      </c>
      <c r="B138" s="944" t="s">
        <v>3901</v>
      </c>
      <c r="C138" s="919" t="s">
        <v>3902</v>
      </c>
      <c r="D138" s="919" t="s">
        <v>4079</v>
      </c>
      <c r="E138" s="920">
        <v>3000</v>
      </c>
      <c r="F138" s="919" t="s">
        <v>4041</v>
      </c>
      <c r="G138" s="919" t="s">
        <v>4042</v>
      </c>
      <c r="H138" s="919" t="s">
        <v>4079</v>
      </c>
      <c r="I138" s="919" t="s">
        <v>3679</v>
      </c>
      <c r="J138" s="919"/>
      <c r="K138" s="920">
        <v>1</v>
      </c>
      <c r="L138" s="920">
        <v>12</v>
      </c>
      <c r="M138" s="920">
        <f t="shared" si="4"/>
        <v>36000</v>
      </c>
      <c r="N138" s="919"/>
      <c r="O138" s="919"/>
      <c r="P138" s="921">
        <f t="shared" si="5"/>
        <v>0</v>
      </c>
    </row>
    <row r="139" spans="1:16" ht="20.100000000000001" customHeight="1" x14ac:dyDescent="0.25">
      <c r="A139" s="924" t="s">
        <v>466</v>
      </c>
      <c r="B139" s="944" t="s">
        <v>3901</v>
      </c>
      <c r="C139" s="919" t="s">
        <v>3902</v>
      </c>
      <c r="D139" s="919" t="s">
        <v>4080</v>
      </c>
      <c r="E139" s="920">
        <v>2000</v>
      </c>
      <c r="F139" s="919" t="s">
        <v>4041</v>
      </c>
      <c r="G139" s="919" t="s">
        <v>4042</v>
      </c>
      <c r="H139" s="919" t="s">
        <v>4080</v>
      </c>
      <c r="I139" s="919" t="s">
        <v>3679</v>
      </c>
      <c r="J139" s="919"/>
      <c r="K139" s="920">
        <v>1</v>
      </c>
      <c r="L139" s="920">
        <v>12</v>
      </c>
      <c r="M139" s="920">
        <f t="shared" si="4"/>
        <v>24000</v>
      </c>
      <c r="N139" s="919"/>
      <c r="O139" s="919"/>
      <c r="P139" s="921">
        <f t="shared" si="5"/>
        <v>0</v>
      </c>
    </row>
    <row r="140" spans="1:16" ht="20.100000000000001" customHeight="1" x14ac:dyDescent="0.25">
      <c r="A140" s="924" t="s">
        <v>466</v>
      </c>
      <c r="B140" s="944" t="s">
        <v>3901</v>
      </c>
      <c r="C140" s="919" t="s">
        <v>3902</v>
      </c>
      <c r="D140" s="919" t="s">
        <v>4108</v>
      </c>
      <c r="E140" s="920">
        <v>3000</v>
      </c>
      <c r="F140" s="919" t="s">
        <v>4041</v>
      </c>
      <c r="G140" s="919" t="s">
        <v>4042</v>
      </c>
      <c r="H140" s="919" t="s">
        <v>4108</v>
      </c>
      <c r="I140" s="919" t="s">
        <v>3679</v>
      </c>
      <c r="J140" s="919"/>
      <c r="K140" s="920">
        <v>1</v>
      </c>
      <c r="L140" s="920">
        <v>12</v>
      </c>
      <c r="M140" s="920">
        <f t="shared" si="4"/>
        <v>36000</v>
      </c>
      <c r="N140" s="919"/>
      <c r="O140" s="919"/>
      <c r="P140" s="921">
        <f t="shared" si="5"/>
        <v>0</v>
      </c>
    </row>
    <row r="141" spans="1:16" ht="20.100000000000001" customHeight="1" x14ac:dyDescent="0.25">
      <c r="A141" s="924" t="s">
        <v>466</v>
      </c>
      <c r="B141" s="944" t="s">
        <v>3901</v>
      </c>
      <c r="C141" s="919" t="s">
        <v>3902</v>
      </c>
      <c r="D141" s="919" t="s">
        <v>4109</v>
      </c>
      <c r="E141" s="920">
        <v>1200</v>
      </c>
      <c r="F141" s="919" t="s">
        <v>4110</v>
      </c>
      <c r="G141" s="919" t="s">
        <v>4111</v>
      </c>
      <c r="H141" s="919" t="s">
        <v>4109</v>
      </c>
      <c r="I141" s="919" t="s">
        <v>3686</v>
      </c>
      <c r="J141" s="919"/>
      <c r="K141" s="920">
        <v>1</v>
      </c>
      <c r="L141" s="920">
        <v>12</v>
      </c>
      <c r="M141" s="920">
        <f t="shared" si="4"/>
        <v>14400</v>
      </c>
      <c r="N141" s="919"/>
      <c r="O141" s="919"/>
      <c r="P141" s="921">
        <f t="shared" si="5"/>
        <v>0</v>
      </c>
    </row>
    <row r="142" spans="1:16" ht="20.100000000000001" customHeight="1" x14ac:dyDescent="0.25">
      <c r="A142" s="924" t="s">
        <v>466</v>
      </c>
      <c r="B142" s="944" t="s">
        <v>3901</v>
      </c>
      <c r="C142" s="919" t="s">
        <v>3902</v>
      </c>
      <c r="D142" s="919" t="s">
        <v>4065</v>
      </c>
      <c r="E142" s="920">
        <v>850</v>
      </c>
      <c r="F142" s="919" t="s">
        <v>4112</v>
      </c>
      <c r="G142" s="919" t="s">
        <v>4113</v>
      </c>
      <c r="H142" s="919" t="s">
        <v>4065</v>
      </c>
      <c r="I142" s="919" t="s">
        <v>3686</v>
      </c>
      <c r="J142" s="919"/>
      <c r="K142" s="920">
        <v>1</v>
      </c>
      <c r="L142" s="920">
        <v>12</v>
      </c>
      <c r="M142" s="920">
        <f t="shared" si="4"/>
        <v>10200</v>
      </c>
      <c r="N142" s="919"/>
      <c r="O142" s="919"/>
      <c r="P142" s="921">
        <f t="shared" si="5"/>
        <v>0</v>
      </c>
    </row>
    <row r="143" spans="1:16" ht="20.100000000000001" customHeight="1" x14ac:dyDescent="0.25">
      <c r="A143" s="924" t="s">
        <v>466</v>
      </c>
      <c r="B143" s="944" t="s">
        <v>3901</v>
      </c>
      <c r="C143" s="919" t="s">
        <v>3902</v>
      </c>
      <c r="D143" s="919" t="s">
        <v>4114</v>
      </c>
      <c r="E143" s="920">
        <v>1000</v>
      </c>
      <c r="F143" s="919" t="s">
        <v>4041</v>
      </c>
      <c r="G143" s="919" t="s">
        <v>4062</v>
      </c>
      <c r="H143" s="919" t="s">
        <v>4114</v>
      </c>
      <c r="I143" s="919" t="s">
        <v>3693</v>
      </c>
      <c r="J143" s="919"/>
      <c r="K143" s="920">
        <v>1</v>
      </c>
      <c r="L143" s="920">
        <v>12</v>
      </c>
      <c r="M143" s="920">
        <f t="shared" si="4"/>
        <v>12000</v>
      </c>
      <c r="N143" s="919"/>
      <c r="O143" s="919"/>
      <c r="P143" s="921">
        <f t="shared" si="5"/>
        <v>0</v>
      </c>
    </row>
    <row r="144" spans="1:16" ht="20.100000000000001" customHeight="1" x14ac:dyDescent="0.25">
      <c r="A144" s="924" t="s">
        <v>466</v>
      </c>
      <c r="B144" s="944" t="s">
        <v>3901</v>
      </c>
      <c r="C144" s="919" t="s">
        <v>3902</v>
      </c>
      <c r="D144" s="919" t="s">
        <v>4091</v>
      </c>
      <c r="E144" s="920">
        <v>1000</v>
      </c>
      <c r="F144" s="919" t="s">
        <v>4041</v>
      </c>
      <c r="G144" s="919" t="s">
        <v>4062</v>
      </c>
      <c r="H144" s="919" t="s">
        <v>4091</v>
      </c>
      <c r="I144" s="919" t="s">
        <v>3686</v>
      </c>
      <c r="J144" s="919"/>
      <c r="K144" s="920">
        <v>1</v>
      </c>
      <c r="L144" s="920">
        <v>12</v>
      </c>
      <c r="M144" s="920">
        <f t="shared" si="4"/>
        <v>12000</v>
      </c>
      <c r="N144" s="919"/>
      <c r="O144" s="919"/>
      <c r="P144" s="921">
        <f t="shared" si="5"/>
        <v>0</v>
      </c>
    </row>
    <row r="145" spans="1:16" ht="20.100000000000001" customHeight="1" x14ac:dyDescent="0.25">
      <c r="A145" s="924" t="s">
        <v>466</v>
      </c>
      <c r="B145" s="944" t="s">
        <v>3901</v>
      </c>
      <c r="C145" s="919" t="s">
        <v>3902</v>
      </c>
      <c r="D145" s="919" t="s">
        <v>4091</v>
      </c>
      <c r="E145" s="920">
        <v>1000</v>
      </c>
      <c r="F145" s="919" t="s">
        <v>4041</v>
      </c>
      <c r="G145" s="919" t="s">
        <v>4062</v>
      </c>
      <c r="H145" s="919" t="s">
        <v>4091</v>
      </c>
      <c r="I145" s="919" t="s">
        <v>3686</v>
      </c>
      <c r="J145" s="919"/>
      <c r="K145" s="920">
        <v>1</v>
      </c>
      <c r="L145" s="920">
        <v>12</v>
      </c>
      <c r="M145" s="920">
        <f t="shared" si="4"/>
        <v>12000</v>
      </c>
      <c r="N145" s="919"/>
      <c r="O145" s="919"/>
      <c r="P145" s="921">
        <f t="shared" si="5"/>
        <v>0</v>
      </c>
    </row>
    <row r="146" spans="1:16" ht="20.100000000000001" customHeight="1" x14ac:dyDescent="0.25">
      <c r="A146" s="924" t="s">
        <v>466</v>
      </c>
      <c r="B146" s="944" t="s">
        <v>3901</v>
      </c>
      <c r="C146" s="919" t="s">
        <v>3902</v>
      </c>
      <c r="D146" s="919" t="s">
        <v>4115</v>
      </c>
      <c r="E146" s="920">
        <v>2000</v>
      </c>
      <c r="F146" s="919" t="s">
        <v>4041</v>
      </c>
      <c r="G146" s="919" t="s">
        <v>4062</v>
      </c>
      <c r="H146" s="919" t="s">
        <v>4115</v>
      </c>
      <c r="I146" s="919" t="s">
        <v>3686</v>
      </c>
      <c r="J146" s="919"/>
      <c r="K146" s="920">
        <v>1</v>
      </c>
      <c r="L146" s="920">
        <v>12</v>
      </c>
      <c r="M146" s="920">
        <f t="shared" si="4"/>
        <v>24000</v>
      </c>
      <c r="N146" s="919"/>
      <c r="O146" s="919"/>
      <c r="P146" s="921">
        <f t="shared" si="5"/>
        <v>0</v>
      </c>
    </row>
    <row r="147" spans="1:16" ht="20.100000000000001" customHeight="1" x14ac:dyDescent="0.25">
      <c r="A147" s="924" t="s">
        <v>466</v>
      </c>
      <c r="B147" s="944" t="s">
        <v>3901</v>
      </c>
      <c r="C147" s="919" t="s">
        <v>3902</v>
      </c>
      <c r="D147" s="919" t="s">
        <v>4038</v>
      </c>
      <c r="E147" s="920">
        <v>2000</v>
      </c>
      <c r="F147" s="919" t="s">
        <v>4041</v>
      </c>
      <c r="G147" s="919" t="s">
        <v>4062</v>
      </c>
      <c r="H147" s="919" t="s">
        <v>4038</v>
      </c>
      <c r="I147" s="919" t="s">
        <v>3686</v>
      </c>
      <c r="J147" s="919"/>
      <c r="K147" s="920">
        <v>1</v>
      </c>
      <c r="L147" s="920">
        <v>12</v>
      </c>
      <c r="M147" s="920">
        <f t="shared" si="4"/>
        <v>24000</v>
      </c>
      <c r="N147" s="919"/>
      <c r="O147" s="919"/>
      <c r="P147" s="921">
        <f t="shared" si="5"/>
        <v>0</v>
      </c>
    </row>
    <row r="148" spans="1:16" ht="20.100000000000001" customHeight="1" x14ac:dyDescent="0.25">
      <c r="A148" s="924" t="s">
        <v>466</v>
      </c>
      <c r="B148" s="944" t="s">
        <v>3901</v>
      </c>
      <c r="C148" s="919" t="s">
        <v>3902</v>
      </c>
      <c r="D148" s="919" t="s">
        <v>4038</v>
      </c>
      <c r="E148" s="920">
        <v>2000</v>
      </c>
      <c r="F148" s="919" t="s">
        <v>4041</v>
      </c>
      <c r="G148" s="919" t="s">
        <v>4062</v>
      </c>
      <c r="H148" s="919" t="s">
        <v>4038</v>
      </c>
      <c r="I148" s="919" t="s">
        <v>3686</v>
      </c>
      <c r="J148" s="919"/>
      <c r="K148" s="920">
        <v>1</v>
      </c>
      <c r="L148" s="920">
        <v>12</v>
      </c>
      <c r="M148" s="920">
        <f t="shared" si="4"/>
        <v>24000</v>
      </c>
      <c r="N148" s="919"/>
      <c r="O148" s="919"/>
      <c r="P148" s="921">
        <f t="shared" si="5"/>
        <v>0</v>
      </c>
    </row>
    <row r="149" spans="1:16" ht="20.100000000000001" customHeight="1" x14ac:dyDescent="0.25">
      <c r="A149" s="924" t="s">
        <v>466</v>
      </c>
      <c r="B149" s="944" t="s">
        <v>3901</v>
      </c>
      <c r="C149" s="919" t="s">
        <v>3902</v>
      </c>
      <c r="D149" s="919" t="s">
        <v>4065</v>
      </c>
      <c r="E149" s="920">
        <v>1000</v>
      </c>
      <c r="F149" s="919" t="s">
        <v>4041</v>
      </c>
      <c r="G149" s="919" t="s">
        <v>4062</v>
      </c>
      <c r="H149" s="919" t="s">
        <v>4065</v>
      </c>
      <c r="I149" s="919" t="s">
        <v>3693</v>
      </c>
      <c r="J149" s="919"/>
      <c r="K149" s="920">
        <v>1</v>
      </c>
      <c r="L149" s="920">
        <v>12</v>
      </c>
      <c r="M149" s="920">
        <f t="shared" si="4"/>
        <v>12000</v>
      </c>
      <c r="N149" s="919"/>
      <c r="O149" s="919"/>
      <c r="P149" s="921">
        <f t="shared" si="5"/>
        <v>0</v>
      </c>
    </row>
    <row r="150" spans="1:16" ht="20.100000000000001" customHeight="1" x14ac:dyDescent="0.25">
      <c r="A150" s="924" t="s">
        <v>466</v>
      </c>
      <c r="B150" s="944" t="s">
        <v>3901</v>
      </c>
      <c r="C150" s="919" t="s">
        <v>3902</v>
      </c>
      <c r="D150" s="919" t="s">
        <v>4038</v>
      </c>
      <c r="E150" s="920">
        <v>2000</v>
      </c>
      <c r="F150" s="919" t="s">
        <v>4041</v>
      </c>
      <c r="G150" s="919" t="s">
        <v>4062</v>
      </c>
      <c r="H150" s="919" t="s">
        <v>4038</v>
      </c>
      <c r="I150" s="919" t="s">
        <v>3686</v>
      </c>
      <c r="J150" s="919"/>
      <c r="K150" s="920">
        <v>1</v>
      </c>
      <c r="L150" s="920">
        <v>12</v>
      </c>
      <c r="M150" s="920">
        <f t="shared" si="4"/>
        <v>24000</v>
      </c>
      <c r="N150" s="919"/>
      <c r="O150" s="919"/>
      <c r="P150" s="921">
        <f t="shared" si="5"/>
        <v>0</v>
      </c>
    </row>
    <row r="151" spans="1:16" ht="20.100000000000001" customHeight="1" x14ac:dyDescent="0.25">
      <c r="A151" s="924" t="s">
        <v>466</v>
      </c>
      <c r="B151" s="944" t="s">
        <v>3901</v>
      </c>
      <c r="C151" s="919" t="s">
        <v>3902</v>
      </c>
      <c r="D151" s="919" t="s">
        <v>4065</v>
      </c>
      <c r="E151" s="920">
        <v>1000</v>
      </c>
      <c r="F151" s="919" t="s">
        <v>4041</v>
      </c>
      <c r="G151" s="919" t="s">
        <v>4062</v>
      </c>
      <c r="H151" s="919" t="s">
        <v>4065</v>
      </c>
      <c r="I151" s="919" t="s">
        <v>3693</v>
      </c>
      <c r="J151" s="919"/>
      <c r="K151" s="920">
        <v>1</v>
      </c>
      <c r="L151" s="920">
        <v>12</v>
      </c>
      <c r="M151" s="920">
        <f t="shared" si="4"/>
        <v>12000</v>
      </c>
      <c r="N151" s="919"/>
      <c r="O151" s="919"/>
      <c r="P151" s="921">
        <f t="shared" si="5"/>
        <v>0</v>
      </c>
    </row>
    <row r="152" spans="1:16" ht="20.100000000000001" customHeight="1" x14ac:dyDescent="0.25">
      <c r="A152" s="924" t="s">
        <v>466</v>
      </c>
      <c r="B152" s="944" t="s">
        <v>3901</v>
      </c>
      <c r="C152" s="919" t="s">
        <v>3902</v>
      </c>
      <c r="D152" s="919" t="s">
        <v>3955</v>
      </c>
      <c r="E152" s="920">
        <v>3000</v>
      </c>
      <c r="F152" s="919" t="s">
        <v>4041</v>
      </c>
      <c r="G152" s="919" t="s">
        <v>4062</v>
      </c>
      <c r="H152" s="919" t="s">
        <v>3955</v>
      </c>
      <c r="I152" s="919" t="s">
        <v>3679</v>
      </c>
      <c r="J152" s="919"/>
      <c r="K152" s="920">
        <v>1</v>
      </c>
      <c r="L152" s="920">
        <v>12</v>
      </c>
      <c r="M152" s="920">
        <f t="shared" si="4"/>
        <v>36000</v>
      </c>
      <c r="N152" s="919"/>
      <c r="O152" s="919"/>
      <c r="P152" s="921">
        <f t="shared" si="5"/>
        <v>0</v>
      </c>
    </row>
    <row r="153" spans="1:16" ht="20.100000000000001" customHeight="1" x14ac:dyDescent="0.25">
      <c r="A153" s="924" t="s">
        <v>466</v>
      </c>
      <c r="B153" s="944" t="s">
        <v>3901</v>
      </c>
      <c r="C153" s="919" t="s">
        <v>3902</v>
      </c>
      <c r="D153" s="919" t="s">
        <v>3976</v>
      </c>
      <c r="E153" s="920">
        <v>1000</v>
      </c>
      <c r="F153" s="919" t="s">
        <v>4041</v>
      </c>
      <c r="G153" s="919" t="s">
        <v>4062</v>
      </c>
      <c r="H153" s="919" t="s">
        <v>3976</v>
      </c>
      <c r="I153" s="919" t="s">
        <v>3693</v>
      </c>
      <c r="J153" s="919"/>
      <c r="K153" s="920">
        <v>1</v>
      </c>
      <c r="L153" s="920">
        <v>12</v>
      </c>
      <c r="M153" s="920">
        <f t="shared" si="4"/>
        <v>12000</v>
      </c>
      <c r="N153" s="919"/>
      <c r="O153" s="919"/>
      <c r="P153" s="921">
        <f t="shared" si="5"/>
        <v>0</v>
      </c>
    </row>
    <row r="154" spans="1:16" ht="20.100000000000001" customHeight="1" x14ac:dyDescent="0.25">
      <c r="A154" s="924" t="s">
        <v>466</v>
      </c>
      <c r="B154" s="944" t="s">
        <v>3901</v>
      </c>
      <c r="C154" s="919" t="s">
        <v>3902</v>
      </c>
      <c r="D154" s="919" t="s">
        <v>4080</v>
      </c>
      <c r="E154" s="920">
        <v>2000</v>
      </c>
      <c r="F154" s="919" t="s">
        <v>4041</v>
      </c>
      <c r="G154" s="919" t="s">
        <v>4062</v>
      </c>
      <c r="H154" s="919" t="s">
        <v>4080</v>
      </c>
      <c r="I154" s="919" t="s">
        <v>3686</v>
      </c>
      <c r="J154" s="919"/>
      <c r="K154" s="920">
        <v>1</v>
      </c>
      <c r="L154" s="920">
        <v>12</v>
      </c>
      <c r="M154" s="920">
        <f t="shared" si="4"/>
        <v>24000</v>
      </c>
      <c r="N154" s="919"/>
      <c r="O154" s="919"/>
      <c r="P154" s="921">
        <f t="shared" si="5"/>
        <v>0</v>
      </c>
    </row>
    <row r="155" spans="1:16" ht="20.100000000000001" customHeight="1" x14ac:dyDescent="0.25">
      <c r="A155" s="924" t="s">
        <v>466</v>
      </c>
      <c r="B155" s="944" t="s">
        <v>3901</v>
      </c>
      <c r="C155" s="919" t="s">
        <v>3902</v>
      </c>
      <c r="D155" s="919" t="s">
        <v>3976</v>
      </c>
      <c r="E155" s="920">
        <v>1000</v>
      </c>
      <c r="F155" s="919" t="s">
        <v>4041</v>
      </c>
      <c r="G155" s="919" t="s">
        <v>4062</v>
      </c>
      <c r="H155" s="919" t="s">
        <v>3976</v>
      </c>
      <c r="I155" s="919" t="s">
        <v>3693</v>
      </c>
      <c r="J155" s="919"/>
      <c r="K155" s="920">
        <v>1</v>
      </c>
      <c r="L155" s="920">
        <v>12</v>
      </c>
      <c r="M155" s="920">
        <f t="shared" si="4"/>
        <v>12000</v>
      </c>
      <c r="N155" s="919"/>
      <c r="O155" s="919"/>
      <c r="P155" s="921">
        <f t="shared" si="5"/>
        <v>0</v>
      </c>
    </row>
    <row r="156" spans="1:16" ht="20.100000000000001" customHeight="1" x14ac:dyDescent="0.25">
      <c r="A156" s="924" t="s">
        <v>466</v>
      </c>
      <c r="B156" s="944" t="s">
        <v>3901</v>
      </c>
      <c r="C156" s="919" t="s">
        <v>3902</v>
      </c>
      <c r="D156" s="919" t="s">
        <v>4080</v>
      </c>
      <c r="E156" s="920">
        <v>2000</v>
      </c>
      <c r="F156" s="919" t="s">
        <v>4041</v>
      </c>
      <c r="G156" s="919" t="s">
        <v>4062</v>
      </c>
      <c r="H156" s="919" t="s">
        <v>4080</v>
      </c>
      <c r="I156" s="919" t="s">
        <v>3686</v>
      </c>
      <c r="J156" s="919"/>
      <c r="K156" s="920">
        <v>1</v>
      </c>
      <c r="L156" s="920">
        <v>12</v>
      </c>
      <c r="M156" s="920">
        <f t="shared" si="4"/>
        <v>24000</v>
      </c>
      <c r="N156" s="919"/>
      <c r="O156" s="919"/>
      <c r="P156" s="921">
        <f t="shared" si="5"/>
        <v>0</v>
      </c>
    </row>
    <row r="157" spans="1:16" ht="20.100000000000001" customHeight="1" x14ac:dyDescent="0.25">
      <c r="A157" s="924" t="s">
        <v>466</v>
      </c>
      <c r="B157" s="944" t="s">
        <v>3901</v>
      </c>
      <c r="C157" s="919" t="s">
        <v>3902</v>
      </c>
      <c r="D157" s="919" t="s">
        <v>4038</v>
      </c>
      <c r="E157" s="920">
        <v>2000</v>
      </c>
      <c r="F157" s="919" t="s">
        <v>4041</v>
      </c>
      <c r="G157" s="919" t="s">
        <v>4062</v>
      </c>
      <c r="H157" s="919" t="s">
        <v>4038</v>
      </c>
      <c r="I157" s="919" t="s">
        <v>3686</v>
      </c>
      <c r="J157" s="919"/>
      <c r="K157" s="920">
        <v>1</v>
      </c>
      <c r="L157" s="920">
        <v>12</v>
      </c>
      <c r="M157" s="920">
        <f t="shared" si="4"/>
        <v>24000</v>
      </c>
      <c r="N157" s="919"/>
      <c r="O157" s="919"/>
      <c r="P157" s="921">
        <f t="shared" si="5"/>
        <v>0</v>
      </c>
    </row>
    <row r="158" spans="1:16" ht="20.100000000000001" customHeight="1" x14ac:dyDescent="0.25">
      <c r="A158" s="924" t="s">
        <v>466</v>
      </c>
      <c r="B158" s="944" t="s">
        <v>3901</v>
      </c>
      <c r="C158" s="919" t="s">
        <v>3902</v>
      </c>
      <c r="D158" s="919" t="s">
        <v>4116</v>
      </c>
      <c r="E158" s="920">
        <v>2000</v>
      </c>
      <c r="F158" s="919" t="s">
        <v>4041</v>
      </c>
      <c r="G158" s="919" t="s">
        <v>4062</v>
      </c>
      <c r="H158" s="919" t="s">
        <v>4116</v>
      </c>
      <c r="I158" s="919" t="s">
        <v>3679</v>
      </c>
      <c r="J158" s="919"/>
      <c r="K158" s="920">
        <v>1</v>
      </c>
      <c r="L158" s="920">
        <v>12</v>
      </c>
      <c r="M158" s="920">
        <f t="shared" si="4"/>
        <v>24000</v>
      </c>
      <c r="N158" s="919"/>
      <c r="O158" s="919"/>
      <c r="P158" s="921">
        <f t="shared" si="5"/>
        <v>0</v>
      </c>
    </row>
    <row r="159" spans="1:16" ht="20.100000000000001" customHeight="1" x14ac:dyDescent="0.25">
      <c r="A159" s="924" t="s">
        <v>466</v>
      </c>
      <c r="B159" s="944" t="s">
        <v>3901</v>
      </c>
      <c r="C159" s="919" t="s">
        <v>3902</v>
      </c>
      <c r="D159" s="919" t="s">
        <v>4091</v>
      </c>
      <c r="E159" s="920">
        <v>1000</v>
      </c>
      <c r="F159" s="919" t="s">
        <v>4041</v>
      </c>
      <c r="G159" s="919" t="s">
        <v>4062</v>
      </c>
      <c r="H159" s="919" t="s">
        <v>4091</v>
      </c>
      <c r="I159" s="919" t="s">
        <v>3686</v>
      </c>
      <c r="J159" s="919"/>
      <c r="K159" s="920">
        <v>1</v>
      </c>
      <c r="L159" s="920">
        <v>12</v>
      </c>
      <c r="M159" s="920">
        <f t="shared" si="4"/>
        <v>12000</v>
      </c>
      <c r="N159" s="919"/>
      <c r="O159" s="919"/>
      <c r="P159" s="921">
        <f t="shared" si="5"/>
        <v>0</v>
      </c>
    </row>
    <row r="160" spans="1:16" ht="20.100000000000001" customHeight="1" x14ac:dyDescent="0.25">
      <c r="A160" s="924" t="s">
        <v>466</v>
      </c>
      <c r="B160" s="944" t="s">
        <v>3901</v>
      </c>
      <c r="C160" s="919" t="s">
        <v>3902</v>
      </c>
      <c r="D160" s="919" t="s">
        <v>4038</v>
      </c>
      <c r="E160" s="920">
        <v>2000</v>
      </c>
      <c r="F160" s="919" t="s">
        <v>4041</v>
      </c>
      <c r="G160" s="919" t="s">
        <v>4062</v>
      </c>
      <c r="H160" s="919" t="s">
        <v>4038</v>
      </c>
      <c r="I160" s="919" t="s">
        <v>3686</v>
      </c>
      <c r="J160" s="919"/>
      <c r="K160" s="920">
        <v>1</v>
      </c>
      <c r="L160" s="920">
        <v>12</v>
      </c>
      <c r="M160" s="920">
        <f t="shared" si="4"/>
        <v>24000</v>
      </c>
      <c r="N160" s="919"/>
      <c r="O160" s="919"/>
      <c r="P160" s="921">
        <f t="shared" si="5"/>
        <v>0</v>
      </c>
    </row>
    <row r="161" spans="1:16" ht="20.100000000000001" customHeight="1" x14ac:dyDescent="0.25">
      <c r="A161" s="924" t="s">
        <v>466</v>
      </c>
      <c r="B161" s="944" t="s">
        <v>3901</v>
      </c>
      <c r="C161" s="919" t="s">
        <v>3902</v>
      </c>
      <c r="D161" s="919" t="s">
        <v>4065</v>
      </c>
      <c r="E161" s="920">
        <v>1000</v>
      </c>
      <c r="F161" s="919" t="s">
        <v>4041</v>
      </c>
      <c r="G161" s="919" t="s">
        <v>4062</v>
      </c>
      <c r="H161" s="919" t="s">
        <v>4065</v>
      </c>
      <c r="I161" s="919" t="s">
        <v>3693</v>
      </c>
      <c r="J161" s="919"/>
      <c r="K161" s="920">
        <v>1</v>
      </c>
      <c r="L161" s="920">
        <v>12</v>
      </c>
      <c r="M161" s="920">
        <f t="shared" si="4"/>
        <v>12000</v>
      </c>
      <c r="N161" s="919"/>
      <c r="O161" s="919"/>
      <c r="P161" s="921">
        <f t="shared" si="5"/>
        <v>0</v>
      </c>
    </row>
    <row r="162" spans="1:16" ht="20.100000000000001" customHeight="1" x14ac:dyDescent="0.25">
      <c r="A162" s="918" t="s">
        <v>467</v>
      </c>
      <c r="B162" s="944" t="s">
        <v>3901</v>
      </c>
      <c r="C162" s="919" t="s">
        <v>3902</v>
      </c>
      <c r="D162" s="919" t="s">
        <v>4117</v>
      </c>
      <c r="E162" s="920">
        <v>3000</v>
      </c>
      <c r="F162" s="919" t="s">
        <v>4041</v>
      </c>
      <c r="G162" s="919" t="s">
        <v>4042</v>
      </c>
      <c r="H162" s="919" t="s">
        <v>4117</v>
      </c>
      <c r="I162" s="919" t="s">
        <v>3686</v>
      </c>
      <c r="J162" s="919"/>
      <c r="K162" s="920">
        <v>1</v>
      </c>
      <c r="L162" s="920">
        <v>12</v>
      </c>
      <c r="M162" s="920">
        <f t="shared" si="4"/>
        <v>36000</v>
      </c>
      <c r="N162" s="919"/>
      <c r="O162" s="919"/>
      <c r="P162" s="921">
        <f t="shared" si="5"/>
        <v>0</v>
      </c>
    </row>
    <row r="163" spans="1:16" ht="20.100000000000001" customHeight="1" x14ac:dyDescent="0.25">
      <c r="A163" s="918" t="s">
        <v>467</v>
      </c>
      <c r="B163" s="944" t="s">
        <v>3901</v>
      </c>
      <c r="C163" s="919" t="s">
        <v>3902</v>
      </c>
      <c r="D163" s="919" t="s">
        <v>4117</v>
      </c>
      <c r="E163" s="920">
        <v>3000</v>
      </c>
      <c r="F163" s="919" t="s">
        <v>4041</v>
      </c>
      <c r="G163" s="919" t="s">
        <v>4042</v>
      </c>
      <c r="H163" s="919" t="s">
        <v>4117</v>
      </c>
      <c r="I163" s="919" t="s">
        <v>3686</v>
      </c>
      <c r="J163" s="919"/>
      <c r="K163" s="920">
        <v>1</v>
      </c>
      <c r="L163" s="920">
        <v>12</v>
      </c>
      <c r="M163" s="920">
        <f t="shared" si="4"/>
        <v>36000</v>
      </c>
      <c r="N163" s="919"/>
      <c r="O163" s="919"/>
      <c r="P163" s="921">
        <f t="shared" si="5"/>
        <v>0</v>
      </c>
    </row>
    <row r="164" spans="1:16" ht="20.100000000000001" customHeight="1" x14ac:dyDescent="0.25">
      <c r="A164" s="918" t="s">
        <v>467</v>
      </c>
      <c r="B164" s="944" t="s">
        <v>3901</v>
      </c>
      <c r="C164" s="919" t="s">
        <v>3902</v>
      </c>
      <c r="D164" s="919" t="s">
        <v>4118</v>
      </c>
      <c r="E164" s="920">
        <v>3000</v>
      </c>
      <c r="F164" s="919" t="s">
        <v>4041</v>
      </c>
      <c r="G164" s="919" t="s">
        <v>4042</v>
      </c>
      <c r="H164" s="919" t="s">
        <v>4118</v>
      </c>
      <c r="I164" s="919" t="s">
        <v>3679</v>
      </c>
      <c r="J164" s="919"/>
      <c r="K164" s="920">
        <v>1</v>
      </c>
      <c r="L164" s="920">
        <v>12</v>
      </c>
      <c r="M164" s="920">
        <f t="shared" si="4"/>
        <v>36000</v>
      </c>
      <c r="N164" s="919"/>
      <c r="O164" s="919"/>
      <c r="P164" s="921">
        <f t="shared" si="5"/>
        <v>0</v>
      </c>
    </row>
    <row r="165" spans="1:16" ht="20.100000000000001" customHeight="1" x14ac:dyDescent="0.25">
      <c r="A165" s="918" t="s">
        <v>467</v>
      </c>
      <c r="B165" s="944" t="s">
        <v>3901</v>
      </c>
      <c r="C165" s="919" t="s">
        <v>3902</v>
      </c>
      <c r="D165" s="919" t="s">
        <v>4119</v>
      </c>
      <c r="E165" s="920">
        <v>3000</v>
      </c>
      <c r="F165" s="919" t="s">
        <v>4041</v>
      </c>
      <c r="G165" s="919" t="s">
        <v>4042</v>
      </c>
      <c r="H165" s="919" t="s">
        <v>4119</v>
      </c>
      <c r="I165" s="919" t="s">
        <v>3679</v>
      </c>
      <c r="J165" s="919"/>
      <c r="K165" s="920">
        <v>1</v>
      </c>
      <c r="L165" s="920">
        <v>12</v>
      </c>
      <c r="M165" s="920">
        <f t="shared" si="4"/>
        <v>36000</v>
      </c>
      <c r="N165" s="919"/>
      <c r="O165" s="919"/>
      <c r="P165" s="921">
        <f t="shared" si="5"/>
        <v>0</v>
      </c>
    </row>
    <row r="166" spans="1:16" ht="20.100000000000001" customHeight="1" x14ac:dyDescent="0.25">
      <c r="A166" s="918" t="s">
        <v>467</v>
      </c>
      <c r="B166" s="944" t="s">
        <v>3901</v>
      </c>
      <c r="C166" s="919" t="s">
        <v>3902</v>
      </c>
      <c r="D166" s="919" t="s">
        <v>4120</v>
      </c>
      <c r="E166" s="920">
        <v>3000</v>
      </c>
      <c r="F166" s="919" t="s">
        <v>4041</v>
      </c>
      <c r="G166" s="919" t="s">
        <v>4042</v>
      </c>
      <c r="H166" s="919" t="s">
        <v>4120</v>
      </c>
      <c r="I166" s="919" t="s">
        <v>3679</v>
      </c>
      <c r="J166" s="919"/>
      <c r="K166" s="920">
        <v>1</v>
      </c>
      <c r="L166" s="920">
        <v>12</v>
      </c>
      <c r="M166" s="920">
        <f t="shared" si="4"/>
        <v>36000</v>
      </c>
      <c r="N166" s="919"/>
      <c r="O166" s="919"/>
      <c r="P166" s="921">
        <f t="shared" si="5"/>
        <v>0</v>
      </c>
    </row>
    <row r="167" spans="1:16" ht="20.100000000000001" customHeight="1" x14ac:dyDescent="0.25">
      <c r="A167" s="918" t="s">
        <v>467</v>
      </c>
      <c r="B167" s="944" t="s">
        <v>3929</v>
      </c>
      <c r="C167" s="919" t="s">
        <v>3902</v>
      </c>
      <c r="D167" s="919" t="s">
        <v>3955</v>
      </c>
      <c r="E167" s="920">
        <v>3000</v>
      </c>
      <c r="F167" s="922" t="s">
        <v>4041</v>
      </c>
      <c r="G167" s="919" t="s">
        <v>4042</v>
      </c>
      <c r="H167" s="919" t="s">
        <v>3955</v>
      </c>
      <c r="I167" s="919" t="s">
        <v>3679</v>
      </c>
      <c r="J167" s="919"/>
      <c r="K167" s="920">
        <v>1</v>
      </c>
      <c r="L167" s="920">
        <v>12</v>
      </c>
      <c r="M167" s="920">
        <f t="shared" si="4"/>
        <v>36000</v>
      </c>
      <c r="N167" s="919"/>
      <c r="O167" s="919"/>
      <c r="P167" s="921">
        <f t="shared" si="5"/>
        <v>0</v>
      </c>
    </row>
    <row r="168" spans="1:16" ht="20.100000000000001" customHeight="1" x14ac:dyDescent="0.25">
      <c r="A168" s="918" t="s">
        <v>467</v>
      </c>
      <c r="B168" s="944" t="s">
        <v>3929</v>
      </c>
      <c r="C168" s="919" t="s">
        <v>3902</v>
      </c>
      <c r="D168" s="919" t="s">
        <v>4121</v>
      </c>
      <c r="E168" s="920">
        <v>2300</v>
      </c>
      <c r="F168" s="922" t="s">
        <v>4041</v>
      </c>
      <c r="G168" s="919" t="s">
        <v>4042</v>
      </c>
      <c r="H168" s="919" t="s">
        <v>4121</v>
      </c>
      <c r="I168" s="919" t="s">
        <v>3679</v>
      </c>
      <c r="J168" s="919"/>
      <c r="K168" s="920">
        <v>1</v>
      </c>
      <c r="L168" s="920">
        <v>12</v>
      </c>
      <c r="M168" s="920">
        <f t="shared" si="4"/>
        <v>27600</v>
      </c>
      <c r="N168" s="919"/>
      <c r="O168" s="919"/>
      <c r="P168" s="921">
        <f t="shared" si="5"/>
        <v>0</v>
      </c>
    </row>
    <row r="169" spans="1:16" ht="20.100000000000001" customHeight="1" x14ac:dyDescent="0.25">
      <c r="A169" s="918" t="s">
        <v>467</v>
      </c>
      <c r="B169" s="944" t="s">
        <v>3929</v>
      </c>
      <c r="C169" s="919" t="s">
        <v>3902</v>
      </c>
      <c r="D169" s="919" t="s">
        <v>4121</v>
      </c>
      <c r="E169" s="920">
        <v>2300</v>
      </c>
      <c r="F169" s="922" t="s">
        <v>4122</v>
      </c>
      <c r="G169" s="919" t="s">
        <v>4123</v>
      </c>
      <c r="H169" s="919" t="s">
        <v>4121</v>
      </c>
      <c r="I169" s="919" t="s">
        <v>3679</v>
      </c>
      <c r="J169" s="919"/>
      <c r="K169" s="920">
        <v>1</v>
      </c>
      <c r="L169" s="920">
        <v>12</v>
      </c>
      <c r="M169" s="920">
        <f t="shared" si="4"/>
        <v>27600</v>
      </c>
      <c r="N169" s="919"/>
      <c r="O169" s="919"/>
      <c r="P169" s="921">
        <f t="shared" si="5"/>
        <v>0</v>
      </c>
    </row>
    <row r="170" spans="1:16" ht="20.100000000000001" customHeight="1" x14ac:dyDescent="0.25">
      <c r="A170" s="918" t="s">
        <v>467</v>
      </c>
      <c r="B170" s="944" t="s">
        <v>3929</v>
      </c>
      <c r="C170" s="919" t="s">
        <v>3902</v>
      </c>
      <c r="D170" s="919" t="s">
        <v>3955</v>
      </c>
      <c r="E170" s="920">
        <v>3000</v>
      </c>
      <c r="F170" s="922" t="s">
        <v>4041</v>
      </c>
      <c r="G170" s="919" t="s">
        <v>4042</v>
      </c>
      <c r="H170" s="919" t="s">
        <v>3955</v>
      </c>
      <c r="I170" s="919" t="s">
        <v>3679</v>
      </c>
      <c r="J170" s="919"/>
      <c r="K170" s="920">
        <v>1</v>
      </c>
      <c r="L170" s="920">
        <v>12</v>
      </c>
      <c r="M170" s="920">
        <f t="shared" si="4"/>
        <v>36000</v>
      </c>
      <c r="N170" s="919"/>
      <c r="O170" s="919"/>
      <c r="P170" s="921">
        <f t="shared" si="5"/>
        <v>0</v>
      </c>
    </row>
    <row r="171" spans="1:16" ht="20.100000000000001" customHeight="1" x14ac:dyDescent="0.25">
      <c r="A171" s="918" t="s">
        <v>467</v>
      </c>
      <c r="B171" s="944" t="s">
        <v>3929</v>
      </c>
      <c r="C171" s="919" t="s">
        <v>3902</v>
      </c>
      <c r="D171" s="919" t="s">
        <v>4124</v>
      </c>
      <c r="E171" s="920">
        <v>2300</v>
      </c>
      <c r="F171" s="922" t="s">
        <v>4041</v>
      </c>
      <c r="G171" s="919" t="s">
        <v>4042</v>
      </c>
      <c r="H171" s="919" t="s">
        <v>4124</v>
      </c>
      <c r="I171" s="919" t="s">
        <v>3679</v>
      </c>
      <c r="J171" s="919"/>
      <c r="K171" s="920">
        <v>1</v>
      </c>
      <c r="L171" s="920">
        <v>12</v>
      </c>
      <c r="M171" s="920">
        <f t="shared" si="4"/>
        <v>27600</v>
      </c>
      <c r="N171" s="919"/>
      <c r="O171" s="919"/>
      <c r="P171" s="921">
        <f t="shared" si="5"/>
        <v>0</v>
      </c>
    </row>
    <row r="172" spans="1:16" ht="20.100000000000001" customHeight="1" x14ac:dyDescent="0.25">
      <c r="A172" s="918" t="s">
        <v>467</v>
      </c>
      <c r="B172" s="944" t="s">
        <v>3929</v>
      </c>
      <c r="C172" s="919" t="s">
        <v>3902</v>
      </c>
      <c r="D172" s="919" t="s">
        <v>4125</v>
      </c>
      <c r="E172" s="920">
        <v>4000</v>
      </c>
      <c r="F172" s="922" t="s">
        <v>4041</v>
      </c>
      <c r="G172" s="919" t="s">
        <v>4042</v>
      </c>
      <c r="H172" s="919" t="s">
        <v>4125</v>
      </c>
      <c r="I172" s="919" t="s">
        <v>3679</v>
      </c>
      <c r="J172" s="919"/>
      <c r="K172" s="920">
        <v>1</v>
      </c>
      <c r="L172" s="920">
        <v>12</v>
      </c>
      <c r="M172" s="920">
        <f t="shared" si="4"/>
        <v>48000</v>
      </c>
      <c r="N172" s="919"/>
      <c r="O172" s="919"/>
      <c r="P172" s="921">
        <f t="shared" si="5"/>
        <v>0</v>
      </c>
    </row>
    <row r="173" spans="1:16" ht="20.100000000000001" customHeight="1" x14ac:dyDescent="0.25">
      <c r="A173" s="918" t="s">
        <v>467</v>
      </c>
      <c r="B173" s="944" t="s">
        <v>3929</v>
      </c>
      <c r="C173" s="919" t="s">
        <v>3902</v>
      </c>
      <c r="D173" s="919" t="s">
        <v>4109</v>
      </c>
      <c r="E173" s="920">
        <v>1850</v>
      </c>
      <c r="F173" s="922" t="s">
        <v>4041</v>
      </c>
      <c r="G173" s="919" t="s">
        <v>4042</v>
      </c>
      <c r="H173" s="919" t="s">
        <v>4109</v>
      </c>
      <c r="I173" s="919" t="s">
        <v>3686</v>
      </c>
      <c r="J173" s="919"/>
      <c r="K173" s="920">
        <v>1</v>
      </c>
      <c r="L173" s="920">
        <v>12</v>
      </c>
      <c r="M173" s="920">
        <f t="shared" si="4"/>
        <v>22200</v>
      </c>
      <c r="N173" s="919"/>
      <c r="O173" s="919"/>
      <c r="P173" s="921">
        <f t="shared" si="5"/>
        <v>0</v>
      </c>
    </row>
    <row r="174" spans="1:16" ht="20.100000000000001" customHeight="1" x14ac:dyDescent="0.25">
      <c r="A174" s="918" t="s">
        <v>467</v>
      </c>
      <c r="B174" s="944" t="s">
        <v>3929</v>
      </c>
      <c r="C174" s="919" t="s">
        <v>3902</v>
      </c>
      <c r="D174" s="919" t="s">
        <v>4126</v>
      </c>
      <c r="E174" s="920">
        <v>4000</v>
      </c>
      <c r="F174" s="922" t="s">
        <v>4041</v>
      </c>
      <c r="G174" s="919" t="s">
        <v>4042</v>
      </c>
      <c r="H174" s="919" t="s">
        <v>4126</v>
      </c>
      <c r="I174" s="919" t="s">
        <v>3679</v>
      </c>
      <c r="J174" s="919"/>
      <c r="K174" s="920">
        <v>1</v>
      </c>
      <c r="L174" s="920">
        <v>12</v>
      </c>
      <c r="M174" s="920">
        <f t="shared" si="4"/>
        <v>48000</v>
      </c>
      <c r="N174" s="919"/>
      <c r="O174" s="919"/>
      <c r="P174" s="921">
        <f t="shared" si="5"/>
        <v>0</v>
      </c>
    </row>
    <row r="175" spans="1:16" ht="20.100000000000001" customHeight="1" x14ac:dyDescent="0.25">
      <c r="A175" s="918" t="s">
        <v>467</v>
      </c>
      <c r="B175" s="944" t="s">
        <v>3929</v>
      </c>
      <c r="C175" s="919" t="s">
        <v>3902</v>
      </c>
      <c r="D175" s="919" t="s">
        <v>3955</v>
      </c>
      <c r="E175" s="920">
        <v>4000</v>
      </c>
      <c r="F175" s="922" t="s">
        <v>4041</v>
      </c>
      <c r="G175" s="919" t="s">
        <v>4042</v>
      </c>
      <c r="H175" s="919" t="s">
        <v>3955</v>
      </c>
      <c r="I175" s="919" t="s">
        <v>3679</v>
      </c>
      <c r="J175" s="919"/>
      <c r="K175" s="920">
        <v>1</v>
      </c>
      <c r="L175" s="920">
        <v>12</v>
      </c>
      <c r="M175" s="920">
        <f t="shared" si="4"/>
        <v>48000</v>
      </c>
      <c r="N175" s="919"/>
      <c r="O175" s="919"/>
      <c r="P175" s="921">
        <f t="shared" si="5"/>
        <v>0</v>
      </c>
    </row>
    <row r="176" spans="1:16" ht="20.100000000000001" customHeight="1" x14ac:dyDescent="0.25">
      <c r="A176" s="918" t="s">
        <v>467</v>
      </c>
      <c r="B176" s="944" t="s">
        <v>3929</v>
      </c>
      <c r="C176" s="919" t="s">
        <v>3902</v>
      </c>
      <c r="D176" s="919" t="s">
        <v>4127</v>
      </c>
      <c r="E176" s="920">
        <v>4000</v>
      </c>
      <c r="F176" s="922" t="s">
        <v>4041</v>
      </c>
      <c r="G176" s="919" t="s">
        <v>4042</v>
      </c>
      <c r="H176" s="919" t="s">
        <v>4127</v>
      </c>
      <c r="I176" s="919" t="s">
        <v>3679</v>
      </c>
      <c r="J176" s="919"/>
      <c r="K176" s="920">
        <v>1</v>
      </c>
      <c r="L176" s="920">
        <v>12</v>
      </c>
      <c r="M176" s="920">
        <f t="shared" si="4"/>
        <v>48000</v>
      </c>
      <c r="N176" s="919"/>
      <c r="O176" s="919"/>
      <c r="P176" s="921">
        <f t="shared" si="5"/>
        <v>0</v>
      </c>
    </row>
    <row r="177" spans="1:16" ht="20.100000000000001" customHeight="1" x14ac:dyDescent="0.25">
      <c r="A177" s="918" t="s">
        <v>467</v>
      </c>
      <c r="B177" s="944" t="s">
        <v>3929</v>
      </c>
      <c r="C177" s="919" t="s">
        <v>3902</v>
      </c>
      <c r="D177" s="919" t="s">
        <v>4128</v>
      </c>
      <c r="E177" s="920">
        <v>2300</v>
      </c>
      <c r="F177" s="922" t="s">
        <v>4041</v>
      </c>
      <c r="G177" s="919" t="s">
        <v>4042</v>
      </c>
      <c r="H177" s="919" t="s">
        <v>4128</v>
      </c>
      <c r="I177" s="919" t="s">
        <v>3679</v>
      </c>
      <c r="J177" s="919"/>
      <c r="K177" s="920">
        <v>1</v>
      </c>
      <c r="L177" s="920">
        <v>12</v>
      </c>
      <c r="M177" s="920">
        <f t="shared" si="4"/>
        <v>27600</v>
      </c>
      <c r="N177" s="919"/>
      <c r="O177" s="919"/>
      <c r="P177" s="921">
        <f t="shared" si="5"/>
        <v>0</v>
      </c>
    </row>
    <row r="178" spans="1:16" ht="20.100000000000001" customHeight="1" x14ac:dyDescent="0.25">
      <c r="A178" s="918" t="s">
        <v>467</v>
      </c>
      <c r="B178" s="944" t="s">
        <v>3901</v>
      </c>
      <c r="C178" s="919" t="s">
        <v>3902</v>
      </c>
      <c r="D178" s="919" t="s">
        <v>4120</v>
      </c>
      <c r="E178" s="920">
        <v>3000</v>
      </c>
      <c r="F178" s="919" t="s">
        <v>4129</v>
      </c>
      <c r="G178" s="919" t="s">
        <v>4130</v>
      </c>
      <c r="H178" s="919" t="s">
        <v>4120</v>
      </c>
      <c r="I178" s="919" t="s">
        <v>3679</v>
      </c>
      <c r="J178" s="919"/>
      <c r="K178" s="920">
        <v>1</v>
      </c>
      <c r="L178" s="920">
        <v>12</v>
      </c>
      <c r="M178" s="920">
        <f t="shared" si="4"/>
        <v>36000</v>
      </c>
      <c r="N178" s="919"/>
      <c r="O178" s="919"/>
      <c r="P178" s="921">
        <f t="shared" si="5"/>
        <v>0</v>
      </c>
    </row>
    <row r="179" spans="1:16" ht="20.100000000000001" customHeight="1" x14ac:dyDescent="0.25">
      <c r="A179" s="918" t="s">
        <v>467</v>
      </c>
      <c r="B179" s="944" t="s">
        <v>3901</v>
      </c>
      <c r="C179" s="919" t="s">
        <v>3902</v>
      </c>
      <c r="D179" s="919" t="s">
        <v>4127</v>
      </c>
      <c r="E179" s="920">
        <v>4000</v>
      </c>
      <c r="F179" s="919" t="s">
        <v>4131</v>
      </c>
      <c r="G179" s="919" t="s">
        <v>4132</v>
      </c>
      <c r="H179" s="919" t="s">
        <v>4127</v>
      </c>
      <c r="I179" s="919" t="s">
        <v>3679</v>
      </c>
      <c r="J179" s="919"/>
      <c r="K179" s="920">
        <v>1</v>
      </c>
      <c r="L179" s="920">
        <v>12</v>
      </c>
      <c r="M179" s="920">
        <f t="shared" si="4"/>
        <v>48000</v>
      </c>
      <c r="N179" s="919"/>
      <c r="O179" s="919"/>
      <c r="P179" s="921">
        <f t="shared" si="5"/>
        <v>0</v>
      </c>
    </row>
    <row r="180" spans="1:16" ht="20.100000000000001" customHeight="1" x14ac:dyDescent="0.25">
      <c r="A180" s="918" t="s">
        <v>467</v>
      </c>
      <c r="B180" s="944" t="s">
        <v>3901</v>
      </c>
      <c r="C180" s="919" t="s">
        <v>3902</v>
      </c>
      <c r="D180" s="919" t="s">
        <v>3921</v>
      </c>
      <c r="E180" s="920">
        <v>3000</v>
      </c>
      <c r="F180" s="919" t="s">
        <v>4133</v>
      </c>
      <c r="G180" s="919" t="s">
        <v>4134</v>
      </c>
      <c r="H180" s="919" t="s">
        <v>3921</v>
      </c>
      <c r="I180" s="919" t="s">
        <v>3679</v>
      </c>
      <c r="J180" s="919"/>
      <c r="K180" s="920">
        <v>1</v>
      </c>
      <c r="L180" s="920">
        <v>12</v>
      </c>
      <c r="M180" s="920">
        <f t="shared" si="4"/>
        <v>36000</v>
      </c>
      <c r="N180" s="919"/>
      <c r="O180" s="919"/>
      <c r="P180" s="921">
        <f t="shared" si="5"/>
        <v>0</v>
      </c>
    </row>
    <row r="181" spans="1:16" ht="20.100000000000001" customHeight="1" x14ac:dyDescent="0.25">
      <c r="A181" s="918" t="s">
        <v>467</v>
      </c>
      <c r="B181" s="944" t="s">
        <v>3901</v>
      </c>
      <c r="C181" s="919" t="s">
        <v>3902</v>
      </c>
      <c r="D181" s="919" t="s">
        <v>4127</v>
      </c>
      <c r="E181" s="920">
        <v>4000</v>
      </c>
      <c r="F181" s="919" t="s">
        <v>4135</v>
      </c>
      <c r="G181" s="919" t="s">
        <v>4136</v>
      </c>
      <c r="H181" s="919" t="s">
        <v>4127</v>
      </c>
      <c r="I181" s="919" t="s">
        <v>3679</v>
      </c>
      <c r="J181" s="919"/>
      <c r="K181" s="920">
        <v>1</v>
      </c>
      <c r="L181" s="920">
        <v>12</v>
      </c>
      <c r="M181" s="920">
        <f t="shared" si="4"/>
        <v>48000</v>
      </c>
      <c r="N181" s="919"/>
      <c r="O181" s="919"/>
      <c r="P181" s="921">
        <f t="shared" si="5"/>
        <v>0</v>
      </c>
    </row>
    <row r="182" spans="1:16" ht="20.100000000000001" customHeight="1" x14ac:dyDescent="0.25">
      <c r="A182" s="918" t="s">
        <v>467</v>
      </c>
      <c r="B182" s="944" t="s">
        <v>3901</v>
      </c>
      <c r="C182" s="919" t="s">
        <v>3902</v>
      </c>
      <c r="D182" s="919" t="s">
        <v>4127</v>
      </c>
      <c r="E182" s="920">
        <v>4000</v>
      </c>
      <c r="F182" s="919" t="s">
        <v>4137</v>
      </c>
      <c r="G182" s="919" t="s">
        <v>4138</v>
      </c>
      <c r="H182" s="919" t="s">
        <v>4127</v>
      </c>
      <c r="I182" s="919" t="s">
        <v>3679</v>
      </c>
      <c r="J182" s="919"/>
      <c r="K182" s="920">
        <v>1</v>
      </c>
      <c r="L182" s="920">
        <v>12</v>
      </c>
      <c r="M182" s="920">
        <f t="shared" si="4"/>
        <v>48000</v>
      </c>
      <c r="N182" s="919"/>
      <c r="O182" s="919"/>
      <c r="P182" s="921">
        <f t="shared" si="5"/>
        <v>0</v>
      </c>
    </row>
    <row r="183" spans="1:16" ht="20.100000000000001" customHeight="1" x14ac:dyDescent="0.25">
      <c r="A183" s="918" t="s">
        <v>467</v>
      </c>
      <c r="B183" s="944" t="s">
        <v>3901</v>
      </c>
      <c r="C183" s="919" t="s">
        <v>3902</v>
      </c>
      <c r="D183" s="919" t="s">
        <v>4139</v>
      </c>
      <c r="E183" s="920">
        <v>3000</v>
      </c>
      <c r="F183" s="919" t="s">
        <v>4041</v>
      </c>
      <c r="G183" s="919" t="s">
        <v>4042</v>
      </c>
      <c r="H183" s="919" t="s">
        <v>4139</v>
      </c>
      <c r="I183" s="919" t="s">
        <v>3679</v>
      </c>
      <c r="J183" s="919"/>
      <c r="K183" s="920">
        <v>1</v>
      </c>
      <c r="L183" s="920">
        <v>12</v>
      </c>
      <c r="M183" s="920">
        <f t="shared" si="4"/>
        <v>36000</v>
      </c>
      <c r="N183" s="919"/>
      <c r="O183" s="919"/>
      <c r="P183" s="921">
        <f t="shared" si="5"/>
        <v>0</v>
      </c>
    </row>
    <row r="184" spans="1:16" ht="20.100000000000001" customHeight="1" x14ac:dyDescent="0.25">
      <c r="A184" s="918" t="s">
        <v>467</v>
      </c>
      <c r="B184" s="944" t="s">
        <v>3901</v>
      </c>
      <c r="C184" s="919" t="s">
        <v>3902</v>
      </c>
      <c r="D184" s="919" t="s">
        <v>4139</v>
      </c>
      <c r="E184" s="920">
        <v>3000</v>
      </c>
      <c r="F184" s="919" t="s">
        <v>4140</v>
      </c>
      <c r="G184" s="919" t="s">
        <v>4141</v>
      </c>
      <c r="H184" s="919" t="s">
        <v>4139</v>
      </c>
      <c r="I184" s="919" t="s">
        <v>3679</v>
      </c>
      <c r="J184" s="919"/>
      <c r="K184" s="920">
        <v>1</v>
      </c>
      <c r="L184" s="920">
        <v>12</v>
      </c>
      <c r="M184" s="920">
        <f t="shared" si="4"/>
        <v>36000</v>
      </c>
      <c r="N184" s="919"/>
      <c r="O184" s="919"/>
      <c r="P184" s="921">
        <f t="shared" si="5"/>
        <v>0</v>
      </c>
    </row>
    <row r="185" spans="1:16" ht="20.100000000000001" customHeight="1" x14ac:dyDescent="0.25">
      <c r="A185" s="918" t="s">
        <v>467</v>
      </c>
      <c r="B185" s="944" t="s">
        <v>3901</v>
      </c>
      <c r="C185" s="919" t="s">
        <v>3902</v>
      </c>
      <c r="D185" s="919" t="s">
        <v>4127</v>
      </c>
      <c r="E185" s="920">
        <v>4000</v>
      </c>
      <c r="F185" s="919" t="s">
        <v>4142</v>
      </c>
      <c r="G185" s="919" t="s">
        <v>4143</v>
      </c>
      <c r="H185" s="919" t="s">
        <v>4127</v>
      </c>
      <c r="I185" s="919" t="s">
        <v>3679</v>
      </c>
      <c r="J185" s="919"/>
      <c r="K185" s="920">
        <v>1</v>
      </c>
      <c r="L185" s="920">
        <v>12</v>
      </c>
      <c r="M185" s="920">
        <f t="shared" si="4"/>
        <v>48000</v>
      </c>
      <c r="N185" s="919"/>
      <c r="O185" s="919"/>
      <c r="P185" s="921">
        <f t="shared" si="5"/>
        <v>0</v>
      </c>
    </row>
    <row r="186" spans="1:16" ht="20.100000000000001" customHeight="1" x14ac:dyDescent="0.25">
      <c r="A186" s="918" t="s">
        <v>467</v>
      </c>
      <c r="B186" s="944" t="s">
        <v>3901</v>
      </c>
      <c r="C186" s="919" t="s">
        <v>3902</v>
      </c>
      <c r="D186" s="919" t="s">
        <v>4128</v>
      </c>
      <c r="E186" s="920">
        <v>4000</v>
      </c>
      <c r="F186" s="919" t="s">
        <v>4144</v>
      </c>
      <c r="G186" s="919" t="s">
        <v>4145</v>
      </c>
      <c r="H186" s="919" t="s">
        <v>4128</v>
      </c>
      <c r="I186" s="919" t="s">
        <v>3679</v>
      </c>
      <c r="J186" s="919"/>
      <c r="K186" s="920">
        <v>1</v>
      </c>
      <c r="L186" s="920">
        <v>12</v>
      </c>
      <c r="M186" s="920">
        <f t="shared" si="4"/>
        <v>48000</v>
      </c>
      <c r="N186" s="919"/>
      <c r="O186" s="919"/>
      <c r="P186" s="921">
        <f t="shared" si="5"/>
        <v>0</v>
      </c>
    </row>
    <row r="187" spans="1:16" ht="20.100000000000001" customHeight="1" x14ac:dyDescent="0.25">
      <c r="A187" s="918" t="s">
        <v>467</v>
      </c>
      <c r="B187" s="944" t="s">
        <v>3901</v>
      </c>
      <c r="C187" s="919" t="s">
        <v>3902</v>
      </c>
      <c r="D187" s="919" t="s">
        <v>4127</v>
      </c>
      <c r="E187" s="920">
        <v>4000</v>
      </c>
      <c r="F187" s="919" t="s">
        <v>4146</v>
      </c>
      <c r="G187" s="919" t="s">
        <v>4147</v>
      </c>
      <c r="H187" s="919" t="s">
        <v>4127</v>
      </c>
      <c r="I187" s="919" t="s">
        <v>3679</v>
      </c>
      <c r="J187" s="919"/>
      <c r="K187" s="920">
        <v>1</v>
      </c>
      <c r="L187" s="920">
        <v>12</v>
      </c>
      <c r="M187" s="920">
        <f t="shared" si="4"/>
        <v>48000</v>
      </c>
      <c r="N187" s="919"/>
      <c r="O187" s="919"/>
      <c r="P187" s="921">
        <f t="shared" si="5"/>
        <v>0</v>
      </c>
    </row>
    <row r="188" spans="1:16" ht="20.100000000000001" customHeight="1" x14ac:dyDescent="0.25">
      <c r="A188" s="918" t="s">
        <v>467</v>
      </c>
      <c r="B188" s="944" t="s">
        <v>3901</v>
      </c>
      <c r="C188" s="919" t="s">
        <v>3902</v>
      </c>
      <c r="D188" s="919" t="s">
        <v>4120</v>
      </c>
      <c r="E188" s="920">
        <v>3000</v>
      </c>
      <c r="F188" s="919" t="s">
        <v>4148</v>
      </c>
      <c r="G188" s="919" t="s">
        <v>4149</v>
      </c>
      <c r="H188" s="919" t="s">
        <v>4120</v>
      </c>
      <c r="I188" s="919" t="s">
        <v>3679</v>
      </c>
      <c r="J188" s="919"/>
      <c r="K188" s="920">
        <v>1</v>
      </c>
      <c r="L188" s="920">
        <v>12</v>
      </c>
      <c r="M188" s="920">
        <f t="shared" si="4"/>
        <v>36000</v>
      </c>
      <c r="N188" s="919"/>
      <c r="O188" s="919"/>
      <c r="P188" s="921">
        <f t="shared" si="5"/>
        <v>0</v>
      </c>
    </row>
    <row r="189" spans="1:16" ht="20.100000000000001" customHeight="1" x14ac:dyDescent="0.25">
      <c r="A189" s="918" t="s">
        <v>467</v>
      </c>
      <c r="B189" s="944" t="s">
        <v>3901</v>
      </c>
      <c r="C189" s="919" t="s">
        <v>3902</v>
      </c>
      <c r="D189" s="919" t="s">
        <v>4127</v>
      </c>
      <c r="E189" s="920">
        <v>4000</v>
      </c>
      <c r="F189" s="919" t="s">
        <v>4041</v>
      </c>
      <c r="G189" s="919" t="s">
        <v>4042</v>
      </c>
      <c r="H189" s="919" t="s">
        <v>4127</v>
      </c>
      <c r="I189" s="919" t="s">
        <v>3679</v>
      </c>
      <c r="J189" s="919"/>
      <c r="K189" s="920">
        <v>1</v>
      </c>
      <c r="L189" s="920">
        <v>12</v>
      </c>
      <c r="M189" s="920">
        <f t="shared" si="4"/>
        <v>48000</v>
      </c>
      <c r="N189" s="919"/>
      <c r="O189" s="919"/>
      <c r="P189" s="921">
        <f t="shared" si="5"/>
        <v>0</v>
      </c>
    </row>
    <row r="190" spans="1:16" ht="20.100000000000001" customHeight="1" x14ac:dyDescent="0.25">
      <c r="A190" s="918" t="s">
        <v>467</v>
      </c>
      <c r="B190" s="944" t="s">
        <v>3901</v>
      </c>
      <c r="C190" s="919" t="s">
        <v>3902</v>
      </c>
      <c r="D190" s="919" t="s">
        <v>4139</v>
      </c>
      <c r="E190" s="920">
        <v>4000</v>
      </c>
      <c r="F190" s="919" t="s">
        <v>4150</v>
      </c>
      <c r="G190" s="919" t="s">
        <v>4151</v>
      </c>
      <c r="H190" s="919" t="s">
        <v>4139</v>
      </c>
      <c r="I190" s="919" t="s">
        <v>3679</v>
      </c>
      <c r="J190" s="919"/>
      <c r="K190" s="920">
        <v>1</v>
      </c>
      <c r="L190" s="920">
        <v>12</v>
      </c>
      <c r="M190" s="920">
        <f t="shared" si="4"/>
        <v>48000</v>
      </c>
      <c r="N190" s="919"/>
      <c r="O190" s="919"/>
      <c r="P190" s="921">
        <f t="shared" si="5"/>
        <v>0</v>
      </c>
    </row>
    <row r="191" spans="1:16" ht="20.100000000000001" customHeight="1" x14ac:dyDescent="0.25">
      <c r="A191" s="918" t="s">
        <v>467</v>
      </c>
      <c r="B191" s="944" t="s">
        <v>3901</v>
      </c>
      <c r="C191" s="919" t="s">
        <v>3902</v>
      </c>
      <c r="D191" s="919" t="s">
        <v>3955</v>
      </c>
      <c r="E191" s="920">
        <v>4000</v>
      </c>
      <c r="F191" s="919" t="s">
        <v>4152</v>
      </c>
      <c r="G191" s="919" t="s">
        <v>4153</v>
      </c>
      <c r="H191" s="919" t="s">
        <v>3955</v>
      </c>
      <c r="I191" s="919" t="s">
        <v>3679</v>
      </c>
      <c r="J191" s="919"/>
      <c r="K191" s="920">
        <v>1</v>
      </c>
      <c r="L191" s="920">
        <v>12</v>
      </c>
      <c r="M191" s="920">
        <f t="shared" si="4"/>
        <v>48000</v>
      </c>
      <c r="N191" s="919"/>
      <c r="O191" s="919"/>
      <c r="P191" s="921">
        <f t="shared" si="5"/>
        <v>0</v>
      </c>
    </row>
    <row r="192" spans="1:16" ht="20.100000000000001" customHeight="1" x14ac:dyDescent="0.25">
      <c r="A192" s="918" t="s">
        <v>467</v>
      </c>
      <c r="B192" s="944" t="s">
        <v>3901</v>
      </c>
      <c r="C192" s="919" t="s">
        <v>3902</v>
      </c>
      <c r="D192" s="919" t="s">
        <v>3955</v>
      </c>
      <c r="E192" s="920">
        <v>3000</v>
      </c>
      <c r="F192" s="919" t="s">
        <v>4154</v>
      </c>
      <c r="G192" s="919" t="s">
        <v>4155</v>
      </c>
      <c r="H192" s="919" t="s">
        <v>3955</v>
      </c>
      <c r="I192" s="919" t="s">
        <v>3679</v>
      </c>
      <c r="J192" s="919"/>
      <c r="K192" s="920">
        <v>1</v>
      </c>
      <c r="L192" s="920">
        <v>12</v>
      </c>
      <c r="M192" s="920">
        <f t="shared" si="4"/>
        <v>36000</v>
      </c>
      <c r="N192" s="919"/>
      <c r="O192" s="919"/>
      <c r="P192" s="921">
        <f t="shared" si="5"/>
        <v>0</v>
      </c>
    </row>
    <row r="193" spans="1:16" ht="20.100000000000001" customHeight="1" x14ac:dyDescent="0.25">
      <c r="A193" s="918" t="s">
        <v>467</v>
      </c>
      <c r="B193" s="944" t="s">
        <v>3901</v>
      </c>
      <c r="C193" s="919" t="s">
        <v>3902</v>
      </c>
      <c r="D193" s="919" t="s">
        <v>4128</v>
      </c>
      <c r="E193" s="920">
        <v>2300</v>
      </c>
      <c r="F193" s="919" t="s">
        <v>4156</v>
      </c>
      <c r="G193" s="919" t="s">
        <v>4157</v>
      </c>
      <c r="H193" s="919" t="s">
        <v>4128</v>
      </c>
      <c r="I193" s="919" t="s">
        <v>3686</v>
      </c>
      <c r="J193" s="919"/>
      <c r="K193" s="920">
        <v>1</v>
      </c>
      <c r="L193" s="920">
        <v>12</v>
      </c>
      <c r="M193" s="920">
        <f t="shared" si="4"/>
        <v>27600</v>
      </c>
      <c r="N193" s="919"/>
      <c r="O193" s="919"/>
      <c r="P193" s="921">
        <f t="shared" si="5"/>
        <v>0</v>
      </c>
    </row>
    <row r="194" spans="1:16" ht="20.100000000000001" customHeight="1" x14ac:dyDescent="0.25">
      <c r="A194" s="918" t="s">
        <v>467</v>
      </c>
      <c r="B194" s="944" t="s">
        <v>3901</v>
      </c>
      <c r="C194" s="919" t="s">
        <v>3902</v>
      </c>
      <c r="D194" s="919" t="s">
        <v>4127</v>
      </c>
      <c r="E194" s="920">
        <v>4000</v>
      </c>
      <c r="F194" s="919" t="s">
        <v>4041</v>
      </c>
      <c r="G194" s="919" t="s">
        <v>4042</v>
      </c>
      <c r="H194" s="919" t="s">
        <v>4127</v>
      </c>
      <c r="I194" s="919" t="s">
        <v>3679</v>
      </c>
      <c r="J194" s="919"/>
      <c r="K194" s="920">
        <v>1</v>
      </c>
      <c r="L194" s="920">
        <v>12</v>
      </c>
      <c r="M194" s="920">
        <f t="shared" si="4"/>
        <v>48000</v>
      </c>
      <c r="N194" s="919"/>
      <c r="O194" s="919"/>
      <c r="P194" s="921">
        <f t="shared" si="5"/>
        <v>0</v>
      </c>
    </row>
    <row r="195" spans="1:16" ht="20.100000000000001" customHeight="1" x14ac:dyDescent="0.25">
      <c r="A195" s="918" t="s">
        <v>467</v>
      </c>
      <c r="B195" s="944" t="s">
        <v>3901</v>
      </c>
      <c r="C195" s="919" t="s">
        <v>3902</v>
      </c>
      <c r="D195" s="919" t="s">
        <v>4139</v>
      </c>
      <c r="E195" s="920">
        <v>3000</v>
      </c>
      <c r="F195" s="919" t="s">
        <v>4041</v>
      </c>
      <c r="G195" s="919" t="s">
        <v>4042</v>
      </c>
      <c r="H195" s="919" t="s">
        <v>4139</v>
      </c>
      <c r="I195" s="919" t="s">
        <v>3679</v>
      </c>
      <c r="J195" s="919"/>
      <c r="K195" s="920">
        <v>1</v>
      </c>
      <c r="L195" s="920">
        <v>12</v>
      </c>
      <c r="M195" s="920">
        <f t="shared" si="4"/>
        <v>36000</v>
      </c>
      <c r="N195" s="919"/>
      <c r="O195" s="919"/>
      <c r="P195" s="921">
        <f t="shared" si="5"/>
        <v>0</v>
      </c>
    </row>
    <row r="196" spans="1:16" ht="20.100000000000001" customHeight="1" x14ac:dyDescent="0.25">
      <c r="A196" s="918" t="s">
        <v>467</v>
      </c>
      <c r="B196" s="944" t="s">
        <v>3901</v>
      </c>
      <c r="C196" s="919" t="s">
        <v>3902</v>
      </c>
      <c r="D196" s="919" t="s">
        <v>4120</v>
      </c>
      <c r="E196" s="920">
        <v>3000</v>
      </c>
      <c r="F196" s="919" t="s">
        <v>4158</v>
      </c>
      <c r="G196" s="919" t="s">
        <v>4159</v>
      </c>
      <c r="H196" s="919" t="s">
        <v>4120</v>
      </c>
      <c r="I196" s="919" t="s">
        <v>3679</v>
      </c>
      <c r="J196" s="919"/>
      <c r="K196" s="920">
        <v>1</v>
      </c>
      <c r="L196" s="920">
        <v>12</v>
      </c>
      <c r="M196" s="920">
        <f t="shared" si="4"/>
        <v>36000</v>
      </c>
      <c r="N196" s="919"/>
      <c r="O196" s="919"/>
      <c r="P196" s="921">
        <f t="shared" si="5"/>
        <v>0</v>
      </c>
    </row>
    <row r="197" spans="1:16" ht="20.100000000000001" customHeight="1" x14ac:dyDescent="0.25">
      <c r="A197" s="918" t="s">
        <v>467</v>
      </c>
      <c r="B197" s="944" t="s">
        <v>3901</v>
      </c>
      <c r="C197" s="919" t="s">
        <v>3902</v>
      </c>
      <c r="D197" s="919" t="s">
        <v>4120</v>
      </c>
      <c r="E197" s="920">
        <v>3000</v>
      </c>
      <c r="F197" s="919" t="s">
        <v>4160</v>
      </c>
      <c r="G197" s="919" t="s">
        <v>4161</v>
      </c>
      <c r="H197" s="919" t="s">
        <v>4120</v>
      </c>
      <c r="I197" s="919" t="s">
        <v>3679</v>
      </c>
      <c r="J197" s="919"/>
      <c r="K197" s="920">
        <v>1</v>
      </c>
      <c r="L197" s="920">
        <v>12</v>
      </c>
      <c r="M197" s="920">
        <f t="shared" si="4"/>
        <v>36000</v>
      </c>
      <c r="N197" s="919"/>
      <c r="O197" s="919"/>
      <c r="P197" s="921">
        <f t="shared" si="5"/>
        <v>0</v>
      </c>
    </row>
    <row r="198" spans="1:16" ht="20.100000000000001" customHeight="1" x14ac:dyDescent="0.25">
      <c r="A198" s="918" t="s">
        <v>467</v>
      </c>
      <c r="B198" s="944" t="s">
        <v>3901</v>
      </c>
      <c r="C198" s="919" t="s">
        <v>3902</v>
      </c>
      <c r="D198" s="919" t="s">
        <v>4128</v>
      </c>
      <c r="E198" s="920">
        <v>2300</v>
      </c>
      <c r="F198" s="919" t="s">
        <v>4162</v>
      </c>
      <c r="G198" s="919" t="s">
        <v>4163</v>
      </c>
      <c r="H198" s="919" t="s">
        <v>4128</v>
      </c>
      <c r="I198" s="919" t="s">
        <v>3686</v>
      </c>
      <c r="J198" s="919"/>
      <c r="K198" s="920">
        <v>1</v>
      </c>
      <c r="L198" s="920">
        <v>12</v>
      </c>
      <c r="M198" s="920">
        <f t="shared" ref="M198:M261" si="6">E198*L198</f>
        <v>27600</v>
      </c>
      <c r="N198" s="919"/>
      <c r="O198" s="919"/>
      <c r="P198" s="921">
        <f t="shared" ref="P198:P261" si="7">E198*O198</f>
        <v>0</v>
      </c>
    </row>
    <row r="199" spans="1:16" ht="20.100000000000001" customHeight="1" x14ac:dyDescent="0.25">
      <c r="A199" s="918" t="s">
        <v>467</v>
      </c>
      <c r="B199" s="944" t="s">
        <v>3901</v>
      </c>
      <c r="C199" s="919" t="s">
        <v>3902</v>
      </c>
      <c r="D199" s="919" t="s">
        <v>4164</v>
      </c>
      <c r="E199" s="920">
        <v>4000</v>
      </c>
      <c r="F199" s="919" t="s">
        <v>4165</v>
      </c>
      <c r="G199" s="919" t="s">
        <v>4166</v>
      </c>
      <c r="H199" s="919" t="s">
        <v>4164</v>
      </c>
      <c r="I199" s="919" t="s">
        <v>3679</v>
      </c>
      <c r="J199" s="919"/>
      <c r="K199" s="920">
        <v>1</v>
      </c>
      <c r="L199" s="920">
        <v>12</v>
      </c>
      <c r="M199" s="920">
        <f t="shared" si="6"/>
        <v>48000</v>
      </c>
      <c r="N199" s="919"/>
      <c r="O199" s="919"/>
      <c r="P199" s="921">
        <f t="shared" si="7"/>
        <v>0</v>
      </c>
    </row>
    <row r="200" spans="1:16" ht="20.100000000000001" customHeight="1" x14ac:dyDescent="0.25">
      <c r="A200" s="918" t="s">
        <v>467</v>
      </c>
      <c r="B200" s="944" t="s">
        <v>3901</v>
      </c>
      <c r="C200" s="919" t="s">
        <v>3902</v>
      </c>
      <c r="D200" s="919" t="s">
        <v>4120</v>
      </c>
      <c r="E200" s="920">
        <v>3000</v>
      </c>
      <c r="F200" s="919" t="s">
        <v>4167</v>
      </c>
      <c r="G200" s="919" t="s">
        <v>4168</v>
      </c>
      <c r="H200" s="919" t="s">
        <v>4120</v>
      </c>
      <c r="I200" s="919" t="s">
        <v>3679</v>
      </c>
      <c r="J200" s="919"/>
      <c r="K200" s="920">
        <v>1</v>
      </c>
      <c r="L200" s="920">
        <v>12</v>
      </c>
      <c r="M200" s="920">
        <f t="shared" si="6"/>
        <v>36000</v>
      </c>
      <c r="N200" s="919"/>
      <c r="O200" s="919"/>
      <c r="P200" s="921">
        <f t="shared" si="7"/>
        <v>0</v>
      </c>
    </row>
    <row r="201" spans="1:16" ht="20.100000000000001" customHeight="1" x14ac:dyDescent="0.25">
      <c r="A201" s="918" t="s">
        <v>467</v>
      </c>
      <c r="B201" s="944" t="s">
        <v>3901</v>
      </c>
      <c r="C201" s="919" t="s">
        <v>3902</v>
      </c>
      <c r="D201" s="919" t="s">
        <v>3955</v>
      </c>
      <c r="E201" s="920">
        <v>3000</v>
      </c>
      <c r="F201" s="919" t="s">
        <v>4169</v>
      </c>
      <c r="G201" s="919" t="s">
        <v>4170</v>
      </c>
      <c r="H201" s="919" t="s">
        <v>3955</v>
      </c>
      <c r="I201" s="919" t="s">
        <v>3679</v>
      </c>
      <c r="J201" s="919"/>
      <c r="K201" s="920">
        <v>1</v>
      </c>
      <c r="L201" s="920">
        <v>12</v>
      </c>
      <c r="M201" s="920">
        <f t="shared" si="6"/>
        <v>36000</v>
      </c>
      <c r="N201" s="919"/>
      <c r="O201" s="919"/>
      <c r="P201" s="921">
        <f t="shared" si="7"/>
        <v>0</v>
      </c>
    </row>
    <row r="202" spans="1:16" ht="20.100000000000001" customHeight="1" x14ac:dyDescent="0.25">
      <c r="A202" s="918" t="s">
        <v>468</v>
      </c>
      <c r="B202" s="944" t="s">
        <v>3901</v>
      </c>
      <c r="C202" s="919" t="s">
        <v>3902</v>
      </c>
      <c r="D202" s="919" t="s">
        <v>4171</v>
      </c>
      <c r="E202" s="920">
        <v>3500</v>
      </c>
      <c r="F202" s="919" t="s">
        <v>4172</v>
      </c>
      <c r="G202" s="919" t="s">
        <v>4173</v>
      </c>
      <c r="H202" s="919" t="s">
        <v>4171</v>
      </c>
      <c r="I202" s="919" t="s">
        <v>3679</v>
      </c>
      <c r="J202" s="919"/>
      <c r="K202" s="920"/>
      <c r="L202" s="920"/>
      <c r="M202" s="920">
        <f t="shared" si="6"/>
        <v>0</v>
      </c>
      <c r="N202" s="919">
        <v>1</v>
      </c>
      <c r="O202" s="919">
        <v>1</v>
      </c>
      <c r="P202" s="921">
        <f t="shared" si="7"/>
        <v>3500</v>
      </c>
    </row>
    <row r="203" spans="1:16" ht="20.100000000000001" customHeight="1" x14ac:dyDescent="0.25">
      <c r="A203" s="918" t="s">
        <v>468</v>
      </c>
      <c r="B203" s="944" t="s">
        <v>3901</v>
      </c>
      <c r="C203" s="919" t="s">
        <v>3902</v>
      </c>
      <c r="D203" s="919" t="s">
        <v>4171</v>
      </c>
      <c r="E203" s="920">
        <v>3500</v>
      </c>
      <c r="F203" s="919" t="s">
        <v>4174</v>
      </c>
      <c r="G203" s="919" t="s">
        <v>4175</v>
      </c>
      <c r="H203" s="919" t="s">
        <v>4171</v>
      </c>
      <c r="I203" s="919" t="s">
        <v>3679</v>
      </c>
      <c r="J203" s="919"/>
      <c r="K203" s="920"/>
      <c r="L203" s="920"/>
      <c r="M203" s="920">
        <f t="shared" si="6"/>
        <v>0</v>
      </c>
      <c r="N203" s="919">
        <v>1</v>
      </c>
      <c r="O203" s="919">
        <v>1</v>
      </c>
      <c r="P203" s="921">
        <f t="shared" si="7"/>
        <v>3500</v>
      </c>
    </row>
    <row r="204" spans="1:16" ht="20.100000000000001" customHeight="1" x14ac:dyDescent="0.25">
      <c r="A204" s="918" t="s">
        <v>468</v>
      </c>
      <c r="B204" s="944" t="s">
        <v>3901</v>
      </c>
      <c r="C204" s="919" t="s">
        <v>3902</v>
      </c>
      <c r="D204" s="919" t="s">
        <v>4171</v>
      </c>
      <c r="E204" s="920">
        <v>3500</v>
      </c>
      <c r="F204" s="919" t="s">
        <v>4176</v>
      </c>
      <c r="G204" s="919" t="s">
        <v>4177</v>
      </c>
      <c r="H204" s="919" t="s">
        <v>4171</v>
      </c>
      <c r="I204" s="919" t="s">
        <v>3679</v>
      </c>
      <c r="J204" s="919"/>
      <c r="K204" s="920"/>
      <c r="L204" s="920"/>
      <c r="M204" s="920">
        <f t="shared" si="6"/>
        <v>0</v>
      </c>
      <c r="N204" s="919">
        <v>1</v>
      </c>
      <c r="O204" s="919">
        <v>1</v>
      </c>
      <c r="P204" s="921">
        <f t="shared" si="7"/>
        <v>3500</v>
      </c>
    </row>
    <row r="205" spans="1:16" ht="20.100000000000001" customHeight="1" x14ac:dyDescent="0.25">
      <c r="A205" s="918" t="s">
        <v>468</v>
      </c>
      <c r="B205" s="944" t="s">
        <v>3901</v>
      </c>
      <c r="C205" s="919" t="s">
        <v>3902</v>
      </c>
      <c r="D205" s="919" t="s">
        <v>4171</v>
      </c>
      <c r="E205" s="920">
        <v>3500</v>
      </c>
      <c r="F205" s="919" t="s">
        <v>4178</v>
      </c>
      <c r="G205" s="919" t="s">
        <v>4179</v>
      </c>
      <c r="H205" s="919" t="s">
        <v>4171</v>
      </c>
      <c r="I205" s="919" t="s">
        <v>3679</v>
      </c>
      <c r="J205" s="919"/>
      <c r="K205" s="920"/>
      <c r="L205" s="920"/>
      <c r="M205" s="920">
        <f t="shared" si="6"/>
        <v>0</v>
      </c>
      <c r="N205" s="919">
        <v>1</v>
      </c>
      <c r="O205" s="919">
        <v>1</v>
      </c>
      <c r="P205" s="921">
        <f t="shared" si="7"/>
        <v>3500</v>
      </c>
    </row>
    <row r="206" spans="1:16" ht="20.100000000000001" customHeight="1" x14ac:dyDescent="0.25">
      <c r="A206" s="918" t="s">
        <v>468</v>
      </c>
      <c r="B206" s="944" t="s">
        <v>3901</v>
      </c>
      <c r="C206" s="919" t="s">
        <v>3902</v>
      </c>
      <c r="D206" s="919" t="s">
        <v>4171</v>
      </c>
      <c r="E206" s="920">
        <v>3500</v>
      </c>
      <c r="F206" s="919" t="s">
        <v>4180</v>
      </c>
      <c r="G206" s="919" t="s">
        <v>4181</v>
      </c>
      <c r="H206" s="919" t="s">
        <v>4171</v>
      </c>
      <c r="I206" s="919" t="s">
        <v>3679</v>
      </c>
      <c r="J206" s="919"/>
      <c r="K206" s="920"/>
      <c r="L206" s="920"/>
      <c r="M206" s="920">
        <f t="shared" si="6"/>
        <v>0</v>
      </c>
      <c r="N206" s="919">
        <v>1</v>
      </c>
      <c r="O206" s="919">
        <v>1</v>
      </c>
      <c r="P206" s="921">
        <f t="shared" si="7"/>
        <v>3500</v>
      </c>
    </row>
    <row r="207" spans="1:16" ht="20.100000000000001" customHeight="1" x14ac:dyDescent="0.25">
      <c r="A207" s="918" t="s">
        <v>468</v>
      </c>
      <c r="B207" s="944" t="s">
        <v>3901</v>
      </c>
      <c r="C207" s="919" t="s">
        <v>3902</v>
      </c>
      <c r="D207" s="919" t="s">
        <v>4171</v>
      </c>
      <c r="E207" s="920">
        <v>3500</v>
      </c>
      <c r="F207" s="919" t="s">
        <v>4182</v>
      </c>
      <c r="G207" s="919" t="s">
        <v>4183</v>
      </c>
      <c r="H207" s="919" t="s">
        <v>4171</v>
      </c>
      <c r="I207" s="919" t="s">
        <v>3679</v>
      </c>
      <c r="J207" s="919"/>
      <c r="K207" s="920"/>
      <c r="L207" s="920"/>
      <c r="M207" s="920">
        <f t="shared" si="6"/>
        <v>0</v>
      </c>
      <c r="N207" s="919">
        <v>1</v>
      </c>
      <c r="O207" s="919">
        <v>1</v>
      </c>
      <c r="P207" s="921">
        <f t="shared" si="7"/>
        <v>3500</v>
      </c>
    </row>
    <row r="208" spans="1:16" ht="20.100000000000001" customHeight="1" x14ac:dyDescent="0.25">
      <c r="A208" s="918" t="s">
        <v>468</v>
      </c>
      <c r="B208" s="944" t="s">
        <v>3901</v>
      </c>
      <c r="C208" s="919" t="s">
        <v>3902</v>
      </c>
      <c r="D208" s="919" t="s">
        <v>4171</v>
      </c>
      <c r="E208" s="920">
        <v>3500</v>
      </c>
      <c r="F208" s="919" t="s">
        <v>4184</v>
      </c>
      <c r="G208" s="919" t="s">
        <v>4185</v>
      </c>
      <c r="H208" s="919" t="s">
        <v>4171</v>
      </c>
      <c r="I208" s="919" t="s">
        <v>3679</v>
      </c>
      <c r="J208" s="919"/>
      <c r="K208" s="920"/>
      <c r="L208" s="920"/>
      <c r="M208" s="920">
        <f t="shared" si="6"/>
        <v>0</v>
      </c>
      <c r="N208" s="919">
        <v>1</v>
      </c>
      <c r="O208" s="919">
        <v>1</v>
      </c>
      <c r="P208" s="921">
        <f t="shared" si="7"/>
        <v>3500</v>
      </c>
    </row>
    <row r="209" spans="1:16" ht="20.100000000000001" customHeight="1" x14ac:dyDescent="0.25">
      <c r="A209" s="918" t="s">
        <v>468</v>
      </c>
      <c r="B209" s="944" t="s">
        <v>3901</v>
      </c>
      <c r="C209" s="919" t="s">
        <v>3902</v>
      </c>
      <c r="D209" s="919" t="s">
        <v>4171</v>
      </c>
      <c r="E209" s="920">
        <v>3500</v>
      </c>
      <c r="F209" s="919" t="s">
        <v>4186</v>
      </c>
      <c r="G209" s="919" t="s">
        <v>4187</v>
      </c>
      <c r="H209" s="919" t="s">
        <v>4171</v>
      </c>
      <c r="I209" s="919" t="s">
        <v>3679</v>
      </c>
      <c r="J209" s="919"/>
      <c r="K209" s="920"/>
      <c r="L209" s="920"/>
      <c r="M209" s="920">
        <f t="shared" si="6"/>
        <v>0</v>
      </c>
      <c r="N209" s="919">
        <v>1</v>
      </c>
      <c r="O209" s="919">
        <v>1</v>
      </c>
      <c r="P209" s="921">
        <f t="shared" si="7"/>
        <v>3500</v>
      </c>
    </row>
    <row r="210" spans="1:16" ht="20.100000000000001" customHeight="1" x14ac:dyDescent="0.25">
      <c r="A210" s="918" t="s">
        <v>468</v>
      </c>
      <c r="B210" s="944" t="s">
        <v>3901</v>
      </c>
      <c r="C210" s="919" t="s">
        <v>3902</v>
      </c>
      <c r="D210" s="919" t="s">
        <v>4171</v>
      </c>
      <c r="E210" s="920">
        <v>3500</v>
      </c>
      <c r="F210" s="919" t="s">
        <v>4188</v>
      </c>
      <c r="G210" s="919" t="s">
        <v>4189</v>
      </c>
      <c r="H210" s="919" t="s">
        <v>4171</v>
      </c>
      <c r="I210" s="919" t="s">
        <v>3679</v>
      </c>
      <c r="J210" s="919"/>
      <c r="K210" s="920"/>
      <c r="L210" s="920"/>
      <c r="M210" s="920">
        <f t="shared" si="6"/>
        <v>0</v>
      </c>
      <c r="N210" s="919">
        <v>1</v>
      </c>
      <c r="O210" s="919">
        <v>1</v>
      </c>
      <c r="P210" s="921">
        <f t="shared" si="7"/>
        <v>3500</v>
      </c>
    </row>
    <row r="211" spans="1:16" ht="20.100000000000001" customHeight="1" x14ac:dyDescent="0.25">
      <c r="A211" s="918" t="s">
        <v>468</v>
      </c>
      <c r="B211" s="944" t="s">
        <v>3901</v>
      </c>
      <c r="C211" s="919" t="s">
        <v>3902</v>
      </c>
      <c r="D211" s="919" t="s">
        <v>4171</v>
      </c>
      <c r="E211" s="920">
        <v>3500</v>
      </c>
      <c r="F211" s="919" t="s">
        <v>4190</v>
      </c>
      <c r="G211" s="919" t="s">
        <v>4191</v>
      </c>
      <c r="H211" s="919" t="s">
        <v>4171</v>
      </c>
      <c r="I211" s="919" t="s">
        <v>3679</v>
      </c>
      <c r="J211" s="919"/>
      <c r="K211" s="920"/>
      <c r="L211" s="920"/>
      <c r="M211" s="920">
        <f t="shared" si="6"/>
        <v>0</v>
      </c>
      <c r="N211" s="919">
        <v>1</v>
      </c>
      <c r="O211" s="919">
        <v>1</v>
      </c>
      <c r="P211" s="921">
        <f t="shared" si="7"/>
        <v>3500</v>
      </c>
    </row>
    <row r="212" spans="1:16" ht="20.100000000000001" customHeight="1" x14ac:dyDescent="0.25">
      <c r="A212" s="918" t="s">
        <v>468</v>
      </c>
      <c r="B212" s="944" t="s">
        <v>3901</v>
      </c>
      <c r="C212" s="919" t="s">
        <v>3902</v>
      </c>
      <c r="D212" s="919" t="s">
        <v>4171</v>
      </c>
      <c r="E212" s="920">
        <v>3500</v>
      </c>
      <c r="F212" s="919" t="s">
        <v>4192</v>
      </c>
      <c r="G212" s="919" t="s">
        <v>4193</v>
      </c>
      <c r="H212" s="919" t="s">
        <v>4171</v>
      </c>
      <c r="I212" s="919" t="s">
        <v>3679</v>
      </c>
      <c r="J212" s="919"/>
      <c r="K212" s="920"/>
      <c r="L212" s="920"/>
      <c r="M212" s="920">
        <f t="shared" si="6"/>
        <v>0</v>
      </c>
      <c r="N212" s="919">
        <v>1</v>
      </c>
      <c r="O212" s="919">
        <v>1</v>
      </c>
      <c r="P212" s="921">
        <f t="shared" si="7"/>
        <v>3500</v>
      </c>
    </row>
    <row r="213" spans="1:16" ht="20.100000000000001" customHeight="1" x14ac:dyDescent="0.25">
      <c r="A213" s="918" t="s">
        <v>468</v>
      </c>
      <c r="B213" s="944" t="s">
        <v>3901</v>
      </c>
      <c r="C213" s="919" t="s">
        <v>3902</v>
      </c>
      <c r="D213" s="919" t="s">
        <v>4171</v>
      </c>
      <c r="E213" s="920">
        <v>3500</v>
      </c>
      <c r="F213" s="919" t="s">
        <v>4194</v>
      </c>
      <c r="G213" s="919" t="s">
        <v>4195</v>
      </c>
      <c r="H213" s="919" t="s">
        <v>4171</v>
      </c>
      <c r="I213" s="919" t="s">
        <v>3679</v>
      </c>
      <c r="J213" s="919"/>
      <c r="K213" s="920"/>
      <c r="L213" s="920"/>
      <c r="M213" s="920">
        <f t="shared" si="6"/>
        <v>0</v>
      </c>
      <c r="N213" s="919">
        <v>1</v>
      </c>
      <c r="O213" s="919">
        <v>1</v>
      </c>
      <c r="P213" s="921">
        <f t="shared" si="7"/>
        <v>3500</v>
      </c>
    </row>
    <row r="214" spans="1:16" ht="20.100000000000001" customHeight="1" x14ac:dyDescent="0.25">
      <c r="A214" s="918" t="s">
        <v>468</v>
      </c>
      <c r="B214" s="944" t="s">
        <v>3901</v>
      </c>
      <c r="C214" s="919" t="s">
        <v>3902</v>
      </c>
      <c r="D214" s="919" t="s">
        <v>4171</v>
      </c>
      <c r="E214" s="920">
        <v>3500</v>
      </c>
      <c r="F214" s="919" t="s">
        <v>4196</v>
      </c>
      <c r="G214" s="919" t="s">
        <v>4197</v>
      </c>
      <c r="H214" s="919" t="s">
        <v>4171</v>
      </c>
      <c r="I214" s="919" t="s">
        <v>3679</v>
      </c>
      <c r="J214" s="919"/>
      <c r="K214" s="920"/>
      <c r="L214" s="920"/>
      <c r="M214" s="920">
        <f t="shared" si="6"/>
        <v>0</v>
      </c>
      <c r="N214" s="919">
        <v>1</v>
      </c>
      <c r="O214" s="919">
        <v>1</v>
      </c>
      <c r="P214" s="921">
        <f t="shared" si="7"/>
        <v>3500</v>
      </c>
    </row>
    <row r="215" spans="1:16" ht="20.100000000000001" customHeight="1" x14ac:dyDescent="0.25">
      <c r="A215" s="918" t="s">
        <v>468</v>
      </c>
      <c r="B215" s="944" t="s">
        <v>3901</v>
      </c>
      <c r="C215" s="919" t="s">
        <v>3902</v>
      </c>
      <c r="D215" s="919" t="s">
        <v>4171</v>
      </c>
      <c r="E215" s="920">
        <v>3500</v>
      </c>
      <c r="F215" s="919" t="s">
        <v>4041</v>
      </c>
      <c r="G215" s="919" t="s">
        <v>4042</v>
      </c>
      <c r="H215" s="919" t="s">
        <v>4171</v>
      </c>
      <c r="I215" s="919" t="s">
        <v>3679</v>
      </c>
      <c r="J215" s="919"/>
      <c r="K215" s="920">
        <v>1</v>
      </c>
      <c r="L215" s="920">
        <v>12</v>
      </c>
      <c r="M215" s="920">
        <f t="shared" si="6"/>
        <v>42000</v>
      </c>
      <c r="N215" s="919"/>
      <c r="O215" s="919"/>
      <c r="P215" s="921">
        <f t="shared" si="7"/>
        <v>0</v>
      </c>
    </row>
    <row r="216" spans="1:16" ht="20.100000000000001" customHeight="1" x14ac:dyDescent="0.25">
      <c r="A216" s="918" t="s">
        <v>468</v>
      </c>
      <c r="B216" s="944" t="s">
        <v>3901</v>
      </c>
      <c r="C216" s="919" t="s">
        <v>3902</v>
      </c>
      <c r="D216" s="919" t="s">
        <v>4128</v>
      </c>
      <c r="E216" s="920">
        <v>3000</v>
      </c>
      <c r="F216" s="919" t="s">
        <v>4198</v>
      </c>
      <c r="G216" s="919" t="s">
        <v>4199</v>
      </c>
      <c r="H216" s="919" t="s">
        <v>4128</v>
      </c>
      <c r="I216" s="919" t="s">
        <v>3679</v>
      </c>
      <c r="J216" s="919"/>
      <c r="K216" s="920">
        <v>1</v>
      </c>
      <c r="L216" s="920">
        <v>12</v>
      </c>
      <c r="M216" s="920">
        <f t="shared" si="6"/>
        <v>36000</v>
      </c>
      <c r="N216" s="919"/>
      <c r="O216" s="919"/>
      <c r="P216" s="921">
        <f t="shared" si="7"/>
        <v>0</v>
      </c>
    </row>
    <row r="217" spans="1:16" ht="20.100000000000001" customHeight="1" x14ac:dyDescent="0.25">
      <c r="A217" s="918" t="s">
        <v>468</v>
      </c>
      <c r="B217" s="944" t="s">
        <v>3901</v>
      </c>
      <c r="C217" s="919" t="s">
        <v>3902</v>
      </c>
      <c r="D217" s="919" t="s">
        <v>4038</v>
      </c>
      <c r="E217" s="920">
        <v>1800</v>
      </c>
      <c r="F217" s="919" t="s">
        <v>4041</v>
      </c>
      <c r="G217" s="919" t="s">
        <v>4042</v>
      </c>
      <c r="H217" s="919" t="s">
        <v>4038</v>
      </c>
      <c r="I217" s="919" t="s">
        <v>3686</v>
      </c>
      <c r="J217" s="919"/>
      <c r="K217" s="920">
        <v>1</v>
      </c>
      <c r="L217" s="920">
        <v>12</v>
      </c>
      <c r="M217" s="920">
        <f t="shared" si="6"/>
        <v>21600</v>
      </c>
      <c r="N217" s="919"/>
      <c r="O217" s="919"/>
      <c r="P217" s="921">
        <f t="shared" si="7"/>
        <v>0</v>
      </c>
    </row>
    <row r="218" spans="1:16" ht="20.100000000000001" customHeight="1" x14ac:dyDescent="0.25">
      <c r="A218" s="918" t="s">
        <v>468</v>
      </c>
      <c r="B218" s="944" t="s">
        <v>3901</v>
      </c>
      <c r="C218" s="919" t="s">
        <v>3902</v>
      </c>
      <c r="D218" s="919" t="s">
        <v>4038</v>
      </c>
      <c r="E218" s="920">
        <v>1800</v>
      </c>
      <c r="F218" s="919" t="s">
        <v>4200</v>
      </c>
      <c r="G218" s="919" t="s">
        <v>4201</v>
      </c>
      <c r="H218" s="919" t="s">
        <v>4038</v>
      </c>
      <c r="I218" s="919" t="s">
        <v>3686</v>
      </c>
      <c r="J218" s="919"/>
      <c r="K218" s="920"/>
      <c r="L218" s="920"/>
      <c r="M218" s="920">
        <f t="shared" si="6"/>
        <v>0</v>
      </c>
      <c r="N218" s="919">
        <v>1</v>
      </c>
      <c r="O218" s="919">
        <v>4</v>
      </c>
      <c r="P218" s="921">
        <f t="shared" si="7"/>
        <v>7200</v>
      </c>
    </row>
    <row r="219" spans="1:16" ht="20.100000000000001" customHeight="1" x14ac:dyDescent="0.25">
      <c r="A219" s="918" t="s">
        <v>468</v>
      </c>
      <c r="B219" s="944" t="s">
        <v>3901</v>
      </c>
      <c r="C219" s="919" t="s">
        <v>3902</v>
      </c>
      <c r="D219" s="919" t="s">
        <v>4038</v>
      </c>
      <c r="E219" s="920">
        <v>1800</v>
      </c>
      <c r="F219" s="919" t="s">
        <v>4202</v>
      </c>
      <c r="G219" s="919" t="s">
        <v>4203</v>
      </c>
      <c r="H219" s="919" t="s">
        <v>4038</v>
      </c>
      <c r="I219" s="919" t="s">
        <v>3686</v>
      </c>
      <c r="J219" s="919"/>
      <c r="K219" s="920">
        <v>1</v>
      </c>
      <c r="L219" s="920">
        <v>12</v>
      </c>
      <c r="M219" s="920">
        <f t="shared" si="6"/>
        <v>21600</v>
      </c>
      <c r="N219" s="919"/>
      <c r="O219" s="919"/>
      <c r="P219" s="921">
        <f t="shared" si="7"/>
        <v>0</v>
      </c>
    </row>
    <row r="220" spans="1:16" ht="20.100000000000001" customHeight="1" x14ac:dyDescent="0.25">
      <c r="A220" s="918" t="s">
        <v>468</v>
      </c>
      <c r="B220" s="944" t="s">
        <v>3901</v>
      </c>
      <c r="C220" s="919" t="s">
        <v>3902</v>
      </c>
      <c r="D220" s="919" t="s">
        <v>4038</v>
      </c>
      <c r="E220" s="920">
        <v>1800</v>
      </c>
      <c r="F220" s="919" t="s">
        <v>4204</v>
      </c>
      <c r="G220" s="919" t="s">
        <v>4205</v>
      </c>
      <c r="H220" s="919" t="s">
        <v>4038</v>
      </c>
      <c r="I220" s="919" t="s">
        <v>3686</v>
      </c>
      <c r="J220" s="919"/>
      <c r="K220" s="920"/>
      <c r="L220" s="920"/>
      <c r="M220" s="920">
        <f t="shared" si="6"/>
        <v>0</v>
      </c>
      <c r="N220" s="919">
        <v>1</v>
      </c>
      <c r="O220" s="919">
        <v>1</v>
      </c>
      <c r="P220" s="921">
        <f t="shared" si="7"/>
        <v>1800</v>
      </c>
    </row>
    <row r="221" spans="1:16" ht="20.100000000000001" customHeight="1" x14ac:dyDescent="0.25">
      <c r="A221" s="918" t="s">
        <v>468</v>
      </c>
      <c r="B221" s="944" t="s">
        <v>3901</v>
      </c>
      <c r="C221" s="919" t="s">
        <v>3902</v>
      </c>
      <c r="D221" s="919" t="s">
        <v>4038</v>
      </c>
      <c r="E221" s="920">
        <v>1800</v>
      </c>
      <c r="F221" s="919" t="s">
        <v>4206</v>
      </c>
      <c r="G221" s="919" t="s">
        <v>4207</v>
      </c>
      <c r="H221" s="919" t="s">
        <v>4038</v>
      </c>
      <c r="I221" s="919" t="s">
        <v>3686</v>
      </c>
      <c r="J221" s="919"/>
      <c r="K221" s="920">
        <v>1</v>
      </c>
      <c r="L221" s="920">
        <v>12</v>
      </c>
      <c r="M221" s="920">
        <f t="shared" si="6"/>
        <v>21600</v>
      </c>
      <c r="N221" s="919"/>
      <c r="O221" s="919"/>
      <c r="P221" s="921">
        <f t="shared" si="7"/>
        <v>0</v>
      </c>
    </row>
    <row r="222" spans="1:16" ht="20.100000000000001" customHeight="1" x14ac:dyDescent="0.25">
      <c r="A222" s="918" t="s">
        <v>468</v>
      </c>
      <c r="B222" s="944" t="s">
        <v>3901</v>
      </c>
      <c r="C222" s="919" t="s">
        <v>3902</v>
      </c>
      <c r="D222" s="919" t="s">
        <v>4038</v>
      </c>
      <c r="E222" s="920">
        <v>1800</v>
      </c>
      <c r="F222" s="919" t="s">
        <v>4208</v>
      </c>
      <c r="G222" s="919" t="s">
        <v>4209</v>
      </c>
      <c r="H222" s="919" t="s">
        <v>4038</v>
      </c>
      <c r="I222" s="919" t="s">
        <v>3686</v>
      </c>
      <c r="J222" s="919"/>
      <c r="K222" s="920">
        <v>1</v>
      </c>
      <c r="L222" s="920">
        <v>12</v>
      </c>
      <c r="M222" s="920">
        <f t="shared" si="6"/>
        <v>21600</v>
      </c>
      <c r="N222" s="919"/>
      <c r="O222" s="919"/>
      <c r="P222" s="921">
        <f t="shared" si="7"/>
        <v>0</v>
      </c>
    </row>
    <row r="223" spans="1:16" ht="20.100000000000001" customHeight="1" x14ac:dyDescent="0.25">
      <c r="A223" s="918" t="s">
        <v>468</v>
      </c>
      <c r="B223" s="944" t="s">
        <v>3901</v>
      </c>
      <c r="C223" s="919" t="s">
        <v>3902</v>
      </c>
      <c r="D223" s="919" t="s">
        <v>4038</v>
      </c>
      <c r="E223" s="920">
        <v>1800</v>
      </c>
      <c r="F223" s="919" t="s">
        <v>4210</v>
      </c>
      <c r="G223" s="919" t="s">
        <v>4211</v>
      </c>
      <c r="H223" s="919" t="s">
        <v>4038</v>
      </c>
      <c r="I223" s="919" t="s">
        <v>3686</v>
      </c>
      <c r="J223" s="919"/>
      <c r="K223" s="920">
        <v>1</v>
      </c>
      <c r="L223" s="920">
        <v>12</v>
      </c>
      <c r="M223" s="920">
        <f t="shared" si="6"/>
        <v>21600</v>
      </c>
      <c r="N223" s="919"/>
      <c r="O223" s="919"/>
      <c r="P223" s="921">
        <f t="shared" si="7"/>
        <v>0</v>
      </c>
    </row>
    <row r="224" spans="1:16" ht="20.100000000000001" customHeight="1" x14ac:dyDescent="0.25">
      <c r="A224" s="918" t="s">
        <v>468</v>
      </c>
      <c r="B224" s="944" t="s">
        <v>3901</v>
      </c>
      <c r="C224" s="919" t="s">
        <v>3902</v>
      </c>
      <c r="D224" s="919" t="s">
        <v>4109</v>
      </c>
      <c r="E224" s="920">
        <v>1800</v>
      </c>
      <c r="F224" s="919" t="s">
        <v>4041</v>
      </c>
      <c r="G224" s="919" t="s">
        <v>4042</v>
      </c>
      <c r="H224" s="919" t="s">
        <v>4109</v>
      </c>
      <c r="I224" s="919" t="s">
        <v>3686</v>
      </c>
      <c r="J224" s="919"/>
      <c r="K224" s="920">
        <v>1</v>
      </c>
      <c r="L224" s="920">
        <v>12</v>
      </c>
      <c r="M224" s="920">
        <f t="shared" si="6"/>
        <v>21600</v>
      </c>
      <c r="N224" s="919"/>
      <c r="O224" s="919"/>
      <c r="P224" s="921">
        <f t="shared" si="7"/>
        <v>0</v>
      </c>
    </row>
    <row r="225" spans="1:16" ht="20.100000000000001" customHeight="1" x14ac:dyDescent="0.25">
      <c r="A225" s="918" t="s">
        <v>468</v>
      </c>
      <c r="B225" s="944" t="s">
        <v>3901</v>
      </c>
      <c r="C225" s="919" t="s">
        <v>3902</v>
      </c>
      <c r="D225" s="919" t="s">
        <v>4118</v>
      </c>
      <c r="E225" s="920">
        <v>2400</v>
      </c>
      <c r="F225" s="919" t="s">
        <v>4212</v>
      </c>
      <c r="G225" s="919" t="s">
        <v>4213</v>
      </c>
      <c r="H225" s="919" t="s">
        <v>4118</v>
      </c>
      <c r="I225" s="919" t="s">
        <v>3679</v>
      </c>
      <c r="J225" s="919"/>
      <c r="K225" s="920"/>
      <c r="L225" s="920"/>
      <c r="M225" s="920">
        <f t="shared" si="6"/>
        <v>0</v>
      </c>
      <c r="N225" s="919">
        <v>1</v>
      </c>
      <c r="O225" s="919">
        <v>1</v>
      </c>
      <c r="P225" s="921">
        <f t="shared" si="7"/>
        <v>2400</v>
      </c>
    </row>
    <row r="226" spans="1:16" ht="20.100000000000001" customHeight="1" x14ac:dyDescent="0.25">
      <c r="A226" s="918" t="s">
        <v>468</v>
      </c>
      <c r="B226" s="944" t="s">
        <v>3901</v>
      </c>
      <c r="C226" s="919" t="s">
        <v>3902</v>
      </c>
      <c r="D226" s="919" t="s">
        <v>4120</v>
      </c>
      <c r="E226" s="920">
        <v>2400</v>
      </c>
      <c r="F226" s="919" t="s">
        <v>4214</v>
      </c>
      <c r="G226" s="919" t="s">
        <v>4215</v>
      </c>
      <c r="H226" s="919" t="s">
        <v>4120</v>
      </c>
      <c r="I226" s="919" t="s">
        <v>3679</v>
      </c>
      <c r="J226" s="919"/>
      <c r="K226" s="920"/>
      <c r="L226" s="920"/>
      <c r="M226" s="920">
        <f t="shared" si="6"/>
        <v>0</v>
      </c>
      <c r="N226" s="919">
        <v>1</v>
      </c>
      <c r="O226" s="919">
        <v>4</v>
      </c>
      <c r="P226" s="921">
        <f t="shared" si="7"/>
        <v>9600</v>
      </c>
    </row>
    <row r="227" spans="1:16" ht="20.100000000000001" customHeight="1" x14ac:dyDescent="0.25">
      <c r="A227" s="918" t="s">
        <v>468</v>
      </c>
      <c r="B227" s="944" t="s">
        <v>3901</v>
      </c>
      <c r="C227" s="919" t="s">
        <v>3902</v>
      </c>
      <c r="D227" s="919" t="s">
        <v>4128</v>
      </c>
      <c r="E227" s="920">
        <v>2400</v>
      </c>
      <c r="F227" s="919" t="s">
        <v>4216</v>
      </c>
      <c r="G227" s="919" t="s">
        <v>4217</v>
      </c>
      <c r="H227" s="919" t="s">
        <v>4128</v>
      </c>
      <c r="I227" s="919" t="s">
        <v>3679</v>
      </c>
      <c r="J227" s="919"/>
      <c r="K227" s="920"/>
      <c r="L227" s="920"/>
      <c r="M227" s="920">
        <f t="shared" si="6"/>
        <v>0</v>
      </c>
      <c r="N227" s="919">
        <v>1</v>
      </c>
      <c r="O227" s="919">
        <v>4</v>
      </c>
      <c r="P227" s="921">
        <f t="shared" si="7"/>
        <v>9600</v>
      </c>
    </row>
    <row r="228" spans="1:16" ht="20.100000000000001" customHeight="1" x14ac:dyDescent="0.25">
      <c r="A228" s="918" t="s">
        <v>468</v>
      </c>
      <c r="B228" s="944" t="s">
        <v>3901</v>
      </c>
      <c r="C228" s="919" t="s">
        <v>3902</v>
      </c>
      <c r="D228" s="919" t="s">
        <v>4118</v>
      </c>
      <c r="E228" s="920">
        <v>2400</v>
      </c>
      <c r="F228" s="919" t="s">
        <v>4218</v>
      </c>
      <c r="G228" s="919" t="s">
        <v>4219</v>
      </c>
      <c r="H228" s="919" t="s">
        <v>4118</v>
      </c>
      <c r="I228" s="919" t="s">
        <v>3679</v>
      </c>
      <c r="J228" s="919"/>
      <c r="K228" s="920">
        <v>1</v>
      </c>
      <c r="L228" s="920">
        <v>12</v>
      </c>
      <c r="M228" s="920">
        <f t="shared" si="6"/>
        <v>28800</v>
      </c>
      <c r="N228" s="919"/>
      <c r="O228" s="919"/>
      <c r="P228" s="921">
        <f t="shared" si="7"/>
        <v>0</v>
      </c>
    </row>
    <row r="229" spans="1:16" ht="20.100000000000001" customHeight="1" x14ac:dyDescent="0.25">
      <c r="A229" s="918" t="s">
        <v>468</v>
      </c>
      <c r="B229" s="944" t="s">
        <v>3901</v>
      </c>
      <c r="C229" s="919" t="s">
        <v>3902</v>
      </c>
      <c r="D229" s="919" t="s">
        <v>4118</v>
      </c>
      <c r="E229" s="920">
        <v>2400</v>
      </c>
      <c r="F229" s="919" t="s">
        <v>4041</v>
      </c>
      <c r="G229" s="919" t="s">
        <v>4042</v>
      </c>
      <c r="H229" s="919" t="s">
        <v>4118</v>
      </c>
      <c r="I229" s="919" t="s">
        <v>3679</v>
      </c>
      <c r="J229" s="919"/>
      <c r="K229" s="920">
        <v>1</v>
      </c>
      <c r="L229" s="920">
        <v>12</v>
      </c>
      <c r="M229" s="920">
        <f t="shared" si="6"/>
        <v>28800</v>
      </c>
      <c r="N229" s="919"/>
      <c r="O229" s="919"/>
      <c r="P229" s="921">
        <f t="shared" si="7"/>
        <v>0</v>
      </c>
    </row>
    <row r="230" spans="1:16" ht="20.100000000000001" customHeight="1" x14ac:dyDescent="0.25">
      <c r="A230" s="918" t="s">
        <v>468</v>
      </c>
      <c r="B230" s="944" t="s">
        <v>3901</v>
      </c>
      <c r="C230" s="919" t="s">
        <v>3902</v>
      </c>
      <c r="D230" s="919" t="s">
        <v>4118</v>
      </c>
      <c r="E230" s="920">
        <v>2400</v>
      </c>
      <c r="F230" s="919" t="s">
        <v>4220</v>
      </c>
      <c r="G230" s="919" t="s">
        <v>4221</v>
      </c>
      <c r="H230" s="919" t="s">
        <v>4118</v>
      </c>
      <c r="I230" s="919" t="s">
        <v>3679</v>
      </c>
      <c r="J230" s="919"/>
      <c r="K230" s="920"/>
      <c r="L230" s="920"/>
      <c r="M230" s="920">
        <f t="shared" si="6"/>
        <v>0</v>
      </c>
      <c r="N230" s="919">
        <v>1</v>
      </c>
      <c r="O230" s="919">
        <v>4</v>
      </c>
      <c r="P230" s="921">
        <f t="shared" si="7"/>
        <v>9600</v>
      </c>
    </row>
    <row r="231" spans="1:16" ht="20.100000000000001" customHeight="1" x14ac:dyDescent="0.25">
      <c r="A231" s="918" t="s">
        <v>468</v>
      </c>
      <c r="B231" s="944" t="s">
        <v>3901</v>
      </c>
      <c r="C231" s="919" t="s">
        <v>3902</v>
      </c>
      <c r="D231" s="919" t="s">
        <v>4128</v>
      </c>
      <c r="E231" s="920">
        <v>2400</v>
      </c>
      <c r="F231" s="919" t="s">
        <v>4222</v>
      </c>
      <c r="G231" s="919" t="s">
        <v>4223</v>
      </c>
      <c r="H231" s="919" t="s">
        <v>4128</v>
      </c>
      <c r="I231" s="919" t="s">
        <v>3679</v>
      </c>
      <c r="J231" s="919"/>
      <c r="K231" s="920"/>
      <c r="L231" s="920"/>
      <c r="M231" s="920">
        <f t="shared" si="6"/>
        <v>0</v>
      </c>
      <c r="N231" s="919">
        <v>1</v>
      </c>
      <c r="O231" s="919">
        <v>4</v>
      </c>
      <c r="P231" s="921">
        <f t="shared" si="7"/>
        <v>9600</v>
      </c>
    </row>
    <row r="232" spans="1:16" ht="20.100000000000001" customHeight="1" x14ac:dyDescent="0.25">
      <c r="A232" s="918" t="s">
        <v>468</v>
      </c>
      <c r="B232" s="944" t="s">
        <v>3901</v>
      </c>
      <c r="C232" s="919" t="s">
        <v>3902</v>
      </c>
      <c r="D232" s="919" t="s">
        <v>3955</v>
      </c>
      <c r="E232" s="920">
        <v>2400</v>
      </c>
      <c r="F232" s="919" t="s">
        <v>4224</v>
      </c>
      <c r="G232" s="919" t="s">
        <v>4225</v>
      </c>
      <c r="H232" s="919" t="s">
        <v>3955</v>
      </c>
      <c r="I232" s="919" t="s">
        <v>3679</v>
      </c>
      <c r="J232" s="919"/>
      <c r="K232" s="920">
        <v>1</v>
      </c>
      <c r="L232" s="920">
        <v>12</v>
      </c>
      <c r="M232" s="920">
        <f t="shared" si="6"/>
        <v>28800</v>
      </c>
      <c r="N232" s="919"/>
      <c r="O232" s="919"/>
      <c r="P232" s="921">
        <f t="shared" si="7"/>
        <v>0</v>
      </c>
    </row>
    <row r="233" spans="1:16" ht="20.100000000000001" customHeight="1" x14ac:dyDescent="0.25">
      <c r="A233" s="918" t="s">
        <v>468</v>
      </c>
      <c r="B233" s="944" t="s">
        <v>3901</v>
      </c>
      <c r="C233" s="919" t="s">
        <v>3902</v>
      </c>
      <c r="D233" s="919" t="s">
        <v>3955</v>
      </c>
      <c r="E233" s="920">
        <v>2400</v>
      </c>
      <c r="F233" s="919" t="s">
        <v>4226</v>
      </c>
      <c r="G233" s="919" t="s">
        <v>4227</v>
      </c>
      <c r="H233" s="919" t="s">
        <v>3955</v>
      </c>
      <c r="I233" s="919" t="s">
        <v>3679</v>
      </c>
      <c r="J233" s="919"/>
      <c r="K233" s="920"/>
      <c r="L233" s="920"/>
      <c r="M233" s="920">
        <f t="shared" si="6"/>
        <v>0</v>
      </c>
      <c r="N233" s="919">
        <v>1</v>
      </c>
      <c r="O233" s="919">
        <v>4</v>
      </c>
      <c r="P233" s="921">
        <f t="shared" si="7"/>
        <v>9600</v>
      </c>
    </row>
    <row r="234" spans="1:16" ht="20.100000000000001" customHeight="1" x14ac:dyDescent="0.25">
      <c r="A234" s="918" t="s">
        <v>468</v>
      </c>
      <c r="B234" s="944" t="s">
        <v>3901</v>
      </c>
      <c r="C234" s="919" t="s">
        <v>3902</v>
      </c>
      <c r="D234" s="919" t="s">
        <v>3955</v>
      </c>
      <c r="E234" s="920">
        <v>2400</v>
      </c>
      <c r="F234" s="919" t="s">
        <v>4228</v>
      </c>
      <c r="G234" s="919" t="s">
        <v>4229</v>
      </c>
      <c r="H234" s="919" t="s">
        <v>3955</v>
      </c>
      <c r="I234" s="919" t="s">
        <v>3679</v>
      </c>
      <c r="J234" s="919"/>
      <c r="K234" s="920"/>
      <c r="L234" s="920"/>
      <c r="M234" s="920">
        <f t="shared" si="6"/>
        <v>0</v>
      </c>
      <c r="N234" s="919">
        <v>1</v>
      </c>
      <c r="O234" s="919">
        <v>4</v>
      </c>
      <c r="P234" s="921">
        <f t="shared" si="7"/>
        <v>9600</v>
      </c>
    </row>
    <row r="235" spans="1:16" ht="20.100000000000001" customHeight="1" x14ac:dyDescent="0.25">
      <c r="A235" s="918" t="s">
        <v>468</v>
      </c>
      <c r="B235" s="944" t="s">
        <v>3901</v>
      </c>
      <c r="C235" s="919" t="s">
        <v>3902</v>
      </c>
      <c r="D235" s="919" t="s">
        <v>3955</v>
      </c>
      <c r="E235" s="920">
        <v>2400</v>
      </c>
      <c r="F235" s="919" t="s">
        <v>4230</v>
      </c>
      <c r="G235" s="919" t="s">
        <v>4231</v>
      </c>
      <c r="H235" s="919" t="s">
        <v>3955</v>
      </c>
      <c r="I235" s="919" t="s">
        <v>3679</v>
      </c>
      <c r="J235" s="919"/>
      <c r="K235" s="920"/>
      <c r="L235" s="920"/>
      <c r="M235" s="920">
        <f t="shared" si="6"/>
        <v>0</v>
      </c>
      <c r="N235" s="919">
        <v>1</v>
      </c>
      <c r="O235" s="919">
        <v>4</v>
      </c>
      <c r="P235" s="921">
        <f t="shared" si="7"/>
        <v>9600</v>
      </c>
    </row>
    <row r="236" spans="1:16" ht="20.100000000000001" customHeight="1" x14ac:dyDescent="0.25">
      <c r="A236" s="918" t="s">
        <v>468</v>
      </c>
      <c r="B236" s="944" t="s">
        <v>3901</v>
      </c>
      <c r="C236" s="919" t="s">
        <v>3902</v>
      </c>
      <c r="D236" s="919" t="s">
        <v>3955</v>
      </c>
      <c r="E236" s="920">
        <v>2400</v>
      </c>
      <c r="F236" s="919" t="s">
        <v>4232</v>
      </c>
      <c r="G236" s="919" t="s">
        <v>4233</v>
      </c>
      <c r="H236" s="919" t="s">
        <v>3955</v>
      </c>
      <c r="I236" s="919" t="s">
        <v>3679</v>
      </c>
      <c r="J236" s="919"/>
      <c r="K236" s="920">
        <v>1</v>
      </c>
      <c r="L236" s="920">
        <v>12</v>
      </c>
      <c r="M236" s="920">
        <f t="shared" si="6"/>
        <v>28800</v>
      </c>
      <c r="N236" s="919"/>
      <c r="O236" s="919"/>
      <c r="P236" s="921">
        <f t="shared" si="7"/>
        <v>0</v>
      </c>
    </row>
    <row r="237" spans="1:16" ht="20.100000000000001" customHeight="1" x14ac:dyDescent="0.25">
      <c r="A237" s="918" t="s">
        <v>468</v>
      </c>
      <c r="B237" s="944" t="s">
        <v>3901</v>
      </c>
      <c r="C237" s="919" t="s">
        <v>3902</v>
      </c>
      <c r="D237" s="919" t="s">
        <v>3955</v>
      </c>
      <c r="E237" s="920">
        <v>2400</v>
      </c>
      <c r="F237" s="919" t="s">
        <v>4234</v>
      </c>
      <c r="G237" s="919" t="s">
        <v>4235</v>
      </c>
      <c r="H237" s="919" t="s">
        <v>3955</v>
      </c>
      <c r="I237" s="919" t="s">
        <v>3679</v>
      </c>
      <c r="J237" s="919"/>
      <c r="K237" s="920">
        <v>1</v>
      </c>
      <c r="L237" s="920">
        <v>12</v>
      </c>
      <c r="M237" s="920">
        <f t="shared" si="6"/>
        <v>28800</v>
      </c>
      <c r="N237" s="919"/>
      <c r="O237" s="919"/>
      <c r="P237" s="921">
        <f t="shared" si="7"/>
        <v>0</v>
      </c>
    </row>
    <row r="238" spans="1:16" ht="20.100000000000001" customHeight="1" x14ac:dyDescent="0.25">
      <c r="A238" s="918" t="s">
        <v>468</v>
      </c>
      <c r="B238" s="944" t="s">
        <v>3901</v>
      </c>
      <c r="C238" s="919" t="s">
        <v>3902</v>
      </c>
      <c r="D238" s="919" t="s">
        <v>3955</v>
      </c>
      <c r="E238" s="920">
        <v>2400</v>
      </c>
      <c r="F238" s="919" t="s">
        <v>4236</v>
      </c>
      <c r="G238" s="919" t="s">
        <v>4237</v>
      </c>
      <c r="H238" s="919" t="s">
        <v>3955</v>
      </c>
      <c r="I238" s="919" t="s">
        <v>3679</v>
      </c>
      <c r="J238" s="919"/>
      <c r="K238" s="920"/>
      <c r="L238" s="920"/>
      <c r="M238" s="920">
        <f t="shared" si="6"/>
        <v>0</v>
      </c>
      <c r="N238" s="919">
        <v>1</v>
      </c>
      <c r="O238" s="919">
        <v>6</v>
      </c>
      <c r="P238" s="921">
        <f t="shared" si="7"/>
        <v>14400</v>
      </c>
    </row>
    <row r="239" spans="1:16" ht="20.100000000000001" customHeight="1" x14ac:dyDescent="0.25">
      <c r="A239" s="918" t="s">
        <v>468</v>
      </c>
      <c r="B239" s="944" t="s">
        <v>3901</v>
      </c>
      <c r="C239" s="919" t="s">
        <v>3902</v>
      </c>
      <c r="D239" s="919" t="s">
        <v>4120</v>
      </c>
      <c r="E239" s="920">
        <v>2400</v>
      </c>
      <c r="F239" s="919" t="s">
        <v>4238</v>
      </c>
      <c r="G239" s="919" t="s">
        <v>4239</v>
      </c>
      <c r="H239" s="919" t="s">
        <v>4120</v>
      </c>
      <c r="I239" s="919" t="s">
        <v>3679</v>
      </c>
      <c r="J239" s="919"/>
      <c r="K239" s="920"/>
      <c r="L239" s="920"/>
      <c r="M239" s="920">
        <f t="shared" si="6"/>
        <v>0</v>
      </c>
      <c r="N239" s="919">
        <v>1</v>
      </c>
      <c r="O239" s="919">
        <v>4</v>
      </c>
      <c r="P239" s="921">
        <f t="shared" si="7"/>
        <v>9600</v>
      </c>
    </row>
    <row r="240" spans="1:16" ht="20.100000000000001" customHeight="1" x14ac:dyDescent="0.25">
      <c r="A240" s="918" t="s">
        <v>468</v>
      </c>
      <c r="B240" s="944" t="s">
        <v>3901</v>
      </c>
      <c r="C240" s="919" t="s">
        <v>3902</v>
      </c>
      <c r="D240" s="919" t="s">
        <v>4120</v>
      </c>
      <c r="E240" s="920">
        <v>2400</v>
      </c>
      <c r="F240" s="919" t="s">
        <v>4240</v>
      </c>
      <c r="G240" s="919" t="s">
        <v>4241</v>
      </c>
      <c r="H240" s="919" t="s">
        <v>4120</v>
      </c>
      <c r="I240" s="919" t="s">
        <v>3679</v>
      </c>
      <c r="J240" s="919"/>
      <c r="K240" s="920">
        <v>1</v>
      </c>
      <c r="L240" s="920">
        <v>12</v>
      </c>
      <c r="M240" s="920">
        <f t="shared" si="6"/>
        <v>28800</v>
      </c>
      <c r="N240" s="919"/>
      <c r="O240" s="919"/>
      <c r="P240" s="921">
        <f t="shared" si="7"/>
        <v>0</v>
      </c>
    </row>
    <row r="241" spans="1:16" ht="20.100000000000001" customHeight="1" x14ac:dyDescent="0.25">
      <c r="A241" s="918" t="s">
        <v>468</v>
      </c>
      <c r="B241" s="944" t="s">
        <v>3901</v>
      </c>
      <c r="C241" s="919" t="s">
        <v>3902</v>
      </c>
      <c r="D241" s="919" t="s">
        <v>4038</v>
      </c>
      <c r="E241" s="920">
        <v>1800</v>
      </c>
      <c r="F241" s="919" t="s">
        <v>4242</v>
      </c>
      <c r="G241" s="919" t="s">
        <v>4243</v>
      </c>
      <c r="H241" s="919" t="s">
        <v>4038</v>
      </c>
      <c r="I241" s="919" t="s">
        <v>3686</v>
      </c>
      <c r="J241" s="919"/>
      <c r="K241" s="920"/>
      <c r="L241" s="920"/>
      <c r="M241" s="920">
        <f t="shared" si="6"/>
        <v>0</v>
      </c>
      <c r="N241" s="919">
        <v>1</v>
      </c>
      <c r="O241" s="919">
        <v>1</v>
      </c>
      <c r="P241" s="921">
        <f t="shared" si="7"/>
        <v>1800</v>
      </c>
    </row>
    <row r="242" spans="1:16" ht="20.100000000000001" customHeight="1" x14ac:dyDescent="0.25">
      <c r="A242" s="918" t="s">
        <v>468</v>
      </c>
      <c r="B242" s="944" t="s">
        <v>3901</v>
      </c>
      <c r="C242" s="919" t="s">
        <v>3902</v>
      </c>
      <c r="D242" s="919" t="s">
        <v>4244</v>
      </c>
      <c r="E242" s="920">
        <v>2400</v>
      </c>
      <c r="F242" s="919" t="s">
        <v>4245</v>
      </c>
      <c r="G242" s="919" t="s">
        <v>4246</v>
      </c>
      <c r="H242" s="919" t="s">
        <v>4244</v>
      </c>
      <c r="I242" s="919" t="s">
        <v>3679</v>
      </c>
      <c r="J242" s="919"/>
      <c r="K242" s="920">
        <v>1</v>
      </c>
      <c r="L242" s="920">
        <v>12</v>
      </c>
      <c r="M242" s="920">
        <f t="shared" si="6"/>
        <v>28800</v>
      </c>
      <c r="N242" s="919"/>
      <c r="O242" s="919"/>
      <c r="P242" s="921">
        <f t="shared" si="7"/>
        <v>0</v>
      </c>
    </row>
    <row r="243" spans="1:16" ht="20.100000000000001" customHeight="1" x14ac:dyDescent="0.25">
      <c r="A243" s="918" t="s">
        <v>468</v>
      </c>
      <c r="B243" s="944" t="s">
        <v>3901</v>
      </c>
      <c r="C243" s="919" t="s">
        <v>3902</v>
      </c>
      <c r="D243" s="919" t="s">
        <v>4247</v>
      </c>
      <c r="E243" s="920">
        <v>2400</v>
      </c>
      <c r="F243" s="919" t="s">
        <v>4041</v>
      </c>
      <c r="G243" s="919" t="s">
        <v>4042</v>
      </c>
      <c r="H243" s="919" t="s">
        <v>4247</v>
      </c>
      <c r="I243" s="919" t="s">
        <v>3679</v>
      </c>
      <c r="J243" s="919"/>
      <c r="K243" s="920">
        <v>1</v>
      </c>
      <c r="L243" s="920">
        <v>12</v>
      </c>
      <c r="M243" s="920">
        <f t="shared" si="6"/>
        <v>28800</v>
      </c>
      <c r="N243" s="919"/>
      <c r="O243" s="919"/>
      <c r="P243" s="921">
        <f t="shared" si="7"/>
        <v>0</v>
      </c>
    </row>
    <row r="244" spans="1:16" ht="20.100000000000001" customHeight="1" x14ac:dyDescent="0.25">
      <c r="A244" s="918" t="s">
        <v>468</v>
      </c>
      <c r="B244" s="944" t="s">
        <v>3901</v>
      </c>
      <c r="C244" s="919" t="s">
        <v>3902</v>
      </c>
      <c r="D244" s="919" t="s">
        <v>4247</v>
      </c>
      <c r="E244" s="920">
        <v>2400</v>
      </c>
      <c r="F244" s="919" t="s">
        <v>4248</v>
      </c>
      <c r="G244" s="919" t="s">
        <v>4249</v>
      </c>
      <c r="H244" s="919" t="s">
        <v>4247</v>
      </c>
      <c r="I244" s="919" t="s">
        <v>3679</v>
      </c>
      <c r="J244" s="919"/>
      <c r="K244" s="920"/>
      <c r="L244" s="920"/>
      <c r="M244" s="920">
        <f t="shared" si="6"/>
        <v>0</v>
      </c>
      <c r="N244" s="919">
        <v>1</v>
      </c>
      <c r="O244" s="919">
        <v>4</v>
      </c>
      <c r="P244" s="921">
        <f t="shared" si="7"/>
        <v>9600</v>
      </c>
    </row>
    <row r="245" spans="1:16" ht="20.100000000000001" customHeight="1" x14ac:dyDescent="0.25">
      <c r="A245" s="918" t="s">
        <v>468</v>
      </c>
      <c r="B245" s="944" t="s">
        <v>3901</v>
      </c>
      <c r="C245" s="919" t="s">
        <v>3902</v>
      </c>
      <c r="D245" s="919" t="s">
        <v>4247</v>
      </c>
      <c r="E245" s="920">
        <v>2400</v>
      </c>
      <c r="F245" s="919" t="s">
        <v>4041</v>
      </c>
      <c r="G245" s="919" t="s">
        <v>4042</v>
      </c>
      <c r="H245" s="919" t="s">
        <v>4247</v>
      </c>
      <c r="I245" s="919" t="s">
        <v>3679</v>
      </c>
      <c r="J245" s="919"/>
      <c r="K245" s="920">
        <v>1</v>
      </c>
      <c r="L245" s="920">
        <v>12</v>
      </c>
      <c r="M245" s="920">
        <f t="shared" si="6"/>
        <v>28800</v>
      </c>
      <c r="N245" s="919"/>
      <c r="O245" s="919"/>
      <c r="P245" s="921">
        <f t="shared" si="7"/>
        <v>0</v>
      </c>
    </row>
    <row r="246" spans="1:16" ht="20.100000000000001" customHeight="1" x14ac:dyDescent="0.25">
      <c r="A246" s="918" t="s">
        <v>468</v>
      </c>
      <c r="B246" s="944" t="s">
        <v>3901</v>
      </c>
      <c r="C246" s="919" t="s">
        <v>3902</v>
      </c>
      <c r="D246" s="919" t="s">
        <v>4247</v>
      </c>
      <c r="E246" s="920">
        <v>2400</v>
      </c>
      <c r="F246" s="919" t="s">
        <v>4041</v>
      </c>
      <c r="G246" s="919" t="s">
        <v>4042</v>
      </c>
      <c r="H246" s="919" t="s">
        <v>4247</v>
      </c>
      <c r="I246" s="919" t="s">
        <v>3679</v>
      </c>
      <c r="J246" s="919"/>
      <c r="K246" s="920">
        <v>1</v>
      </c>
      <c r="L246" s="920">
        <v>12</v>
      </c>
      <c r="M246" s="920">
        <f t="shared" si="6"/>
        <v>28800</v>
      </c>
      <c r="N246" s="919"/>
      <c r="O246" s="919"/>
      <c r="P246" s="921">
        <f t="shared" si="7"/>
        <v>0</v>
      </c>
    </row>
    <row r="247" spans="1:16" ht="20.100000000000001" customHeight="1" x14ac:dyDescent="0.25">
      <c r="A247" s="918" t="s">
        <v>468</v>
      </c>
      <c r="B247" s="944" t="s">
        <v>3901</v>
      </c>
      <c r="C247" s="919" t="s">
        <v>3902</v>
      </c>
      <c r="D247" s="919" t="s">
        <v>4250</v>
      </c>
      <c r="E247" s="920">
        <v>3800</v>
      </c>
      <c r="F247" s="919" t="s">
        <v>4041</v>
      </c>
      <c r="G247" s="919" t="s">
        <v>4042</v>
      </c>
      <c r="H247" s="919" t="s">
        <v>4250</v>
      </c>
      <c r="I247" s="919" t="s">
        <v>3679</v>
      </c>
      <c r="J247" s="919"/>
      <c r="K247" s="920">
        <v>1</v>
      </c>
      <c r="L247" s="920">
        <v>12</v>
      </c>
      <c r="M247" s="920">
        <f t="shared" si="6"/>
        <v>45600</v>
      </c>
      <c r="N247" s="919"/>
      <c r="O247" s="919"/>
      <c r="P247" s="921">
        <f t="shared" si="7"/>
        <v>0</v>
      </c>
    </row>
    <row r="248" spans="1:16" ht="20.100000000000001" customHeight="1" x14ac:dyDescent="0.25">
      <c r="A248" s="918" t="s">
        <v>468</v>
      </c>
      <c r="B248" s="944" t="s">
        <v>3901</v>
      </c>
      <c r="C248" s="919" t="s">
        <v>3902</v>
      </c>
      <c r="D248" s="919" t="s">
        <v>4250</v>
      </c>
      <c r="E248" s="920">
        <v>3800</v>
      </c>
      <c r="F248" s="919" t="s">
        <v>4251</v>
      </c>
      <c r="G248" s="919" t="s">
        <v>4252</v>
      </c>
      <c r="H248" s="919" t="s">
        <v>4250</v>
      </c>
      <c r="I248" s="919" t="s">
        <v>3679</v>
      </c>
      <c r="J248" s="919"/>
      <c r="K248" s="920"/>
      <c r="L248" s="920"/>
      <c r="M248" s="920">
        <f t="shared" si="6"/>
        <v>0</v>
      </c>
      <c r="N248" s="919">
        <v>1</v>
      </c>
      <c r="O248" s="919">
        <v>1</v>
      </c>
      <c r="P248" s="921">
        <f t="shared" si="7"/>
        <v>3800</v>
      </c>
    </row>
    <row r="249" spans="1:16" ht="20.100000000000001" customHeight="1" x14ac:dyDescent="0.25">
      <c r="A249" s="918" t="s">
        <v>468</v>
      </c>
      <c r="B249" s="944" t="s">
        <v>3901</v>
      </c>
      <c r="C249" s="919" t="s">
        <v>3902</v>
      </c>
      <c r="D249" s="919" t="s">
        <v>4253</v>
      </c>
      <c r="E249" s="920">
        <v>3500</v>
      </c>
      <c r="F249" s="919" t="s">
        <v>4254</v>
      </c>
      <c r="G249" s="919" t="s">
        <v>4255</v>
      </c>
      <c r="H249" s="919" t="s">
        <v>4253</v>
      </c>
      <c r="I249" s="919" t="s">
        <v>3679</v>
      </c>
      <c r="J249" s="919"/>
      <c r="K249" s="920"/>
      <c r="L249" s="920"/>
      <c r="M249" s="920">
        <f t="shared" si="6"/>
        <v>0</v>
      </c>
      <c r="N249" s="919">
        <v>1</v>
      </c>
      <c r="O249" s="919">
        <v>4</v>
      </c>
      <c r="P249" s="921">
        <f t="shared" si="7"/>
        <v>14000</v>
      </c>
    </row>
    <row r="250" spans="1:16" ht="20.100000000000001" customHeight="1" x14ac:dyDescent="0.25">
      <c r="A250" s="918" t="s">
        <v>468</v>
      </c>
      <c r="B250" s="944" t="s">
        <v>3901</v>
      </c>
      <c r="C250" s="919" t="s">
        <v>3902</v>
      </c>
      <c r="D250" s="919" t="s">
        <v>4256</v>
      </c>
      <c r="E250" s="920">
        <v>3000</v>
      </c>
      <c r="F250" s="919" t="s">
        <v>4257</v>
      </c>
      <c r="G250" s="919" t="s">
        <v>4258</v>
      </c>
      <c r="H250" s="919" t="s">
        <v>4256</v>
      </c>
      <c r="I250" s="919" t="s">
        <v>3679</v>
      </c>
      <c r="J250" s="919"/>
      <c r="K250" s="920"/>
      <c r="L250" s="920"/>
      <c r="M250" s="920">
        <f t="shared" si="6"/>
        <v>0</v>
      </c>
      <c r="N250" s="919">
        <v>1</v>
      </c>
      <c r="O250" s="919">
        <v>4</v>
      </c>
      <c r="P250" s="921">
        <f t="shared" si="7"/>
        <v>12000</v>
      </c>
    </row>
    <row r="251" spans="1:16" ht="20.100000000000001" customHeight="1" x14ac:dyDescent="0.25">
      <c r="A251" s="918" t="s">
        <v>468</v>
      </c>
      <c r="B251" s="944" t="s">
        <v>3901</v>
      </c>
      <c r="C251" s="919" t="s">
        <v>3902</v>
      </c>
      <c r="D251" s="919" t="s">
        <v>4259</v>
      </c>
      <c r="E251" s="920">
        <v>4000</v>
      </c>
      <c r="F251" s="919" t="s">
        <v>4260</v>
      </c>
      <c r="G251" s="919" t="s">
        <v>4261</v>
      </c>
      <c r="H251" s="919" t="s">
        <v>4259</v>
      </c>
      <c r="I251" s="919" t="s">
        <v>3679</v>
      </c>
      <c r="J251" s="919"/>
      <c r="K251" s="920"/>
      <c r="L251" s="920"/>
      <c r="M251" s="920">
        <f t="shared" si="6"/>
        <v>0</v>
      </c>
      <c r="N251" s="919">
        <v>1</v>
      </c>
      <c r="O251" s="919">
        <v>4</v>
      </c>
      <c r="P251" s="921">
        <f t="shared" si="7"/>
        <v>16000</v>
      </c>
    </row>
    <row r="252" spans="1:16" ht="20.100000000000001" customHeight="1" x14ac:dyDescent="0.25">
      <c r="A252" s="918" t="s">
        <v>468</v>
      </c>
      <c r="B252" s="944" t="s">
        <v>3901</v>
      </c>
      <c r="C252" s="919" t="s">
        <v>3902</v>
      </c>
      <c r="D252" s="919" t="s">
        <v>4262</v>
      </c>
      <c r="E252" s="920">
        <v>4000</v>
      </c>
      <c r="F252" s="919" t="s">
        <v>4041</v>
      </c>
      <c r="G252" s="919" t="s">
        <v>4042</v>
      </c>
      <c r="H252" s="919" t="s">
        <v>4262</v>
      </c>
      <c r="I252" s="919" t="s">
        <v>3679</v>
      </c>
      <c r="J252" s="919"/>
      <c r="K252" s="920">
        <v>1</v>
      </c>
      <c r="L252" s="920">
        <v>12</v>
      </c>
      <c r="M252" s="920">
        <f t="shared" si="6"/>
        <v>48000</v>
      </c>
      <c r="N252" s="919"/>
      <c r="O252" s="919"/>
      <c r="P252" s="921">
        <f t="shared" si="7"/>
        <v>0</v>
      </c>
    </row>
    <row r="253" spans="1:16" ht="20.100000000000001" customHeight="1" x14ac:dyDescent="0.25">
      <c r="A253" s="918" t="s">
        <v>468</v>
      </c>
      <c r="B253" s="944" t="s">
        <v>3901</v>
      </c>
      <c r="C253" s="919" t="s">
        <v>3902</v>
      </c>
      <c r="D253" s="919" t="s">
        <v>4263</v>
      </c>
      <c r="E253" s="920">
        <v>3000</v>
      </c>
      <c r="F253" s="919" t="s">
        <v>4264</v>
      </c>
      <c r="G253" s="919" t="s">
        <v>4265</v>
      </c>
      <c r="H253" s="919" t="s">
        <v>4263</v>
      </c>
      <c r="I253" s="919" t="s">
        <v>3679</v>
      </c>
      <c r="J253" s="919"/>
      <c r="K253" s="920"/>
      <c r="L253" s="920"/>
      <c r="M253" s="920">
        <f t="shared" si="6"/>
        <v>0</v>
      </c>
      <c r="N253" s="919">
        <v>1</v>
      </c>
      <c r="O253" s="919">
        <v>4</v>
      </c>
      <c r="P253" s="921">
        <f t="shared" si="7"/>
        <v>12000</v>
      </c>
    </row>
    <row r="254" spans="1:16" ht="20.100000000000001" customHeight="1" x14ac:dyDescent="0.25">
      <c r="A254" s="918" t="s">
        <v>468</v>
      </c>
      <c r="B254" s="944" t="s">
        <v>3901</v>
      </c>
      <c r="C254" s="919" t="s">
        <v>3902</v>
      </c>
      <c r="D254" s="919" t="s">
        <v>4266</v>
      </c>
      <c r="E254" s="920">
        <v>1150</v>
      </c>
      <c r="F254" s="919" t="s">
        <v>4267</v>
      </c>
      <c r="G254" s="919" t="s">
        <v>4268</v>
      </c>
      <c r="H254" s="919" t="s">
        <v>4266</v>
      </c>
      <c r="I254" s="919" t="s">
        <v>3686</v>
      </c>
      <c r="J254" s="919"/>
      <c r="K254" s="920"/>
      <c r="L254" s="920"/>
      <c r="M254" s="920">
        <f t="shared" si="6"/>
        <v>0</v>
      </c>
      <c r="N254" s="919">
        <v>1</v>
      </c>
      <c r="O254" s="919">
        <v>4</v>
      </c>
      <c r="P254" s="921">
        <f t="shared" si="7"/>
        <v>4600</v>
      </c>
    </row>
    <row r="255" spans="1:16" ht="20.100000000000001" customHeight="1" x14ac:dyDescent="0.25">
      <c r="A255" s="918" t="s">
        <v>468</v>
      </c>
      <c r="B255" s="944" t="s">
        <v>3901</v>
      </c>
      <c r="C255" s="919" t="s">
        <v>3902</v>
      </c>
      <c r="D255" s="919" t="s">
        <v>4266</v>
      </c>
      <c r="E255" s="920">
        <v>1150</v>
      </c>
      <c r="F255" s="919" t="s">
        <v>4269</v>
      </c>
      <c r="G255" s="919" t="s">
        <v>4270</v>
      </c>
      <c r="H255" s="919" t="s">
        <v>4266</v>
      </c>
      <c r="I255" s="919" t="s">
        <v>3686</v>
      </c>
      <c r="J255" s="919"/>
      <c r="K255" s="920"/>
      <c r="L255" s="920"/>
      <c r="M255" s="920">
        <f t="shared" si="6"/>
        <v>0</v>
      </c>
      <c r="N255" s="919">
        <v>1</v>
      </c>
      <c r="O255" s="919">
        <v>4</v>
      </c>
      <c r="P255" s="921">
        <f t="shared" si="7"/>
        <v>4600</v>
      </c>
    </row>
    <row r="256" spans="1:16" ht="20.100000000000001" customHeight="1" x14ac:dyDescent="0.25">
      <c r="A256" s="918" t="s">
        <v>468</v>
      </c>
      <c r="B256" s="944" t="s">
        <v>3901</v>
      </c>
      <c r="C256" s="919" t="s">
        <v>3902</v>
      </c>
      <c r="D256" s="919" t="s">
        <v>4266</v>
      </c>
      <c r="E256" s="920">
        <v>1150</v>
      </c>
      <c r="F256" s="919" t="s">
        <v>4271</v>
      </c>
      <c r="G256" s="919" t="s">
        <v>4272</v>
      </c>
      <c r="H256" s="919" t="s">
        <v>4266</v>
      </c>
      <c r="I256" s="919" t="s">
        <v>3686</v>
      </c>
      <c r="J256" s="919"/>
      <c r="K256" s="920"/>
      <c r="L256" s="920"/>
      <c r="M256" s="920">
        <f t="shared" si="6"/>
        <v>0</v>
      </c>
      <c r="N256" s="919">
        <v>1</v>
      </c>
      <c r="O256" s="919">
        <v>4</v>
      </c>
      <c r="P256" s="921">
        <f t="shared" si="7"/>
        <v>4600</v>
      </c>
    </row>
    <row r="257" spans="1:16" ht="20.100000000000001" customHeight="1" x14ac:dyDescent="0.25">
      <c r="A257" s="918" t="s">
        <v>468</v>
      </c>
      <c r="B257" s="944" t="s">
        <v>3901</v>
      </c>
      <c r="C257" s="919" t="s">
        <v>3902</v>
      </c>
      <c r="D257" s="919" t="s">
        <v>4266</v>
      </c>
      <c r="E257" s="920">
        <v>1150</v>
      </c>
      <c r="F257" s="919" t="s">
        <v>4273</v>
      </c>
      <c r="G257" s="919" t="s">
        <v>4274</v>
      </c>
      <c r="H257" s="919" t="s">
        <v>4266</v>
      </c>
      <c r="I257" s="919" t="s">
        <v>3686</v>
      </c>
      <c r="J257" s="919"/>
      <c r="K257" s="920"/>
      <c r="L257" s="920"/>
      <c r="M257" s="920">
        <f t="shared" si="6"/>
        <v>0</v>
      </c>
      <c r="N257" s="919">
        <v>1</v>
      </c>
      <c r="O257" s="919">
        <v>4</v>
      </c>
      <c r="P257" s="921">
        <f t="shared" si="7"/>
        <v>4600</v>
      </c>
    </row>
    <row r="258" spans="1:16" ht="20.100000000000001" customHeight="1" x14ac:dyDescent="0.25">
      <c r="A258" s="918" t="s">
        <v>468</v>
      </c>
      <c r="B258" s="944" t="s">
        <v>3901</v>
      </c>
      <c r="C258" s="919" t="s">
        <v>3902</v>
      </c>
      <c r="D258" s="919" t="s">
        <v>4266</v>
      </c>
      <c r="E258" s="920">
        <v>1150</v>
      </c>
      <c r="F258" s="919" t="s">
        <v>4275</v>
      </c>
      <c r="G258" s="919" t="s">
        <v>4276</v>
      </c>
      <c r="H258" s="919" t="s">
        <v>4266</v>
      </c>
      <c r="I258" s="919" t="s">
        <v>3686</v>
      </c>
      <c r="J258" s="919"/>
      <c r="K258" s="920"/>
      <c r="L258" s="920"/>
      <c r="M258" s="920">
        <f t="shared" si="6"/>
        <v>0</v>
      </c>
      <c r="N258" s="919">
        <v>1</v>
      </c>
      <c r="O258" s="919">
        <v>4</v>
      </c>
      <c r="P258" s="921">
        <f t="shared" si="7"/>
        <v>4600</v>
      </c>
    </row>
    <row r="259" spans="1:16" ht="20.100000000000001" customHeight="1" x14ac:dyDescent="0.25">
      <c r="A259" s="918" t="s">
        <v>468</v>
      </c>
      <c r="B259" s="944" t="s">
        <v>3901</v>
      </c>
      <c r="C259" s="919" t="s">
        <v>3902</v>
      </c>
      <c r="D259" s="919" t="s">
        <v>4266</v>
      </c>
      <c r="E259" s="920">
        <v>1150</v>
      </c>
      <c r="F259" s="919" t="s">
        <v>4277</v>
      </c>
      <c r="G259" s="919" t="s">
        <v>4278</v>
      </c>
      <c r="H259" s="919" t="s">
        <v>4266</v>
      </c>
      <c r="I259" s="919" t="s">
        <v>3686</v>
      </c>
      <c r="J259" s="919"/>
      <c r="K259" s="920"/>
      <c r="L259" s="920"/>
      <c r="M259" s="920">
        <f t="shared" si="6"/>
        <v>0</v>
      </c>
      <c r="N259" s="919">
        <v>1</v>
      </c>
      <c r="O259" s="919">
        <v>4</v>
      </c>
      <c r="P259" s="921">
        <f t="shared" si="7"/>
        <v>4600</v>
      </c>
    </row>
    <row r="260" spans="1:16" ht="20.100000000000001" customHeight="1" x14ac:dyDescent="0.25">
      <c r="A260" s="918" t="s">
        <v>468</v>
      </c>
      <c r="B260" s="944" t="s">
        <v>3901</v>
      </c>
      <c r="C260" s="919" t="s">
        <v>3902</v>
      </c>
      <c r="D260" s="919" t="s">
        <v>4266</v>
      </c>
      <c r="E260" s="920">
        <v>1150</v>
      </c>
      <c r="F260" s="919" t="s">
        <v>4279</v>
      </c>
      <c r="G260" s="919" t="s">
        <v>4280</v>
      </c>
      <c r="H260" s="919" t="s">
        <v>4266</v>
      </c>
      <c r="I260" s="919" t="s">
        <v>3686</v>
      </c>
      <c r="J260" s="919"/>
      <c r="K260" s="920"/>
      <c r="L260" s="920"/>
      <c r="M260" s="920">
        <f t="shared" si="6"/>
        <v>0</v>
      </c>
      <c r="N260" s="919">
        <v>1</v>
      </c>
      <c r="O260" s="919">
        <v>4</v>
      </c>
      <c r="P260" s="921">
        <f t="shared" si="7"/>
        <v>4600</v>
      </c>
    </row>
    <row r="261" spans="1:16" ht="20.100000000000001" customHeight="1" x14ac:dyDescent="0.25">
      <c r="A261" s="918" t="s">
        <v>468</v>
      </c>
      <c r="B261" s="944" t="s">
        <v>3901</v>
      </c>
      <c r="C261" s="919" t="s">
        <v>3902</v>
      </c>
      <c r="D261" s="919" t="s">
        <v>4266</v>
      </c>
      <c r="E261" s="920">
        <v>1150</v>
      </c>
      <c r="F261" s="919" t="s">
        <v>4281</v>
      </c>
      <c r="G261" s="919" t="s">
        <v>4282</v>
      </c>
      <c r="H261" s="919" t="s">
        <v>4266</v>
      </c>
      <c r="I261" s="919" t="s">
        <v>3686</v>
      </c>
      <c r="J261" s="919"/>
      <c r="K261" s="920"/>
      <c r="L261" s="920"/>
      <c r="M261" s="920">
        <f t="shared" si="6"/>
        <v>0</v>
      </c>
      <c r="N261" s="919">
        <v>1</v>
      </c>
      <c r="O261" s="919">
        <v>4</v>
      </c>
      <c r="P261" s="921">
        <f t="shared" si="7"/>
        <v>4600</v>
      </c>
    </row>
    <row r="262" spans="1:16" ht="20.100000000000001" customHeight="1" x14ac:dyDescent="0.25">
      <c r="A262" s="918" t="s">
        <v>468</v>
      </c>
      <c r="B262" s="944" t="s">
        <v>3901</v>
      </c>
      <c r="C262" s="919" t="s">
        <v>3902</v>
      </c>
      <c r="D262" s="919" t="s">
        <v>4266</v>
      </c>
      <c r="E262" s="920">
        <v>1150</v>
      </c>
      <c r="F262" s="919" t="s">
        <v>4283</v>
      </c>
      <c r="G262" s="919" t="s">
        <v>4284</v>
      </c>
      <c r="H262" s="919" t="s">
        <v>4266</v>
      </c>
      <c r="I262" s="919" t="s">
        <v>3686</v>
      </c>
      <c r="J262" s="919"/>
      <c r="K262" s="920"/>
      <c r="L262" s="920"/>
      <c r="M262" s="920">
        <f t="shared" ref="M262:M325" si="8">E262*L262</f>
        <v>0</v>
      </c>
      <c r="N262" s="919">
        <v>1</v>
      </c>
      <c r="O262" s="919">
        <v>4</v>
      </c>
      <c r="P262" s="921">
        <f t="shared" ref="P262:P325" si="9">E262*O262</f>
        <v>4600</v>
      </c>
    </row>
    <row r="263" spans="1:16" ht="20.100000000000001" customHeight="1" x14ac:dyDescent="0.25">
      <c r="A263" s="918" t="s">
        <v>468</v>
      </c>
      <c r="B263" s="944" t="s">
        <v>3901</v>
      </c>
      <c r="C263" s="919" t="s">
        <v>3902</v>
      </c>
      <c r="D263" s="919" t="s">
        <v>4266</v>
      </c>
      <c r="E263" s="920">
        <v>1150</v>
      </c>
      <c r="F263" s="919" t="s">
        <v>4285</v>
      </c>
      <c r="G263" s="919" t="s">
        <v>4286</v>
      </c>
      <c r="H263" s="919" t="s">
        <v>4266</v>
      </c>
      <c r="I263" s="919" t="s">
        <v>3686</v>
      </c>
      <c r="J263" s="919"/>
      <c r="K263" s="920"/>
      <c r="L263" s="920"/>
      <c r="M263" s="920">
        <f t="shared" si="8"/>
        <v>0</v>
      </c>
      <c r="N263" s="919">
        <v>1</v>
      </c>
      <c r="O263" s="919">
        <v>4</v>
      </c>
      <c r="P263" s="921">
        <f t="shared" si="9"/>
        <v>4600</v>
      </c>
    </row>
    <row r="264" spans="1:16" ht="20.100000000000001" customHeight="1" x14ac:dyDescent="0.25">
      <c r="A264" s="918" t="s">
        <v>468</v>
      </c>
      <c r="B264" s="944" t="s">
        <v>3901</v>
      </c>
      <c r="C264" s="919" t="s">
        <v>3902</v>
      </c>
      <c r="D264" s="919" t="s">
        <v>4266</v>
      </c>
      <c r="E264" s="920">
        <v>1150</v>
      </c>
      <c r="F264" s="919" t="s">
        <v>4287</v>
      </c>
      <c r="G264" s="919" t="s">
        <v>4288</v>
      </c>
      <c r="H264" s="919" t="s">
        <v>4266</v>
      </c>
      <c r="I264" s="919" t="s">
        <v>3686</v>
      </c>
      <c r="J264" s="919"/>
      <c r="K264" s="920"/>
      <c r="L264" s="920"/>
      <c r="M264" s="920">
        <f t="shared" si="8"/>
        <v>0</v>
      </c>
      <c r="N264" s="919">
        <v>1</v>
      </c>
      <c r="O264" s="919">
        <v>4</v>
      </c>
      <c r="P264" s="921">
        <f t="shared" si="9"/>
        <v>4600</v>
      </c>
    </row>
    <row r="265" spans="1:16" ht="20.100000000000001" customHeight="1" x14ac:dyDescent="0.25">
      <c r="A265" s="918" t="s">
        <v>468</v>
      </c>
      <c r="B265" s="944" t="s">
        <v>3901</v>
      </c>
      <c r="C265" s="919" t="s">
        <v>3902</v>
      </c>
      <c r="D265" s="919" t="s">
        <v>4266</v>
      </c>
      <c r="E265" s="920">
        <v>1150</v>
      </c>
      <c r="F265" s="919" t="s">
        <v>4289</v>
      </c>
      <c r="G265" s="919" t="s">
        <v>4290</v>
      </c>
      <c r="H265" s="919" t="s">
        <v>4266</v>
      </c>
      <c r="I265" s="919" t="s">
        <v>3686</v>
      </c>
      <c r="J265" s="919"/>
      <c r="K265" s="920"/>
      <c r="L265" s="920"/>
      <c r="M265" s="920">
        <f t="shared" si="8"/>
        <v>0</v>
      </c>
      <c r="N265" s="919">
        <v>1</v>
      </c>
      <c r="O265" s="919">
        <v>4</v>
      </c>
      <c r="P265" s="921">
        <f t="shared" si="9"/>
        <v>4600</v>
      </c>
    </row>
    <row r="266" spans="1:16" ht="20.100000000000001" customHeight="1" x14ac:dyDescent="0.25">
      <c r="A266" s="918" t="s">
        <v>468</v>
      </c>
      <c r="B266" s="944" t="s">
        <v>3901</v>
      </c>
      <c r="C266" s="919" t="s">
        <v>3902</v>
      </c>
      <c r="D266" s="919" t="s">
        <v>4266</v>
      </c>
      <c r="E266" s="920">
        <v>1150</v>
      </c>
      <c r="F266" s="919" t="s">
        <v>4291</v>
      </c>
      <c r="G266" s="919" t="s">
        <v>4292</v>
      </c>
      <c r="H266" s="919" t="s">
        <v>4266</v>
      </c>
      <c r="I266" s="919" t="s">
        <v>3686</v>
      </c>
      <c r="J266" s="919"/>
      <c r="K266" s="920"/>
      <c r="L266" s="920"/>
      <c r="M266" s="920">
        <f t="shared" si="8"/>
        <v>0</v>
      </c>
      <c r="N266" s="919">
        <v>1</v>
      </c>
      <c r="O266" s="919">
        <v>4</v>
      </c>
      <c r="P266" s="921">
        <f t="shared" si="9"/>
        <v>4600</v>
      </c>
    </row>
    <row r="267" spans="1:16" ht="20.100000000000001" customHeight="1" x14ac:dyDescent="0.25">
      <c r="A267" s="918" t="s">
        <v>468</v>
      </c>
      <c r="B267" s="944" t="s">
        <v>3901</v>
      </c>
      <c r="C267" s="919" t="s">
        <v>3902</v>
      </c>
      <c r="D267" s="919" t="s">
        <v>4266</v>
      </c>
      <c r="E267" s="920">
        <v>1150</v>
      </c>
      <c r="F267" s="919" t="s">
        <v>4293</v>
      </c>
      <c r="G267" s="919" t="s">
        <v>4294</v>
      </c>
      <c r="H267" s="919" t="s">
        <v>4266</v>
      </c>
      <c r="I267" s="919" t="s">
        <v>3686</v>
      </c>
      <c r="J267" s="919"/>
      <c r="K267" s="920"/>
      <c r="L267" s="920"/>
      <c r="M267" s="920">
        <f t="shared" si="8"/>
        <v>0</v>
      </c>
      <c r="N267" s="919">
        <v>1</v>
      </c>
      <c r="O267" s="919">
        <v>4</v>
      </c>
      <c r="P267" s="921">
        <f t="shared" si="9"/>
        <v>4600</v>
      </c>
    </row>
    <row r="268" spans="1:16" ht="20.100000000000001" customHeight="1" x14ac:dyDescent="0.25">
      <c r="A268" s="918" t="s">
        <v>468</v>
      </c>
      <c r="B268" s="944" t="s">
        <v>3901</v>
      </c>
      <c r="C268" s="919" t="s">
        <v>3902</v>
      </c>
      <c r="D268" s="919" t="s">
        <v>4266</v>
      </c>
      <c r="E268" s="920">
        <v>1150</v>
      </c>
      <c r="F268" s="919" t="s">
        <v>4295</v>
      </c>
      <c r="G268" s="919" t="s">
        <v>4296</v>
      </c>
      <c r="H268" s="919" t="s">
        <v>4266</v>
      </c>
      <c r="I268" s="919" t="s">
        <v>3686</v>
      </c>
      <c r="J268" s="919"/>
      <c r="K268" s="920"/>
      <c r="L268" s="920"/>
      <c r="M268" s="920">
        <f t="shared" si="8"/>
        <v>0</v>
      </c>
      <c r="N268" s="919">
        <v>1</v>
      </c>
      <c r="O268" s="919">
        <v>4</v>
      </c>
      <c r="P268" s="921">
        <f t="shared" si="9"/>
        <v>4600</v>
      </c>
    </row>
    <row r="269" spans="1:16" ht="20.100000000000001" customHeight="1" x14ac:dyDescent="0.25">
      <c r="A269" s="918" t="s">
        <v>468</v>
      </c>
      <c r="B269" s="944" t="s">
        <v>3901</v>
      </c>
      <c r="C269" s="919" t="s">
        <v>3902</v>
      </c>
      <c r="D269" s="919" t="s">
        <v>4266</v>
      </c>
      <c r="E269" s="920">
        <v>1150</v>
      </c>
      <c r="F269" s="919" t="s">
        <v>4297</v>
      </c>
      <c r="G269" s="919" t="s">
        <v>4298</v>
      </c>
      <c r="H269" s="919" t="s">
        <v>4266</v>
      </c>
      <c r="I269" s="919" t="s">
        <v>3686</v>
      </c>
      <c r="J269" s="919"/>
      <c r="K269" s="920"/>
      <c r="L269" s="920"/>
      <c r="M269" s="920">
        <f t="shared" si="8"/>
        <v>0</v>
      </c>
      <c r="N269" s="919">
        <v>1</v>
      </c>
      <c r="O269" s="919">
        <v>4</v>
      </c>
      <c r="P269" s="921">
        <f t="shared" si="9"/>
        <v>4600</v>
      </c>
    </row>
    <row r="270" spans="1:16" ht="20.100000000000001" customHeight="1" x14ac:dyDescent="0.25">
      <c r="A270" s="918" t="s">
        <v>468</v>
      </c>
      <c r="B270" s="944" t="s">
        <v>3901</v>
      </c>
      <c r="C270" s="919" t="s">
        <v>3902</v>
      </c>
      <c r="D270" s="919" t="s">
        <v>4266</v>
      </c>
      <c r="E270" s="920">
        <v>1150</v>
      </c>
      <c r="F270" s="919" t="s">
        <v>4299</v>
      </c>
      <c r="G270" s="919" t="s">
        <v>4300</v>
      </c>
      <c r="H270" s="919" t="s">
        <v>4266</v>
      </c>
      <c r="I270" s="919" t="s">
        <v>3686</v>
      </c>
      <c r="J270" s="919"/>
      <c r="K270" s="920"/>
      <c r="L270" s="920"/>
      <c r="M270" s="920">
        <f t="shared" si="8"/>
        <v>0</v>
      </c>
      <c r="N270" s="919">
        <v>1</v>
      </c>
      <c r="O270" s="919">
        <v>4</v>
      </c>
      <c r="P270" s="921">
        <f t="shared" si="9"/>
        <v>4600</v>
      </c>
    </row>
    <row r="271" spans="1:16" ht="20.100000000000001" customHeight="1" x14ac:dyDescent="0.25">
      <c r="A271" s="918" t="s">
        <v>468</v>
      </c>
      <c r="B271" s="944" t="s">
        <v>3901</v>
      </c>
      <c r="C271" s="919" t="s">
        <v>3902</v>
      </c>
      <c r="D271" s="919" t="s">
        <v>4266</v>
      </c>
      <c r="E271" s="920">
        <v>1150</v>
      </c>
      <c r="F271" s="919" t="s">
        <v>4301</v>
      </c>
      <c r="G271" s="919" t="s">
        <v>4302</v>
      </c>
      <c r="H271" s="919" t="s">
        <v>4266</v>
      </c>
      <c r="I271" s="919" t="s">
        <v>3686</v>
      </c>
      <c r="J271" s="919"/>
      <c r="K271" s="920"/>
      <c r="L271" s="920"/>
      <c r="M271" s="920">
        <f t="shared" si="8"/>
        <v>0</v>
      </c>
      <c r="N271" s="919">
        <v>1</v>
      </c>
      <c r="O271" s="919">
        <v>4</v>
      </c>
      <c r="P271" s="921">
        <f t="shared" si="9"/>
        <v>4600</v>
      </c>
    </row>
    <row r="272" spans="1:16" ht="20.100000000000001" customHeight="1" x14ac:dyDescent="0.25">
      <c r="A272" s="918" t="s">
        <v>468</v>
      </c>
      <c r="B272" s="944" t="s">
        <v>3901</v>
      </c>
      <c r="C272" s="919" t="s">
        <v>3902</v>
      </c>
      <c r="D272" s="919" t="s">
        <v>4266</v>
      </c>
      <c r="E272" s="920">
        <v>1150</v>
      </c>
      <c r="F272" s="919" t="s">
        <v>4303</v>
      </c>
      <c r="G272" s="919" t="s">
        <v>4304</v>
      </c>
      <c r="H272" s="919" t="s">
        <v>4266</v>
      </c>
      <c r="I272" s="919" t="s">
        <v>3686</v>
      </c>
      <c r="J272" s="919"/>
      <c r="K272" s="920"/>
      <c r="L272" s="920"/>
      <c r="M272" s="920">
        <f t="shared" si="8"/>
        <v>0</v>
      </c>
      <c r="N272" s="919">
        <v>1</v>
      </c>
      <c r="O272" s="919">
        <v>4</v>
      </c>
      <c r="P272" s="921">
        <f t="shared" si="9"/>
        <v>4600</v>
      </c>
    </row>
    <row r="273" spans="1:16" ht="20.100000000000001" customHeight="1" x14ac:dyDescent="0.25">
      <c r="A273" s="918" t="s">
        <v>468</v>
      </c>
      <c r="B273" s="944" t="s">
        <v>3901</v>
      </c>
      <c r="C273" s="919" t="s">
        <v>3902</v>
      </c>
      <c r="D273" s="919" t="s">
        <v>4266</v>
      </c>
      <c r="E273" s="920">
        <v>1150</v>
      </c>
      <c r="F273" s="919" t="s">
        <v>4305</v>
      </c>
      <c r="G273" s="919" t="s">
        <v>4306</v>
      </c>
      <c r="H273" s="919" t="s">
        <v>4266</v>
      </c>
      <c r="I273" s="919" t="s">
        <v>3686</v>
      </c>
      <c r="J273" s="919"/>
      <c r="K273" s="920"/>
      <c r="L273" s="920"/>
      <c r="M273" s="920">
        <f t="shared" si="8"/>
        <v>0</v>
      </c>
      <c r="N273" s="919">
        <v>1</v>
      </c>
      <c r="O273" s="919">
        <v>4</v>
      </c>
      <c r="P273" s="921">
        <f t="shared" si="9"/>
        <v>4600</v>
      </c>
    </row>
    <row r="274" spans="1:16" ht="20.100000000000001" customHeight="1" x14ac:dyDescent="0.25">
      <c r="A274" s="918" t="s">
        <v>468</v>
      </c>
      <c r="B274" s="944" t="s">
        <v>3901</v>
      </c>
      <c r="C274" s="919" t="s">
        <v>3902</v>
      </c>
      <c r="D274" s="919" t="s">
        <v>4266</v>
      </c>
      <c r="E274" s="920">
        <v>1150</v>
      </c>
      <c r="F274" s="919" t="s">
        <v>4307</v>
      </c>
      <c r="G274" s="919" t="s">
        <v>4308</v>
      </c>
      <c r="H274" s="919" t="s">
        <v>4266</v>
      </c>
      <c r="I274" s="919" t="s">
        <v>3686</v>
      </c>
      <c r="J274" s="919"/>
      <c r="K274" s="920"/>
      <c r="L274" s="920"/>
      <c r="M274" s="920">
        <f t="shared" si="8"/>
        <v>0</v>
      </c>
      <c r="N274" s="919">
        <v>1</v>
      </c>
      <c r="O274" s="919">
        <v>4</v>
      </c>
      <c r="P274" s="921">
        <f t="shared" si="9"/>
        <v>4600</v>
      </c>
    </row>
    <row r="275" spans="1:16" ht="20.100000000000001" customHeight="1" x14ac:dyDescent="0.25">
      <c r="A275" s="918" t="s">
        <v>468</v>
      </c>
      <c r="B275" s="944" t="s">
        <v>3901</v>
      </c>
      <c r="C275" s="919" t="s">
        <v>3902</v>
      </c>
      <c r="D275" s="919" t="s">
        <v>4266</v>
      </c>
      <c r="E275" s="920">
        <v>1150</v>
      </c>
      <c r="F275" s="919" t="s">
        <v>4309</v>
      </c>
      <c r="G275" s="919" t="s">
        <v>4310</v>
      </c>
      <c r="H275" s="919" t="s">
        <v>4266</v>
      </c>
      <c r="I275" s="919" t="s">
        <v>3686</v>
      </c>
      <c r="J275" s="919"/>
      <c r="K275" s="920"/>
      <c r="L275" s="920"/>
      <c r="M275" s="920">
        <f t="shared" si="8"/>
        <v>0</v>
      </c>
      <c r="N275" s="919">
        <v>1</v>
      </c>
      <c r="O275" s="919">
        <v>4</v>
      </c>
      <c r="P275" s="921">
        <f t="shared" si="9"/>
        <v>4600</v>
      </c>
    </row>
    <row r="276" spans="1:16" ht="20.100000000000001" customHeight="1" x14ac:dyDescent="0.25">
      <c r="A276" s="918" t="s">
        <v>468</v>
      </c>
      <c r="B276" s="944" t="s">
        <v>3901</v>
      </c>
      <c r="C276" s="919" t="s">
        <v>3902</v>
      </c>
      <c r="D276" s="919" t="s">
        <v>4266</v>
      </c>
      <c r="E276" s="920">
        <v>1150</v>
      </c>
      <c r="F276" s="919" t="s">
        <v>4311</v>
      </c>
      <c r="G276" s="919" t="s">
        <v>4312</v>
      </c>
      <c r="H276" s="919" t="s">
        <v>4266</v>
      </c>
      <c r="I276" s="919" t="s">
        <v>3686</v>
      </c>
      <c r="J276" s="919"/>
      <c r="K276" s="920"/>
      <c r="L276" s="920"/>
      <c r="M276" s="920">
        <f t="shared" si="8"/>
        <v>0</v>
      </c>
      <c r="N276" s="919">
        <v>1</v>
      </c>
      <c r="O276" s="919">
        <v>4</v>
      </c>
      <c r="P276" s="921">
        <f t="shared" si="9"/>
        <v>4600</v>
      </c>
    </row>
    <row r="277" spans="1:16" ht="20.100000000000001" customHeight="1" x14ac:dyDescent="0.25">
      <c r="A277" s="918" t="s">
        <v>468</v>
      </c>
      <c r="B277" s="944" t="s">
        <v>3901</v>
      </c>
      <c r="C277" s="919" t="s">
        <v>3902</v>
      </c>
      <c r="D277" s="919" t="s">
        <v>4266</v>
      </c>
      <c r="E277" s="920">
        <v>1150</v>
      </c>
      <c r="F277" s="919" t="s">
        <v>4313</v>
      </c>
      <c r="G277" s="919" t="s">
        <v>4314</v>
      </c>
      <c r="H277" s="919" t="s">
        <v>4266</v>
      </c>
      <c r="I277" s="919" t="s">
        <v>3686</v>
      </c>
      <c r="J277" s="919"/>
      <c r="K277" s="920"/>
      <c r="L277" s="920"/>
      <c r="M277" s="920">
        <f t="shared" si="8"/>
        <v>0</v>
      </c>
      <c r="N277" s="919">
        <v>1</v>
      </c>
      <c r="O277" s="919">
        <v>4</v>
      </c>
      <c r="P277" s="921">
        <f t="shared" si="9"/>
        <v>4600</v>
      </c>
    </row>
    <row r="278" spans="1:16" ht="20.100000000000001" customHeight="1" x14ac:dyDescent="0.25">
      <c r="A278" s="918" t="s">
        <v>468</v>
      </c>
      <c r="B278" s="944" t="s">
        <v>3901</v>
      </c>
      <c r="C278" s="919" t="s">
        <v>3902</v>
      </c>
      <c r="D278" s="919" t="s">
        <v>4266</v>
      </c>
      <c r="E278" s="920">
        <v>1150</v>
      </c>
      <c r="F278" s="919" t="s">
        <v>4315</v>
      </c>
      <c r="G278" s="919" t="s">
        <v>4316</v>
      </c>
      <c r="H278" s="919" t="s">
        <v>4266</v>
      </c>
      <c r="I278" s="919" t="s">
        <v>3686</v>
      </c>
      <c r="J278" s="919"/>
      <c r="K278" s="920"/>
      <c r="L278" s="920"/>
      <c r="M278" s="920">
        <f t="shared" si="8"/>
        <v>0</v>
      </c>
      <c r="N278" s="919">
        <v>1</v>
      </c>
      <c r="O278" s="919">
        <v>4</v>
      </c>
      <c r="P278" s="921">
        <f t="shared" si="9"/>
        <v>4600</v>
      </c>
    </row>
    <row r="279" spans="1:16" ht="20.100000000000001" customHeight="1" x14ac:dyDescent="0.25">
      <c r="A279" s="918" t="s">
        <v>468</v>
      </c>
      <c r="B279" s="944" t="s">
        <v>3901</v>
      </c>
      <c r="C279" s="919" t="s">
        <v>3902</v>
      </c>
      <c r="D279" s="919" t="s">
        <v>4266</v>
      </c>
      <c r="E279" s="920">
        <v>1150</v>
      </c>
      <c r="F279" s="919" t="s">
        <v>4317</v>
      </c>
      <c r="G279" s="919" t="s">
        <v>4318</v>
      </c>
      <c r="H279" s="919" t="s">
        <v>4266</v>
      </c>
      <c r="I279" s="919" t="s">
        <v>3686</v>
      </c>
      <c r="J279" s="919"/>
      <c r="K279" s="920"/>
      <c r="L279" s="920"/>
      <c r="M279" s="920">
        <f t="shared" si="8"/>
        <v>0</v>
      </c>
      <c r="N279" s="919">
        <v>1</v>
      </c>
      <c r="O279" s="919">
        <v>4</v>
      </c>
      <c r="P279" s="921">
        <f t="shared" si="9"/>
        <v>4600</v>
      </c>
    </row>
    <row r="280" spans="1:16" ht="20.100000000000001" customHeight="1" x14ac:dyDescent="0.25">
      <c r="A280" s="918" t="s">
        <v>468</v>
      </c>
      <c r="B280" s="944" t="s">
        <v>3901</v>
      </c>
      <c r="C280" s="919" t="s">
        <v>3902</v>
      </c>
      <c r="D280" s="919" t="s">
        <v>4266</v>
      </c>
      <c r="E280" s="920">
        <v>1150</v>
      </c>
      <c r="F280" s="919" t="s">
        <v>4319</v>
      </c>
      <c r="G280" s="919" t="s">
        <v>4320</v>
      </c>
      <c r="H280" s="919" t="s">
        <v>4266</v>
      </c>
      <c r="I280" s="919" t="s">
        <v>3686</v>
      </c>
      <c r="J280" s="919"/>
      <c r="K280" s="920"/>
      <c r="L280" s="920"/>
      <c r="M280" s="920">
        <f t="shared" si="8"/>
        <v>0</v>
      </c>
      <c r="N280" s="919">
        <v>1</v>
      </c>
      <c r="O280" s="919">
        <v>4</v>
      </c>
      <c r="P280" s="921">
        <f t="shared" si="9"/>
        <v>4600</v>
      </c>
    </row>
    <row r="281" spans="1:16" ht="20.100000000000001" customHeight="1" x14ac:dyDescent="0.25">
      <c r="A281" s="918" t="s">
        <v>468</v>
      </c>
      <c r="B281" s="944" t="s">
        <v>3901</v>
      </c>
      <c r="C281" s="919" t="s">
        <v>3902</v>
      </c>
      <c r="D281" s="919" t="s">
        <v>4266</v>
      </c>
      <c r="E281" s="920">
        <v>1150</v>
      </c>
      <c r="F281" s="919" t="s">
        <v>4321</v>
      </c>
      <c r="G281" s="919" t="s">
        <v>4322</v>
      </c>
      <c r="H281" s="919" t="s">
        <v>4266</v>
      </c>
      <c r="I281" s="919" t="s">
        <v>3686</v>
      </c>
      <c r="J281" s="919"/>
      <c r="K281" s="920"/>
      <c r="L281" s="920"/>
      <c r="M281" s="920">
        <f t="shared" si="8"/>
        <v>0</v>
      </c>
      <c r="N281" s="919">
        <v>1</v>
      </c>
      <c r="O281" s="919">
        <v>4</v>
      </c>
      <c r="P281" s="921">
        <f t="shared" si="9"/>
        <v>4600</v>
      </c>
    </row>
    <row r="282" spans="1:16" ht="20.100000000000001" customHeight="1" x14ac:dyDescent="0.25">
      <c r="A282" s="918" t="s">
        <v>468</v>
      </c>
      <c r="B282" s="944" t="s">
        <v>3901</v>
      </c>
      <c r="C282" s="919" t="s">
        <v>3902</v>
      </c>
      <c r="D282" s="919" t="s">
        <v>4266</v>
      </c>
      <c r="E282" s="920">
        <v>1150</v>
      </c>
      <c r="F282" s="919" t="s">
        <v>4323</v>
      </c>
      <c r="G282" s="919" t="s">
        <v>4324</v>
      </c>
      <c r="H282" s="919" t="s">
        <v>4266</v>
      </c>
      <c r="I282" s="919" t="s">
        <v>3686</v>
      </c>
      <c r="J282" s="919"/>
      <c r="K282" s="920"/>
      <c r="L282" s="920"/>
      <c r="M282" s="920">
        <f t="shared" si="8"/>
        <v>0</v>
      </c>
      <c r="N282" s="919">
        <v>1</v>
      </c>
      <c r="O282" s="919">
        <v>4</v>
      </c>
      <c r="P282" s="921">
        <f t="shared" si="9"/>
        <v>4600</v>
      </c>
    </row>
    <row r="283" spans="1:16" ht="20.100000000000001" customHeight="1" x14ac:dyDescent="0.25">
      <c r="A283" s="918" t="s">
        <v>468</v>
      </c>
      <c r="B283" s="944" t="s">
        <v>3901</v>
      </c>
      <c r="C283" s="919" t="s">
        <v>3902</v>
      </c>
      <c r="D283" s="919" t="s">
        <v>4266</v>
      </c>
      <c r="E283" s="920">
        <v>1150</v>
      </c>
      <c r="F283" s="919" t="s">
        <v>4325</v>
      </c>
      <c r="G283" s="919" t="s">
        <v>4326</v>
      </c>
      <c r="H283" s="919" t="s">
        <v>4266</v>
      </c>
      <c r="I283" s="919" t="s">
        <v>3686</v>
      </c>
      <c r="J283" s="919"/>
      <c r="K283" s="920"/>
      <c r="L283" s="920"/>
      <c r="M283" s="920">
        <f t="shared" si="8"/>
        <v>0</v>
      </c>
      <c r="N283" s="919">
        <v>1</v>
      </c>
      <c r="O283" s="919">
        <v>4</v>
      </c>
      <c r="P283" s="921">
        <f t="shared" si="9"/>
        <v>4600</v>
      </c>
    </row>
    <row r="284" spans="1:16" ht="20.100000000000001" customHeight="1" x14ac:dyDescent="0.25">
      <c r="A284" s="918" t="s">
        <v>468</v>
      </c>
      <c r="B284" s="944" t="s">
        <v>3901</v>
      </c>
      <c r="C284" s="919" t="s">
        <v>3902</v>
      </c>
      <c r="D284" s="919" t="s">
        <v>4266</v>
      </c>
      <c r="E284" s="920">
        <v>1150</v>
      </c>
      <c r="F284" s="919" t="s">
        <v>4327</v>
      </c>
      <c r="G284" s="919" t="s">
        <v>4328</v>
      </c>
      <c r="H284" s="919" t="s">
        <v>4266</v>
      </c>
      <c r="I284" s="919" t="s">
        <v>3686</v>
      </c>
      <c r="J284" s="919"/>
      <c r="K284" s="920"/>
      <c r="L284" s="920"/>
      <c r="M284" s="920">
        <f t="shared" si="8"/>
        <v>0</v>
      </c>
      <c r="N284" s="919">
        <v>1</v>
      </c>
      <c r="O284" s="919">
        <v>4</v>
      </c>
      <c r="P284" s="921">
        <f t="shared" si="9"/>
        <v>4600</v>
      </c>
    </row>
    <row r="285" spans="1:16" ht="20.100000000000001" customHeight="1" x14ac:dyDescent="0.25">
      <c r="A285" s="918" t="s">
        <v>468</v>
      </c>
      <c r="B285" s="944" t="s">
        <v>3901</v>
      </c>
      <c r="C285" s="919" t="s">
        <v>3902</v>
      </c>
      <c r="D285" s="919" t="s">
        <v>4266</v>
      </c>
      <c r="E285" s="920">
        <v>1150</v>
      </c>
      <c r="F285" s="919" t="s">
        <v>4329</v>
      </c>
      <c r="G285" s="919" t="s">
        <v>4330</v>
      </c>
      <c r="H285" s="919" t="s">
        <v>4266</v>
      </c>
      <c r="I285" s="919" t="s">
        <v>3686</v>
      </c>
      <c r="J285" s="919"/>
      <c r="K285" s="920"/>
      <c r="L285" s="920"/>
      <c r="M285" s="920">
        <f t="shared" si="8"/>
        <v>0</v>
      </c>
      <c r="N285" s="919">
        <v>1</v>
      </c>
      <c r="O285" s="919">
        <v>4</v>
      </c>
      <c r="P285" s="921">
        <f t="shared" si="9"/>
        <v>4600</v>
      </c>
    </row>
    <row r="286" spans="1:16" ht="20.100000000000001" customHeight="1" x14ac:dyDescent="0.25">
      <c r="A286" s="918" t="s">
        <v>468</v>
      </c>
      <c r="B286" s="944" t="s">
        <v>3901</v>
      </c>
      <c r="C286" s="919" t="s">
        <v>3902</v>
      </c>
      <c r="D286" s="919" t="s">
        <v>4266</v>
      </c>
      <c r="E286" s="920">
        <v>1150</v>
      </c>
      <c r="F286" s="919" t="s">
        <v>4331</v>
      </c>
      <c r="G286" s="919" t="s">
        <v>4332</v>
      </c>
      <c r="H286" s="919" t="s">
        <v>4266</v>
      </c>
      <c r="I286" s="919" t="s">
        <v>3686</v>
      </c>
      <c r="J286" s="919"/>
      <c r="K286" s="920"/>
      <c r="L286" s="920"/>
      <c r="M286" s="920">
        <f t="shared" si="8"/>
        <v>0</v>
      </c>
      <c r="N286" s="919">
        <v>1</v>
      </c>
      <c r="O286" s="919">
        <v>4</v>
      </c>
      <c r="P286" s="921">
        <f t="shared" si="9"/>
        <v>4600</v>
      </c>
    </row>
    <row r="287" spans="1:16" ht="20.100000000000001" customHeight="1" x14ac:dyDescent="0.25">
      <c r="A287" s="918" t="s">
        <v>468</v>
      </c>
      <c r="B287" s="944" t="s">
        <v>3901</v>
      </c>
      <c r="C287" s="919" t="s">
        <v>3902</v>
      </c>
      <c r="D287" s="919" t="s">
        <v>4266</v>
      </c>
      <c r="E287" s="920">
        <v>1150</v>
      </c>
      <c r="F287" s="919" t="s">
        <v>4333</v>
      </c>
      <c r="G287" s="919" t="s">
        <v>4334</v>
      </c>
      <c r="H287" s="919" t="s">
        <v>4266</v>
      </c>
      <c r="I287" s="919" t="s">
        <v>3686</v>
      </c>
      <c r="J287" s="919"/>
      <c r="K287" s="920"/>
      <c r="L287" s="920"/>
      <c r="M287" s="920">
        <f t="shared" si="8"/>
        <v>0</v>
      </c>
      <c r="N287" s="919">
        <v>1</v>
      </c>
      <c r="O287" s="919">
        <v>4</v>
      </c>
      <c r="P287" s="921">
        <f t="shared" si="9"/>
        <v>4600</v>
      </c>
    </row>
    <row r="288" spans="1:16" ht="20.100000000000001" customHeight="1" x14ac:dyDescent="0.25">
      <c r="A288" s="918" t="s">
        <v>468</v>
      </c>
      <c r="B288" s="944" t="s">
        <v>3901</v>
      </c>
      <c r="C288" s="919" t="s">
        <v>3902</v>
      </c>
      <c r="D288" s="919" t="s">
        <v>4266</v>
      </c>
      <c r="E288" s="920">
        <v>1150</v>
      </c>
      <c r="F288" s="919" t="s">
        <v>4335</v>
      </c>
      <c r="G288" s="919" t="s">
        <v>4336</v>
      </c>
      <c r="H288" s="919" t="s">
        <v>4266</v>
      </c>
      <c r="I288" s="919" t="s">
        <v>3686</v>
      </c>
      <c r="J288" s="919"/>
      <c r="K288" s="920"/>
      <c r="L288" s="920"/>
      <c r="M288" s="920">
        <f t="shared" si="8"/>
        <v>0</v>
      </c>
      <c r="N288" s="919">
        <v>1</v>
      </c>
      <c r="O288" s="919">
        <v>4</v>
      </c>
      <c r="P288" s="921">
        <f t="shared" si="9"/>
        <v>4600</v>
      </c>
    </row>
    <row r="289" spans="1:16" ht="20.100000000000001" customHeight="1" x14ac:dyDescent="0.25">
      <c r="A289" s="918" t="s">
        <v>468</v>
      </c>
      <c r="B289" s="944" t="s">
        <v>3901</v>
      </c>
      <c r="C289" s="919" t="s">
        <v>3902</v>
      </c>
      <c r="D289" s="919" t="s">
        <v>4266</v>
      </c>
      <c r="E289" s="920">
        <v>1150</v>
      </c>
      <c r="F289" s="919" t="s">
        <v>4337</v>
      </c>
      <c r="G289" s="919" t="s">
        <v>4338</v>
      </c>
      <c r="H289" s="919" t="s">
        <v>4266</v>
      </c>
      <c r="I289" s="919" t="s">
        <v>3686</v>
      </c>
      <c r="J289" s="919"/>
      <c r="K289" s="920"/>
      <c r="L289" s="920"/>
      <c r="M289" s="920">
        <f t="shared" si="8"/>
        <v>0</v>
      </c>
      <c r="N289" s="919">
        <v>1</v>
      </c>
      <c r="O289" s="919">
        <v>4</v>
      </c>
      <c r="P289" s="921">
        <f t="shared" si="9"/>
        <v>4600</v>
      </c>
    </row>
    <row r="290" spans="1:16" ht="20.100000000000001" customHeight="1" x14ac:dyDescent="0.25">
      <c r="A290" s="918" t="s">
        <v>468</v>
      </c>
      <c r="B290" s="944" t="s">
        <v>3901</v>
      </c>
      <c r="C290" s="919" t="s">
        <v>3902</v>
      </c>
      <c r="D290" s="919" t="s">
        <v>4266</v>
      </c>
      <c r="E290" s="920">
        <v>1150</v>
      </c>
      <c r="F290" s="919" t="s">
        <v>4339</v>
      </c>
      <c r="G290" s="919" t="s">
        <v>4340</v>
      </c>
      <c r="H290" s="919" t="s">
        <v>4266</v>
      </c>
      <c r="I290" s="919" t="s">
        <v>3686</v>
      </c>
      <c r="J290" s="919"/>
      <c r="K290" s="920"/>
      <c r="L290" s="920"/>
      <c r="M290" s="920">
        <f t="shared" si="8"/>
        <v>0</v>
      </c>
      <c r="N290" s="919">
        <v>1</v>
      </c>
      <c r="O290" s="919">
        <v>4</v>
      </c>
      <c r="P290" s="921">
        <f t="shared" si="9"/>
        <v>4600</v>
      </c>
    </row>
    <row r="291" spans="1:16" ht="20.100000000000001" customHeight="1" x14ac:dyDescent="0.25">
      <c r="A291" s="918" t="s">
        <v>468</v>
      </c>
      <c r="B291" s="944" t="s">
        <v>3901</v>
      </c>
      <c r="C291" s="919" t="s">
        <v>3902</v>
      </c>
      <c r="D291" s="919" t="s">
        <v>4266</v>
      </c>
      <c r="E291" s="920">
        <v>1150</v>
      </c>
      <c r="F291" s="919" t="s">
        <v>4341</v>
      </c>
      <c r="G291" s="919" t="s">
        <v>4342</v>
      </c>
      <c r="H291" s="919" t="s">
        <v>4266</v>
      </c>
      <c r="I291" s="919" t="s">
        <v>3686</v>
      </c>
      <c r="J291" s="919"/>
      <c r="K291" s="920"/>
      <c r="L291" s="920"/>
      <c r="M291" s="920">
        <f t="shared" si="8"/>
        <v>0</v>
      </c>
      <c r="N291" s="919">
        <v>1</v>
      </c>
      <c r="O291" s="919">
        <v>4</v>
      </c>
      <c r="P291" s="921">
        <f t="shared" si="9"/>
        <v>4600</v>
      </c>
    </row>
    <row r="292" spans="1:16" ht="20.100000000000001" customHeight="1" x14ac:dyDescent="0.25">
      <c r="A292" s="918" t="s">
        <v>468</v>
      </c>
      <c r="B292" s="944" t="s">
        <v>3901</v>
      </c>
      <c r="C292" s="919" t="s">
        <v>3902</v>
      </c>
      <c r="D292" s="919" t="s">
        <v>4266</v>
      </c>
      <c r="E292" s="920">
        <v>1150</v>
      </c>
      <c r="F292" s="919" t="s">
        <v>4343</v>
      </c>
      <c r="G292" s="919" t="s">
        <v>4344</v>
      </c>
      <c r="H292" s="919" t="s">
        <v>4266</v>
      </c>
      <c r="I292" s="919" t="s">
        <v>3686</v>
      </c>
      <c r="J292" s="919"/>
      <c r="K292" s="920"/>
      <c r="L292" s="920"/>
      <c r="M292" s="920">
        <f t="shared" si="8"/>
        <v>0</v>
      </c>
      <c r="N292" s="919">
        <v>1</v>
      </c>
      <c r="O292" s="919">
        <v>4</v>
      </c>
      <c r="P292" s="921">
        <f t="shared" si="9"/>
        <v>4600</v>
      </c>
    </row>
    <row r="293" spans="1:16" ht="20.100000000000001" customHeight="1" x14ac:dyDescent="0.25">
      <c r="A293" s="918" t="s">
        <v>468</v>
      </c>
      <c r="B293" s="944" t="s">
        <v>3901</v>
      </c>
      <c r="C293" s="919" t="s">
        <v>3902</v>
      </c>
      <c r="D293" s="919" t="s">
        <v>4266</v>
      </c>
      <c r="E293" s="920">
        <v>1150</v>
      </c>
      <c r="F293" s="919" t="s">
        <v>4345</v>
      </c>
      <c r="G293" s="919" t="s">
        <v>4346</v>
      </c>
      <c r="H293" s="919" t="s">
        <v>4266</v>
      </c>
      <c r="I293" s="919" t="s">
        <v>3686</v>
      </c>
      <c r="J293" s="919"/>
      <c r="K293" s="920"/>
      <c r="L293" s="920"/>
      <c r="M293" s="920">
        <f t="shared" si="8"/>
        <v>0</v>
      </c>
      <c r="N293" s="919">
        <v>1</v>
      </c>
      <c r="O293" s="919">
        <v>3</v>
      </c>
      <c r="P293" s="921">
        <f t="shared" si="9"/>
        <v>3450</v>
      </c>
    </row>
    <row r="294" spans="1:16" ht="20.100000000000001" customHeight="1" x14ac:dyDescent="0.25">
      <c r="A294" s="918" t="s">
        <v>468</v>
      </c>
      <c r="B294" s="944" t="s">
        <v>3901</v>
      </c>
      <c r="C294" s="919" t="s">
        <v>3902</v>
      </c>
      <c r="D294" s="919" t="s">
        <v>4347</v>
      </c>
      <c r="E294" s="920">
        <v>2600</v>
      </c>
      <c r="F294" s="919" t="s">
        <v>4348</v>
      </c>
      <c r="G294" s="919" t="s">
        <v>4349</v>
      </c>
      <c r="H294" s="919" t="s">
        <v>4347</v>
      </c>
      <c r="I294" s="919" t="s">
        <v>3679</v>
      </c>
      <c r="J294" s="919"/>
      <c r="K294" s="920"/>
      <c r="L294" s="920"/>
      <c r="M294" s="920">
        <f t="shared" si="8"/>
        <v>0</v>
      </c>
      <c r="N294" s="919">
        <v>1</v>
      </c>
      <c r="O294" s="919">
        <v>4</v>
      </c>
      <c r="P294" s="921">
        <f t="shared" si="9"/>
        <v>10400</v>
      </c>
    </row>
    <row r="295" spans="1:16" ht="20.100000000000001" customHeight="1" x14ac:dyDescent="0.25">
      <c r="A295" s="918" t="s">
        <v>483</v>
      </c>
      <c r="B295" s="944" t="s">
        <v>3901</v>
      </c>
      <c r="C295" s="919" t="s">
        <v>3902</v>
      </c>
      <c r="D295" s="919" t="s">
        <v>4244</v>
      </c>
      <c r="E295" s="920">
        <v>2300</v>
      </c>
      <c r="F295" s="919" t="s">
        <v>4350</v>
      </c>
      <c r="G295" s="919" t="s">
        <v>4351</v>
      </c>
      <c r="H295" s="919" t="s">
        <v>4244</v>
      </c>
      <c r="I295" s="919" t="s">
        <v>3679</v>
      </c>
      <c r="J295" s="919"/>
      <c r="K295" s="920">
        <v>1</v>
      </c>
      <c r="L295" s="920">
        <v>12</v>
      </c>
      <c r="M295" s="920">
        <f t="shared" si="8"/>
        <v>27600</v>
      </c>
      <c r="N295" s="919"/>
      <c r="O295" s="919"/>
      <c r="P295" s="921">
        <f t="shared" si="9"/>
        <v>0</v>
      </c>
    </row>
    <row r="296" spans="1:16" ht="20.100000000000001" customHeight="1" x14ac:dyDescent="0.25">
      <c r="A296" s="918" t="s">
        <v>483</v>
      </c>
      <c r="B296" s="944" t="s">
        <v>3901</v>
      </c>
      <c r="C296" s="919" t="s">
        <v>3902</v>
      </c>
      <c r="D296" s="919" t="s">
        <v>4352</v>
      </c>
      <c r="E296" s="920">
        <v>2300</v>
      </c>
      <c r="F296" s="919" t="s">
        <v>4353</v>
      </c>
      <c r="G296" s="919" t="s">
        <v>4354</v>
      </c>
      <c r="H296" s="919" t="s">
        <v>4352</v>
      </c>
      <c r="I296" s="919" t="s">
        <v>3724</v>
      </c>
      <c r="J296" s="919"/>
      <c r="K296" s="920">
        <v>1</v>
      </c>
      <c r="L296" s="920">
        <v>12</v>
      </c>
      <c r="M296" s="920">
        <f t="shared" si="8"/>
        <v>27600</v>
      </c>
      <c r="N296" s="919"/>
      <c r="O296" s="919"/>
      <c r="P296" s="921">
        <f t="shared" si="9"/>
        <v>0</v>
      </c>
    </row>
    <row r="297" spans="1:16" ht="20.100000000000001" customHeight="1" x14ac:dyDescent="0.25">
      <c r="A297" s="918" t="s">
        <v>483</v>
      </c>
      <c r="B297" s="944" t="s">
        <v>3901</v>
      </c>
      <c r="C297" s="919" t="s">
        <v>3902</v>
      </c>
      <c r="D297" s="919" t="s">
        <v>4355</v>
      </c>
      <c r="E297" s="920">
        <v>2300</v>
      </c>
      <c r="F297" s="919" t="s">
        <v>4356</v>
      </c>
      <c r="G297" s="919" t="s">
        <v>4357</v>
      </c>
      <c r="H297" s="919" t="s">
        <v>4355</v>
      </c>
      <c r="I297" s="919" t="s">
        <v>3724</v>
      </c>
      <c r="J297" s="919"/>
      <c r="K297" s="920">
        <v>1</v>
      </c>
      <c r="L297" s="920">
        <v>12</v>
      </c>
      <c r="M297" s="920">
        <f t="shared" si="8"/>
        <v>27600</v>
      </c>
      <c r="N297" s="919"/>
      <c r="O297" s="919"/>
      <c r="P297" s="921">
        <f t="shared" si="9"/>
        <v>0</v>
      </c>
    </row>
    <row r="298" spans="1:16" ht="20.100000000000001" customHeight="1" x14ac:dyDescent="0.25">
      <c r="A298" s="918" t="s">
        <v>483</v>
      </c>
      <c r="B298" s="944" t="s">
        <v>3901</v>
      </c>
      <c r="C298" s="919" t="s">
        <v>3902</v>
      </c>
      <c r="D298" s="919" t="s">
        <v>4358</v>
      </c>
      <c r="E298" s="920">
        <v>2300</v>
      </c>
      <c r="F298" s="919" t="s">
        <v>4359</v>
      </c>
      <c r="G298" s="919" t="s">
        <v>4360</v>
      </c>
      <c r="H298" s="919" t="s">
        <v>4358</v>
      </c>
      <c r="I298" s="919" t="s">
        <v>3679</v>
      </c>
      <c r="J298" s="919"/>
      <c r="K298" s="920">
        <v>1</v>
      </c>
      <c r="L298" s="920">
        <v>12</v>
      </c>
      <c r="M298" s="920">
        <f t="shared" si="8"/>
        <v>27600</v>
      </c>
      <c r="N298" s="919"/>
      <c r="O298" s="919"/>
      <c r="P298" s="921">
        <f t="shared" si="9"/>
        <v>0</v>
      </c>
    </row>
    <row r="299" spans="1:16" ht="20.100000000000001" customHeight="1" x14ac:dyDescent="0.25">
      <c r="A299" s="918" t="s">
        <v>483</v>
      </c>
      <c r="B299" s="944" t="s">
        <v>3901</v>
      </c>
      <c r="C299" s="919" t="s">
        <v>3902</v>
      </c>
      <c r="D299" s="919" t="s">
        <v>4358</v>
      </c>
      <c r="E299" s="920">
        <v>2300</v>
      </c>
      <c r="F299" s="919" t="s">
        <v>4361</v>
      </c>
      <c r="G299" s="919" t="s">
        <v>4362</v>
      </c>
      <c r="H299" s="919" t="s">
        <v>4358</v>
      </c>
      <c r="I299" s="919" t="s">
        <v>3679</v>
      </c>
      <c r="J299" s="919"/>
      <c r="K299" s="920">
        <v>1</v>
      </c>
      <c r="L299" s="920">
        <v>12</v>
      </c>
      <c r="M299" s="920">
        <f t="shared" si="8"/>
        <v>27600</v>
      </c>
      <c r="N299" s="919"/>
      <c r="O299" s="919"/>
      <c r="P299" s="921">
        <f t="shared" si="9"/>
        <v>0</v>
      </c>
    </row>
    <row r="300" spans="1:16" ht="20.100000000000001" customHeight="1" x14ac:dyDescent="0.25">
      <c r="A300" s="918" t="s">
        <v>483</v>
      </c>
      <c r="B300" s="944" t="s">
        <v>3901</v>
      </c>
      <c r="C300" s="919" t="s">
        <v>3902</v>
      </c>
      <c r="D300" s="919" t="s">
        <v>4120</v>
      </c>
      <c r="E300" s="920">
        <v>2300</v>
      </c>
      <c r="F300" s="919" t="s">
        <v>4041</v>
      </c>
      <c r="G300" s="919" t="s">
        <v>4042</v>
      </c>
      <c r="H300" s="919" t="s">
        <v>4120</v>
      </c>
      <c r="I300" s="919" t="s">
        <v>3679</v>
      </c>
      <c r="J300" s="919"/>
      <c r="K300" s="920">
        <v>1</v>
      </c>
      <c r="L300" s="920">
        <v>12</v>
      </c>
      <c r="M300" s="920">
        <f t="shared" si="8"/>
        <v>27600</v>
      </c>
      <c r="N300" s="919"/>
      <c r="O300" s="919"/>
      <c r="P300" s="921">
        <f t="shared" si="9"/>
        <v>0</v>
      </c>
    </row>
    <row r="301" spans="1:16" ht="20.100000000000001" customHeight="1" x14ac:dyDescent="0.25">
      <c r="A301" s="918" t="s">
        <v>483</v>
      </c>
      <c r="B301" s="944" t="s">
        <v>3901</v>
      </c>
      <c r="C301" s="919" t="s">
        <v>3902</v>
      </c>
      <c r="D301" s="919" t="s">
        <v>4358</v>
      </c>
      <c r="E301" s="920">
        <v>2300</v>
      </c>
      <c r="F301" s="919" t="s">
        <v>4363</v>
      </c>
      <c r="G301" s="919" t="s">
        <v>4364</v>
      </c>
      <c r="H301" s="919" t="s">
        <v>4358</v>
      </c>
      <c r="I301" s="919" t="s">
        <v>3679</v>
      </c>
      <c r="J301" s="919"/>
      <c r="K301" s="920">
        <v>1</v>
      </c>
      <c r="L301" s="920">
        <v>12</v>
      </c>
      <c r="M301" s="920">
        <f t="shared" si="8"/>
        <v>27600</v>
      </c>
      <c r="N301" s="919"/>
      <c r="O301" s="919"/>
      <c r="P301" s="921">
        <f t="shared" si="9"/>
        <v>0</v>
      </c>
    </row>
    <row r="302" spans="1:16" ht="20.100000000000001" customHeight="1" x14ac:dyDescent="0.25">
      <c r="A302" s="918" t="s">
        <v>483</v>
      </c>
      <c r="B302" s="944" t="s">
        <v>3901</v>
      </c>
      <c r="C302" s="919" t="s">
        <v>3902</v>
      </c>
      <c r="D302" s="919" t="s">
        <v>3921</v>
      </c>
      <c r="E302" s="920">
        <v>2300</v>
      </c>
      <c r="F302" s="919" t="s">
        <v>4365</v>
      </c>
      <c r="G302" s="919" t="s">
        <v>4366</v>
      </c>
      <c r="H302" s="919" t="s">
        <v>3921</v>
      </c>
      <c r="I302" s="919" t="s">
        <v>3679</v>
      </c>
      <c r="J302" s="919"/>
      <c r="K302" s="920">
        <v>1</v>
      </c>
      <c r="L302" s="920">
        <v>12</v>
      </c>
      <c r="M302" s="920">
        <f t="shared" si="8"/>
        <v>27600</v>
      </c>
      <c r="N302" s="919"/>
      <c r="O302" s="919"/>
      <c r="P302" s="921">
        <f t="shared" si="9"/>
        <v>0</v>
      </c>
    </row>
    <row r="303" spans="1:16" ht="20.100000000000001" customHeight="1" x14ac:dyDescent="0.25">
      <c r="A303" s="918" t="s">
        <v>483</v>
      </c>
      <c r="B303" s="944" t="s">
        <v>3901</v>
      </c>
      <c r="C303" s="919" t="s">
        <v>3902</v>
      </c>
      <c r="D303" s="919" t="s">
        <v>3999</v>
      </c>
      <c r="E303" s="920">
        <v>2300</v>
      </c>
      <c r="F303" s="919" t="s">
        <v>4367</v>
      </c>
      <c r="G303" s="919" t="s">
        <v>4368</v>
      </c>
      <c r="H303" s="919" t="s">
        <v>3999</v>
      </c>
      <c r="I303" s="919" t="s">
        <v>3724</v>
      </c>
      <c r="J303" s="919"/>
      <c r="K303" s="920">
        <v>1</v>
      </c>
      <c r="L303" s="920">
        <v>12</v>
      </c>
      <c r="M303" s="920">
        <f t="shared" si="8"/>
        <v>27600</v>
      </c>
      <c r="N303" s="919"/>
      <c r="O303" s="919"/>
      <c r="P303" s="921">
        <f t="shared" si="9"/>
        <v>0</v>
      </c>
    </row>
    <row r="304" spans="1:16" ht="20.100000000000001" customHeight="1" x14ac:dyDescent="0.25">
      <c r="A304" s="918" t="s">
        <v>483</v>
      </c>
      <c r="B304" s="944" t="s">
        <v>3901</v>
      </c>
      <c r="C304" s="919" t="s">
        <v>3902</v>
      </c>
      <c r="D304" s="919" t="s">
        <v>4244</v>
      </c>
      <c r="E304" s="920">
        <v>2300</v>
      </c>
      <c r="F304" s="919" t="s">
        <v>4369</v>
      </c>
      <c r="G304" s="919" t="s">
        <v>4370</v>
      </c>
      <c r="H304" s="919" t="s">
        <v>4244</v>
      </c>
      <c r="I304" s="919" t="s">
        <v>3679</v>
      </c>
      <c r="J304" s="919"/>
      <c r="K304" s="920">
        <v>1</v>
      </c>
      <c r="L304" s="920">
        <v>12</v>
      </c>
      <c r="M304" s="920">
        <f t="shared" si="8"/>
        <v>27600</v>
      </c>
      <c r="N304" s="919"/>
      <c r="O304" s="919"/>
      <c r="P304" s="921">
        <f t="shared" si="9"/>
        <v>0</v>
      </c>
    </row>
    <row r="305" spans="1:16" ht="20.100000000000001" customHeight="1" x14ac:dyDescent="0.25">
      <c r="A305" s="918" t="s">
        <v>483</v>
      </c>
      <c r="B305" s="944" t="s">
        <v>3901</v>
      </c>
      <c r="C305" s="919" t="s">
        <v>3902</v>
      </c>
      <c r="D305" s="919" t="s">
        <v>4244</v>
      </c>
      <c r="E305" s="920">
        <v>2300</v>
      </c>
      <c r="F305" s="919" t="s">
        <v>4371</v>
      </c>
      <c r="G305" s="919" t="s">
        <v>4372</v>
      </c>
      <c r="H305" s="919" t="s">
        <v>4244</v>
      </c>
      <c r="I305" s="919" t="s">
        <v>3679</v>
      </c>
      <c r="J305" s="919"/>
      <c r="K305" s="920">
        <v>1</v>
      </c>
      <c r="L305" s="920">
        <v>12</v>
      </c>
      <c r="M305" s="920">
        <f t="shared" si="8"/>
        <v>27600</v>
      </c>
      <c r="N305" s="919"/>
      <c r="O305" s="919"/>
      <c r="P305" s="921">
        <f t="shared" si="9"/>
        <v>0</v>
      </c>
    </row>
    <row r="306" spans="1:16" ht="20.100000000000001" customHeight="1" x14ac:dyDescent="0.25">
      <c r="A306" s="918" t="s">
        <v>483</v>
      </c>
      <c r="B306" s="944" t="s">
        <v>3901</v>
      </c>
      <c r="C306" s="919" t="s">
        <v>3902</v>
      </c>
      <c r="D306" s="919" t="s">
        <v>4355</v>
      </c>
      <c r="E306" s="920">
        <v>2300</v>
      </c>
      <c r="F306" s="919" t="s">
        <v>4373</v>
      </c>
      <c r="G306" s="919" t="s">
        <v>4374</v>
      </c>
      <c r="H306" s="919" t="s">
        <v>4355</v>
      </c>
      <c r="I306" s="919" t="s">
        <v>3724</v>
      </c>
      <c r="J306" s="919"/>
      <c r="K306" s="920">
        <v>1</v>
      </c>
      <c r="L306" s="920">
        <v>12</v>
      </c>
      <c r="M306" s="920">
        <f t="shared" si="8"/>
        <v>27600</v>
      </c>
      <c r="N306" s="919"/>
      <c r="O306" s="919"/>
      <c r="P306" s="921">
        <f t="shared" si="9"/>
        <v>0</v>
      </c>
    </row>
    <row r="307" spans="1:16" ht="20.100000000000001" customHeight="1" x14ac:dyDescent="0.25">
      <c r="A307" s="918" t="s">
        <v>483</v>
      </c>
      <c r="B307" s="944" t="s">
        <v>3901</v>
      </c>
      <c r="C307" s="919" t="s">
        <v>3902</v>
      </c>
      <c r="D307" s="919" t="s">
        <v>4375</v>
      </c>
      <c r="E307" s="920">
        <v>3900</v>
      </c>
      <c r="F307" s="919" t="s">
        <v>4041</v>
      </c>
      <c r="G307" s="919" t="s">
        <v>4042</v>
      </c>
      <c r="H307" s="919" t="s">
        <v>4375</v>
      </c>
      <c r="I307" s="919" t="s">
        <v>3724</v>
      </c>
      <c r="J307" s="919"/>
      <c r="K307" s="920">
        <v>1</v>
      </c>
      <c r="L307" s="920">
        <v>12</v>
      </c>
      <c r="M307" s="920">
        <f t="shared" si="8"/>
        <v>46800</v>
      </c>
      <c r="N307" s="919"/>
      <c r="O307" s="919"/>
      <c r="P307" s="921">
        <f t="shared" si="9"/>
        <v>0</v>
      </c>
    </row>
    <row r="308" spans="1:16" ht="20.100000000000001" customHeight="1" x14ac:dyDescent="0.25">
      <c r="A308" s="918" t="s">
        <v>483</v>
      </c>
      <c r="B308" s="944" t="s">
        <v>3901</v>
      </c>
      <c r="C308" s="919" t="s">
        <v>3902</v>
      </c>
      <c r="D308" s="919" t="s">
        <v>4375</v>
      </c>
      <c r="E308" s="920">
        <v>3700</v>
      </c>
      <c r="F308" s="919" t="s">
        <v>4376</v>
      </c>
      <c r="G308" s="919" t="s">
        <v>4377</v>
      </c>
      <c r="H308" s="919" t="s">
        <v>4375</v>
      </c>
      <c r="I308" s="919" t="s">
        <v>3724</v>
      </c>
      <c r="J308" s="919"/>
      <c r="K308" s="920">
        <v>1</v>
      </c>
      <c r="L308" s="920">
        <v>12</v>
      </c>
      <c r="M308" s="920">
        <f t="shared" si="8"/>
        <v>44400</v>
      </c>
      <c r="N308" s="919"/>
      <c r="O308" s="919"/>
      <c r="P308" s="921">
        <f t="shared" si="9"/>
        <v>0</v>
      </c>
    </row>
    <row r="309" spans="1:16" ht="20.100000000000001" customHeight="1" x14ac:dyDescent="0.25">
      <c r="A309" s="918" t="s">
        <v>483</v>
      </c>
      <c r="B309" s="944" t="s">
        <v>3901</v>
      </c>
      <c r="C309" s="919" t="s">
        <v>3902</v>
      </c>
      <c r="D309" s="919" t="s">
        <v>4375</v>
      </c>
      <c r="E309" s="920">
        <v>3700</v>
      </c>
      <c r="F309" s="919" t="s">
        <v>4378</v>
      </c>
      <c r="G309" s="919" t="s">
        <v>4379</v>
      </c>
      <c r="H309" s="919" t="s">
        <v>4375</v>
      </c>
      <c r="I309" s="919" t="s">
        <v>3724</v>
      </c>
      <c r="J309" s="919"/>
      <c r="K309" s="920">
        <v>1</v>
      </c>
      <c r="L309" s="920">
        <v>12</v>
      </c>
      <c r="M309" s="920">
        <f t="shared" si="8"/>
        <v>44400</v>
      </c>
      <c r="N309" s="919"/>
      <c r="O309" s="919"/>
      <c r="P309" s="921">
        <f t="shared" si="9"/>
        <v>0</v>
      </c>
    </row>
    <row r="310" spans="1:16" ht="20.100000000000001" customHeight="1" x14ac:dyDescent="0.25">
      <c r="A310" s="918" t="s">
        <v>483</v>
      </c>
      <c r="B310" s="944" t="s">
        <v>3901</v>
      </c>
      <c r="C310" s="919" t="s">
        <v>3902</v>
      </c>
      <c r="D310" s="919" t="s">
        <v>4375</v>
      </c>
      <c r="E310" s="920">
        <v>3700</v>
      </c>
      <c r="F310" s="919" t="s">
        <v>4380</v>
      </c>
      <c r="G310" s="919" t="s">
        <v>4381</v>
      </c>
      <c r="H310" s="919" t="s">
        <v>4375</v>
      </c>
      <c r="I310" s="919" t="s">
        <v>3724</v>
      </c>
      <c r="J310" s="919"/>
      <c r="K310" s="920">
        <v>1</v>
      </c>
      <c r="L310" s="920">
        <v>12</v>
      </c>
      <c r="M310" s="920">
        <f t="shared" si="8"/>
        <v>44400</v>
      </c>
      <c r="N310" s="919"/>
      <c r="O310" s="919"/>
      <c r="P310" s="921">
        <f t="shared" si="9"/>
        <v>0</v>
      </c>
    </row>
    <row r="311" spans="1:16" ht="20.100000000000001" customHeight="1" x14ac:dyDescent="0.25">
      <c r="A311" s="918" t="s">
        <v>483</v>
      </c>
      <c r="B311" s="944" t="s">
        <v>3901</v>
      </c>
      <c r="C311" s="919" t="s">
        <v>3902</v>
      </c>
      <c r="D311" s="919" t="s">
        <v>3955</v>
      </c>
      <c r="E311" s="920">
        <v>2300</v>
      </c>
      <c r="F311" s="919" t="s">
        <v>4041</v>
      </c>
      <c r="G311" s="919" t="s">
        <v>4042</v>
      </c>
      <c r="H311" s="919" t="s">
        <v>3955</v>
      </c>
      <c r="I311" s="919" t="s">
        <v>3679</v>
      </c>
      <c r="J311" s="919"/>
      <c r="K311" s="920">
        <v>1</v>
      </c>
      <c r="L311" s="920">
        <v>12</v>
      </c>
      <c r="M311" s="920">
        <f t="shared" si="8"/>
        <v>27600</v>
      </c>
      <c r="N311" s="919"/>
      <c r="O311" s="919"/>
      <c r="P311" s="921">
        <f t="shared" si="9"/>
        <v>0</v>
      </c>
    </row>
    <row r="312" spans="1:16" ht="20.100000000000001" customHeight="1" x14ac:dyDescent="0.25">
      <c r="A312" s="918" t="s">
        <v>483</v>
      </c>
      <c r="B312" s="944" t="s">
        <v>3901</v>
      </c>
      <c r="C312" s="919" t="s">
        <v>3902</v>
      </c>
      <c r="D312" s="919" t="s">
        <v>4382</v>
      </c>
      <c r="E312" s="920">
        <v>2300</v>
      </c>
      <c r="F312" s="919" t="s">
        <v>4041</v>
      </c>
      <c r="G312" s="919" t="s">
        <v>4042</v>
      </c>
      <c r="H312" s="919" t="s">
        <v>4382</v>
      </c>
      <c r="I312" s="919" t="s">
        <v>3724</v>
      </c>
      <c r="J312" s="919"/>
      <c r="K312" s="920">
        <v>1</v>
      </c>
      <c r="L312" s="920">
        <v>12</v>
      </c>
      <c r="M312" s="920">
        <f t="shared" si="8"/>
        <v>27600</v>
      </c>
      <c r="N312" s="919"/>
      <c r="O312" s="919"/>
      <c r="P312" s="921">
        <f t="shared" si="9"/>
        <v>0</v>
      </c>
    </row>
    <row r="313" spans="1:16" ht="20.100000000000001" customHeight="1" x14ac:dyDescent="0.25">
      <c r="A313" s="918" t="s">
        <v>483</v>
      </c>
      <c r="B313" s="944" t="s">
        <v>3901</v>
      </c>
      <c r="C313" s="919" t="s">
        <v>3902</v>
      </c>
      <c r="D313" s="919" t="s">
        <v>3955</v>
      </c>
      <c r="E313" s="920">
        <v>2300</v>
      </c>
      <c r="F313" s="919" t="s">
        <v>4041</v>
      </c>
      <c r="G313" s="919" t="s">
        <v>4042</v>
      </c>
      <c r="H313" s="919" t="s">
        <v>3955</v>
      </c>
      <c r="I313" s="919" t="s">
        <v>3679</v>
      </c>
      <c r="J313" s="919"/>
      <c r="K313" s="920">
        <v>1</v>
      </c>
      <c r="L313" s="920">
        <v>12</v>
      </c>
      <c r="M313" s="920">
        <f t="shared" si="8"/>
        <v>27600</v>
      </c>
      <c r="N313" s="919"/>
      <c r="O313" s="919"/>
      <c r="P313" s="921">
        <f t="shared" si="9"/>
        <v>0</v>
      </c>
    </row>
    <row r="314" spans="1:16" ht="20.100000000000001" customHeight="1" x14ac:dyDescent="0.25">
      <c r="A314" s="918" t="s">
        <v>483</v>
      </c>
      <c r="B314" s="944" t="s">
        <v>3901</v>
      </c>
      <c r="C314" s="919" t="s">
        <v>3902</v>
      </c>
      <c r="D314" s="919" t="s">
        <v>4383</v>
      </c>
      <c r="E314" s="920">
        <v>2300</v>
      </c>
      <c r="F314" s="919" t="s">
        <v>4384</v>
      </c>
      <c r="G314" s="919" t="s">
        <v>4385</v>
      </c>
      <c r="H314" s="919" t="s">
        <v>4383</v>
      </c>
      <c r="I314" s="919" t="s">
        <v>3724</v>
      </c>
      <c r="J314" s="919"/>
      <c r="K314" s="920">
        <v>1</v>
      </c>
      <c r="L314" s="920">
        <v>12</v>
      </c>
      <c r="M314" s="920">
        <f t="shared" si="8"/>
        <v>27600</v>
      </c>
      <c r="N314" s="919"/>
      <c r="O314" s="919"/>
      <c r="P314" s="921">
        <f t="shared" si="9"/>
        <v>0</v>
      </c>
    </row>
    <row r="315" spans="1:16" ht="20.100000000000001" customHeight="1" x14ac:dyDescent="0.25">
      <c r="A315" s="918" t="s">
        <v>483</v>
      </c>
      <c r="B315" s="944" t="s">
        <v>3901</v>
      </c>
      <c r="C315" s="919" t="s">
        <v>3902</v>
      </c>
      <c r="D315" s="919" t="s">
        <v>4383</v>
      </c>
      <c r="E315" s="920">
        <v>2300</v>
      </c>
      <c r="F315" s="919" t="s">
        <v>4386</v>
      </c>
      <c r="G315" s="919" t="s">
        <v>4387</v>
      </c>
      <c r="H315" s="919" t="s">
        <v>4383</v>
      </c>
      <c r="I315" s="919" t="s">
        <v>3724</v>
      </c>
      <c r="J315" s="919"/>
      <c r="K315" s="920">
        <v>1</v>
      </c>
      <c r="L315" s="920">
        <v>12</v>
      </c>
      <c r="M315" s="920">
        <f t="shared" si="8"/>
        <v>27600</v>
      </c>
      <c r="N315" s="919"/>
      <c r="O315" s="919"/>
      <c r="P315" s="921">
        <f t="shared" si="9"/>
        <v>0</v>
      </c>
    </row>
    <row r="316" spans="1:16" ht="20.100000000000001" customHeight="1" x14ac:dyDescent="0.25">
      <c r="A316" s="918" t="s">
        <v>483</v>
      </c>
      <c r="B316" s="944" t="s">
        <v>3901</v>
      </c>
      <c r="C316" s="919" t="s">
        <v>3902</v>
      </c>
      <c r="D316" s="919" t="s">
        <v>4383</v>
      </c>
      <c r="E316" s="920">
        <v>2300</v>
      </c>
      <c r="F316" s="919" t="s">
        <v>4388</v>
      </c>
      <c r="G316" s="919" t="s">
        <v>4389</v>
      </c>
      <c r="H316" s="919" t="s">
        <v>4383</v>
      </c>
      <c r="I316" s="919" t="s">
        <v>3724</v>
      </c>
      <c r="J316" s="919"/>
      <c r="K316" s="920">
        <v>1</v>
      </c>
      <c r="L316" s="920">
        <v>12</v>
      </c>
      <c r="M316" s="920">
        <f t="shared" si="8"/>
        <v>27600</v>
      </c>
      <c r="N316" s="919"/>
      <c r="O316" s="919"/>
      <c r="P316" s="921">
        <f t="shared" si="9"/>
        <v>0</v>
      </c>
    </row>
    <row r="317" spans="1:16" ht="20.100000000000001" customHeight="1" x14ac:dyDescent="0.25">
      <c r="A317" s="918" t="s">
        <v>483</v>
      </c>
      <c r="B317" s="944" t="s">
        <v>3901</v>
      </c>
      <c r="C317" s="919" t="s">
        <v>3902</v>
      </c>
      <c r="D317" s="919" t="s">
        <v>4390</v>
      </c>
      <c r="E317" s="920">
        <v>1500</v>
      </c>
      <c r="F317" s="919" t="s">
        <v>4041</v>
      </c>
      <c r="G317" s="919" t="s">
        <v>4042</v>
      </c>
      <c r="H317" s="919" t="s">
        <v>4390</v>
      </c>
      <c r="I317" s="919" t="s">
        <v>3686</v>
      </c>
      <c r="J317" s="919"/>
      <c r="K317" s="920">
        <v>1</v>
      </c>
      <c r="L317" s="920">
        <v>12</v>
      </c>
      <c r="M317" s="920">
        <f t="shared" si="8"/>
        <v>18000</v>
      </c>
      <c r="N317" s="919"/>
      <c r="O317" s="919"/>
      <c r="P317" s="921">
        <f t="shared" si="9"/>
        <v>0</v>
      </c>
    </row>
    <row r="318" spans="1:16" ht="20.100000000000001" customHeight="1" x14ac:dyDescent="0.25">
      <c r="A318" s="918" t="s">
        <v>483</v>
      </c>
      <c r="B318" s="944" t="s">
        <v>3901</v>
      </c>
      <c r="C318" s="919" t="s">
        <v>3902</v>
      </c>
      <c r="D318" s="919" t="s">
        <v>4391</v>
      </c>
      <c r="E318" s="920">
        <v>1500</v>
      </c>
      <c r="F318" s="919" t="s">
        <v>4392</v>
      </c>
      <c r="G318" s="919" t="s">
        <v>4393</v>
      </c>
      <c r="H318" s="919" t="s">
        <v>4391</v>
      </c>
      <c r="I318" s="919" t="s">
        <v>3686</v>
      </c>
      <c r="J318" s="919"/>
      <c r="K318" s="920">
        <v>1</v>
      </c>
      <c r="L318" s="920">
        <v>12</v>
      </c>
      <c r="M318" s="920">
        <f t="shared" si="8"/>
        <v>18000</v>
      </c>
      <c r="N318" s="919"/>
      <c r="O318" s="919"/>
      <c r="P318" s="921">
        <f t="shared" si="9"/>
        <v>0</v>
      </c>
    </row>
    <row r="319" spans="1:16" ht="20.100000000000001" customHeight="1" x14ac:dyDescent="0.25">
      <c r="A319" s="918" t="s">
        <v>483</v>
      </c>
      <c r="B319" s="944" t="s">
        <v>3901</v>
      </c>
      <c r="C319" s="919" t="s">
        <v>3902</v>
      </c>
      <c r="D319" s="919" t="s">
        <v>3905</v>
      </c>
      <c r="E319" s="920">
        <v>1500</v>
      </c>
      <c r="F319" s="919" t="s">
        <v>4394</v>
      </c>
      <c r="G319" s="919" t="s">
        <v>4395</v>
      </c>
      <c r="H319" s="919" t="s">
        <v>3905</v>
      </c>
      <c r="I319" s="919" t="s">
        <v>3686</v>
      </c>
      <c r="J319" s="919"/>
      <c r="K319" s="920">
        <v>1</v>
      </c>
      <c r="L319" s="920">
        <v>12</v>
      </c>
      <c r="M319" s="920">
        <f t="shared" si="8"/>
        <v>18000</v>
      </c>
      <c r="N319" s="919"/>
      <c r="O319" s="919"/>
      <c r="P319" s="921">
        <f t="shared" si="9"/>
        <v>0</v>
      </c>
    </row>
    <row r="320" spans="1:16" ht="20.100000000000001" customHeight="1" x14ac:dyDescent="0.25">
      <c r="A320" s="918" t="s">
        <v>483</v>
      </c>
      <c r="B320" s="944" t="s">
        <v>3929</v>
      </c>
      <c r="C320" s="919" t="s">
        <v>3902</v>
      </c>
      <c r="D320" s="919" t="s">
        <v>3955</v>
      </c>
      <c r="E320" s="920">
        <v>2300</v>
      </c>
      <c r="F320" s="922" t="s">
        <v>4041</v>
      </c>
      <c r="G320" s="919" t="s">
        <v>4042</v>
      </c>
      <c r="H320" s="919" t="s">
        <v>3955</v>
      </c>
      <c r="I320" s="919" t="s">
        <v>3679</v>
      </c>
      <c r="J320" s="919"/>
      <c r="K320" s="920">
        <v>1</v>
      </c>
      <c r="L320" s="920">
        <v>12</v>
      </c>
      <c r="M320" s="920">
        <f t="shared" si="8"/>
        <v>27600</v>
      </c>
      <c r="N320" s="919"/>
      <c r="O320" s="919"/>
      <c r="P320" s="921">
        <f t="shared" si="9"/>
        <v>0</v>
      </c>
    </row>
    <row r="321" spans="1:16" ht="20.100000000000001" customHeight="1" x14ac:dyDescent="0.25">
      <c r="A321" s="918" t="s">
        <v>483</v>
      </c>
      <c r="B321" s="944" t="s">
        <v>3901</v>
      </c>
      <c r="C321" s="919" t="s">
        <v>3902</v>
      </c>
      <c r="D321" s="919" t="s">
        <v>3955</v>
      </c>
      <c r="E321" s="920">
        <v>2300</v>
      </c>
      <c r="F321" s="919" t="s">
        <v>4396</v>
      </c>
      <c r="G321" s="919" t="s">
        <v>4397</v>
      </c>
      <c r="H321" s="919" t="s">
        <v>3955</v>
      </c>
      <c r="I321" s="919" t="s">
        <v>3679</v>
      </c>
      <c r="J321" s="919"/>
      <c r="K321" s="920">
        <v>1</v>
      </c>
      <c r="L321" s="920">
        <v>12</v>
      </c>
      <c r="M321" s="920">
        <f t="shared" si="8"/>
        <v>27600</v>
      </c>
      <c r="N321" s="919"/>
      <c r="O321" s="919"/>
      <c r="P321" s="921">
        <f t="shared" si="9"/>
        <v>0</v>
      </c>
    </row>
    <row r="322" spans="1:16" ht="20.100000000000001" customHeight="1" x14ac:dyDescent="0.25">
      <c r="A322" s="918" t="s">
        <v>483</v>
      </c>
      <c r="B322" s="944" t="s">
        <v>3901</v>
      </c>
      <c r="C322" s="919" t="s">
        <v>3902</v>
      </c>
      <c r="D322" s="919" t="s">
        <v>3955</v>
      </c>
      <c r="E322" s="920">
        <v>2300</v>
      </c>
      <c r="F322" s="919" t="s">
        <v>4398</v>
      </c>
      <c r="G322" s="919" t="s">
        <v>4399</v>
      </c>
      <c r="H322" s="919" t="s">
        <v>3955</v>
      </c>
      <c r="I322" s="919" t="s">
        <v>3679</v>
      </c>
      <c r="J322" s="919"/>
      <c r="K322" s="920">
        <v>1</v>
      </c>
      <c r="L322" s="920">
        <v>12</v>
      </c>
      <c r="M322" s="920">
        <f t="shared" si="8"/>
        <v>27600</v>
      </c>
      <c r="N322" s="919"/>
      <c r="O322" s="919"/>
      <c r="P322" s="921">
        <f t="shared" si="9"/>
        <v>0</v>
      </c>
    </row>
    <row r="323" spans="1:16" ht="20.100000000000001" customHeight="1" x14ac:dyDescent="0.25">
      <c r="A323" s="918" t="s">
        <v>483</v>
      </c>
      <c r="B323" s="944" t="s">
        <v>3901</v>
      </c>
      <c r="C323" s="919" t="s">
        <v>3902</v>
      </c>
      <c r="D323" s="919" t="s">
        <v>4400</v>
      </c>
      <c r="E323" s="920">
        <v>1000</v>
      </c>
      <c r="F323" s="919" t="s">
        <v>4401</v>
      </c>
      <c r="G323" s="919" t="s">
        <v>4402</v>
      </c>
      <c r="H323" s="919" t="s">
        <v>4400</v>
      </c>
      <c r="I323" s="919" t="s">
        <v>3693</v>
      </c>
      <c r="J323" s="919"/>
      <c r="K323" s="920">
        <v>1</v>
      </c>
      <c r="L323" s="920">
        <v>12</v>
      </c>
      <c r="M323" s="920">
        <f t="shared" si="8"/>
        <v>12000</v>
      </c>
      <c r="N323" s="919"/>
      <c r="O323" s="919"/>
      <c r="P323" s="921">
        <f t="shared" si="9"/>
        <v>0</v>
      </c>
    </row>
    <row r="324" spans="1:16" ht="20.100000000000001" customHeight="1" x14ac:dyDescent="0.25">
      <c r="A324" s="918" t="s">
        <v>483</v>
      </c>
      <c r="B324" s="944" t="s">
        <v>3901</v>
      </c>
      <c r="C324" s="919" t="s">
        <v>3902</v>
      </c>
      <c r="D324" s="919" t="s">
        <v>4128</v>
      </c>
      <c r="E324" s="920">
        <v>2300</v>
      </c>
      <c r="F324" s="919" t="s">
        <v>4403</v>
      </c>
      <c r="G324" s="919" t="s">
        <v>4404</v>
      </c>
      <c r="H324" s="919" t="s">
        <v>4128</v>
      </c>
      <c r="I324" s="919" t="s">
        <v>3686</v>
      </c>
      <c r="J324" s="919"/>
      <c r="K324" s="920">
        <v>1</v>
      </c>
      <c r="L324" s="920">
        <v>12</v>
      </c>
      <c r="M324" s="920">
        <f t="shared" si="8"/>
        <v>27600</v>
      </c>
      <c r="N324" s="919"/>
      <c r="O324" s="919"/>
      <c r="P324" s="921">
        <f t="shared" si="9"/>
        <v>0</v>
      </c>
    </row>
    <row r="325" spans="1:16" ht="20.100000000000001" customHeight="1" x14ac:dyDescent="0.25">
      <c r="A325" s="918" t="s">
        <v>483</v>
      </c>
      <c r="B325" s="944" t="s">
        <v>3901</v>
      </c>
      <c r="C325" s="919" t="s">
        <v>3902</v>
      </c>
      <c r="D325" s="919" t="s">
        <v>4405</v>
      </c>
      <c r="E325" s="920">
        <v>1800</v>
      </c>
      <c r="F325" s="919" t="s">
        <v>4041</v>
      </c>
      <c r="G325" s="919" t="s">
        <v>4062</v>
      </c>
      <c r="H325" s="919" t="s">
        <v>4405</v>
      </c>
      <c r="I325" s="919" t="s">
        <v>3686</v>
      </c>
      <c r="J325" s="919"/>
      <c r="K325" s="920">
        <v>1</v>
      </c>
      <c r="L325" s="920">
        <v>12</v>
      </c>
      <c r="M325" s="920">
        <f t="shared" si="8"/>
        <v>21600</v>
      </c>
      <c r="N325" s="919"/>
      <c r="O325" s="919"/>
      <c r="P325" s="921">
        <f t="shared" si="9"/>
        <v>0</v>
      </c>
    </row>
    <row r="326" spans="1:16" ht="20.100000000000001" customHeight="1" x14ac:dyDescent="0.25">
      <c r="A326" s="918" t="s">
        <v>483</v>
      </c>
      <c r="B326" s="944" t="s">
        <v>3901</v>
      </c>
      <c r="C326" s="919" t="s">
        <v>3902</v>
      </c>
      <c r="D326" s="919" t="s">
        <v>4406</v>
      </c>
      <c r="E326" s="920">
        <v>1500</v>
      </c>
      <c r="F326" s="919" t="s">
        <v>4407</v>
      </c>
      <c r="G326" s="919" t="s">
        <v>4408</v>
      </c>
      <c r="H326" s="919" t="s">
        <v>4406</v>
      </c>
      <c r="I326" s="919" t="s">
        <v>3693</v>
      </c>
      <c r="J326" s="919"/>
      <c r="K326" s="920">
        <v>1</v>
      </c>
      <c r="L326" s="920">
        <v>12</v>
      </c>
      <c r="M326" s="920">
        <f t="shared" ref="M326:M389" si="10">E326*L326</f>
        <v>18000</v>
      </c>
      <c r="N326" s="919"/>
      <c r="O326" s="919"/>
      <c r="P326" s="921">
        <f t="shared" ref="P326:P389" si="11">E326*O326</f>
        <v>0</v>
      </c>
    </row>
    <row r="327" spans="1:16" ht="20.100000000000001" customHeight="1" x14ac:dyDescent="0.25">
      <c r="A327" s="918" t="s">
        <v>483</v>
      </c>
      <c r="B327" s="944" t="s">
        <v>3901</v>
      </c>
      <c r="C327" s="919" t="s">
        <v>3902</v>
      </c>
      <c r="D327" s="919" t="s">
        <v>4406</v>
      </c>
      <c r="E327" s="920">
        <v>1500</v>
      </c>
      <c r="F327" s="919" t="s">
        <v>4409</v>
      </c>
      <c r="G327" s="919" t="s">
        <v>4410</v>
      </c>
      <c r="H327" s="919" t="s">
        <v>4406</v>
      </c>
      <c r="I327" s="919" t="s">
        <v>3693</v>
      </c>
      <c r="J327" s="919"/>
      <c r="K327" s="920">
        <v>1</v>
      </c>
      <c r="L327" s="920">
        <v>12</v>
      </c>
      <c r="M327" s="920">
        <f t="shared" si="10"/>
        <v>18000</v>
      </c>
      <c r="N327" s="919"/>
      <c r="O327" s="919"/>
      <c r="P327" s="921">
        <f t="shared" si="11"/>
        <v>0</v>
      </c>
    </row>
    <row r="328" spans="1:16" ht="20.100000000000001" customHeight="1" x14ac:dyDescent="0.25">
      <c r="A328" s="918" t="s">
        <v>483</v>
      </c>
      <c r="B328" s="944" t="s">
        <v>3901</v>
      </c>
      <c r="C328" s="919" t="s">
        <v>3902</v>
      </c>
      <c r="D328" s="919" t="s">
        <v>3976</v>
      </c>
      <c r="E328" s="920">
        <v>1500</v>
      </c>
      <c r="F328" s="919" t="s">
        <v>4041</v>
      </c>
      <c r="G328" s="919" t="s">
        <v>4042</v>
      </c>
      <c r="H328" s="919" t="s">
        <v>3976</v>
      </c>
      <c r="I328" s="919" t="s">
        <v>3693</v>
      </c>
      <c r="J328" s="919"/>
      <c r="K328" s="920">
        <v>1</v>
      </c>
      <c r="L328" s="920">
        <v>12</v>
      </c>
      <c r="M328" s="920">
        <f t="shared" si="10"/>
        <v>18000</v>
      </c>
      <c r="N328" s="919"/>
      <c r="O328" s="919"/>
      <c r="P328" s="921">
        <f t="shared" si="11"/>
        <v>0</v>
      </c>
    </row>
    <row r="329" spans="1:16" ht="20.100000000000001" customHeight="1" x14ac:dyDescent="0.25">
      <c r="A329" s="918" t="s">
        <v>483</v>
      </c>
      <c r="B329" s="944" t="s">
        <v>3901</v>
      </c>
      <c r="C329" s="919" t="s">
        <v>3902</v>
      </c>
      <c r="D329" s="919" t="s">
        <v>4118</v>
      </c>
      <c r="E329" s="920">
        <v>2300</v>
      </c>
      <c r="F329" s="919" t="s">
        <v>4411</v>
      </c>
      <c r="G329" s="919" t="s">
        <v>4412</v>
      </c>
      <c r="H329" s="919" t="s">
        <v>4118</v>
      </c>
      <c r="I329" s="919" t="s">
        <v>3679</v>
      </c>
      <c r="J329" s="919"/>
      <c r="K329" s="920">
        <v>1</v>
      </c>
      <c r="L329" s="920">
        <v>12</v>
      </c>
      <c r="M329" s="920">
        <f t="shared" si="10"/>
        <v>27600</v>
      </c>
      <c r="N329" s="919"/>
      <c r="O329" s="919"/>
      <c r="P329" s="921">
        <f t="shared" si="11"/>
        <v>0</v>
      </c>
    </row>
    <row r="330" spans="1:16" ht="20.100000000000001" customHeight="1" x14ac:dyDescent="0.25">
      <c r="A330" s="918" t="s">
        <v>483</v>
      </c>
      <c r="B330" s="944" t="s">
        <v>3901</v>
      </c>
      <c r="C330" s="919" t="s">
        <v>3902</v>
      </c>
      <c r="D330" s="919" t="s">
        <v>4383</v>
      </c>
      <c r="E330" s="920">
        <v>2300</v>
      </c>
      <c r="F330" s="919" t="s">
        <v>4413</v>
      </c>
      <c r="G330" s="919" t="s">
        <v>4414</v>
      </c>
      <c r="H330" s="919" t="s">
        <v>4383</v>
      </c>
      <c r="I330" s="919" t="s">
        <v>3724</v>
      </c>
      <c r="J330" s="919"/>
      <c r="K330" s="920">
        <v>1</v>
      </c>
      <c r="L330" s="920">
        <v>12</v>
      </c>
      <c r="M330" s="920">
        <f t="shared" si="10"/>
        <v>27600</v>
      </c>
      <c r="N330" s="919"/>
      <c r="O330" s="919"/>
      <c r="P330" s="921">
        <f t="shared" si="11"/>
        <v>0</v>
      </c>
    </row>
    <row r="331" spans="1:16" ht="20.100000000000001" customHeight="1" x14ac:dyDescent="0.25">
      <c r="A331" s="918" t="s">
        <v>483</v>
      </c>
      <c r="B331" s="944" t="s">
        <v>3901</v>
      </c>
      <c r="C331" s="919" t="s">
        <v>3902</v>
      </c>
      <c r="D331" s="919" t="s">
        <v>4120</v>
      </c>
      <c r="E331" s="920">
        <v>2300</v>
      </c>
      <c r="F331" s="919" t="s">
        <v>4415</v>
      </c>
      <c r="G331" s="919" t="s">
        <v>4416</v>
      </c>
      <c r="H331" s="919" t="s">
        <v>4120</v>
      </c>
      <c r="I331" s="919" t="s">
        <v>3679</v>
      </c>
      <c r="J331" s="919"/>
      <c r="K331" s="920">
        <v>1</v>
      </c>
      <c r="L331" s="920">
        <v>12</v>
      </c>
      <c r="M331" s="920">
        <f t="shared" si="10"/>
        <v>27600</v>
      </c>
      <c r="N331" s="919"/>
      <c r="O331" s="919"/>
      <c r="P331" s="921">
        <f t="shared" si="11"/>
        <v>0</v>
      </c>
    </row>
    <row r="332" spans="1:16" ht="20.100000000000001" customHeight="1" x14ac:dyDescent="0.25">
      <c r="A332" s="918" t="s">
        <v>483</v>
      </c>
      <c r="B332" s="944" t="s">
        <v>3901</v>
      </c>
      <c r="C332" s="919" t="s">
        <v>3902</v>
      </c>
      <c r="D332" s="919" t="s">
        <v>4120</v>
      </c>
      <c r="E332" s="920">
        <v>2280</v>
      </c>
      <c r="F332" s="919" t="s">
        <v>4417</v>
      </c>
      <c r="G332" s="919" t="s">
        <v>4418</v>
      </c>
      <c r="H332" s="919" t="s">
        <v>4120</v>
      </c>
      <c r="I332" s="919" t="s">
        <v>3679</v>
      </c>
      <c r="J332" s="919"/>
      <c r="K332" s="920">
        <v>1</v>
      </c>
      <c r="L332" s="920">
        <v>12</v>
      </c>
      <c r="M332" s="920">
        <f t="shared" si="10"/>
        <v>27360</v>
      </c>
      <c r="N332" s="919"/>
      <c r="O332" s="919"/>
      <c r="P332" s="921">
        <f t="shared" si="11"/>
        <v>0</v>
      </c>
    </row>
    <row r="333" spans="1:16" ht="20.100000000000001" customHeight="1" x14ac:dyDescent="0.25">
      <c r="A333" s="918" t="s">
        <v>483</v>
      </c>
      <c r="B333" s="944" t="s">
        <v>3901</v>
      </c>
      <c r="C333" s="919" t="s">
        <v>3902</v>
      </c>
      <c r="D333" s="919" t="s">
        <v>4120</v>
      </c>
      <c r="E333" s="920">
        <v>2300</v>
      </c>
      <c r="F333" s="919" t="s">
        <v>4419</v>
      </c>
      <c r="G333" s="919" t="s">
        <v>4420</v>
      </c>
      <c r="H333" s="919" t="s">
        <v>4120</v>
      </c>
      <c r="I333" s="919" t="s">
        <v>3679</v>
      </c>
      <c r="J333" s="919"/>
      <c r="K333" s="920">
        <v>1</v>
      </c>
      <c r="L333" s="920">
        <v>12</v>
      </c>
      <c r="M333" s="920">
        <f t="shared" si="10"/>
        <v>27600</v>
      </c>
      <c r="N333" s="919"/>
      <c r="O333" s="919"/>
      <c r="P333" s="921">
        <f t="shared" si="11"/>
        <v>0</v>
      </c>
    </row>
    <row r="334" spans="1:16" ht="20.100000000000001" customHeight="1" x14ac:dyDescent="0.25">
      <c r="A334" s="918" t="s">
        <v>483</v>
      </c>
      <c r="B334" s="944" t="s">
        <v>3901</v>
      </c>
      <c r="C334" s="919" t="s">
        <v>3902</v>
      </c>
      <c r="D334" s="919" t="s">
        <v>4120</v>
      </c>
      <c r="E334" s="920">
        <v>2300</v>
      </c>
      <c r="F334" s="919" t="s">
        <v>4421</v>
      </c>
      <c r="G334" s="919" t="s">
        <v>4422</v>
      </c>
      <c r="H334" s="919" t="s">
        <v>4120</v>
      </c>
      <c r="I334" s="919" t="s">
        <v>3679</v>
      </c>
      <c r="J334" s="919"/>
      <c r="K334" s="920">
        <v>1</v>
      </c>
      <c r="L334" s="920">
        <v>12</v>
      </c>
      <c r="M334" s="920">
        <f t="shared" si="10"/>
        <v>27600</v>
      </c>
      <c r="N334" s="919"/>
      <c r="O334" s="919"/>
      <c r="P334" s="921">
        <f t="shared" si="11"/>
        <v>0</v>
      </c>
    </row>
    <row r="335" spans="1:16" ht="20.100000000000001" customHeight="1" x14ac:dyDescent="0.25">
      <c r="A335" s="918" t="s">
        <v>483</v>
      </c>
      <c r="B335" s="944" t="s">
        <v>3901</v>
      </c>
      <c r="C335" s="919" t="s">
        <v>3902</v>
      </c>
      <c r="D335" s="919" t="s">
        <v>4120</v>
      </c>
      <c r="E335" s="920">
        <v>2300</v>
      </c>
      <c r="F335" s="919" t="s">
        <v>4423</v>
      </c>
      <c r="G335" s="919" t="s">
        <v>4424</v>
      </c>
      <c r="H335" s="919" t="s">
        <v>4120</v>
      </c>
      <c r="I335" s="919" t="s">
        <v>3679</v>
      </c>
      <c r="J335" s="919"/>
      <c r="K335" s="920">
        <v>1</v>
      </c>
      <c r="L335" s="920">
        <v>12</v>
      </c>
      <c r="M335" s="920">
        <f t="shared" si="10"/>
        <v>27600</v>
      </c>
      <c r="N335" s="919"/>
      <c r="O335" s="919"/>
      <c r="P335" s="921">
        <f t="shared" si="11"/>
        <v>0</v>
      </c>
    </row>
    <row r="336" spans="1:16" ht="20.100000000000001" customHeight="1" x14ac:dyDescent="0.25">
      <c r="A336" s="918" t="s">
        <v>483</v>
      </c>
      <c r="B336" s="944" t="s">
        <v>3901</v>
      </c>
      <c r="C336" s="919" t="s">
        <v>3902</v>
      </c>
      <c r="D336" s="919" t="s">
        <v>3921</v>
      </c>
      <c r="E336" s="920">
        <v>2300</v>
      </c>
      <c r="F336" s="919" t="s">
        <v>4425</v>
      </c>
      <c r="G336" s="919" t="s">
        <v>4426</v>
      </c>
      <c r="H336" s="919" t="s">
        <v>3921</v>
      </c>
      <c r="I336" s="919" t="s">
        <v>3679</v>
      </c>
      <c r="J336" s="919"/>
      <c r="K336" s="920">
        <v>1</v>
      </c>
      <c r="L336" s="920">
        <v>12</v>
      </c>
      <c r="M336" s="920">
        <f t="shared" si="10"/>
        <v>27600</v>
      </c>
      <c r="N336" s="919"/>
      <c r="O336" s="919"/>
      <c r="P336" s="921">
        <f t="shared" si="11"/>
        <v>0</v>
      </c>
    </row>
    <row r="337" spans="1:16" ht="20.100000000000001" customHeight="1" x14ac:dyDescent="0.25">
      <c r="A337" s="918" t="s">
        <v>483</v>
      </c>
      <c r="B337" s="944" t="s">
        <v>3901</v>
      </c>
      <c r="C337" s="919" t="s">
        <v>3902</v>
      </c>
      <c r="D337" s="919" t="s">
        <v>3999</v>
      </c>
      <c r="E337" s="920">
        <v>2300</v>
      </c>
      <c r="F337" s="919" t="s">
        <v>4427</v>
      </c>
      <c r="G337" s="919" t="s">
        <v>4428</v>
      </c>
      <c r="H337" s="919" t="s">
        <v>3999</v>
      </c>
      <c r="I337" s="919" t="s">
        <v>3724</v>
      </c>
      <c r="J337" s="919"/>
      <c r="K337" s="920">
        <v>1</v>
      </c>
      <c r="L337" s="920">
        <v>12</v>
      </c>
      <c r="M337" s="920">
        <f t="shared" si="10"/>
        <v>27600</v>
      </c>
      <c r="N337" s="919"/>
      <c r="O337" s="919"/>
      <c r="P337" s="921">
        <f t="shared" si="11"/>
        <v>0</v>
      </c>
    </row>
    <row r="338" spans="1:16" ht="20.100000000000001" customHeight="1" x14ac:dyDescent="0.25">
      <c r="A338" s="918" t="s">
        <v>483</v>
      </c>
      <c r="B338" s="944" t="s">
        <v>3901</v>
      </c>
      <c r="C338" s="919" t="s">
        <v>3902</v>
      </c>
      <c r="D338" s="919" t="s">
        <v>4429</v>
      </c>
      <c r="E338" s="920">
        <v>2300</v>
      </c>
      <c r="F338" s="919" t="s">
        <v>4041</v>
      </c>
      <c r="G338" s="919" t="s">
        <v>4042</v>
      </c>
      <c r="H338" s="919" t="s">
        <v>4429</v>
      </c>
      <c r="I338" s="919" t="s">
        <v>3679</v>
      </c>
      <c r="J338" s="919"/>
      <c r="K338" s="920">
        <v>1</v>
      </c>
      <c r="L338" s="920">
        <v>12</v>
      </c>
      <c r="M338" s="920">
        <f t="shared" si="10"/>
        <v>27600</v>
      </c>
      <c r="N338" s="919"/>
      <c r="O338" s="919"/>
      <c r="P338" s="921">
        <f t="shared" si="11"/>
        <v>0</v>
      </c>
    </row>
    <row r="339" spans="1:16" ht="20.100000000000001" customHeight="1" x14ac:dyDescent="0.25">
      <c r="A339" s="918" t="s">
        <v>483</v>
      </c>
      <c r="B339" s="944" t="s">
        <v>3901</v>
      </c>
      <c r="C339" s="919" t="s">
        <v>3902</v>
      </c>
      <c r="D339" s="919" t="s">
        <v>4429</v>
      </c>
      <c r="E339" s="920">
        <v>2300</v>
      </c>
      <c r="F339" s="919" t="s">
        <v>4430</v>
      </c>
      <c r="G339" s="919" t="s">
        <v>4431</v>
      </c>
      <c r="H339" s="919" t="s">
        <v>4429</v>
      </c>
      <c r="I339" s="919" t="s">
        <v>3679</v>
      </c>
      <c r="J339" s="919"/>
      <c r="K339" s="920">
        <v>1</v>
      </c>
      <c r="L339" s="920">
        <v>12</v>
      </c>
      <c r="M339" s="920">
        <f t="shared" si="10"/>
        <v>27600</v>
      </c>
      <c r="N339" s="919"/>
      <c r="O339" s="919"/>
      <c r="P339" s="921">
        <f t="shared" si="11"/>
        <v>0</v>
      </c>
    </row>
    <row r="340" spans="1:16" ht="20.100000000000001" customHeight="1" x14ac:dyDescent="0.25">
      <c r="A340" s="918" t="s">
        <v>483</v>
      </c>
      <c r="B340" s="944" t="s">
        <v>3901</v>
      </c>
      <c r="C340" s="919" t="s">
        <v>3902</v>
      </c>
      <c r="D340" s="919" t="s">
        <v>4429</v>
      </c>
      <c r="E340" s="920">
        <v>2300</v>
      </c>
      <c r="F340" s="919" t="s">
        <v>4432</v>
      </c>
      <c r="G340" s="919" t="s">
        <v>4433</v>
      </c>
      <c r="H340" s="919" t="s">
        <v>4429</v>
      </c>
      <c r="I340" s="919" t="s">
        <v>3679</v>
      </c>
      <c r="J340" s="919"/>
      <c r="K340" s="920">
        <v>1</v>
      </c>
      <c r="L340" s="920">
        <v>12</v>
      </c>
      <c r="M340" s="920">
        <f t="shared" si="10"/>
        <v>27600</v>
      </c>
      <c r="N340" s="919"/>
      <c r="O340" s="919"/>
      <c r="P340" s="921">
        <f t="shared" si="11"/>
        <v>0</v>
      </c>
    </row>
    <row r="341" spans="1:16" ht="20.100000000000001" customHeight="1" x14ac:dyDescent="0.25">
      <c r="A341" s="918" t="s">
        <v>483</v>
      </c>
      <c r="B341" s="944" t="s">
        <v>3901</v>
      </c>
      <c r="C341" s="919" t="s">
        <v>3902</v>
      </c>
      <c r="D341" s="919" t="s">
        <v>4429</v>
      </c>
      <c r="E341" s="920">
        <v>2300</v>
      </c>
      <c r="F341" s="919" t="s">
        <v>4434</v>
      </c>
      <c r="G341" s="919" t="s">
        <v>4435</v>
      </c>
      <c r="H341" s="919" t="s">
        <v>4429</v>
      </c>
      <c r="I341" s="919" t="s">
        <v>3679</v>
      </c>
      <c r="J341" s="919"/>
      <c r="K341" s="920">
        <v>1</v>
      </c>
      <c r="L341" s="920">
        <v>12</v>
      </c>
      <c r="M341" s="920">
        <f t="shared" si="10"/>
        <v>27600</v>
      </c>
      <c r="N341" s="919"/>
      <c r="O341" s="919"/>
      <c r="P341" s="921">
        <f t="shared" si="11"/>
        <v>0</v>
      </c>
    </row>
    <row r="342" spans="1:16" ht="20.100000000000001" customHeight="1" x14ac:dyDescent="0.25">
      <c r="A342" s="918" t="s">
        <v>483</v>
      </c>
      <c r="B342" s="944" t="s">
        <v>3901</v>
      </c>
      <c r="C342" s="919" t="s">
        <v>3902</v>
      </c>
      <c r="D342" s="919" t="s">
        <v>4244</v>
      </c>
      <c r="E342" s="920">
        <v>2300</v>
      </c>
      <c r="F342" s="919" t="s">
        <v>4436</v>
      </c>
      <c r="G342" s="919" t="s">
        <v>4437</v>
      </c>
      <c r="H342" s="919" t="s">
        <v>4244</v>
      </c>
      <c r="I342" s="919" t="s">
        <v>3679</v>
      </c>
      <c r="J342" s="919"/>
      <c r="K342" s="920">
        <v>1</v>
      </c>
      <c r="L342" s="920">
        <v>12</v>
      </c>
      <c r="M342" s="920">
        <f t="shared" si="10"/>
        <v>27600</v>
      </c>
      <c r="N342" s="919"/>
      <c r="O342" s="919"/>
      <c r="P342" s="921">
        <f t="shared" si="11"/>
        <v>0</v>
      </c>
    </row>
    <row r="343" spans="1:16" ht="20.100000000000001" customHeight="1" x14ac:dyDescent="0.25">
      <c r="A343" s="918" t="s">
        <v>483</v>
      </c>
      <c r="B343" s="944" t="s">
        <v>3901</v>
      </c>
      <c r="C343" s="919" t="s">
        <v>3902</v>
      </c>
      <c r="D343" s="919" t="s">
        <v>4244</v>
      </c>
      <c r="E343" s="920">
        <v>2300</v>
      </c>
      <c r="F343" s="919" t="s">
        <v>4438</v>
      </c>
      <c r="G343" s="919" t="s">
        <v>4439</v>
      </c>
      <c r="H343" s="919" t="s">
        <v>4244</v>
      </c>
      <c r="I343" s="919" t="s">
        <v>3679</v>
      </c>
      <c r="J343" s="919"/>
      <c r="K343" s="920">
        <v>1</v>
      </c>
      <c r="L343" s="920">
        <v>12</v>
      </c>
      <c r="M343" s="920">
        <f t="shared" si="10"/>
        <v>27600</v>
      </c>
      <c r="N343" s="919"/>
      <c r="O343" s="919"/>
      <c r="P343" s="921">
        <f t="shared" si="11"/>
        <v>0</v>
      </c>
    </row>
    <row r="344" spans="1:16" ht="20.100000000000001" customHeight="1" x14ac:dyDescent="0.25">
      <c r="A344" s="918" t="s">
        <v>483</v>
      </c>
      <c r="B344" s="944" t="s">
        <v>3901</v>
      </c>
      <c r="C344" s="919" t="s">
        <v>3902</v>
      </c>
      <c r="D344" s="919" t="s">
        <v>4244</v>
      </c>
      <c r="E344" s="920">
        <v>2300</v>
      </c>
      <c r="F344" s="919" t="s">
        <v>4440</v>
      </c>
      <c r="G344" s="919" t="s">
        <v>4441</v>
      </c>
      <c r="H344" s="919" t="s">
        <v>4244</v>
      </c>
      <c r="I344" s="919" t="s">
        <v>3679</v>
      </c>
      <c r="J344" s="919"/>
      <c r="K344" s="920">
        <v>1</v>
      </c>
      <c r="L344" s="920">
        <v>12</v>
      </c>
      <c r="M344" s="920">
        <f t="shared" si="10"/>
        <v>27600</v>
      </c>
      <c r="N344" s="919"/>
      <c r="O344" s="919"/>
      <c r="P344" s="921">
        <f t="shared" si="11"/>
        <v>0</v>
      </c>
    </row>
    <row r="345" spans="1:16" ht="20.100000000000001" customHeight="1" x14ac:dyDescent="0.25">
      <c r="A345" s="918" t="s">
        <v>483</v>
      </c>
      <c r="B345" s="944" t="s">
        <v>3901</v>
      </c>
      <c r="C345" s="919" t="s">
        <v>3902</v>
      </c>
      <c r="D345" s="919" t="s">
        <v>4244</v>
      </c>
      <c r="E345" s="920">
        <v>2300</v>
      </c>
      <c r="F345" s="919" t="s">
        <v>4041</v>
      </c>
      <c r="G345" s="919" t="s">
        <v>4042</v>
      </c>
      <c r="H345" s="919" t="s">
        <v>4244</v>
      </c>
      <c r="I345" s="919" t="s">
        <v>3679</v>
      </c>
      <c r="J345" s="919"/>
      <c r="K345" s="920">
        <v>1</v>
      </c>
      <c r="L345" s="920">
        <v>12</v>
      </c>
      <c r="M345" s="920">
        <f t="shared" si="10"/>
        <v>27600</v>
      </c>
      <c r="N345" s="919"/>
      <c r="O345" s="919"/>
      <c r="P345" s="921">
        <f t="shared" si="11"/>
        <v>0</v>
      </c>
    </row>
    <row r="346" spans="1:16" ht="20.100000000000001" customHeight="1" x14ac:dyDescent="0.25">
      <c r="A346" s="918" t="s">
        <v>483</v>
      </c>
      <c r="B346" s="944" t="s">
        <v>3901</v>
      </c>
      <c r="C346" s="919" t="s">
        <v>3902</v>
      </c>
      <c r="D346" s="919" t="s">
        <v>4429</v>
      </c>
      <c r="E346" s="920">
        <v>2300</v>
      </c>
      <c r="F346" s="919" t="s">
        <v>4442</v>
      </c>
      <c r="G346" s="919" t="s">
        <v>4443</v>
      </c>
      <c r="H346" s="919" t="s">
        <v>4429</v>
      </c>
      <c r="I346" s="919" t="s">
        <v>3679</v>
      </c>
      <c r="J346" s="919"/>
      <c r="K346" s="920">
        <v>1</v>
      </c>
      <c r="L346" s="920">
        <v>12</v>
      </c>
      <c r="M346" s="920">
        <f t="shared" si="10"/>
        <v>27600</v>
      </c>
      <c r="N346" s="919"/>
      <c r="O346" s="919"/>
      <c r="P346" s="921">
        <f t="shared" si="11"/>
        <v>0</v>
      </c>
    </row>
    <row r="347" spans="1:16" ht="20.100000000000001" customHeight="1" x14ac:dyDescent="0.25">
      <c r="A347" s="918" t="s">
        <v>483</v>
      </c>
      <c r="B347" s="944" t="s">
        <v>3901</v>
      </c>
      <c r="C347" s="919" t="s">
        <v>3902</v>
      </c>
      <c r="D347" s="919" t="s">
        <v>4429</v>
      </c>
      <c r="E347" s="920">
        <v>2300</v>
      </c>
      <c r="F347" s="919" t="s">
        <v>4444</v>
      </c>
      <c r="G347" s="919" t="s">
        <v>4445</v>
      </c>
      <c r="H347" s="919" t="s">
        <v>4429</v>
      </c>
      <c r="I347" s="919" t="s">
        <v>3679</v>
      </c>
      <c r="J347" s="919"/>
      <c r="K347" s="920">
        <v>1</v>
      </c>
      <c r="L347" s="920">
        <v>12</v>
      </c>
      <c r="M347" s="920">
        <f t="shared" si="10"/>
        <v>27600</v>
      </c>
      <c r="N347" s="919"/>
      <c r="O347" s="919"/>
      <c r="P347" s="921">
        <f t="shared" si="11"/>
        <v>0</v>
      </c>
    </row>
    <row r="348" spans="1:16" ht="20.100000000000001" customHeight="1" x14ac:dyDescent="0.25">
      <c r="A348" s="918" t="s">
        <v>483</v>
      </c>
      <c r="B348" s="944" t="s">
        <v>3901</v>
      </c>
      <c r="C348" s="919" t="s">
        <v>3902</v>
      </c>
      <c r="D348" s="919" t="s">
        <v>4446</v>
      </c>
      <c r="E348" s="920">
        <v>2300</v>
      </c>
      <c r="F348" s="919" t="s">
        <v>4447</v>
      </c>
      <c r="G348" s="919" t="s">
        <v>4448</v>
      </c>
      <c r="H348" s="919" t="s">
        <v>4446</v>
      </c>
      <c r="I348" s="919" t="s">
        <v>3671</v>
      </c>
      <c r="J348" s="919"/>
      <c r="K348" s="920">
        <v>1</v>
      </c>
      <c r="L348" s="920">
        <v>12</v>
      </c>
      <c r="M348" s="920">
        <f t="shared" si="10"/>
        <v>27600</v>
      </c>
      <c r="N348" s="919"/>
      <c r="O348" s="919"/>
      <c r="P348" s="921">
        <f t="shared" si="11"/>
        <v>0</v>
      </c>
    </row>
    <row r="349" spans="1:16" ht="20.100000000000001" customHeight="1" x14ac:dyDescent="0.25">
      <c r="A349" s="918" t="s">
        <v>483</v>
      </c>
      <c r="B349" s="944" t="s">
        <v>3901</v>
      </c>
      <c r="C349" s="919" t="s">
        <v>3902</v>
      </c>
      <c r="D349" s="919" t="s">
        <v>3999</v>
      </c>
      <c r="E349" s="920">
        <v>2300</v>
      </c>
      <c r="F349" s="919" t="s">
        <v>4041</v>
      </c>
      <c r="G349" s="919" t="s">
        <v>4042</v>
      </c>
      <c r="H349" s="919" t="s">
        <v>3999</v>
      </c>
      <c r="I349" s="919" t="s">
        <v>3724</v>
      </c>
      <c r="J349" s="919"/>
      <c r="K349" s="920">
        <v>1</v>
      </c>
      <c r="L349" s="920">
        <v>12</v>
      </c>
      <c r="M349" s="920">
        <f t="shared" si="10"/>
        <v>27600</v>
      </c>
      <c r="N349" s="919"/>
      <c r="O349" s="919"/>
      <c r="P349" s="921">
        <f t="shared" si="11"/>
        <v>0</v>
      </c>
    </row>
    <row r="350" spans="1:16" ht="20.100000000000001" customHeight="1" x14ac:dyDescent="0.25">
      <c r="A350" s="918" t="s">
        <v>483</v>
      </c>
      <c r="B350" s="944" t="s">
        <v>3901</v>
      </c>
      <c r="C350" s="919" t="s">
        <v>3902</v>
      </c>
      <c r="D350" s="919" t="s">
        <v>4375</v>
      </c>
      <c r="E350" s="920">
        <v>3700</v>
      </c>
      <c r="F350" s="919" t="s">
        <v>4041</v>
      </c>
      <c r="G350" s="919" t="s">
        <v>4042</v>
      </c>
      <c r="H350" s="919" t="s">
        <v>4375</v>
      </c>
      <c r="I350" s="919" t="s">
        <v>3724</v>
      </c>
      <c r="J350" s="919"/>
      <c r="K350" s="920">
        <v>1</v>
      </c>
      <c r="L350" s="920">
        <v>12</v>
      </c>
      <c r="M350" s="920">
        <f t="shared" si="10"/>
        <v>44400</v>
      </c>
      <c r="N350" s="919"/>
      <c r="O350" s="919"/>
      <c r="P350" s="921">
        <f t="shared" si="11"/>
        <v>0</v>
      </c>
    </row>
    <row r="351" spans="1:16" ht="20.100000000000001" customHeight="1" x14ac:dyDescent="0.25">
      <c r="A351" s="918" t="s">
        <v>483</v>
      </c>
      <c r="B351" s="944" t="s">
        <v>3901</v>
      </c>
      <c r="C351" s="919" t="s">
        <v>3902</v>
      </c>
      <c r="D351" s="919" t="s">
        <v>4449</v>
      </c>
      <c r="E351" s="920">
        <v>2300</v>
      </c>
      <c r="F351" s="919" t="s">
        <v>4450</v>
      </c>
      <c r="G351" s="919" t="s">
        <v>4451</v>
      </c>
      <c r="H351" s="919" t="s">
        <v>4449</v>
      </c>
      <c r="I351" s="919" t="s">
        <v>3724</v>
      </c>
      <c r="J351" s="919"/>
      <c r="K351" s="920">
        <v>1</v>
      </c>
      <c r="L351" s="920">
        <v>12</v>
      </c>
      <c r="M351" s="920">
        <f t="shared" si="10"/>
        <v>27600</v>
      </c>
      <c r="N351" s="919"/>
      <c r="O351" s="919"/>
      <c r="P351" s="921">
        <f t="shared" si="11"/>
        <v>0</v>
      </c>
    </row>
    <row r="352" spans="1:16" ht="20.100000000000001" customHeight="1" x14ac:dyDescent="0.25">
      <c r="A352" s="918" t="s">
        <v>483</v>
      </c>
      <c r="B352" s="944" t="s">
        <v>3901</v>
      </c>
      <c r="C352" s="919" t="s">
        <v>3902</v>
      </c>
      <c r="D352" s="919" t="s">
        <v>4382</v>
      </c>
      <c r="E352" s="920">
        <v>2300</v>
      </c>
      <c r="F352" s="919" t="s">
        <v>4041</v>
      </c>
      <c r="G352" s="919" t="s">
        <v>4042</v>
      </c>
      <c r="H352" s="919" t="s">
        <v>4382</v>
      </c>
      <c r="I352" s="919" t="s">
        <v>3724</v>
      </c>
      <c r="J352" s="919"/>
      <c r="K352" s="920">
        <v>1</v>
      </c>
      <c r="L352" s="920">
        <v>12</v>
      </c>
      <c r="M352" s="920">
        <f t="shared" si="10"/>
        <v>27600</v>
      </c>
      <c r="N352" s="919"/>
      <c r="O352" s="919"/>
      <c r="P352" s="921">
        <f t="shared" si="11"/>
        <v>0</v>
      </c>
    </row>
    <row r="353" spans="1:16" ht="20.100000000000001" customHeight="1" x14ac:dyDescent="0.25">
      <c r="A353" s="918" t="s">
        <v>483</v>
      </c>
      <c r="B353" s="944" t="s">
        <v>3901</v>
      </c>
      <c r="C353" s="919" t="s">
        <v>3902</v>
      </c>
      <c r="D353" s="919" t="s">
        <v>4383</v>
      </c>
      <c r="E353" s="920">
        <v>2300</v>
      </c>
      <c r="F353" s="919" t="s">
        <v>4452</v>
      </c>
      <c r="G353" s="919" t="s">
        <v>4453</v>
      </c>
      <c r="H353" s="919" t="s">
        <v>4383</v>
      </c>
      <c r="I353" s="919" t="s">
        <v>3724</v>
      </c>
      <c r="J353" s="919"/>
      <c r="K353" s="920">
        <v>1</v>
      </c>
      <c r="L353" s="920">
        <v>12</v>
      </c>
      <c r="M353" s="920">
        <f t="shared" si="10"/>
        <v>27600</v>
      </c>
      <c r="N353" s="919"/>
      <c r="O353" s="919"/>
      <c r="P353" s="921">
        <f t="shared" si="11"/>
        <v>0</v>
      </c>
    </row>
    <row r="354" spans="1:16" ht="20.100000000000001" customHeight="1" x14ac:dyDescent="0.25">
      <c r="A354" s="918" t="s">
        <v>483</v>
      </c>
      <c r="B354" s="944" t="s">
        <v>3901</v>
      </c>
      <c r="C354" s="919" t="s">
        <v>3902</v>
      </c>
      <c r="D354" s="919" t="s">
        <v>4383</v>
      </c>
      <c r="E354" s="920">
        <v>2300</v>
      </c>
      <c r="F354" s="919" t="s">
        <v>4454</v>
      </c>
      <c r="G354" s="919" t="s">
        <v>4455</v>
      </c>
      <c r="H354" s="919" t="s">
        <v>4383</v>
      </c>
      <c r="I354" s="919" t="s">
        <v>3724</v>
      </c>
      <c r="J354" s="919"/>
      <c r="K354" s="920">
        <v>1</v>
      </c>
      <c r="L354" s="920">
        <v>12</v>
      </c>
      <c r="M354" s="920">
        <f t="shared" si="10"/>
        <v>27600</v>
      </c>
      <c r="N354" s="919"/>
      <c r="O354" s="919"/>
      <c r="P354" s="921">
        <f t="shared" si="11"/>
        <v>0</v>
      </c>
    </row>
    <row r="355" spans="1:16" ht="20.100000000000001" customHeight="1" x14ac:dyDescent="0.25">
      <c r="A355" s="918" t="s">
        <v>483</v>
      </c>
      <c r="B355" s="944" t="s">
        <v>3901</v>
      </c>
      <c r="C355" s="919" t="s">
        <v>3902</v>
      </c>
      <c r="D355" s="919" t="s">
        <v>4109</v>
      </c>
      <c r="E355" s="920">
        <v>1500</v>
      </c>
      <c r="F355" s="919" t="s">
        <v>4456</v>
      </c>
      <c r="G355" s="919" t="s">
        <v>4457</v>
      </c>
      <c r="H355" s="919" t="s">
        <v>4109</v>
      </c>
      <c r="I355" s="919" t="s">
        <v>3686</v>
      </c>
      <c r="J355" s="919"/>
      <c r="K355" s="920">
        <v>1</v>
      </c>
      <c r="L355" s="920">
        <v>12</v>
      </c>
      <c r="M355" s="920">
        <f t="shared" si="10"/>
        <v>18000</v>
      </c>
      <c r="N355" s="919"/>
      <c r="O355" s="919"/>
      <c r="P355" s="921">
        <f t="shared" si="11"/>
        <v>0</v>
      </c>
    </row>
    <row r="356" spans="1:16" ht="20.100000000000001" customHeight="1" x14ac:dyDescent="0.25">
      <c r="A356" s="918" t="s">
        <v>483</v>
      </c>
      <c r="B356" s="944" t="s">
        <v>3901</v>
      </c>
      <c r="C356" s="919" t="s">
        <v>3902</v>
      </c>
      <c r="D356" s="919" t="s">
        <v>4109</v>
      </c>
      <c r="E356" s="920">
        <v>1500</v>
      </c>
      <c r="F356" s="919" t="s">
        <v>4458</v>
      </c>
      <c r="G356" s="919" t="s">
        <v>4459</v>
      </c>
      <c r="H356" s="919" t="s">
        <v>4109</v>
      </c>
      <c r="I356" s="919" t="s">
        <v>3686</v>
      </c>
      <c r="J356" s="919"/>
      <c r="K356" s="920">
        <v>1</v>
      </c>
      <c r="L356" s="920">
        <v>12</v>
      </c>
      <c r="M356" s="920">
        <f t="shared" si="10"/>
        <v>18000</v>
      </c>
      <c r="N356" s="919"/>
      <c r="O356" s="919"/>
      <c r="P356" s="921">
        <f t="shared" si="11"/>
        <v>0</v>
      </c>
    </row>
    <row r="357" spans="1:16" ht="20.100000000000001" customHeight="1" x14ac:dyDescent="0.25">
      <c r="A357" s="918" t="s">
        <v>483</v>
      </c>
      <c r="B357" s="944" t="s">
        <v>3901</v>
      </c>
      <c r="C357" s="919" t="s">
        <v>3902</v>
      </c>
      <c r="D357" s="919" t="s">
        <v>4390</v>
      </c>
      <c r="E357" s="920">
        <v>1500</v>
      </c>
      <c r="F357" s="919" t="s">
        <v>4460</v>
      </c>
      <c r="G357" s="919" t="s">
        <v>4461</v>
      </c>
      <c r="H357" s="919" t="s">
        <v>4390</v>
      </c>
      <c r="I357" s="919" t="s">
        <v>3686</v>
      </c>
      <c r="J357" s="919"/>
      <c r="K357" s="920">
        <v>1</v>
      </c>
      <c r="L357" s="920">
        <v>12</v>
      </c>
      <c r="M357" s="920">
        <f t="shared" si="10"/>
        <v>18000</v>
      </c>
      <c r="N357" s="919"/>
      <c r="O357" s="919"/>
      <c r="P357" s="921">
        <f t="shared" si="11"/>
        <v>0</v>
      </c>
    </row>
    <row r="358" spans="1:16" ht="20.100000000000001" customHeight="1" x14ac:dyDescent="0.25">
      <c r="A358" s="918" t="s">
        <v>483</v>
      </c>
      <c r="B358" s="944" t="s">
        <v>3901</v>
      </c>
      <c r="C358" s="919" t="s">
        <v>3902</v>
      </c>
      <c r="D358" s="919" t="s">
        <v>4462</v>
      </c>
      <c r="E358" s="920">
        <v>1500</v>
      </c>
      <c r="F358" s="919" t="s">
        <v>4463</v>
      </c>
      <c r="G358" s="919" t="s">
        <v>4464</v>
      </c>
      <c r="H358" s="919" t="s">
        <v>4462</v>
      </c>
      <c r="I358" s="919" t="s">
        <v>3686</v>
      </c>
      <c r="J358" s="919"/>
      <c r="K358" s="920">
        <v>1</v>
      </c>
      <c r="L358" s="920">
        <v>12</v>
      </c>
      <c r="M358" s="920">
        <f t="shared" si="10"/>
        <v>18000</v>
      </c>
      <c r="N358" s="919"/>
      <c r="O358" s="919"/>
      <c r="P358" s="921">
        <f t="shared" si="11"/>
        <v>0</v>
      </c>
    </row>
    <row r="359" spans="1:16" ht="20.100000000000001" customHeight="1" x14ac:dyDescent="0.25">
      <c r="A359" s="918" t="s">
        <v>483</v>
      </c>
      <c r="B359" s="944" t="s">
        <v>3901</v>
      </c>
      <c r="C359" s="919" t="s">
        <v>3902</v>
      </c>
      <c r="D359" s="919" t="s">
        <v>4391</v>
      </c>
      <c r="E359" s="920">
        <v>1500</v>
      </c>
      <c r="F359" s="919" t="s">
        <v>4465</v>
      </c>
      <c r="G359" s="919" t="s">
        <v>4466</v>
      </c>
      <c r="H359" s="919" t="s">
        <v>4391</v>
      </c>
      <c r="I359" s="919" t="s">
        <v>3686</v>
      </c>
      <c r="J359" s="919"/>
      <c r="K359" s="920">
        <v>1</v>
      </c>
      <c r="L359" s="920">
        <v>12</v>
      </c>
      <c r="M359" s="920">
        <f t="shared" si="10"/>
        <v>18000</v>
      </c>
      <c r="N359" s="919"/>
      <c r="O359" s="919"/>
      <c r="P359" s="921">
        <f t="shared" si="11"/>
        <v>0</v>
      </c>
    </row>
    <row r="360" spans="1:16" ht="20.100000000000001" customHeight="1" x14ac:dyDescent="0.25">
      <c r="A360" s="918" t="s">
        <v>483</v>
      </c>
      <c r="B360" s="944" t="s">
        <v>3901</v>
      </c>
      <c r="C360" s="919" t="s">
        <v>3902</v>
      </c>
      <c r="D360" s="919" t="s">
        <v>4467</v>
      </c>
      <c r="E360" s="920">
        <v>1500</v>
      </c>
      <c r="F360" s="919" t="s">
        <v>4468</v>
      </c>
      <c r="G360" s="919" t="s">
        <v>4469</v>
      </c>
      <c r="H360" s="919" t="s">
        <v>4467</v>
      </c>
      <c r="I360" s="919" t="s">
        <v>3686</v>
      </c>
      <c r="J360" s="919"/>
      <c r="K360" s="920"/>
      <c r="L360" s="920"/>
      <c r="M360" s="920">
        <f t="shared" si="10"/>
        <v>0</v>
      </c>
      <c r="N360" s="919">
        <v>1</v>
      </c>
      <c r="O360" s="919">
        <v>1</v>
      </c>
      <c r="P360" s="921">
        <f t="shared" si="11"/>
        <v>1500</v>
      </c>
    </row>
    <row r="361" spans="1:16" ht="20.100000000000001" customHeight="1" x14ac:dyDescent="0.25">
      <c r="A361" s="918" t="s">
        <v>483</v>
      </c>
      <c r="B361" s="944" t="s">
        <v>3901</v>
      </c>
      <c r="C361" s="919" t="s">
        <v>3902</v>
      </c>
      <c r="D361" s="919" t="s">
        <v>4470</v>
      </c>
      <c r="E361" s="920">
        <v>1100</v>
      </c>
      <c r="F361" s="919" t="s">
        <v>4471</v>
      </c>
      <c r="G361" s="919" t="s">
        <v>4472</v>
      </c>
      <c r="H361" s="919" t="s">
        <v>4470</v>
      </c>
      <c r="I361" s="919" t="s">
        <v>3686</v>
      </c>
      <c r="J361" s="919"/>
      <c r="K361" s="920">
        <v>1</v>
      </c>
      <c r="L361" s="920">
        <v>12</v>
      </c>
      <c r="M361" s="920">
        <f t="shared" si="10"/>
        <v>13200</v>
      </c>
      <c r="N361" s="919"/>
      <c r="O361" s="919"/>
      <c r="P361" s="921">
        <f t="shared" si="11"/>
        <v>0</v>
      </c>
    </row>
    <row r="362" spans="1:16" ht="20.100000000000001" customHeight="1" x14ac:dyDescent="0.25">
      <c r="A362" s="918" t="s">
        <v>469</v>
      </c>
      <c r="B362" s="944" t="s">
        <v>3901</v>
      </c>
      <c r="C362" s="919" t="s">
        <v>3902</v>
      </c>
      <c r="D362" s="919" t="s">
        <v>4473</v>
      </c>
      <c r="E362" s="920">
        <v>2600</v>
      </c>
      <c r="F362" s="919" t="s">
        <v>4474</v>
      </c>
      <c r="G362" s="919" t="s">
        <v>4475</v>
      </c>
      <c r="H362" s="919" t="s">
        <v>4473</v>
      </c>
      <c r="I362" s="919" t="s">
        <v>3679</v>
      </c>
      <c r="J362" s="919"/>
      <c r="K362" s="920"/>
      <c r="L362" s="920"/>
      <c r="M362" s="920">
        <f t="shared" si="10"/>
        <v>0</v>
      </c>
      <c r="N362" s="919">
        <v>1</v>
      </c>
      <c r="O362" s="919">
        <v>3</v>
      </c>
      <c r="P362" s="921">
        <f t="shared" si="11"/>
        <v>7800</v>
      </c>
    </row>
    <row r="363" spans="1:16" ht="20.100000000000001" customHeight="1" x14ac:dyDescent="0.25">
      <c r="A363" s="918" t="s">
        <v>469</v>
      </c>
      <c r="B363" s="944" t="s">
        <v>3901</v>
      </c>
      <c r="C363" s="919" t="s">
        <v>3902</v>
      </c>
      <c r="D363" s="919" t="s">
        <v>4476</v>
      </c>
      <c r="E363" s="920">
        <v>1680</v>
      </c>
      <c r="F363" s="919" t="s">
        <v>4477</v>
      </c>
      <c r="G363" s="919" t="s">
        <v>4478</v>
      </c>
      <c r="H363" s="919" t="s">
        <v>4476</v>
      </c>
      <c r="I363" s="919" t="s">
        <v>3679</v>
      </c>
      <c r="J363" s="919"/>
      <c r="K363" s="920">
        <v>1</v>
      </c>
      <c r="L363" s="920">
        <v>12</v>
      </c>
      <c r="M363" s="920">
        <f t="shared" si="10"/>
        <v>20160</v>
      </c>
      <c r="N363" s="919"/>
      <c r="O363" s="919"/>
      <c r="P363" s="921">
        <f t="shared" si="11"/>
        <v>0</v>
      </c>
    </row>
    <row r="364" spans="1:16" ht="20.100000000000001" customHeight="1" x14ac:dyDescent="0.25">
      <c r="A364" s="918" t="s">
        <v>469</v>
      </c>
      <c r="B364" s="944" t="s">
        <v>3901</v>
      </c>
      <c r="C364" s="919" t="s">
        <v>3902</v>
      </c>
      <c r="D364" s="919" t="s">
        <v>4038</v>
      </c>
      <c r="E364" s="920">
        <v>1680</v>
      </c>
      <c r="F364" s="919" t="s">
        <v>4479</v>
      </c>
      <c r="G364" s="919" t="s">
        <v>4480</v>
      </c>
      <c r="H364" s="919" t="s">
        <v>4038</v>
      </c>
      <c r="I364" s="919" t="s">
        <v>3686</v>
      </c>
      <c r="J364" s="919"/>
      <c r="K364" s="920">
        <v>1</v>
      </c>
      <c r="L364" s="920">
        <v>12</v>
      </c>
      <c r="M364" s="920">
        <f t="shared" si="10"/>
        <v>20160</v>
      </c>
      <c r="N364" s="919"/>
      <c r="O364" s="919"/>
      <c r="P364" s="921">
        <f t="shared" si="11"/>
        <v>0</v>
      </c>
    </row>
    <row r="365" spans="1:16" ht="20.100000000000001" customHeight="1" x14ac:dyDescent="0.25">
      <c r="A365" s="918" t="s">
        <v>469</v>
      </c>
      <c r="B365" s="944" t="s">
        <v>3901</v>
      </c>
      <c r="C365" s="919" t="s">
        <v>3902</v>
      </c>
      <c r="D365" s="919" t="s">
        <v>4038</v>
      </c>
      <c r="E365" s="920">
        <v>1680</v>
      </c>
      <c r="F365" s="919" t="s">
        <v>4481</v>
      </c>
      <c r="G365" s="919" t="s">
        <v>4482</v>
      </c>
      <c r="H365" s="919" t="s">
        <v>4038</v>
      </c>
      <c r="I365" s="919" t="s">
        <v>3686</v>
      </c>
      <c r="J365" s="919"/>
      <c r="K365" s="920"/>
      <c r="L365" s="920"/>
      <c r="M365" s="920">
        <f t="shared" si="10"/>
        <v>0</v>
      </c>
      <c r="N365" s="919">
        <v>1</v>
      </c>
      <c r="O365" s="919">
        <v>3</v>
      </c>
      <c r="P365" s="921">
        <f t="shared" si="11"/>
        <v>5040</v>
      </c>
    </row>
    <row r="366" spans="1:16" ht="20.100000000000001" customHeight="1" x14ac:dyDescent="0.25">
      <c r="A366" s="918" t="s">
        <v>469</v>
      </c>
      <c r="B366" s="944" t="s">
        <v>3901</v>
      </c>
      <c r="C366" s="919" t="s">
        <v>3902</v>
      </c>
      <c r="D366" s="919" t="s">
        <v>4483</v>
      </c>
      <c r="E366" s="920">
        <v>1680</v>
      </c>
      <c r="F366" s="919" t="s">
        <v>4484</v>
      </c>
      <c r="G366" s="919" t="s">
        <v>4485</v>
      </c>
      <c r="H366" s="919" t="s">
        <v>4483</v>
      </c>
      <c r="I366" s="919" t="s">
        <v>3686</v>
      </c>
      <c r="J366" s="919"/>
      <c r="K366" s="920"/>
      <c r="L366" s="920"/>
      <c r="M366" s="920">
        <f t="shared" si="10"/>
        <v>0</v>
      </c>
      <c r="N366" s="919">
        <v>1</v>
      </c>
      <c r="O366" s="919">
        <v>3</v>
      </c>
      <c r="P366" s="921">
        <f t="shared" si="11"/>
        <v>5040</v>
      </c>
    </row>
    <row r="367" spans="1:16" ht="20.100000000000001" customHeight="1" x14ac:dyDescent="0.25">
      <c r="A367" s="918" t="s">
        <v>469</v>
      </c>
      <c r="B367" s="944" t="s">
        <v>3901</v>
      </c>
      <c r="C367" s="919" t="s">
        <v>3902</v>
      </c>
      <c r="D367" s="919" t="s">
        <v>4250</v>
      </c>
      <c r="E367" s="920">
        <v>3500</v>
      </c>
      <c r="F367" s="919" t="s">
        <v>4486</v>
      </c>
      <c r="G367" s="919" t="s">
        <v>4487</v>
      </c>
      <c r="H367" s="919" t="s">
        <v>4250</v>
      </c>
      <c r="I367" s="919" t="s">
        <v>3679</v>
      </c>
      <c r="J367" s="919"/>
      <c r="K367" s="920"/>
      <c r="L367" s="920"/>
      <c r="M367" s="920">
        <f t="shared" si="10"/>
        <v>0</v>
      </c>
      <c r="N367" s="919">
        <v>1</v>
      </c>
      <c r="O367" s="919">
        <v>1</v>
      </c>
      <c r="P367" s="921">
        <f t="shared" si="11"/>
        <v>3500</v>
      </c>
    </row>
    <row r="368" spans="1:16" ht="20.100000000000001" customHeight="1" x14ac:dyDescent="0.25">
      <c r="A368" s="918" t="s">
        <v>469</v>
      </c>
      <c r="B368" s="944" t="s">
        <v>3901</v>
      </c>
      <c r="C368" s="919" t="s">
        <v>3902</v>
      </c>
      <c r="D368" s="919" t="s">
        <v>4382</v>
      </c>
      <c r="E368" s="920">
        <v>2500</v>
      </c>
      <c r="F368" s="919" t="s">
        <v>4488</v>
      </c>
      <c r="G368" s="919" t="s">
        <v>4489</v>
      </c>
      <c r="H368" s="919" t="s">
        <v>4382</v>
      </c>
      <c r="I368" s="919" t="s">
        <v>3679</v>
      </c>
      <c r="J368" s="919"/>
      <c r="K368" s="920"/>
      <c r="L368" s="920"/>
      <c r="M368" s="920">
        <f t="shared" si="10"/>
        <v>0</v>
      </c>
      <c r="N368" s="919">
        <v>1</v>
      </c>
      <c r="O368" s="919">
        <v>4</v>
      </c>
      <c r="P368" s="921">
        <f t="shared" si="11"/>
        <v>10000</v>
      </c>
    </row>
    <row r="369" spans="1:16" ht="20.100000000000001" customHeight="1" x14ac:dyDescent="0.25">
      <c r="A369" s="918" t="s">
        <v>469</v>
      </c>
      <c r="B369" s="944" t="s">
        <v>3901</v>
      </c>
      <c r="C369" s="919" t="s">
        <v>3902</v>
      </c>
      <c r="D369" s="919" t="s">
        <v>4382</v>
      </c>
      <c r="E369" s="920">
        <v>2500</v>
      </c>
      <c r="F369" s="919" t="s">
        <v>4490</v>
      </c>
      <c r="G369" s="919" t="s">
        <v>4491</v>
      </c>
      <c r="H369" s="919" t="s">
        <v>4382</v>
      </c>
      <c r="I369" s="919" t="s">
        <v>3679</v>
      </c>
      <c r="J369" s="919"/>
      <c r="K369" s="920"/>
      <c r="L369" s="920"/>
      <c r="M369" s="920">
        <f t="shared" si="10"/>
        <v>0</v>
      </c>
      <c r="N369" s="919">
        <v>1</v>
      </c>
      <c r="O369" s="919">
        <v>1</v>
      </c>
      <c r="P369" s="921">
        <f t="shared" si="11"/>
        <v>2500</v>
      </c>
    </row>
    <row r="370" spans="1:16" ht="20.100000000000001" customHeight="1" x14ac:dyDescent="0.25">
      <c r="A370" s="918" t="s">
        <v>469</v>
      </c>
      <c r="B370" s="944" t="s">
        <v>3901</v>
      </c>
      <c r="C370" s="919" t="s">
        <v>3902</v>
      </c>
      <c r="D370" s="919" t="s">
        <v>4492</v>
      </c>
      <c r="E370" s="920">
        <v>2800</v>
      </c>
      <c r="F370" s="919" t="s">
        <v>4493</v>
      </c>
      <c r="G370" s="919" t="s">
        <v>4494</v>
      </c>
      <c r="H370" s="919" t="s">
        <v>4492</v>
      </c>
      <c r="I370" s="919" t="s">
        <v>3679</v>
      </c>
      <c r="J370" s="919"/>
      <c r="K370" s="920"/>
      <c r="L370" s="920"/>
      <c r="M370" s="920">
        <f t="shared" si="10"/>
        <v>0</v>
      </c>
      <c r="N370" s="919">
        <v>1</v>
      </c>
      <c r="O370" s="919">
        <v>4</v>
      </c>
      <c r="P370" s="921">
        <f t="shared" si="11"/>
        <v>11200</v>
      </c>
    </row>
    <row r="371" spans="1:16" ht="20.100000000000001" customHeight="1" x14ac:dyDescent="0.25">
      <c r="A371" s="918" t="s">
        <v>469</v>
      </c>
      <c r="B371" s="944" t="s">
        <v>3901</v>
      </c>
      <c r="C371" s="919" t="s">
        <v>3902</v>
      </c>
      <c r="D371" s="919" t="s">
        <v>4492</v>
      </c>
      <c r="E371" s="920">
        <v>2800</v>
      </c>
      <c r="F371" s="919" t="s">
        <v>4495</v>
      </c>
      <c r="G371" s="919" t="s">
        <v>4496</v>
      </c>
      <c r="H371" s="919" t="s">
        <v>4492</v>
      </c>
      <c r="I371" s="919" t="s">
        <v>3679</v>
      </c>
      <c r="J371" s="919"/>
      <c r="K371" s="920"/>
      <c r="L371" s="920"/>
      <c r="M371" s="920">
        <f t="shared" si="10"/>
        <v>0</v>
      </c>
      <c r="N371" s="919">
        <v>1</v>
      </c>
      <c r="O371" s="919">
        <v>4</v>
      </c>
      <c r="P371" s="921">
        <f t="shared" si="11"/>
        <v>11200</v>
      </c>
    </row>
    <row r="372" spans="1:16" ht="20.100000000000001" customHeight="1" x14ac:dyDescent="0.25">
      <c r="A372" s="918" t="s">
        <v>469</v>
      </c>
      <c r="B372" s="944" t="s">
        <v>3901</v>
      </c>
      <c r="C372" s="919" t="s">
        <v>3902</v>
      </c>
      <c r="D372" s="919" t="s">
        <v>4492</v>
      </c>
      <c r="E372" s="920">
        <v>2800</v>
      </c>
      <c r="F372" s="919" t="s">
        <v>4497</v>
      </c>
      <c r="G372" s="919" t="s">
        <v>4498</v>
      </c>
      <c r="H372" s="919" t="s">
        <v>4492</v>
      </c>
      <c r="I372" s="919" t="s">
        <v>3679</v>
      </c>
      <c r="J372" s="919"/>
      <c r="K372" s="920"/>
      <c r="L372" s="920"/>
      <c r="M372" s="920">
        <f t="shared" si="10"/>
        <v>0</v>
      </c>
      <c r="N372" s="919">
        <v>1</v>
      </c>
      <c r="O372" s="919">
        <v>4</v>
      </c>
      <c r="P372" s="921">
        <f t="shared" si="11"/>
        <v>11200</v>
      </c>
    </row>
    <row r="373" spans="1:16" ht="20.100000000000001" customHeight="1" x14ac:dyDescent="0.25">
      <c r="A373" s="918" t="s">
        <v>469</v>
      </c>
      <c r="B373" s="944" t="s">
        <v>3901</v>
      </c>
      <c r="C373" s="919" t="s">
        <v>3902</v>
      </c>
      <c r="D373" s="919" t="s">
        <v>4499</v>
      </c>
      <c r="E373" s="920">
        <v>2500</v>
      </c>
      <c r="F373" s="919" t="s">
        <v>4500</v>
      </c>
      <c r="G373" s="919" t="s">
        <v>4501</v>
      </c>
      <c r="H373" s="919" t="s">
        <v>4499</v>
      </c>
      <c r="I373" s="919" t="s">
        <v>3679</v>
      </c>
      <c r="J373" s="919"/>
      <c r="K373" s="920"/>
      <c r="L373" s="920"/>
      <c r="M373" s="920">
        <f t="shared" si="10"/>
        <v>0</v>
      </c>
      <c r="N373" s="919">
        <v>1</v>
      </c>
      <c r="O373" s="919">
        <v>4</v>
      </c>
      <c r="P373" s="921">
        <f t="shared" si="11"/>
        <v>10000</v>
      </c>
    </row>
    <row r="374" spans="1:16" ht="20.100000000000001" customHeight="1" x14ac:dyDescent="0.25">
      <c r="A374" s="918" t="s">
        <v>469</v>
      </c>
      <c r="B374" s="944" t="s">
        <v>3901</v>
      </c>
      <c r="C374" s="919" t="s">
        <v>3902</v>
      </c>
      <c r="D374" s="919" t="s">
        <v>4502</v>
      </c>
      <c r="E374" s="920">
        <v>1150</v>
      </c>
      <c r="F374" s="919" t="s">
        <v>4503</v>
      </c>
      <c r="G374" s="919" t="s">
        <v>4504</v>
      </c>
      <c r="H374" s="919" t="s">
        <v>4502</v>
      </c>
      <c r="I374" s="919" t="s">
        <v>3686</v>
      </c>
      <c r="J374" s="919"/>
      <c r="K374" s="920"/>
      <c r="L374" s="920"/>
      <c r="M374" s="920">
        <f t="shared" si="10"/>
        <v>0</v>
      </c>
      <c r="N374" s="919">
        <v>1</v>
      </c>
      <c r="O374" s="919">
        <v>4</v>
      </c>
      <c r="P374" s="921">
        <f t="shared" si="11"/>
        <v>4600</v>
      </c>
    </row>
    <row r="375" spans="1:16" ht="20.100000000000001" customHeight="1" x14ac:dyDescent="0.25">
      <c r="A375" s="918" t="s">
        <v>469</v>
      </c>
      <c r="B375" s="944" t="s">
        <v>3901</v>
      </c>
      <c r="C375" s="919" t="s">
        <v>3902</v>
      </c>
      <c r="D375" s="919" t="s">
        <v>4502</v>
      </c>
      <c r="E375" s="920">
        <v>1150</v>
      </c>
      <c r="F375" s="919" t="s">
        <v>4505</v>
      </c>
      <c r="G375" s="919" t="s">
        <v>4506</v>
      </c>
      <c r="H375" s="919" t="s">
        <v>4502</v>
      </c>
      <c r="I375" s="919" t="s">
        <v>3686</v>
      </c>
      <c r="J375" s="919"/>
      <c r="K375" s="920"/>
      <c r="L375" s="920"/>
      <c r="M375" s="920">
        <f t="shared" si="10"/>
        <v>0</v>
      </c>
      <c r="N375" s="919">
        <v>1</v>
      </c>
      <c r="O375" s="919">
        <v>5</v>
      </c>
      <c r="P375" s="921">
        <f t="shared" si="11"/>
        <v>5750</v>
      </c>
    </row>
    <row r="376" spans="1:16" ht="20.100000000000001" customHeight="1" x14ac:dyDescent="0.25">
      <c r="A376" s="918" t="s">
        <v>469</v>
      </c>
      <c r="B376" s="944" t="s">
        <v>3901</v>
      </c>
      <c r="C376" s="919" t="s">
        <v>3902</v>
      </c>
      <c r="D376" s="919" t="s">
        <v>4502</v>
      </c>
      <c r="E376" s="920">
        <v>1150</v>
      </c>
      <c r="F376" s="919" t="s">
        <v>4507</v>
      </c>
      <c r="G376" s="919" t="s">
        <v>4508</v>
      </c>
      <c r="H376" s="919" t="s">
        <v>4502</v>
      </c>
      <c r="I376" s="919" t="s">
        <v>3686</v>
      </c>
      <c r="J376" s="919"/>
      <c r="K376" s="920"/>
      <c r="L376" s="920"/>
      <c r="M376" s="920">
        <f t="shared" si="10"/>
        <v>0</v>
      </c>
      <c r="N376" s="919">
        <v>1</v>
      </c>
      <c r="O376" s="919">
        <v>5</v>
      </c>
      <c r="P376" s="921">
        <f t="shared" si="11"/>
        <v>5750</v>
      </c>
    </row>
    <row r="377" spans="1:16" ht="20.100000000000001" customHeight="1" x14ac:dyDescent="0.25">
      <c r="A377" s="918" t="s">
        <v>469</v>
      </c>
      <c r="B377" s="944" t="s">
        <v>3901</v>
      </c>
      <c r="C377" s="919" t="s">
        <v>3902</v>
      </c>
      <c r="D377" s="919" t="s">
        <v>4502</v>
      </c>
      <c r="E377" s="920">
        <v>1150</v>
      </c>
      <c r="F377" s="919" t="s">
        <v>4509</v>
      </c>
      <c r="G377" s="919" t="s">
        <v>4510</v>
      </c>
      <c r="H377" s="919" t="s">
        <v>4502</v>
      </c>
      <c r="I377" s="919" t="s">
        <v>3686</v>
      </c>
      <c r="J377" s="919"/>
      <c r="K377" s="920"/>
      <c r="L377" s="920"/>
      <c r="M377" s="920">
        <f t="shared" si="10"/>
        <v>0</v>
      </c>
      <c r="N377" s="919">
        <v>1</v>
      </c>
      <c r="O377" s="919">
        <v>5</v>
      </c>
      <c r="P377" s="921">
        <f t="shared" si="11"/>
        <v>5750</v>
      </c>
    </row>
    <row r="378" spans="1:16" ht="20.100000000000001" customHeight="1" x14ac:dyDescent="0.25">
      <c r="A378" s="918" t="s">
        <v>469</v>
      </c>
      <c r="B378" s="944" t="s">
        <v>3901</v>
      </c>
      <c r="C378" s="919" t="s">
        <v>3902</v>
      </c>
      <c r="D378" s="919" t="s">
        <v>4502</v>
      </c>
      <c r="E378" s="920">
        <v>1150</v>
      </c>
      <c r="F378" s="919" t="s">
        <v>4511</v>
      </c>
      <c r="G378" s="919" t="s">
        <v>4512</v>
      </c>
      <c r="H378" s="919" t="s">
        <v>4502</v>
      </c>
      <c r="I378" s="919" t="s">
        <v>3686</v>
      </c>
      <c r="J378" s="919"/>
      <c r="K378" s="920"/>
      <c r="L378" s="920"/>
      <c r="M378" s="920">
        <f t="shared" si="10"/>
        <v>0</v>
      </c>
      <c r="N378" s="919">
        <v>1</v>
      </c>
      <c r="O378" s="919">
        <v>5</v>
      </c>
      <c r="P378" s="921">
        <f t="shared" si="11"/>
        <v>5750</v>
      </c>
    </row>
    <row r="379" spans="1:16" ht="20.100000000000001" customHeight="1" x14ac:dyDescent="0.25">
      <c r="A379" s="918" t="s">
        <v>469</v>
      </c>
      <c r="B379" s="944" t="s">
        <v>3901</v>
      </c>
      <c r="C379" s="919" t="s">
        <v>3902</v>
      </c>
      <c r="D379" s="919" t="s">
        <v>4502</v>
      </c>
      <c r="E379" s="920">
        <v>1150</v>
      </c>
      <c r="F379" s="919" t="s">
        <v>4513</v>
      </c>
      <c r="G379" s="919" t="s">
        <v>4514</v>
      </c>
      <c r="H379" s="919" t="s">
        <v>4502</v>
      </c>
      <c r="I379" s="919" t="s">
        <v>3686</v>
      </c>
      <c r="J379" s="919"/>
      <c r="K379" s="920"/>
      <c r="L379" s="920"/>
      <c r="M379" s="920">
        <f t="shared" si="10"/>
        <v>0</v>
      </c>
      <c r="N379" s="919">
        <v>1</v>
      </c>
      <c r="O379" s="919">
        <v>5</v>
      </c>
      <c r="P379" s="921">
        <f t="shared" si="11"/>
        <v>5750</v>
      </c>
    </row>
    <row r="380" spans="1:16" ht="20.100000000000001" customHeight="1" x14ac:dyDescent="0.25">
      <c r="A380" s="918" t="s">
        <v>469</v>
      </c>
      <c r="B380" s="944" t="s">
        <v>3901</v>
      </c>
      <c r="C380" s="919" t="s">
        <v>3902</v>
      </c>
      <c r="D380" s="919" t="s">
        <v>4502</v>
      </c>
      <c r="E380" s="920">
        <v>1150</v>
      </c>
      <c r="F380" s="919" t="s">
        <v>4515</v>
      </c>
      <c r="G380" s="919" t="s">
        <v>4516</v>
      </c>
      <c r="H380" s="919" t="s">
        <v>4502</v>
      </c>
      <c r="I380" s="919" t="s">
        <v>3686</v>
      </c>
      <c r="J380" s="919"/>
      <c r="K380" s="920"/>
      <c r="L380" s="920"/>
      <c r="M380" s="920">
        <f t="shared" si="10"/>
        <v>0</v>
      </c>
      <c r="N380" s="919">
        <v>1</v>
      </c>
      <c r="O380" s="919">
        <v>5</v>
      </c>
      <c r="P380" s="921">
        <f t="shared" si="11"/>
        <v>5750</v>
      </c>
    </row>
    <row r="381" spans="1:16" ht="20.100000000000001" customHeight="1" x14ac:dyDescent="0.25">
      <c r="A381" s="918" t="s">
        <v>469</v>
      </c>
      <c r="B381" s="944" t="s">
        <v>3901</v>
      </c>
      <c r="C381" s="919" t="s">
        <v>3902</v>
      </c>
      <c r="D381" s="919" t="s">
        <v>4502</v>
      </c>
      <c r="E381" s="920">
        <v>1150</v>
      </c>
      <c r="F381" s="919" t="s">
        <v>4517</v>
      </c>
      <c r="G381" s="919" t="s">
        <v>4518</v>
      </c>
      <c r="H381" s="919" t="s">
        <v>4502</v>
      </c>
      <c r="I381" s="919" t="s">
        <v>3686</v>
      </c>
      <c r="J381" s="919"/>
      <c r="K381" s="920"/>
      <c r="L381" s="920"/>
      <c r="M381" s="920">
        <f t="shared" si="10"/>
        <v>0</v>
      </c>
      <c r="N381" s="919">
        <v>1</v>
      </c>
      <c r="O381" s="919">
        <v>5</v>
      </c>
      <c r="P381" s="921">
        <f t="shared" si="11"/>
        <v>5750</v>
      </c>
    </row>
    <row r="382" spans="1:16" ht="20.100000000000001" customHeight="1" x14ac:dyDescent="0.25">
      <c r="A382" s="918" t="s">
        <v>469</v>
      </c>
      <c r="B382" s="944" t="s">
        <v>3901</v>
      </c>
      <c r="C382" s="919" t="s">
        <v>3902</v>
      </c>
      <c r="D382" s="919" t="s">
        <v>4502</v>
      </c>
      <c r="E382" s="920">
        <v>1150</v>
      </c>
      <c r="F382" s="919" t="s">
        <v>4519</v>
      </c>
      <c r="G382" s="919" t="s">
        <v>4520</v>
      </c>
      <c r="H382" s="919" t="s">
        <v>4502</v>
      </c>
      <c r="I382" s="919" t="s">
        <v>3686</v>
      </c>
      <c r="J382" s="919"/>
      <c r="K382" s="920"/>
      <c r="L382" s="920"/>
      <c r="M382" s="920">
        <f t="shared" si="10"/>
        <v>0</v>
      </c>
      <c r="N382" s="919">
        <v>1</v>
      </c>
      <c r="O382" s="919">
        <v>5</v>
      </c>
      <c r="P382" s="921">
        <f t="shared" si="11"/>
        <v>5750</v>
      </c>
    </row>
    <row r="383" spans="1:16" ht="20.100000000000001" customHeight="1" x14ac:dyDescent="0.25">
      <c r="A383" s="918" t="s">
        <v>469</v>
      </c>
      <c r="B383" s="944" t="s">
        <v>3901</v>
      </c>
      <c r="C383" s="919" t="s">
        <v>3902</v>
      </c>
      <c r="D383" s="919" t="s">
        <v>4502</v>
      </c>
      <c r="E383" s="920">
        <v>1150</v>
      </c>
      <c r="F383" s="919" t="s">
        <v>4521</v>
      </c>
      <c r="G383" s="919" t="s">
        <v>4522</v>
      </c>
      <c r="H383" s="919" t="s">
        <v>4502</v>
      </c>
      <c r="I383" s="919" t="s">
        <v>3686</v>
      </c>
      <c r="J383" s="919"/>
      <c r="K383" s="920"/>
      <c r="L383" s="920"/>
      <c r="M383" s="920">
        <f t="shared" si="10"/>
        <v>0</v>
      </c>
      <c r="N383" s="919">
        <v>1</v>
      </c>
      <c r="O383" s="919">
        <v>5</v>
      </c>
      <c r="P383" s="921">
        <f t="shared" si="11"/>
        <v>5750</v>
      </c>
    </row>
    <row r="384" spans="1:16" ht="20.100000000000001" customHeight="1" x14ac:dyDescent="0.25">
      <c r="A384" s="918" t="s">
        <v>469</v>
      </c>
      <c r="B384" s="944" t="s">
        <v>3901</v>
      </c>
      <c r="C384" s="919" t="s">
        <v>3902</v>
      </c>
      <c r="D384" s="919" t="s">
        <v>4502</v>
      </c>
      <c r="E384" s="920">
        <v>1150</v>
      </c>
      <c r="F384" s="919" t="s">
        <v>4523</v>
      </c>
      <c r="G384" s="919" t="s">
        <v>4524</v>
      </c>
      <c r="H384" s="919" t="s">
        <v>4502</v>
      </c>
      <c r="I384" s="919" t="s">
        <v>3686</v>
      </c>
      <c r="J384" s="919"/>
      <c r="K384" s="920"/>
      <c r="L384" s="920"/>
      <c r="M384" s="920">
        <f t="shared" si="10"/>
        <v>0</v>
      </c>
      <c r="N384" s="919">
        <v>1</v>
      </c>
      <c r="O384" s="919">
        <v>5</v>
      </c>
      <c r="P384" s="921">
        <f t="shared" si="11"/>
        <v>5750</v>
      </c>
    </row>
    <row r="385" spans="1:16" ht="20.100000000000001" customHeight="1" x14ac:dyDescent="0.25">
      <c r="A385" s="918" t="s">
        <v>469</v>
      </c>
      <c r="B385" s="944" t="s">
        <v>3901</v>
      </c>
      <c r="C385" s="919" t="s">
        <v>3902</v>
      </c>
      <c r="D385" s="919" t="s">
        <v>4502</v>
      </c>
      <c r="E385" s="920">
        <v>1150</v>
      </c>
      <c r="F385" s="919" t="s">
        <v>4525</v>
      </c>
      <c r="G385" s="919" t="s">
        <v>4526</v>
      </c>
      <c r="H385" s="919" t="s">
        <v>4502</v>
      </c>
      <c r="I385" s="919" t="s">
        <v>3686</v>
      </c>
      <c r="J385" s="919"/>
      <c r="K385" s="920"/>
      <c r="L385" s="920"/>
      <c r="M385" s="920">
        <f t="shared" si="10"/>
        <v>0</v>
      </c>
      <c r="N385" s="919">
        <v>1</v>
      </c>
      <c r="O385" s="919">
        <v>5</v>
      </c>
      <c r="P385" s="921">
        <f t="shared" si="11"/>
        <v>5750</v>
      </c>
    </row>
    <row r="386" spans="1:16" ht="20.100000000000001" customHeight="1" x14ac:dyDescent="0.25">
      <c r="A386" s="918" t="s">
        <v>469</v>
      </c>
      <c r="B386" s="944" t="s">
        <v>3901</v>
      </c>
      <c r="C386" s="919" t="s">
        <v>3902</v>
      </c>
      <c r="D386" s="919" t="s">
        <v>4502</v>
      </c>
      <c r="E386" s="920">
        <v>1150</v>
      </c>
      <c r="F386" s="919" t="s">
        <v>4527</v>
      </c>
      <c r="G386" s="919" t="s">
        <v>4528</v>
      </c>
      <c r="H386" s="919" t="s">
        <v>4502</v>
      </c>
      <c r="I386" s="919" t="s">
        <v>3686</v>
      </c>
      <c r="J386" s="919"/>
      <c r="K386" s="920"/>
      <c r="L386" s="920"/>
      <c r="M386" s="920">
        <f t="shared" si="10"/>
        <v>0</v>
      </c>
      <c r="N386" s="919">
        <v>1</v>
      </c>
      <c r="O386" s="919">
        <v>5</v>
      </c>
      <c r="P386" s="921">
        <f t="shared" si="11"/>
        <v>5750</v>
      </c>
    </row>
    <row r="387" spans="1:16" ht="20.100000000000001" customHeight="1" x14ac:dyDescent="0.25">
      <c r="A387" s="918" t="s">
        <v>469</v>
      </c>
      <c r="B387" s="944" t="s">
        <v>3901</v>
      </c>
      <c r="C387" s="919" t="s">
        <v>3902</v>
      </c>
      <c r="D387" s="919" t="s">
        <v>4502</v>
      </c>
      <c r="E387" s="920">
        <v>1150</v>
      </c>
      <c r="F387" s="919" t="s">
        <v>4529</v>
      </c>
      <c r="G387" s="919" t="s">
        <v>4530</v>
      </c>
      <c r="H387" s="919" t="s">
        <v>4502</v>
      </c>
      <c r="I387" s="919" t="s">
        <v>3686</v>
      </c>
      <c r="J387" s="919"/>
      <c r="K387" s="920"/>
      <c r="L387" s="920"/>
      <c r="M387" s="920">
        <f t="shared" si="10"/>
        <v>0</v>
      </c>
      <c r="N387" s="919">
        <v>1</v>
      </c>
      <c r="O387" s="919">
        <v>5</v>
      </c>
      <c r="P387" s="921">
        <f t="shared" si="11"/>
        <v>5750</v>
      </c>
    </row>
    <row r="388" spans="1:16" ht="20.100000000000001" customHeight="1" x14ac:dyDescent="0.25">
      <c r="A388" s="918" t="s">
        <v>469</v>
      </c>
      <c r="B388" s="944" t="s">
        <v>3901</v>
      </c>
      <c r="C388" s="919" t="s">
        <v>3902</v>
      </c>
      <c r="D388" s="919" t="s">
        <v>4531</v>
      </c>
      <c r="E388" s="920">
        <v>1800</v>
      </c>
      <c r="F388" s="919" t="s">
        <v>4532</v>
      </c>
      <c r="G388" s="919" t="s">
        <v>4533</v>
      </c>
      <c r="H388" s="919" t="s">
        <v>4531</v>
      </c>
      <c r="I388" s="919" t="s">
        <v>3679</v>
      </c>
      <c r="J388" s="919"/>
      <c r="K388" s="920"/>
      <c r="L388" s="920"/>
      <c r="M388" s="920">
        <f t="shared" si="10"/>
        <v>0</v>
      </c>
      <c r="N388" s="919">
        <v>1</v>
      </c>
      <c r="O388" s="919">
        <v>4</v>
      </c>
      <c r="P388" s="921">
        <f t="shared" si="11"/>
        <v>7200</v>
      </c>
    </row>
    <row r="389" spans="1:16" ht="20.100000000000001" customHeight="1" x14ac:dyDescent="0.25">
      <c r="A389" s="918" t="s">
        <v>469</v>
      </c>
      <c r="B389" s="944" t="s">
        <v>3901</v>
      </c>
      <c r="C389" s="919" t="s">
        <v>3902</v>
      </c>
      <c r="D389" s="919" t="s">
        <v>4531</v>
      </c>
      <c r="E389" s="920">
        <v>1800</v>
      </c>
      <c r="F389" s="919" t="s">
        <v>4534</v>
      </c>
      <c r="G389" s="919" t="s">
        <v>4535</v>
      </c>
      <c r="H389" s="919" t="s">
        <v>4531</v>
      </c>
      <c r="I389" s="919" t="s">
        <v>3679</v>
      </c>
      <c r="J389" s="919"/>
      <c r="K389" s="920"/>
      <c r="L389" s="920"/>
      <c r="M389" s="920">
        <f t="shared" si="10"/>
        <v>0</v>
      </c>
      <c r="N389" s="919">
        <v>1</v>
      </c>
      <c r="O389" s="919">
        <v>4</v>
      </c>
      <c r="P389" s="921">
        <f t="shared" si="11"/>
        <v>7200</v>
      </c>
    </row>
    <row r="390" spans="1:16" ht="20.100000000000001" customHeight="1" x14ac:dyDescent="0.25">
      <c r="A390" s="918" t="s">
        <v>469</v>
      </c>
      <c r="B390" s="944" t="s">
        <v>3901</v>
      </c>
      <c r="C390" s="919" t="s">
        <v>3902</v>
      </c>
      <c r="D390" s="919" t="s">
        <v>4531</v>
      </c>
      <c r="E390" s="920">
        <v>1800</v>
      </c>
      <c r="F390" s="919" t="s">
        <v>4536</v>
      </c>
      <c r="G390" s="919" t="s">
        <v>4537</v>
      </c>
      <c r="H390" s="919" t="s">
        <v>4531</v>
      </c>
      <c r="I390" s="919" t="s">
        <v>3679</v>
      </c>
      <c r="J390" s="919"/>
      <c r="K390" s="920"/>
      <c r="L390" s="920"/>
      <c r="M390" s="920">
        <f t="shared" ref="M390:M453" si="12">E390*L390</f>
        <v>0</v>
      </c>
      <c r="N390" s="919">
        <v>1</v>
      </c>
      <c r="O390" s="919">
        <v>4</v>
      </c>
      <c r="P390" s="921">
        <f t="shared" ref="P390:P453" si="13">E390*O390</f>
        <v>7200</v>
      </c>
    </row>
    <row r="391" spans="1:16" ht="20.100000000000001" customHeight="1" x14ac:dyDescent="0.25">
      <c r="A391" s="918" t="s">
        <v>469</v>
      </c>
      <c r="B391" s="944" t="s">
        <v>3901</v>
      </c>
      <c r="C391" s="919" t="s">
        <v>3902</v>
      </c>
      <c r="D391" s="919" t="s">
        <v>4531</v>
      </c>
      <c r="E391" s="920">
        <v>1800</v>
      </c>
      <c r="F391" s="919" t="s">
        <v>4538</v>
      </c>
      <c r="G391" s="919" t="s">
        <v>4539</v>
      </c>
      <c r="H391" s="919" t="s">
        <v>4531</v>
      </c>
      <c r="I391" s="919" t="s">
        <v>3679</v>
      </c>
      <c r="J391" s="919"/>
      <c r="K391" s="920"/>
      <c r="L391" s="920"/>
      <c r="M391" s="920">
        <f t="shared" si="12"/>
        <v>0</v>
      </c>
      <c r="N391" s="919">
        <v>1</v>
      </c>
      <c r="O391" s="919">
        <v>4</v>
      </c>
      <c r="P391" s="921">
        <f t="shared" si="13"/>
        <v>7200</v>
      </c>
    </row>
    <row r="392" spans="1:16" ht="20.100000000000001" customHeight="1" x14ac:dyDescent="0.25">
      <c r="A392" s="918" t="s">
        <v>469</v>
      </c>
      <c r="B392" s="944" t="s">
        <v>3901</v>
      </c>
      <c r="C392" s="919" t="s">
        <v>3902</v>
      </c>
      <c r="D392" s="919" t="s">
        <v>4531</v>
      </c>
      <c r="E392" s="920">
        <v>1800</v>
      </c>
      <c r="F392" s="919" t="s">
        <v>4540</v>
      </c>
      <c r="G392" s="919" t="s">
        <v>4541</v>
      </c>
      <c r="H392" s="919" t="s">
        <v>4531</v>
      </c>
      <c r="I392" s="919" t="s">
        <v>3679</v>
      </c>
      <c r="J392" s="919"/>
      <c r="K392" s="920"/>
      <c r="L392" s="920"/>
      <c r="M392" s="920">
        <f t="shared" si="12"/>
        <v>0</v>
      </c>
      <c r="N392" s="919">
        <v>1</v>
      </c>
      <c r="O392" s="919">
        <v>4</v>
      </c>
      <c r="P392" s="921">
        <f t="shared" si="13"/>
        <v>7200</v>
      </c>
    </row>
    <row r="393" spans="1:16" ht="20.100000000000001" customHeight="1" x14ac:dyDescent="0.25">
      <c r="A393" s="918" t="s">
        <v>469</v>
      </c>
      <c r="B393" s="944" t="s">
        <v>3901</v>
      </c>
      <c r="C393" s="919" t="s">
        <v>3902</v>
      </c>
      <c r="D393" s="919" t="s">
        <v>4531</v>
      </c>
      <c r="E393" s="920">
        <v>1800</v>
      </c>
      <c r="F393" s="919" t="s">
        <v>4542</v>
      </c>
      <c r="G393" s="919" t="s">
        <v>4543</v>
      </c>
      <c r="H393" s="919" t="s">
        <v>4531</v>
      </c>
      <c r="I393" s="919" t="s">
        <v>3679</v>
      </c>
      <c r="J393" s="919"/>
      <c r="K393" s="920"/>
      <c r="L393" s="920"/>
      <c r="M393" s="920">
        <f t="shared" si="12"/>
        <v>0</v>
      </c>
      <c r="N393" s="919">
        <v>1</v>
      </c>
      <c r="O393" s="919">
        <v>4</v>
      </c>
      <c r="P393" s="921">
        <f t="shared" si="13"/>
        <v>7200</v>
      </c>
    </row>
    <row r="394" spans="1:16" ht="20.100000000000001" customHeight="1" x14ac:dyDescent="0.25">
      <c r="A394" s="918" t="s">
        <v>469</v>
      </c>
      <c r="B394" s="944" t="s">
        <v>3901</v>
      </c>
      <c r="C394" s="919" t="s">
        <v>3902</v>
      </c>
      <c r="D394" s="919" t="s">
        <v>4531</v>
      </c>
      <c r="E394" s="920">
        <v>1800</v>
      </c>
      <c r="F394" s="919" t="s">
        <v>4544</v>
      </c>
      <c r="G394" s="919" t="s">
        <v>4545</v>
      </c>
      <c r="H394" s="919" t="s">
        <v>4531</v>
      </c>
      <c r="I394" s="919" t="s">
        <v>3679</v>
      </c>
      <c r="J394" s="919"/>
      <c r="K394" s="920"/>
      <c r="L394" s="920"/>
      <c r="M394" s="920">
        <f t="shared" si="12"/>
        <v>0</v>
      </c>
      <c r="N394" s="919">
        <v>1</v>
      </c>
      <c r="O394" s="919">
        <v>4</v>
      </c>
      <c r="P394" s="921">
        <f t="shared" si="13"/>
        <v>7200</v>
      </c>
    </row>
    <row r="395" spans="1:16" ht="20.100000000000001" customHeight="1" x14ac:dyDescent="0.25">
      <c r="A395" s="918" t="s">
        <v>469</v>
      </c>
      <c r="B395" s="944" t="s">
        <v>3901</v>
      </c>
      <c r="C395" s="919" t="s">
        <v>3902</v>
      </c>
      <c r="D395" s="919" t="s">
        <v>4531</v>
      </c>
      <c r="E395" s="920">
        <v>1800</v>
      </c>
      <c r="F395" s="919" t="s">
        <v>4546</v>
      </c>
      <c r="G395" s="919" t="s">
        <v>4547</v>
      </c>
      <c r="H395" s="919" t="s">
        <v>4531</v>
      </c>
      <c r="I395" s="919" t="s">
        <v>3679</v>
      </c>
      <c r="J395" s="919"/>
      <c r="K395" s="920"/>
      <c r="L395" s="920"/>
      <c r="M395" s="920">
        <f t="shared" si="12"/>
        <v>0</v>
      </c>
      <c r="N395" s="919">
        <v>1</v>
      </c>
      <c r="O395" s="919">
        <v>4</v>
      </c>
      <c r="P395" s="921">
        <f t="shared" si="13"/>
        <v>7200</v>
      </c>
    </row>
    <row r="396" spans="1:16" ht="20.100000000000001" customHeight="1" x14ac:dyDescent="0.25">
      <c r="A396" s="918" t="s">
        <v>469</v>
      </c>
      <c r="B396" s="944" t="s">
        <v>3901</v>
      </c>
      <c r="C396" s="919" t="s">
        <v>3902</v>
      </c>
      <c r="D396" s="919" t="s">
        <v>4531</v>
      </c>
      <c r="E396" s="920">
        <v>1800</v>
      </c>
      <c r="F396" s="919" t="s">
        <v>4548</v>
      </c>
      <c r="G396" s="919" t="s">
        <v>4549</v>
      </c>
      <c r="H396" s="919" t="s">
        <v>4531</v>
      </c>
      <c r="I396" s="919" t="s">
        <v>3679</v>
      </c>
      <c r="J396" s="919"/>
      <c r="K396" s="920"/>
      <c r="L396" s="920"/>
      <c r="M396" s="920">
        <f t="shared" si="12"/>
        <v>0</v>
      </c>
      <c r="N396" s="919">
        <v>1</v>
      </c>
      <c r="O396" s="919">
        <v>4</v>
      </c>
      <c r="P396" s="921">
        <f t="shared" si="13"/>
        <v>7200</v>
      </c>
    </row>
    <row r="397" spans="1:16" ht="20.100000000000001" customHeight="1" x14ac:dyDescent="0.25">
      <c r="A397" s="918" t="s">
        <v>469</v>
      </c>
      <c r="B397" s="944" t="s">
        <v>3901</v>
      </c>
      <c r="C397" s="919" t="s">
        <v>3902</v>
      </c>
      <c r="D397" s="919" t="s">
        <v>4531</v>
      </c>
      <c r="E397" s="920">
        <v>1800</v>
      </c>
      <c r="F397" s="919" t="s">
        <v>4550</v>
      </c>
      <c r="G397" s="919" t="s">
        <v>4551</v>
      </c>
      <c r="H397" s="919" t="s">
        <v>4531</v>
      </c>
      <c r="I397" s="919" t="s">
        <v>3679</v>
      </c>
      <c r="J397" s="919"/>
      <c r="K397" s="920"/>
      <c r="L397" s="920"/>
      <c r="M397" s="920">
        <f t="shared" si="12"/>
        <v>0</v>
      </c>
      <c r="N397" s="919">
        <v>1</v>
      </c>
      <c r="O397" s="919">
        <v>4</v>
      </c>
      <c r="P397" s="921">
        <f t="shared" si="13"/>
        <v>7200</v>
      </c>
    </row>
    <row r="398" spans="1:16" ht="20.100000000000001" customHeight="1" x14ac:dyDescent="0.25">
      <c r="A398" s="918" t="s">
        <v>469</v>
      </c>
      <c r="B398" s="944" t="s">
        <v>3901</v>
      </c>
      <c r="C398" s="919" t="s">
        <v>3902</v>
      </c>
      <c r="D398" s="919" t="s">
        <v>4531</v>
      </c>
      <c r="E398" s="920">
        <v>1800</v>
      </c>
      <c r="F398" s="919" t="s">
        <v>4552</v>
      </c>
      <c r="G398" s="919" t="s">
        <v>4553</v>
      </c>
      <c r="H398" s="919" t="s">
        <v>4531</v>
      </c>
      <c r="I398" s="919" t="s">
        <v>3679</v>
      </c>
      <c r="J398" s="919"/>
      <c r="K398" s="920"/>
      <c r="L398" s="920"/>
      <c r="M398" s="920">
        <f t="shared" si="12"/>
        <v>0</v>
      </c>
      <c r="N398" s="919">
        <v>1</v>
      </c>
      <c r="O398" s="919">
        <v>4</v>
      </c>
      <c r="P398" s="921">
        <f t="shared" si="13"/>
        <v>7200</v>
      </c>
    </row>
    <row r="399" spans="1:16" ht="20.100000000000001" customHeight="1" x14ac:dyDescent="0.25">
      <c r="A399" s="918" t="s">
        <v>469</v>
      </c>
      <c r="B399" s="944" t="s">
        <v>3901</v>
      </c>
      <c r="C399" s="919" t="s">
        <v>3902</v>
      </c>
      <c r="D399" s="919" t="s">
        <v>4531</v>
      </c>
      <c r="E399" s="920">
        <v>1800</v>
      </c>
      <c r="F399" s="919" t="s">
        <v>4554</v>
      </c>
      <c r="G399" s="919" t="s">
        <v>4555</v>
      </c>
      <c r="H399" s="919" t="s">
        <v>4531</v>
      </c>
      <c r="I399" s="919" t="s">
        <v>3679</v>
      </c>
      <c r="J399" s="919"/>
      <c r="K399" s="920"/>
      <c r="L399" s="920"/>
      <c r="M399" s="920">
        <f t="shared" si="12"/>
        <v>0</v>
      </c>
      <c r="N399" s="919">
        <v>1</v>
      </c>
      <c r="O399" s="919">
        <v>4</v>
      </c>
      <c r="P399" s="921">
        <f t="shared" si="13"/>
        <v>7200</v>
      </c>
    </row>
    <row r="400" spans="1:16" ht="20.100000000000001" customHeight="1" x14ac:dyDescent="0.25">
      <c r="A400" s="918" t="s">
        <v>469</v>
      </c>
      <c r="B400" s="944" t="s">
        <v>3901</v>
      </c>
      <c r="C400" s="919" t="s">
        <v>3902</v>
      </c>
      <c r="D400" s="919" t="s">
        <v>4531</v>
      </c>
      <c r="E400" s="920">
        <v>1800</v>
      </c>
      <c r="F400" s="919" t="s">
        <v>4556</v>
      </c>
      <c r="G400" s="919" t="s">
        <v>4557</v>
      </c>
      <c r="H400" s="919" t="s">
        <v>4531</v>
      </c>
      <c r="I400" s="919" t="s">
        <v>3679</v>
      </c>
      <c r="J400" s="919"/>
      <c r="K400" s="920"/>
      <c r="L400" s="920"/>
      <c r="M400" s="920">
        <f t="shared" si="12"/>
        <v>0</v>
      </c>
      <c r="N400" s="919">
        <v>1</v>
      </c>
      <c r="O400" s="919">
        <v>4</v>
      </c>
      <c r="P400" s="921">
        <f t="shared" si="13"/>
        <v>7200</v>
      </c>
    </row>
    <row r="401" spans="1:16" ht="20.100000000000001" customHeight="1" x14ac:dyDescent="0.25">
      <c r="A401" s="918" t="s">
        <v>469</v>
      </c>
      <c r="B401" s="944" t="s">
        <v>3901</v>
      </c>
      <c r="C401" s="919" t="s">
        <v>3902</v>
      </c>
      <c r="D401" s="919" t="s">
        <v>4531</v>
      </c>
      <c r="E401" s="920">
        <v>1800</v>
      </c>
      <c r="F401" s="919" t="s">
        <v>4558</v>
      </c>
      <c r="G401" s="919" t="s">
        <v>4559</v>
      </c>
      <c r="H401" s="919" t="s">
        <v>4531</v>
      </c>
      <c r="I401" s="919" t="s">
        <v>3679</v>
      </c>
      <c r="J401" s="919"/>
      <c r="K401" s="920"/>
      <c r="L401" s="920"/>
      <c r="M401" s="920">
        <f t="shared" si="12"/>
        <v>0</v>
      </c>
      <c r="N401" s="919">
        <v>1</v>
      </c>
      <c r="O401" s="919">
        <v>4</v>
      </c>
      <c r="P401" s="921">
        <f t="shared" si="13"/>
        <v>7200</v>
      </c>
    </row>
    <row r="402" spans="1:16" ht="20.100000000000001" customHeight="1" x14ac:dyDescent="0.25">
      <c r="A402" s="918" t="s">
        <v>469</v>
      </c>
      <c r="B402" s="944" t="s">
        <v>3901</v>
      </c>
      <c r="C402" s="919" t="s">
        <v>3902</v>
      </c>
      <c r="D402" s="919" t="s">
        <v>4531</v>
      </c>
      <c r="E402" s="920">
        <v>1800</v>
      </c>
      <c r="F402" s="919" t="s">
        <v>4560</v>
      </c>
      <c r="G402" s="919" t="s">
        <v>4561</v>
      </c>
      <c r="H402" s="919" t="s">
        <v>4531</v>
      </c>
      <c r="I402" s="919" t="s">
        <v>3679</v>
      </c>
      <c r="J402" s="919"/>
      <c r="K402" s="920"/>
      <c r="L402" s="920"/>
      <c r="M402" s="920">
        <f t="shared" si="12"/>
        <v>0</v>
      </c>
      <c r="N402" s="919">
        <v>1</v>
      </c>
      <c r="O402" s="919">
        <v>4</v>
      </c>
      <c r="P402" s="921">
        <f t="shared" si="13"/>
        <v>7200</v>
      </c>
    </row>
    <row r="403" spans="1:16" ht="20.100000000000001" customHeight="1" x14ac:dyDescent="0.25">
      <c r="A403" s="918" t="s">
        <v>469</v>
      </c>
      <c r="B403" s="944" t="s">
        <v>3901</v>
      </c>
      <c r="C403" s="919" t="s">
        <v>3902</v>
      </c>
      <c r="D403" s="919" t="s">
        <v>4531</v>
      </c>
      <c r="E403" s="920">
        <v>1800</v>
      </c>
      <c r="F403" s="919" t="s">
        <v>4562</v>
      </c>
      <c r="G403" s="919" t="s">
        <v>4563</v>
      </c>
      <c r="H403" s="919" t="s">
        <v>4531</v>
      </c>
      <c r="I403" s="919" t="s">
        <v>3679</v>
      </c>
      <c r="J403" s="919"/>
      <c r="K403" s="920"/>
      <c r="L403" s="920"/>
      <c r="M403" s="920">
        <f t="shared" si="12"/>
        <v>0</v>
      </c>
      <c r="N403" s="919">
        <v>1</v>
      </c>
      <c r="O403" s="919">
        <v>4</v>
      </c>
      <c r="P403" s="921">
        <f t="shared" si="13"/>
        <v>7200</v>
      </c>
    </row>
    <row r="404" spans="1:16" ht="20.100000000000001" customHeight="1" x14ac:dyDescent="0.25">
      <c r="A404" s="918" t="s">
        <v>469</v>
      </c>
      <c r="B404" s="944" t="s">
        <v>3901</v>
      </c>
      <c r="C404" s="919" t="s">
        <v>3902</v>
      </c>
      <c r="D404" s="919" t="s">
        <v>4531</v>
      </c>
      <c r="E404" s="920">
        <v>1800</v>
      </c>
      <c r="F404" s="919" t="s">
        <v>4564</v>
      </c>
      <c r="G404" s="919" t="s">
        <v>4565</v>
      </c>
      <c r="H404" s="919" t="s">
        <v>4531</v>
      </c>
      <c r="I404" s="919" t="s">
        <v>3679</v>
      </c>
      <c r="J404" s="919"/>
      <c r="K404" s="920"/>
      <c r="L404" s="920"/>
      <c r="M404" s="920">
        <f t="shared" si="12"/>
        <v>0</v>
      </c>
      <c r="N404" s="919">
        <v>1</v>
      </c>
      <c r="O404" s="919">
        <v>4</v>
      </c>
      <c r="P404" s="921">
        <f t="shared" si="13"/>
        <v>7200</v>
      </c>
    </row>
    <row r="405" spans="1:16" ht="20.100000000000001" customHeight="1" x14ac:dyDescent="0.25">
      <c r="A405" s="918" t="s">
        <v>469</v>
      </c>
      <c r="B405" s="944" t="s">
        <v>3901</v>
      </c>
      <c r="C405" s="919" t="s">
        <v>3902</v>
      </c>
      <c r="D405" s="919" t="s">
        <v>4531</v>
      </c>
      <c r="E405" s="920">
        <v>1800</v>
      </c>
      <c r="F405" s="919" t="s">
        <v>4566</v>
      </c>
      <c r="G405" s="919" t="s">
        <v>4567</v>
      </c>
      <c r="H405" s="919" t="s">
        <v>4531</v>
      </c>
      <c r="I405" s="919" t="s">
        <v>3679</v>
      </c>
      <c r="J405" s="919"/>
      <c r="K405" s="920"/>
      <c r="L405" s="920"/>
      <c r="M405" s="920">
        <f t="shared" si="12"/>
        <v>0</v>
      </c>
      <c r="N405" s="919">
        <v>1</v>
      </c>
      <c r="O405" s="919">
        <v>4</v>
      </c>
      <c r="P405" s="921">
        <f t="shared" si="13"/>
        <v>7200</v>
      </c>
    </row>
    <row r="406" spans="1:16" ht="20.100000000000001" customHeight="1" x14ac:dyDescent="0.25">
      <c r="A406" s="918" t="s">
        <v>469</v>
      </c>
      <c r="B406" s="944" t="s">
        <v>3901</v>
      </c>
      <c r="C406" s="919" t="s">
        <v>3902</v>
      </c>
      <c r="D406" s="919" t="s">
        <v>4531</v>
      </c>
      <c r="E406" s="920">
        <v>1800</v>
      </c>
      <c r="F406" s="919" t="s">
        <v>4568</v>
      </c>
      <c r="G406" s="919" t="s">
        <v>4569</v>
      </c>
      <c r="H406" s="919" t="s">
        <v>4531</v>
      </c>
      <c r="I406" s="919" t="s">
        <v>3679</v>
      </c>
      <c r="J406" s="919"/>
      <c r="K406" s="920"/>
      <c r="L406" s="920"/>
      <c r="M406" s="920">
        <f t="shared" si="12"/>
        <v>0</v>
      </c>
      <c r="N406" s="919">
        <v>1</v>
      </c>
      <c r="O406" s="919">
        <v>4</v>
      </c>
      <c r="P406" s="921">
        <f t="shared" si="13"/>
        <v>7200</v>
      </c>
    </row>
    <row r="407" spans="1:16" ht="20.100000000000001" customHeight="1" x14ac:dyDescent="0.25">
      <c r="A407" s="918" t="s">
        <v>469</v>
      </c>
      <c r="B407" s="944" t="s">
        <v>3901</v>
      </c>
      <c r="C407" s="919" t="s">
        <v>3902</v>
      </c>
      <c r="D407" s="919" t="s">
        <v>4531</v>
      </c>
      <c r="E407" s="920">
        <v>1800</v>
      </c>
      <c r="F407" s="919" t="s">
        <v>4570</v>
      </c>
      <c r="G407" s="919" t="s">
        <v>4571</v>
      </c>
      <c r="H407" s="919" t="s">
        <v>4531</v>
      </c>
      <c r="I407" s="919" t="s">
        <v>3679</v>
      </c>
      <c r="J407" s="919"/>
      <c r="K407" s="920"/>
      <c r="L407" s="920"/>
      <c r="M407" s="920">
        <f t="shared" si="12"/>
        <v>0</v>
      </c>
      <c r="N407" s="919">
        <v>1</v>
      </c>
      <c r="O407" s="919">
        <v>4</v>
      </c>
      <c r="P407" s="921">
        <f t="shared" si="13"/>
        <v>7200</v>
      </c>
    </row>
    <row r="408" spans="1:16" ht="20.100000000000001" customHeight="1" x14ac:dyDescent="0.25">
      <c r="A408" s="918" t="s">
        <v>469</v>
      </c>
      <c r="B408" s="944" t="s">
        <v>3901</v>
      </c>
      <c r="C408" s="919" t="s">
        <v>3902</v>
      </c>
      <c r="D408" s="919" t="s">
        <v>4382</v>
      </c>
      <c r="E408" s="920">
        <v>2500</v>
      </c>
      <c r="F408" s="919" t="s">
        <v>4572</v>
      </c>
      <c r="G408" s="919" t="s">
        <v>4573</v>
      </c>
      <c r="H408" s="919" t="s">
        <v>4382</v>
      </c>
      <c r="I408" s="919" t="s">
        <v>3679</v>
      </c>
      <c r="J408" s="919"/>
      <c r="K408" s="920"/>
      <c r="L408" s="920"/>
      <c r="M408" s="920">
        <f t="shared" si="12"/>
        <v>0</v>
      </c>
      <c r="N408" s="919">
        <v>1</v>
      </c>
      <c r="O408" s="919">
        <v>4</v>
      </c>
      <c r="P408" s="921">
        <f t="shared" si="13"/>
        <v>10000</v>
      </c>
    </row>
    <row r="409" spans="1:16" ht="20.100000000000001" customHeight="1" x14ac:dyDescent="0.25">
      <c r="A409" s="918" t="s">
        <v>469</v>
      </c>
      <c r="B409" s="944" t="s">
        <v>3901</v>
      </c>
      <c r="C409" s="919" t="s">
        <v>3902</v>
      </c>
      <c r="D409" s="919" t="s">
        <v>4382</v>
      </c>
      <c r="E409" s="920">
        <v>2500</v>
      </c>
      <c r="F409" s="919" t="s">
        <v>4574</v>
      </c>
      <c r="G409" s="919" t="s">
        <v>4575</v>
      </c>
      <c r="H409" s="919" t="s">
        <v>4382</v>
      </c>
      <c r="I409" s="919" t="s">
        <v>3679</v>
      </c>
      <c r="J409" s="919"/>
      <c r="K409" s="920"/>
      <c r="L409" s="920"/>
      <c r="M409" s="920">
        <f t="shared" si="12"/>
        <v>0</v>
      </c>
      <c r="N409" s="919">
        <v>1</v>
      </c>
      <c r="O409" s="919">
        <v>1</v>
      </c>
      <c r="P409" s="921">
        <f t="shared" si="13"/>
        <v>2500</v>
      </c>
    </row>
    <row r="410" spans="1:16" ht="20.100000000000001" customHeight="1" x14ac:dyDescent="0.25">
      <c r="A410" s="918" t="s">
        <v>469</v>
      </c>
      <c r="B410" s="944" t="s">
        <v>3901</v>
      </c>
      <c r="C410" s="919" t="s">
        <v>3902</v>
      </c>
      <c r="D410" s="919" t="s">
        <v>4382</v>
      </c>
      <c r="E410" s="920">
        <v>2500</v>
      </c>
      <c r="F410" s="919" t="s">
        <v>4041</v>
      </c>
      <c r="G410" s="919" t="s">
        <v>4062</v>
      </c>
      <c r="H410" s="919" t="s">
        <v>4382</v>
      </c>
      <c r="I410" s="919" t="s">
        <v>3679</v>
      </c>
      <c r="J410" s="919"/>
      <c r="K410" s="920">
        <v>1</v>
      </c>
      <c r="L410" s="920">
        <v>12</v>
      </c>
      <c r="M410" s="920">
        <f t="shared" si="12"/>
        <v>30000</v>
      </c>
      <c r="N410" s="919"/>
      <c r="O410" s="919"/>
      <c r="P410" s="921">
        <f t="shared" si="13"/>
        <v>0</v>
      </c>
    </row>
    <row r="411" spans="1:16" ht="20.100000000000001" customHeight="1" x14ac:dyDescent="0.25">
      <c r="A411" s="918" t="s">
        <v>469</v>
      </c>
      <c r="B411" s="944" t="s">
        <v>3901</v>
      </c>
      <c r="C411" s="919" t="s">
        <v>3902</v>
      </c>
      <c r="D411" s="919" t="s">
        <v>4382</v>
      </c>
      <c r="E411" s="920">
        <v>2500</v>
      </c>
      <c r="F411" s="919" t="s">
        <v>4576</v>
      </c>
      <c r="G411" s="919" t="s">
        <v>4577</v>
      </c>
      <c r="H411" s="919" t="s">
        <v>4382</v>
      </c>
      <c r="I411" s="919" t="s">
        <v>3679</v>
      </c>
      <c r="J411" s="919"/>
      <c r="K411" s="920"/>
      <c r="L411" s="920"/>
      <c r="M411" s="920">
        <f t="shared" si="12"/>
        <v>0</v>
      </c>
      <c r="N411" s="919">
        <v>1</v>
      </c>
      <c r="O411" s="919">
        <v>3</v>
      </c>
      <c r="P411" s="921">
        <f t="shared" si="13"/>
        <v>7500</v>
      </c>
    </row>
    <row r="412" spans="1:16" ht="20.100000000000001" customHeight="1" x14ac:dyDescent="0.25">
      <c r="A412" s="918" t="s">
        <v>469</v>
      </c>
      <c r="B412" s="944" t="s">
        <v>3901</v>
      </c>
      <c r="C412" s="919" t="s">
        <v>3902</v>
      </c>
      <c r="D412" s="919" t="s">
        <v>4382</v>
      </c>
      <c r="E412" s="920">
        <v>2500</v>
      </c>
      <c r="F412" s="919" t="s">
        <v>4041</v>
      </c>
      <c r="G412" s="919" t="s">
        <v>4062</v>
      </c>
      <c r="H412" s="919" t="s">
        <v>4382</v>
      </c>
      <c r="I412" s="919" t="s">
        <v>3679</v>
      </c>
      <c r="J412" s="919"/>
      <c r="K412" s="920">
        <v>1</v>
      </c>
      <c r="L412" s="920">
        <v>12</v>
      </c>
      <c r="M412" s="920">
        <f t="shared" si="12"/>
        <v>30000</v>
      </c>
      <c r="N412" s="919"/>
      <c r="O412" s="919"/>
      <c r="P412" s="921">
        <f t="shared" si="13"/>
        <v>0</v>
      </c>
    </row>
    <row r="413" spans="1:16" ht="20.100000000000001" customHeight="1" x14ac:dyDescent="0.25">
      <c r="A413" s="918" t="s">
        <v>469</v>
      </c>
      <c r="B413" s="944" t="s">
        <v>3901</v>
      </c>
      <c r="C413" s="919" t="s">
        <v>3902</v>
      </c>
      <c r="D413" s="919" t="s">
        <v>4382</v>
      </c>
      <c r="E413" s="920">
        <v>2500</v>
      </c>
      <c r="F413" s="919" t="s">
        <v>4578</v>
      </c>
      <c r="G413" s="919" t="s">
        <v>4579</v>
      </c>
      <c r="H413" s="919" t="s">
        <v>4382</v>
      </c>
      <c r="I413" s="919" t="s">
        <v>3679</v>
      </c>
      <c r="J413" s="919"/>
      <c r="K413" s="920"/>
      <c r="L413" s="920"/>
      <c r="M413" s="920">
        <f t="shared" si="12"/>
        <v>0</v>
      </c>
      <c r="N413" s="919">
        <v>1</v>
      </c>
      <c r="O413" s="919">
        <v>1</v>
      </c>
      <c r="P413" s="921">
        <f t="shared" si="13"/>
        <v>2500</v>
      </c>
    </row>
    <row r="414" spans="1:16" ht="20.100000000000001" customHeight="1" x14ac:dyDescent="0.25">
      <c r="A414" s="918" t="s">
        <v>469</v>
      </c>
      <c r="B414" s="944" t="s">
        <v>3901</v>
      </c>
      <c r="C414" s="919" t="s">
        <v>3902</v>
      </c>
      <c r="D414" s="919" t="s">
        <v>4382</v>
      </c>
      <c r="E414" s="920">
        <v>2500</v>
      </c>
      <c r="F414" s="919" t="s">
        <v>4041</v>
      </c>
      <c r="G414" s="919" t="s">
        <v>4062</v>
      </c>
      <c r="H414" s="919" t="s">
        <v>4382</v>
      </c>
      <c r="I414" s="919" t="s">
        <v>3679</v>
      </c>
      <c r="J414" s="919"/>
      <c r="K414" s="920">
        <v>1</v>
      </c>
      <c r="L414" s="920">
        <v>12</v>
      </c>
      <c r="M414" s="920">
        <f t="shared" si="12"/>
        <v>30000</v>
      </c>
      <c r="N414" s="919"/>
      <c r="O414" s="919"/>
      <c r="P414" s="921">
        <f t="shared" si="13"/>
        <v>0</v>
      </c>
    </row>
    <row r="415" spans="1:16" ht="20.100000000000001" customHeight="1" x14ac:dyDescent="0.25">
      <c r="A415" s="918" t="s">
        <v>469</v>
      </c>
      <c r="B415" s="944" t="s">
        <v>3901</v>
      </c>
      <c r="C415" s="919" t="s">
        <v>3902</v>
      </c>
      <c r="D415" s="919" t="s">
        <v>4382</v>
      </c>
      <c r="E415" s="920">
        <v>2500</v>
      </c>
      <c r="F415" s="919" t="s">
        <v>4580</v>
      </c>
      <c r="G415" s="919" t="s">
        <v>4581</v>
      </c>
      <c r="H415" s="919" t="s">
        <v>4382</v>
      </c>
      <c r="I415" s="919" t="s">
        <v>3679</v>
      </c>
      <c r="J415" s="919"/>
      <c r="K415" s="920"/>
      <c r="L415" s="920"/>
      <c r="M415" s="920">
        <f t="shared" si="12"/>
        <v>0</v>
      </c>
      <c r="N415" s="919">
        <v>1</v>
      </c>
      <c r="O415" s="919">
        <v>1</v>
      </c>
      <c r="P415" s="921">
        <f t="shared" si="13"/>
        <v>2500</v>
      </c>
    </row>
    <row r="416" spans="1:16" ht="20.100000000000001" customHeight="1" x14ac:dyDescent="0.25">
      <c r="A416" s="918" t="s">
        <v>469</v>
      </c>
      <c r="B416" s="944" t="s">
        <v>3901</v>
      </c>
      <c r="C416" s="919" t="s">
        <v>3902</v>
      </c>
      <c r="D416" s="919" t="s">
        <v>4382</v>
      </c>
      <c r="E416" s="920">
        <v>2500</v>
      </c>
      <c r="F416" s="919" t="s">
        <v>4582</v>
      </c>
      <c r="G416" s="919" t="s">
        <v>4583</v>
      </c>
      <c r="H416" s="919" t="s">
        <v>4382</v>
      </c>
      <c r="I416" s="919" t="s">
        <v>3679</v>
      </c>
      <c r="J416" s="919"/>
      <c r="K416" s="920"/>
      <c r="L416" s="920"/>
      <c r="M416" s="920">
        <f t="shared" si="12"/>
        <v>0</v>
      </c>
      <c r="N416" s="919">
        <v>1</v>
      </c>
      <c r="O416" s="919">
        <v>4</v>
      </c>
      <c r="P416" s="921">
        <f t="shared" si="13"/>
        <v>10000</v>
      </c>
    </row>
    <row r="417" spans="1:16" ht="20.100000000000001" customHeight="1" x14ac:dyDescent="0.25">
      <c r="A417" s="918" t="s">
        <v>469</v>
      </c>
      <c r="B417" s="944" t="s">
        <v>3901</v>
      </c>
      <c r="C417" s="919" t="s">
        <v>3902</v>
      </c>
      <c r="D417" s="919" t="s">
        <v>4382</v>
      </c>
      <c r="E417" s="920">
        <v>2500</v>
      </c>
      <c r="F417" s="919" t="s">
        <v>4041</v>
      </c>
      <c r="G417" s="919" t="s">
        <v>4062</v>
      </c>
      <c r="H417" s="919" t="s">
        <v>4382</v>
      </c>
      <c r="I417" s="919" t="s">
        <v>3679</v>
      </c>
      <c r="J417" s="919"/>
      <c r="K417" s="920">
        <v>1</v>
      </c>
      <c r="L417" s="920">
        <v>12</v>
      </c>
      <c r="M417" s="920">
        <f t="shared" si="12"/>
        <v>30000</v>
      </c>
      <c r="N417" s="919"/>
      <c r="O417" s="919"/>
      <c r="P417" s="921">
        <f t="shared" si="13"/>
        <v>0</v>
      </c>
    </row>
    <row r="418" spans="1:16" ht="20.100000000000001" customHeight="1" x14ac:dyDescent="0.25">
      <c r="A418" s="918" t="s">
        <v>469</v>
      </c>
      <c r="B418" s="944" t="s">
        <v>3901</v>
      </c>
      <c r="C418" s="919" t="s">
        <v>3902</v>
      </c>
      <c r="D418" s="919" t="s">
        <v>4382</v>
      </c>
      <c r="E418" s="920">
        <v>2500</v>
      </c>
      <c r="F418" s="919" t="s">
        <v>4584</v>
      </c>
      <c r="G418" s="919" t="s">
        <v>4585</v>
      </c>
      <c r="H418" s="919" t="s">
        <v>4382</v>
      </c>
      <c r="I418" s="919" t="s">
        <v>3679</v>
      </c>
      <c r="J418" s="919"/>
      <c r="K418" s="920"/>
      <c r="L418" s="920"/>
      <c r="M418" s="920">
        <f t="shared" si="12"/>
        <v>0</v>
      </c>
      <c r="N418" s="919">
        <v>1</v>
      </c>
      <c r="O418" s="919">
        <v>1</v>
      </c>
      <c r="P418" s="921">
        <f t="shared" si="13"/>
        <v>2500</v>
      </c>
    </row>
    <row r="419" spans="1:16" ht="20.100000000000001" customHeight="1" x14ac:dyDescent="0.25">
      <c r="A419" s="918" t="s">
        <v>469</v>
      </c>
      <c r="B419" s="944" t="s">
        <v>3901</v>
      </c>
      <c r="C419" s="919" t="s">
        <v>3902</v>
      </c>
      <c r="D419" s="919" t="s">
        <v>4382</v>
      </c>
      <c r="E419" s="920">
        <v>2500</v>
      </c>
      <c r="F419" s="919" t="s">
        <v>4586</v>
      </c>
      <c r="G419" s="919" t="s">
        <v>4587</v>
      </c>
      <c r="H419" s="919" t="s">
        <v>4382</v>
      </c>
      <c r="I419" s="919" t="s">
        <v>3679</v>
      </c>
      <c r="J419" s="919"/>
      <c r="K419" s="920"/>
      <c r="L419" s="920"/>
      <c r="M419" s="920">
        <f t="shared" si="12"/>
        <v>0</v>
      </c>
      <c r="N419" s="919">
        <v>1</v>
      </c>
      <c r="O419" s="919">
        <v>3</v>
      </c>
      <c r="P419" s="921">
        <f t="shared" si="13"/>
        <v>7500</v>
      </c>
    </row>
    <row r="420" spans="1:16" ht="20.100000000000001" customHeight="1" x14ac:dyDescent="0.25">
      <c r="A420" s="918" t="s">
        <v>469</v>
      </c>
      <c r="B420" s="944" t="s">
        <v>3901</v>
      </c>
      <c r="C420" s="919" t="s">
        <v>3902</v>
      </c>
      <c r="D420" s="919" t="s">
        <v>4382</v>
      </c>
      <c r="E420" s="920">
        <v>2500</v>
      </c>
      <c r="F420" s="919" t="s">
        <v>4041</v>
      </c>
      <c r="G420" s="919" t="s">
        <v>4062</v>
      </c>
      <c r="H420" s="919" t="s">
        <v>4382</v>
      </c>
      <c r="I420" s="919" t="s">
        <v>3679</v>
      </c>
      <c r="J420" s="919"/>
      <c r="K420" s="920">
        <v>1</v>
      </c>
      <c r="L420" s="920">
        <v>12</v>
      </c>
      <c r="M420" s="920">
        <f t="shared" si="12"/>
        <v>30000</v>
      </c>
      <c r="N420" s="919"/>
      <c r="O420" s="919"/>
      <c r="P420" s="921">
        <f t="shared" si="13"/>
        <v>0</v>
      </c>
    </row>
    <row r="421" spans="1:16" ht="20.100000000000001" customHeight="1" x14ac:dyDescent="0.25">
      <c r="A421" s="918" t="s">
        <v>469</v>
      </c>
      <c r="B421" s="944" t="s">
        <v>3901</v>
      </c>
      <c r="C421" s="919" t="s">
        <v>3902</v>
      </c>
      <c r="D421" s="919" t="s">
        <v>4382</v>
      </c>
      <c r="E421" s="920">
        <v>2500</v>
      </c>
      <c r="F421" s="919" t="s">
        <v>4588</v>
      </c>
      <c r="G421" s="919" t="s">
        <v>4589</v>
      </c>
      <c r="H421" s="919" t="s">
        <v>4382</v>
      </c>
      <c r="I421" s="919" t="s">
        <v>3679</v>
      </c>
      <c r="J421" s="919"/>
      <c r="K421" s="920"/>
      <c r="L421" s="920"/>
      <c r="M421" s="920">
        <f t="shared" si="12"/>
        <v>0</v>
      </c>
      <c r="N421" s="919">
        <v>1</v>
      </c>
      <c r="O421" s="919">
        <v>4</v>
      </c>
      <c r="P421" s="921">
        <f t="shared" si="13"/>
        <v>10000</v>
      </c>
    </row>
    <row r="422" spans="1:16" ht="20.100000000000001" customHeight="1" x14ac:dyDescent="0.25">
      <c r="A422" s="918" t="s">
        <v>469</v>
      </c>
      <c r="B422" s="944" t="s">
        <v>3901</v>
      </c>
      <c r="C422" s="919" t="s">
        <v>3902</v>
      </c>
      <c r="D422" s="919" t="s">
        <v>4382</v>
      </c>
      <c r="E422" s="920">
        <v>2500</v>
      </c>
      <c r="F422" s="919" t="s">
        <v>4041</v>
      </c>
      <c r="G422" s="919" t="s">
        <v>4062</v>
      </c>
      <c r="H422" s="919" t="s">
        <v>4382</v>
      </c>
      <c r="I422" s="919" t="s">
        <v>3679</v>
      </c>
      <c r="J422" s="919"/>
      <c r="K422" s="920">
        <v>1</v>
      </c>
      <c r="L422" s="920">
        <v>12</v>
      </c>
      <c r="M422" s="920">
        <f t="shared" si="12"/>
        <v>30000</v>
      </c>
      <c r="N422" s="919"/>
      <c r="O422" s="919"/>
      <c r="P422" s="921">
        <f t="shared" si="13"/>
        <v>0</v>
      </c>
    </row>
    <row r="423" spans="1:16" ht="20.100000000000001" customHeight="1" x14ac:dyDescent="0.25">
      <c r="A423" s="918" t="s">
        <v>469</v>
      </c>
      <c r="B423" s="944" t="s">
        <v>3901</v>
      </c>
      <c r="C423" s="919" t="s">
        <v>3902</v>
      </c>
      <c r="D423" s="919" t="s">
        <v>4382</v>
      </c>
      <c r="E423" s="920">
        <v>2500</v>
      </c>
      <c r="F423" s="919" t="s">
        <v>4041</v>
      </c>
      <c r="G423" s="919" t="s">
        <v>4062</v>
      </c>
      <c r="H423" s="919" t="s">
        <v>4382</v>
      </c>
      <c r="I423" s="919" t="s">
        <v>3679</v>
      </c>
      <c r="J423" s="919"/>
      <c r="K423" s="920">
        <v>1</v>
      </c>
      <c r="L423" s="920">
        <v>12</v>
      </c>
      <c r="M423" s="920">
        <f t="shared" si="12"/>
        <v>30000</v>
      </c>
      <c r="N423" s="919"/>
      <c r="O423" s="919"/>
      <c r="P423" s="921">
        <f t="shared" si="13"/>
        <v>0</v>
      </c>
    </row>
    <row r="424" spans="1:16" ht="20.100000000000001" customHeight="1" x14ac:dyDescent="0.25">
      <c r="A424" s="918" t="s">
        <v>469</v>
      </c>
      <c r="B424" s="944" t="s">
        <v>3901</v>
      </c>
      <c r="C424" s="919" t="s">
        <v>3902</v>
      </c>
      <c r="D424" s="919" t="s">
        <v>4382</v>
      </c>
      <c r="E424" s="920">
        <v>2500</v>
      </c>
      <c r="F424" s="919" t="s">
        <v>4041</v>
      </c>
      <c r="G424" s="919" t="s">
        <v>4062</v>
      </c>
      <c r="H424" s="919" t="s">
        <v>4382</v>
      </c>
      <c r="I424" s="919" t="s">
        <v>3679</v>
      </c>
      <c r="J424" s="919"/>
      <c r="K424" s="920">
        <v>1</v>
      </c>
      <c r="L424" s="920">
        <v>12</v>
      </c>
      <c r="M424" s="920">
        <f t="shared" si="12"/>
        <v>30000</v>
      </c>
      <c r="N424" s="919"/>
      <c r="O424" s="919"/>
      <c r="P424" s="921">
        <f t="shared" si="13"/>
        <v>0</v>
      </c>
    </row>
    <row r="425" spans="1:16" ht="20.100000000000001" customHeight="1" x14ac:dyDescent="0.25">
      <c r="A425" s="918" t="s">
        <v>469</v>
      </c>
      <c r="B425" s="944" t="s">
        <v>3901</v>
      </c>
      <c r="C425" s="919" t="s">
        <v>3902</v>
      </c>
      <c r="D425" s="919" t="s">
        <v>4382</v>
      </c>
      <c r="E425" s="920">
        <v>2500</v>
      </c>
      <c r="F425" s="919" t="s">
        <v>4590</v>
      </c>
      <c r="G425" s="919" t="s">
        <v>4591</v>
      </c>
      <c r="H425" s="919" t="s">
        <v>4382</v>
      </c>
      <c r="I425" s="919" t="s">
        <v>3679</v>
      </c>
      <c r="J425" s="919"/>
      <c r="K425" s="920"/>
      <c r="L425" s="920"/>
      <c r="M425" s="920">
        <f t="shared" si="12"/>
        <v>0</v>
      </c>
      <c r="N425" s="919">
        <v>1</v>
      </c>
      <c r="O425" s="919">
        <v>1</v>
      </c>
      <c r="P425" s="921">
        <f t="shared" si="13"/>
        <v>2500</v>
      </c>
    </row>
    <row r="426" spans="1:16" ht="20.100000000000001" customHeight="1" x14ac:dyDescent="0.25">
      <c r="A426" s="918" t="s">
        <v>469</v>
      </c>
      <c r="B426" s="944" t="s">
        <v>3901</v>
      </c>
      <c r="C426" s="919" t="s">
        <v>3902</v>
      </c>
      <c r="D426" s="919" t="s">
        <v>4592</v>
      </c>
      <c r="E426" s="920">
        <v>1150</v>
      </c>
      <c r="F426" s="919" t="s">
        <v>4593</v>
      </c>
      <c r="G426" s="919" t="s">
        <v>4594</v>
      </c>
      <c r="H426" s="919" t="s">
        <v>4592</v>
      </c>
      <c r="I426" s="919" t="s">
        <v>3686</v>
      </c>
      <c r="J426" s="919"/>
      <c r="K426" s="920"/>
      <c r="L426" s="920"/>
      <c r="M426" s="920">
        <f t="shared" si="12"/>
        <v>0</v>
      </c>
      <c r="N426" s="919">
        <v>1</v>
      </c>
      <c r="O426" s="919">
        <v>3</v>
      </c>
      <c r="P426" s="921">
        <f t="shared" si="13"/>
        <v>3450</v>
      </c>
    </row>
    <row r="427" spans="1:16" ht="20.100000000000001" customHeight="1" x14ac:dyDescent="0.25">
      <c r="A427" s="918" t="s">
        <v>469</v>
      </c>
      <c r="B427" s="944" t="s">
        <v>3901</v>
      </c>
      <c r="C427" s="919" t="s">
        <v>3902</v>
      </c>
      <c r="D427" s="919" t="s">
        <v>4592</v>
      </c>
      <c r="E427" s="920">
        <v>1150</v>
      </c>
      <c r="F427" s="919" t="s">
        <v>4595</v>
      </c>
      <c r="G427" s="919" t="s">
        <v>4596</v>
      </c>
      <c r="H427" s="919" t="s">
        <v>4592</v>
      </c>
      <c r="I427" s="919" t="s">
        <v>3686</v>
      </c>
      <c r="J427" s="919"/>
      <c r="K427" s="920"/>
      <c r="L427" s="920"/>
      <c r="M427" s="920">
        <f t="shared" si="12"/>
        <v>0</v>
      </c>
      <c r="N427" s="919">
        <v>1</v>
      </c>
      <c r="O427" s="919">
        <v>4</v>
      </c>
      <c r="P427" s="921">
        <f t="shared" si="13"/>
        <v>4600</v>
      </c>
    </row>
    <row r="428" spans="1:16" ht="20.100000000000001" customHeight="1" x14ac:dyDescent="0.25">
      <c r="A428" s="918" t="s">
        <v>469</v>
      </c>
      <c r="B428" s="944" t="s">
        <v>3901</v>
      </c>
      <c r="C428" s="919" t="s">
        <v>3902</v>
      </c>
      <c r="D428" s="919" t="s">
        <v>4592</v>
      </c>
      <c r="E428" s="920">
        <v>1150</v>
      </c>
      <c r="F428" s="919" t="s">
        <v>4597</v>
      </c>
      <c r="G428" s="919" t="s">
        <v>4598</v>
      </c>
      <c r="H428" s="919" t="s">
        <v>4592</v>
      </c>
      <c r="I428" s="919" t="s">
        <v>3686</v>
      </c>
      <c r="J428" s="919"/>
      <c r="K428" s="920"/>
      <c r="L428" s="920"/>
      <c r="M428" s="920">
        <f t="shared" si="12"/>
        <v>0</v>
      </c>
      <c r="N428" s="919">
        <v>1</v>
      </c>
      <c r="O428" s="919">
        <v>4</v>
      </c>
      <c r="P428" s="921">
        <f t="shared" si="13"/>
        <v>4600</v>
      </c>
    </row>
    <row r="429" spans="1:16" ht="20.100000000000001" customHeight="1" x14ac:dyDescent="0.25">
      <c r="A429" s="918" t="s">
        <v>469</v>
      </c>
      <c r="B429" s="944" t="s">
        <v>3901</v>
      </c>
      <c r="C429" s="919" t="s">
        <v>3902</v>
      </c>
      <c r="D429" s="919" t="s">
        <v>4592</v>
      </c>
      <c r="E429" s="920">
        <v>1150</v>
      </c>
      <c r="F429" s="919" t="s">
        <v>4599</v>
      </c>
      <c r="G429" s="919" t="s">
        <v>4600</v>
      </c>
      <c r="H429" s="919" t="s">
        <v>4592</v>
      </c>
      <c r="I429" s="919" t="s">
        <v>3686</v>
      </c>
      <c r="J429" s="919"/>
      <c r="K429" s="920"/>
      <c r="L429" s="920"/>
      <c r="M429" s="920">
        <f t="shared" si="12"/>
        <v>0</v>
      </c>
      <c r="N429" s="919">
        <v>1</v>
      </c>
      <c r="O429" s="919">
        <v>3</v>
      </c>
      <c r="P429" s="921">
        <f t="shared" si="13"/>
        <v>3450</v>
      </c>
    </row>
    <row r="430" spans="1:16" ht="20.100000000000001" customHeight="1" x14ac:dyDescent="0.25">
      <c r="A430" s="918" t="s">
        <v>469</v>
      </c>
      <c r="B430" s="944" t="s">
        <v>3901</v>
      </c>
      <c r="C430" s="919" t="s">
        <v>3902</v>
      </c>
      <c r="D430" s="919" t="s">
        <v>4592</v>
      </c>
      <c r="E430" s="920">
        <v>1150</v>
      </c>
      <c r="F430" s="919" t="s">
        <v>4601</v>
      </c>
      <c r="G430" s="919" t="s">
        <v>4602</v>
      </c>
      <c r="H430" s="919" t="s">
        <v>4592</v>
      </c>
      <c r="I430" s="919" t="s">
        <v>3686</v>
      </c>
      <c r="J430" s="919"/>
      <c r="K430" s="920"/>
      <c r="L430" s="920"/>
      <c r="M430" s="920">
        <f t="shared" si="12"/>
        <v>0</v>
      </c>
      <c r="N430" s="919">
        <v>1</v>
      </c>
      <c r="O430" s="919">
        <v>1</v>
      </c>
      <c r="P430" s="921">
        <f t="shared" si="13"/>
        <v>1150</v>
      </c>
    </row>
    <row r="431" spans="1:16" ht="20.100000000000001" customHeight="1" x14ac:dyDescent="0.25">
      <c r="A431" s="918" t="s">
        <v>469</v>
      </c>
      <c r="B431" s="944" t="s">
        <v>3901</v>
      </c>
      <c r="C431" s="919" t="s">
        <v>3902</v>
      </c>
      <c r="D431" s="919" t="s">
        <v>4592</v>
      </c>
      <c r="E431" s="920">
        <v>1150</v>
      </c>
      <c r="F431" s="919" t="s">
        <v>4603</v>
      </c>
      <c r="G431" s="919" t="s">
        <v>4604</v>
      </c>
      <c r="H431" s="919" t="s">
        <v>4592</v>
      </c>
      <c r="I431" s="919" t="s">
        <v>3686</v>
      </c>
      <c r="J431" s="919"/>
      <c r="K431" s="920"/>
      <c r="L431" s="920"/>
      <c r="M431" s="920">
        <f t="shared" si="12"/>
        <v>0</v>
      </c>
      <c r="N431" s="919">
        <v>1</v>
      </c>
      <c r="O431" s="919">
        <v>1</v>
      </c>
      <c r="P431" s="921">
        <f t="shared" si="13"/>
        <v>1150</v>
      </c>
    </row>
    <row r="432" spans="1:16" ht="20.100000000000001" customHeight="1" x14ac:dyDescent="0.25">
      <c r="A432" s="918" t="s">
        <v>469</v>
      </c>
      <c r="B432" s="944" t="s">
        <v>3901</v>
      </c>
      <c r="C432" s="919" t="s">
        <v>3902</v>
      </c>
      <c r="D432" s="919" t="s">
        <v>4592</v>
      </c>
      <c r="E432" s="920">
        <v>1150</v>
      </c>
      <c r="F432" s="919" t="s">
        <v>4605</v>
      </c>
      <c r="G432" s="919" t="s">
        <v>4606</v>
      </c>
      <c r="H432" s="919" t="s">
        <v>4592</v>
      </c>
      <c r="I432" s="919" t="s">
        <v>3686</v>
      </c>
      <c r="J432" s="919"/>
      <c r="K432" s="920"/>
      <c r="L432" s="920"/>
      <c r="M432" s="920">
        <f t="shared" si="12"/>
        <v>0</v>
      </c>
      <c r="N432" s="919">
        <v>1</v>
      </c>
      <c r="O432" s="919">
        <v>4</v>
      </c>
      <c r="P432" s="921">
        <f t="shared" si="13"/>
        <v>4600</v>
      </c>
    </row>
    <row r="433" spans="1:16" ht="20.100000000000001" customHeight="1" x14ac:dyDescent="0.25">
      <c r="A433" s="918" t="s">
        <v>469</v>
      </c>
      <c r="B433" s="944" t="s">
        <v>3901</v>
      </c>
      <c r="C433" s="919" t="s">
        <v>3902</v>
      </c>
      <c r="D433" s="919" t="s">
        <v>4592</v>
      </c>
      <c r="E433" s="920">
        <v>1150</v>
      </c>
      <c r="F433" s="919" t="s">
        <v>4607</v>
      </c>
      <c r="G433" s="919" t="s">
        <v>4608</v>
      </c>
      <c r="H433" s="919" t="s">
        <v>4592</v>
      </c>
      <c r="I433" s="919" t="s">
        <v>3686</v>
      </c>
      <c r="J433" s="919"/>
      <c r="K433" s="920"/>
      <c r="L433" s="920"/>
      <c r="M433" s="920">
        <f t="shared" si="12"/>
        <v>0</v>
      </c>
      <c r="N433" s="919">
        <v>1</v>
      </c>
      <c r="O433" s="919">
        <v>1</v>
      </c>
      <c r="P433" s="921">
        <f t="shared" si="13"/>
        <v>1150</v>
      </c>
    </row>
    <row r="434" spans="1:16" ht="20.100000000000001" customHeight="1" x14ac:dyDescent="0.25">
      <c r="A434" s="918" t="s">
        <v>469</v>
      </c>
      <c r="B434" s="944" t="s">
        <v>3901</v>
      </c>
      <c r="C434" s="919" t="s">
        <v>3902</v>
      </c>
      <c r="D434" s="919" t="s">
        <v>4592</v>
      </c>
      <c r="E434" s="920">
        <v>1150</v>
      </c>
      <c r="F434" s="919" t="s">
        <v>4609</v>
      </c>
      <c r="G434" s="919" t="s">
        <v>4610</v>
      </c>
      <c r="H434" s="919" t="s">
        <v>4592</v>
      </c>
      <c r="I434" s="919" t="s">
        <v>3686</v>
      </c>
      <c r="J434" s="919"/>
      <c r="K434" s="920"/>
      <c r="L434" s="920"/>
      <c r="M434" s="920">
        <f t="shared" si="12"/>
        <v>0</v>
      </c>
      <c r="N434" s="919">
        <v>1</v>
      </c>
      <c r="O434" s="919">
        <v>3</v>
      </c>
      <c r="P434" s="921">
        <f t="shared" si="13"/>
        <v>3450</v>
      </c>
    </row>
    <row r="435" spans="1:16" ht="20.100000000000001" customHeight="1" x14ac:dyDescent="0.25">
      <c r="A435" s="918" t="s">
        <v>469</v>
      </c>
      <c r="B435" s="944" t="s">
        <v>3901</v>
      </c>
      <c r="C435" s="919" t="s">
        <v>3902</v>
      </c>
      <c r="D435" s="919" t="s">
        <v>4592</v>
      </c>
      <c r="E435" s="920">
        <v>1150</v>
      </c>
      <c r="F435" s="919" t="s">
        <v>4611</v>
      </c>
      <c r="G435" s="919" t="s">
        <v>4612</v>
      </c>
      <c r="H435" s="919" t="s">
        <v>4592</v>
      </c>
      <c r="I435" s="919" t="s">
        <v>3686</v>
      </c>
      <c r="J435" s="919"/>
      <c r="K435" s="920"/>
      <c r="L435" s="920"/>
      <c r="M435" s="920">
        <f t="shared" si="12"/>
        <v>0</v>
      </c>
      <c r="N435" s="919">
        <v>1</v>
      </c>
      <c r="O435" s="919">
        <v>4</v>
      </c>
      <c r="P435" s="921">
        <f t="shared" si="13"/>
        <v>4600</v>
      </c>
    </row>
    <row r="436" spans="1:16" ht="20.100000000000001" customHeight="1" x14ac:dyDescent="0.25">
      <c r="A436" s="918" t="s">
        <v>469</v>
      </c>
      <c r="B436" s="944" t="s">
        <v>3901</v>
      </c>
      <c r="C436" s="919" t="s">
        <v>3902</v>
      </c>
      <c r="D436" s="919" t="s">
        <v>4592</v>
      </c>
      <c r="E436" s="920">
        <v>1150</v>
      </c>
      <c r="F436" s="919" t="s">
        <v>4613</v>
      </c>
      <c r="G436" s="919" t="s">
        <v>4614</v>
      </c>
      <c r="H436" s="919" t="s">
        <v>4592</v>
      </c>
      <c r="I436" s="919" t="s">
        <v>3686</v>
      </c>
      <c r="J436" s="919"/>
      <c r="K436" s="920"/>
      <c r="L436" s="920"/>
      <c r="M436" s="920">
        <f t="shared" si="12"/>
        <v>0</v>
      </c>
      <c r="N436" s="919">
        <v>1</v>
      </c>
      <c r="O436" s="919">
        <v>4</v>
      </c>
      <c r="P436" s="921">
        <f t="shared" si="13"/>
        <v>4600</v>
      </c>
    </row>
    <row r="437" spans="1:16" ht="20.100000000000001" customHeight="1" x14ac:dyDescent="0.25">
      <c r="A437" s="918" t="s">
        <v>469</v>
      </c>
      <c r="B437" s="944" t="s">
        <v>3901</v>
      </c>
      <c r="C437" s="919" t="s">
        <v>3902</v>
      </c>
      <c r="D437" s="919" t="s">
        <v>4592</v>
      </c>
      <c r="E437" s="920">
        <v>1150</v>
      </c>
      <c r="F437" s="919" t="s">
        <v>4615</v>
      </c>
      <c r="G437" s="919" t="s">
        <v>4616</v>
      </c>
      <c r="H437" s="919" t="s">
        <v>4592</v>
      </c>
      <c r="I437" s="919" t="s">
        <v>3686</v>
      </c>
      <c r="J437" s="919"/>
      <c r="K437" s="920"/>
      <c r="L437" s="920"/>
      <c r="M437" s="920">
        <f t="shared" si="12"/>
        <v>0</v>
      </c>
      <c r="N437" s="919">
        <v>1</v>
      </c>
      <c r="O437" s="919">
        <v>1</v>
      </c>
      <c r="P437" s="921">
        <f t="shared" si="13"/>
        <v>1150</v>
      </c>
    </row>
    <row r="438" spans="1:16" ht="20.100000000000001" customHeight="1" x14ac:dyDescent="0.25">
      <c r="A438" s="918" t="s">
        <v>469</v>
      </c>
      <c r="B438" s="944" t="s">
        <v>3901</v>
      </c>
      <c r="C438" s="919" t="s">
        <v>3902</v>
      </c>
      <c r="D438" s="919" t="s">
        <v>4592</v>
      </c>
      <c r="E438" s="920">
        <v>1150</v>
      </c>
      <c r="F438" s="919" t="s">
        <v>4617</v>
      </c>
      <c r="G438" s="919" t="s">
        <v>4618</v>
      </c>
      <c r="H438" s="919" t="s">
        <v>4592</v>
      </c>
      <c r="I438" s="919" t="s">
        <v>3686</v>
      </c>
      <c r="J438" s="919"/>
      <c r="K438" s="920"/>
      <c r="L438" s="920"/>
      <c r="M438" s="920">
        <f t="shared" si="12"/>
        <v>0</v>
      </c>
      <c r="N438" s="919">
        <v>1</v>
      </c>
      <c r="O438" s="919">
        <v>4</v>
      </c>
      <c r="P438" s="921">
        <f t="shared" si="13"/>
        <v>4600</v>
      </c>
    </row>
    <row r="439" spans="1:16" ht="20.100000000000001" customHeight="1" x14ac:dyDescent="0.25">
      <c r="A439" s="918" t="s">
        <v>469</v>
      </c>
      <c r="B439" s="944" t="s">
        <v>3901</v>
      </c>
      <c r="C439" s="919" t="s">
        <v>3902</v>
      </c>
      <c r="D439" s="919" t="s">
        <v>4592</v>
      </c>
      <c r="E439" s="920">
        <v>1150</v>
      </c>
      <c r="F439" s="919" t="s">
        <v>4619</v>
      </c>
      <c r="G439" s="919" t="s">
        <v>4620</v>
      </c>
      <c r="H439" s="919" t="s">
        <v>4592</v>
      </c>
      <c r="I439" s="919" t="s">
        <v>3686</v>
      </c>
      <c r="J439" s="919"/>
      <c r="K439" s="920"/>
      <c r="L439" s="920"/>
      <c r="M439" s="920">
        <f t="shared" si="12"/>
        <v>0</v>
      </c>
      <c r="N439" s="919">
        <v>1</v>
      </c>
      <c r="O439" s="919">
        <v>1</v>
      </c>
      <c r="P439" s="921">
        <f t="shared" si="13"/>
        <v>1150</v>
      </c>
    </row>
    <row r="440" spans="1:16" ht="20.100000000000001" customHeight="1" x14ac:dyDescent="0.25">
      <c r="A440" s="918" t="s">
        <v>469</v>
      </c>
      <c r="B440" s="944" t="s">
        <v>3901</v>
      </c>
      <c r="C440" s="919" t="s">
        <v>3902</v>
      </c>
      <c r="D440" s="919" t="s">
        <v>4592</v>
      </c>
      <c r="E440" s="920">
        <v>1150</v>
      </c>
      <c r="F440" s="919" t="s">
        <v>4621</v>
      </c>
      <c r="G440" s="919" t="s">
        <v>4622</v>
      </c>
      <c r="H440" s="919" t="s">
        <v>4592</v>
      </c>
      <c r="I440" s="919" t="s">
        <v>3686</v>
      </c>
      <c r="J440" s="919"/>
      <c r="K440" s="920"/>
      <c r="L440" s="920"/>
      <c r="M440" s="920">
        <f t="shared" si="12"/>
        <v>0</v>
      </c>
      <c r="N440" s="919">
        <v>1</v>
      </c>
      <c r="O440" s="919">
        <v>1</v>
      </c>
      <c r="P440" s="921">
        <f t="shared" si="13"/>
        <v>1150</v>
      </c>
    </row>
    <row r="441" spans="1:16" ht="20.100000000000001" customHeight="1" x14ac:dyDescent="0.25">
      <c r="A441" s="918" t="s">
        <v>469</v>
      </c>
      <c r="B441" s="944" t="s">
        <v>3901</v>
      </c>
      <c r="C441" s="919" t="s">
        <v>3902</v>
      </c>
      <c r="D441" s="919" t="s">
        <v>4592</v>
      </c>
      <c r="E441" s="920">
        <v>1150</v>
      </c>
      <c r="F441" s="919" t="s">
        <v>4623</v>
      </c>
      <c r="G441" s="919" t="s">
        <v>4624</v>
      </c>
      <c r="H441" s="919" t="s">
        <v>4592</v>
      </c>
      <c r="I441" s="919" t="s">
        <v>3686</v>
      </c>
      <c r="J441" s="919"/>
      <c r="K441" s="920"/>
      <c r="L441" s="920"/>
      <c r="M441" s="920">
        <f t="shared" si="12"/>
        <v>0</v>
      </c>
      <c r="N441" s="919">
        <v>1</v>
      </c>
      <c r="O441" s="919">
        <v>1</v>
      </c>
      <c r="P441" s="921">
        <f t="shared" si="13"/>
        <v>1150</v>
      </c>
    </row>
    <row r="442" spans="1:16" ht="20.100000000000001" customHeight="1" x14ac:dyDescent="0.25">
      <c r="A442" s="918" t="s">
        <v>469</v>
      </c>
      <c r="B442" s="944" t="s">
        <v>3901</v>
      </c>
      <c r="C442" s="919" t="s">
        <v>3902</v>
      </c>
      <c r="D442" s="919" t="s">
        <v>4592</v>
      </c>
      <c r="E442" s="920">
        <v>1150</v>
      </c>
      <c r="F442" s="919" t="s">
        <v>4625</v>
      </c>
      <c r="G442" s="919" t="s">
        <v>4626</v>
      </c>
      <c r="H442" s="919" t="s">
        <v>4592</v>
      </c>
      <c r="I442" s="919" t="s">
        <v>3686</v>
      </c>
      <c r="J442" s="919"/>
      <c r="K442" s="920"/>
      <c r="L442" s="920"/>
      <c r="M442" s="920">
        <f t="shared" si="12"/>
        <v>0</v>
      </c>
      <c r="N442" s="919">
        <v>1</v>
      </c>
      <c r="O442" s="919">
        <v>4</v>
      </c>
      <c r="P442" s="921">
        <f t="shared" si="13"/>
        <v>4600</v>
      </c>
    </row>
    <row r="443" spans="1:16" ht="20.100000000000001" customHeight="1" x14ac:dyDescent="0.25">
      <c r="A443" s="918" t="s">
        <v>469</v>
      </c>
      <c r="B443" s="944" t="s">
        <v>3901</v>
      </c>
      <c r="C443" s="919" t="s">
        <v>3902</v>
      </c>
      <c r="D443" s="919" t="s">
        <v>4592</v>
      </c>
      <c r="E443" s="920">
        <v>1150</v>
      </c>
      <c r="F443" s="919" t="s">
        <v>4627</v>
      </c>
      <c r="G443" s="919" t="s">
        <v>4628</v>
      </c>
      <c r="H443" s="919" t="s">
        <v>4592</v>
      </c>
      <c r="I443" s="919" t="s">
        <v>3686</v>
      </c>
      <c r="J443" s="919"/>
      <c r="K443" s="920"/>
      <c r="L443" s="920"/>
      <c r="M443" s="920">
        <f t="shared" si="12"/>
        <v>0</v>
      </c>
      <c r="N443" s="919">
        <v>1</v>
      </c>
      <c r="O443" s="919">
        <v>4</v>
      </c>
      <c r="P443" s="921">
        <f t="shared" si="13"/>
        <v>4600</v>
      </c>
    </row>
    <row r="444" spans="1:16" ht="20.100000000000001" customHeight="1" x14ac:dyDescent="0.25">
      <c r="A444" s="918" t="s">
        <v>469</v>
      </c>
      <c r="B444" s="944" t="s">
        <v>3901</v>
      </c>
      <c r="C444" s="919" t="s">
        <v>3902</v>
      </c>
      <c r="D444" s="919" t="s">
        <v>4592</v>
      </c>
      <c r="E444" s="920">
        <v>1150</v>
      </c>
      <c r="F444" s="919" t="s">
        <v>4629</v>
      </c>
      <c r="G444" s="919" t="s">
        <v>4630</v>
      </c>
      <c r="H444" s="919" t="s">
        <v>4592</v>
      </c>
      <c r="I444" s="919" t="s">
        <v>3686</v>
      </c>
      <c r="J444" s="919"/>
      <c r="K444" s="920"/>
      <c r="L444" s="920"/>
      <c r="M444" s="920">
        <f t="shared" si="12"/>
        <v>0</v>
      </c>
      <c r="N444" s="919">
        <v>1</v>
      </c>
      <c r="O444" s="919">
        <v>4</v>
      </c>
      <c r="P444" s="921">
        <f t="shared" si="13"/>
        <v>4600</v>
      </c>
    </row>
    <row r="445" spans="1:16" ht="20.100000000000001" customHeight="1" x14ac:dyDescent="0.25">
      <c r="A445" s="918" t="s">
        <v>469</v>
      </c>
      <c r="B445" s="944" t="s">
        <v>3901</v>
      </c>
      <c r="C445" s="919" t="s">
        <v>3902</v>
      </c>
      <c r="D445" s="919" t="s">
        <v>4109</v>
      </c>
      <c r="E445" s="920">
        <v>1400</v>
      </c>
      <c r="F445" s="919" t="s">
        <v>4631</v>
      </c>
      <c r="G445" s="919" t="s">
        <v>4632</v>
      </c>
      <c r="H445" s="919" t="s">
        <v>4109</v>
      </c>
      <c r="I445" s="919" t="s">
        <v>3686</v>
      </c>
      <c r="J445" s="919"/>
      <c r="K445" s="920"/>
      <c r="L445" s="920"/>
      <c r="M445" s="920">
        <f t="shared" si="12"/>
        <v>0</v>
      </c>
      <c r="N445" s="919">
        <v>1</v>
      </c>
      <c r="O445" s="919">
        <v>5</v>
      </c>
      <c r="P445" s="921">
        <f t="shared" si="13"/>
        <v>7000</v>
      </c>
    </row>
    <row r="446" spans="1:16" ht="20.100000000000001" customHeight="1" x14ac:dyDescent="0.25">
      <c r="A446" s="918" t="s">
        <v>469</v>
      </c>
      <c r="B446" s="944" t="s">
        <v>3901</v>
      </c>
      <c r="C446" s="919" t="s">
        <v>3902</v>
      </c>
      <c r="D446" s="919" t="s">
        <v>4109</v>
      </c>
      <c r="E446" s="920">
        <v>1400</v>
      </c>
      <c r="F446" s="919" t="s">
        <v>4633</v>
      </c>
      <c r="G446" s="919" t="s">
        <v>4634</v>
      </c>
      <c r="H446" s="919" t="s">
        <v>4109</v>
      </c>
      <c r="I446" s="919" t="s">
        <v>3686</v>
      </c>
      <c r="J446" s="919"/>
      <c r="K446" s="920"/>
      <c r="L446" s="920"/>
      <c r="M446" s="920">
        <f t="shared" si="12"/>
        <v>0</v>
      </c>
      <c r="N446" s="919">
        <v>1</v>
      </c>
      <c r="O446" s="919">
        <v>5</v>
      </c>
      <c r="P446" s="921">
        <f t="shared" si="13"/>
        <v>7000</v>
      </c>
    </row>
    <row r="447" spans="1:16" ht="20.100000000000001" customHeight="1" x14ac:dyDescent="0.25">
      <c r="A447" s="918" t="s">
        <v>469</v>
      </c>
      <c r="B447" s="944" t="s">
        <v>3901</v>
      </c>
      <c r="C447" s="919" t="s">
        <v>3902</v>
      </c>
      <c r="D447" s="919" t="s">
        <v>4109</v>
      </c>
      <c r="E447" s="920">
        <v>1400</v>
      </c>
      <c r="F447" s="919" t="s">
        <v>4635</v>
      </c>
      <c r="G447" s="919" t="s">
        <v>4636</v>
      </c>
      <c r="H447" s="919" t="s">
        <v>4109</v>
      </c>
      <c r="I447" s="919" t="s">
        <v>3686</v>
      </c>
      <c r="J447" s="919"/>
      <c r="K447" s="920"/>
      <c r="L447" s="920"/>
      <c r="M447" s="920">
        <f t="shared" si="12"/>
        <v>0</v>
      </c>
      <c r="N447" s="919">
        <v>1</v>
      </c>
      <c r="O447" s="919">
        <v>5</v>
      </c>
      <c r="P447" s="921">
        <f t="shared" si="13"/>
        <v>7000</v>
      </c>
    </row>
    <row r="448" spans="1:16" ht="20.100000000000001" customHeight="1" x14ac:dyDescent="0.25">
      <c r="A448" s="918" t="s">
        <v>469</v>
      </c>
      <c r="B448" s="944" t="s">
        <v>3901</v>
      </c>
      <c r="C448" s="919" t="s">
        <v>3902</v>
      </c>
      <c r="D448" s="919" t="s">
        <v>4109</v>
      </c>
      <c r="E448" s="920">
        <v>1400</v>
      </c>
      <c r="F448" s="919" t="s">
        <v>4637</v>
      </c>
      <c r="G448" s="919" t="s">
        <v>4638</v>
      </c>
      <c r="H448" s="919" t="s">
        <v>4109</v>
      </c>
      <c r="I448" s="919" t="s">
        <v>3686</v>
      </c>
      <c r="J448" s="919"/>
      <c r="K448" s="920"/>
      <c r="L448" s="920"/>
      <c r="M448" s="920">
        <f t="shared" si="12"/>
        <v>0</v>
      </c>
      <c r="N448" s="919">
        <v>1</v>
      </c>
      <c r="O448" s="919">
        <v>5</v>
      </c>
      <c r="P448" s="921">
        <f t="shared" si="13"/>
        <v>7000</v>
      </c>
    </row>
    <row r="449" spans="1:16" ht="20.100000000000001" customHeight="1" x14ac:dyDescent="0.25">
      <c r="A449" s="918" t="s">
        <v>469</v>
      </c>
      <c r="B449" s="944" t="s">
        <v>3901</v>
      </c>
      <c r="C449" s="919" t="s">
        <v>3902</v>
      </c>
      <c r="D449" s="919" t="s">
        <v>4109</v>
      </c>
      <c r="E449" s="920">
        <v>1400</v>
      </c>
      <c r="F449" s="919" t="s">
        <v>4639</v>
      </c>
      <c r="G449" s="919" t="s">
        <v>4640</v>
      </c>
      <c r="H449" s="919" t="s">
        <v>4109</v>
      </c>
      <c r="I449" s="919" t="s">
        <v>3686</v>
      </c>
      <c r="J449" s="919"/>
      <c r="K449" s="920"/>
      <c r="L449" s="920"/>
      <c r="M449" s="920">
        <f t="shared" si="12"/>
        <v>0</v>
      </c>
      <c r="N449" s="919">
        <v>1</v>
      </c>
      <c r="O449" s="919">
        <v>5</v>
      </c>
      <c r="P449" s="921">
        <f t="shared" si="13"/>
        <v>7000</v>
      </c>
    </row>
    <row r="450" spans="1:16" ht="20.100000000000001" customHeight="1" x14ac:dyDescent="0.25">
      <c r="A450" s="918" t="s">
        <v>469</v>
      </c>
      <c r="B450" s="944" t="s">
        <v>3901</v>
      </c>
      <c r="C450" s="919" t="s">
        <v>3902</v>
      </c>
      <c r="D450" s="919" t="s">
        <v>4109</v>
      </c>
      <c r="E450" s="920">
        <v>1400</v>
      </c>
      <c r="F450" s="919" t="s">
        <v>4641</v>
      </c>
      <c r="G450" s="919" t="s">
        <v>4642</v>
      </c>
      <c r="H450" s="919" t="s">
        <v>4109</v>
      </c>
      <c r="I450" s="919" t="s">
        <v>3686</v>
      </c>
      <c r="J450" s="919"/>
      <c r="K450" s="920"/>
      <c r="L450" s="920"/>
      <c r="M450" s="920">
        <f t="shared" si="12"/>
        <v>0</v>
      </c>
      <c r="N450" s="919">
        <v>1</v>
      </c>
      <c r="O450" s="919">
        <v>4</v>
      </c>
      <c r="P450" s="921">
        <f t="shared" si="13"/>
        <v>5600</v>
      </c>
    </row>
    <row r="451" spans="1:16" ht="20.100000000000001" customHeight="1" x14ac:dyDescent="0.25">
      <c r="A451" s="918" t="s">
        <v>469</v>
      </c>
      <c r="B451" s="944" t="s">
        <v>3901</v>
      </c>
      <c r="C451" s="919" t="s">
        <v>3902</v>
      </c>
      <c r="D451" s="919" t="s">
        <v>4109</v>
      </c>
      <c r="E451" s="920">
        <v>1400</v>
      </c>
      <c r="F451" s="919" t="s">
        <v>4643</v>
      </c>
      <c r="G451" s="919" t="s">
        <v>4644</v>
      </c>
      <c r="H451" s="919" t="s">
        <v>4109</v>
      </c>
      <c r="I451" s="919" t="s">
        <v>3686</v>
      </c>
      <c r="J451" s="919"/>
      <c r="K451" s="920"/>
      <c r="L451" s="920"/>
      <c r="M451" s="920">
        <f t="shared" si="12"/>
        <v>0</v>
      </c>
      <c r="N451" s="919">
        <v>1</v>
      </c>
      <c r="O451" s="919">
        <v>5</v>
      </c>
      <c r="P451" s="921">
        <f t="shared" si="13"/>
        <v>7000</v>
      </c>
    </row>
    <row r="452" spans="1:16" ht="20.100000000000001" customHeight="1" x14ac:dyDescent="0.25">
      <c r="A452" s="918" t="s">
        <v>469</v>
      </c>
      <c r="B452" s="944" t="s">
        <v>3901</v>
      </c>
      <c r="C452" s="919" t="s">
        <v>3902</v>
      </c>
      <c r="D452" s="919" t="s">
        <v>4109</v>
      </c>
      <c r="E452" s="920">
        <v>1400</v>
      </c>
      <c r="F452" s="919" t="s">
        <v>4645</v>
      </c>
      <c r="G452" s="919" t="s">
        <v>4646</v>
      </c>
      <c r="H452" s="919" t="s">
        <v>4109</v>
      </c>
      <c r="I452" s="919" t="s">
        <v>3686</v>
      </c>
      <c r="J452" s="919"/>
      <c r="K452" s="920"/>
      <c r="L452" s="920"/>
      <c r="M452" s="920">
        <f t="shared" si="12"/>
        <v>0</v>
      </c>
      <c r="N452" s="919">
        <v>1</v>
      </c>
      <c r="O452" s="919">
        <v>5</v>
      </c>
      <c r="P452" s="921">
        <f t="shared" si="13"/>
        <v>7000</v>
      </c>
    </row>
    <row r="453" spans="1:16" ht="20.100000000000001" customHeight="1" x14ac:dyDescent="0.25">
      <c r="A453" s="918" t="s">
        <v>469</v>
      </c>
      <c r="B453" s="944" t="s">
        <v>3901</v>
      </c>
      <c r="C453" s="919" t="s">
        <v>3902</v>
      </c>
      <c r="D453" s="919" t="s">
        <v>4109</v>
      </c>
      <c r="E453" s="920">
        <v>1400</v>
      </c>
      <c r="F453" s="919" t="s">
        <v>4647</v>
      </c>
      <c r="G453" s="919" t="s">
        <v>4648</v>
      </c>
      <c r="H453" s="919" t="s">
        <v>4109</v>
      </c>
      <c r="I453" s="919" t="s">
        <v>3686</v>
      </c>
      <c r="J453" s="919"/>
      <c r="K453" s="920"/>
      <c r="L453" s="920"/>
      <c r="M453" s="920">
        <f t="shared" si="12"/>
        <v>0</v>
      </c>
      <c r="N453" s="919">
        <v>1</v>
      </c>
      <c r="O453" s="919">
        <v>5</v>
      </c>
      <c r="P453" s="921">
        <f t="shared" si="13"/>
        <v>7000</v>
      </c>
    </row>
    <row r="454" spans="1:16" ht="20.100000000000001" customHeight="1" x14ac:dyDescent="0.25">
      <c r="A454" s="918" t="s">
        <v>469</v>
      </c>
      <c r="B454" s="944" t="s">
        <v>3901</v>
      </c>
      <c r="C454" s="919" t="s">
        <v>3902</v>
      </c>
      <c r="D454" s="919" t="s">
        <v>4109</v>
      </c>
      <c r="E454" s="920">
        <v>1400</v>
      </c>
      <c r="F454" s="919" t="s">
        <v>4649</v>
      </c>
      <c r="G454" s="919" t="s">
        <v>4650</v>
      </c>
      <c r="H454" s="919" t="s">
        <v>4109</v>
      </c>
      <c r="I454" s="919" t="s">
        <v>3686</v>
      </c>
      <c r="J454" s="919"/>
      <c r="K454" s="920"/>
      <c r="L454" s="920"/>
      <c r="M454" s="920">
        <f t="shared" ref="M454:M517" si="14">E454*L454</f>
        <v>0</v>
      </c>
      <c r="N454" s="919">
        <v>1</v>
      </c>
      <c r="O454" s="919">
        <v>1</v>
      </c>
      <c r="P454" s="921">
        <f t="shared" ref="P454:P517" si="15">E454*O454</f>
        <v>1400</v>
      </c>
    </row>
    <row r="455" spans="1:16" ht="20.100000000000001" customHeight="1" x14ac:dyDescent="0.25">
      <c r="A455" s="918" t="s">
        <v>469</v>
      </c>
      <c r="B455" s="944" t="s">
        <v>3901</v>
      </c>
      <c r="C455" s="919" t="s">
        <v>3902</v>
      </c>
      <c r="D455" s="919" t="s">
        <v>4109</v>
      </c>
      <c r="E455" s="920">
        <v>1400</v>
      </c>
      <c r="F455" s="919" t="s">
        <v>4651</v>
      </c>
      <c r="G455" s="919" t="s">
        <v>4652</v>
      </c>
      <c r="H455" s="919" t="s">
        <v>4109</v>
      </c>
      <c r="I455" s="919" t="s">
        <v>3686</v>
      </c>
      <c r="J455" s="919"/>
      <c r="K455" s="920"/>
      <c r="L455" s="920"/>
      <c r="M455" s="920">
        <f t="shared" si="14"/>
        <v>0</v>
      </c>
      <c r="N455" s="919">
        <v>1</v>
      </c>
      <c r="O455" s="919">
        <v>5</v>
      </c>
      <c r="P455" s="921">
        <f t="shared" si="15"/>
        <v>7000</v>
      </c>
    </row>
    <row r="456" spans="1:16" ht="20.100000000000001" customHeight="1" x14ac:dyDescent="0.25">
      <c r="A456" s="918" t="s">
        <v>469</v>
      </c>
      <c r="B456" s="944" t="s">
        <v>3901</v>
      </c>
      <c r="C456" s="919" t="s">
        <v>3902</v>
      </c>
      <c r="D456" s="919" t="s">
        <v>4109</v>
      </c>
      <c r="E456" s="920">
        <v>1400</v>
      </c>
      <c r="F456" s="919" t="s">
        <v>4653</v>
      </c>
      <c r="G456" s="919" t="s">
        <v>4654</v>
      </c>
      <c r="H456" s="919" t="s">
        <v>4109</v>
      </c>
      <c r="I456" s="919" t="s">
        <v>3686</v>
      </c>
      <c r="J456" s="919"/>
      <c r="K456" s="920"/>
      <c r="L456" s="920"/>
      <c r="M456" s="920">
        <f t="shared" si="14"/>
        <v>0</v>
      </c>
      <c r="N456" s="919">
        <v>1</v>
      </c>
      <c r="O456" s="919">
        <v>5</v>
      </c>
      <c r="P456" s="921">
        <f t="shared" si="15"/>
        <v>7000</v>
      </c>
    </row>
    <row r="457" spans="1:16" ht="20.100000000000001" customHeight="1" x14ac:dyDescent="0.25">
      <c r="A457" s="918" t="s">
        <v>469</v>
      </c>
      <c r="B457" s="944" t="s">
        <v>3901</v>
      </c>
      <c r="C457" s="919" t="s">
        <v>3902</v>
      </c>
      <c r="D457" s="919" t="s">
        <v>4109</v>
      </c>
      <c r="E457" s="920">
        <v>1400</v>
      </c>
      <c r="F457" s="919" t="s">
        <v>4655</v>
      </c>
      <c r="G457" s="919" t="s">
        <v>4656</v>
      </c>
      <c r="H457" s="919" t="s">
        <v>4109</v>
      </c>
      <c r="I457" s="919" t="s">
        <v>3686</v>
      </c>
      <c r="J457" s="919"/>
      <c r="K457" s="920"/>
      <c r="L457" s="920"/>
      <c r="M457" s="920">
        <f t="shared" si="14"/>
        <v>0</v>
      </c>
      <c r="N457" s="919">
        <v>1</v>
      </c>
      <c r="O457" s="919">
        <v>5</v>
      </c>
      <c r="P457" s="921">
        <f t="shared" si="15"/>
        <v>7000</v>
      </c>
    </row>
    <row r="458" spans="1:16" ht="20.100000000000001" customHeight="1" x14ac:dyDescent="0.25">
      <c r="A458" s="918" t="s">
        <v>469</v>
      </c>
      <c r="B458" s="944" t="s">
        <v>3901</v>
      </c>
      <c r="C458" s="919" t="s">
        <v>3902</v>
      </c>
      <c r="D458" s="919" t="s">
        <v>4657</v>
      </c>
      <c r="E458" s="920">
        <v>1150</v>
      </c>
      <c r="F458" s="919" t="s">
        <v>4658</v>
      </c>
      <c r="G458" s="919" t="s">
        <v>4659</v>
      </c>
      <c r="H458" s="919" t="s">
        <v>4657</v>
      </c>
      <c r="I458" s="919" t="s">
        <v>3686</v>
      </c>
      <c r="J458" s="919"/>
      <c r="K458" s="920"/>
      <c r="L458" s="920"/>
      <c r="M458" s="920">
        <f t="shared" si="14"/>
        <v>0</v>
      </c>
      <c r="N458" s="919">
        <v>1</v>
      </c>
      <c r="O458" s="919">
        <v>5</v>
      </c>
      <c r="P458" s="921">
        <f t="shared" si="15"/>
        <v>5750</v>
      </c>
    </row>
    <row r="459" spans="1:16" ht="20.100000000000001" customHeight="1" x14ac:dyDescent="0.25">
      <c r="A459" s="918" t="s">
        <v>469</v>
      </c>
      <c r="B459" s="944" t="s">
        <v>3901</v>
      </c>
      <c r="C459" s="919" t="s">
        <v>3902</v>
      </c>
      <c r="D459" s="919" t="s">
        <v>4657</v>
      </c>
      <c r="E459" s="920">
        <v>1150</v>
      </c>
      <c r="F459" s="919" t="s">
        <v>4660</v>
      </c>
      <c r="G459" s="919" t="s">
        <v>4661</v>
      </c>
      <c r="H459" s="919" t="s">
        <v>4657</v>
      </c>
      <c r="I459" s="919" t="s">
        <v>3686</v>
      </c>
      <c r="J459" s="919"/>
      <c r="K459" s="920"/>
      <c r="L459" s="920"/>
      <c r="M459" s="920">
        <f t="shared" si="14"/>
        <v>0</v>
      </c>
      <c r="N459" s="919">
        <v>1</v>
      </c>
      <c r="O459" s="919">
        <v>5</v>
      </c>
      <c r="P459" s="921">
        <f t="shared" si="15"/>
        <v>5750</v>
      </c>
    </row>
    <row r="460" spans="1:16" ht="20.100000000000001" customHeight="1" x14ac:dyDescent="0.25">
      <c r="A460" s="918" t="s">
        <v>469</v>
      </c>
      <c r="B460" s="944" t="s">
        <v>3901</v>
      </c>
      <c r="C460" s="919" t="s">
        <v>3902</v>
      </c>
      <c r="D460" s="919" t="s">
        <v>4657</v>
      </c>
      <c r="E460" s="920">
        <v>1150</v>
      </c>
      <c r="F460" s="919" t="s">
        <v>4662</v>
      </c>
      <c r="G460" s="919" t="s">
        <v>4663</v>
      </c>
      <c r="H460" s="919" t="s">
        <v>4657</v>
      </c>
      <c r="I460" s="919" t="s">
        <v>3686</v>
      </c>
      <c r="J460" s="919"/>
      <c r="K460" s="920"/>
      <c r="L460" s="920"/>
      <c r="M460" s="920">
        <f t="shared" si="14"/>
        <v>0</v>
      </c>
      <c r="N460" s="919">
        <v>1</v>
      </c>
      <c r="O460" s="919">
        <v>4</v>
      </c>
      <c r="P460" s="921">
        <f t="shared" si="15"/>
        <v>4600</v>
      </c>
    </row>
    <row r="461" spans="1:16" ht="20.100000000000001" customHeight="1" x14ac:dyDescent="0.25">
      <c r="A461" s="918" t="s">
        <v>469</v>
      </c>
      <c r="B461" s="944" t="s">
        <v>3901</v>
      </c>
      <c r="C461" s="919" t="s">
        <v>3902</v>
      </c>
      <c r="D461" s="919" t="s">
        <v>4657</v>
      </c>
      <c r="E461" s="920">
        <v>1150</v>
      </c>
      <c r="F461" s="919" t="s">
        <v>4664</v>
      </c>
      <c r="G461" s="919" t="s">
        <v>4665</v>
      </c>
      <c r="H461" s="919" t="s">
        <v>4657</v>
      </c>
      <c r="I461" s="919" t="s">
        <v>3686</v>
      </c>
      <c r="J461" s="919"/>
      <c r="K461" s="920"/>
      <c r="L461" s="920"/>
      <c r="M461" s="920">
        <f t="shared" si="14"/>
        <v>0</v>
      </c>
      <c r="N461" s="919">
        <v>1</v>
      </c>
      <c r="O461" s="919">
        <v>5</v>
      </c>
      <c r="P461" s="921">
        <f t="shared" si="15"/>
        <v>5750</v>
      </c>
    </row>
    <row r="462" spans="1:16" ht="20.100000000000001" customHeight="1" x14ac:dyDescent="0.25">
      <c r="A462" s="918" t="s">
        <v>469</v>
      </c>
      <c r="B462" s="944" t="s">
        <v>3901</v>
      </c>
      <c r="C462" s="919" t="s">
        <v>3902</v>
      </c>
      <c r="D462" s="919" t="s">
        <v>4502</v>
      </c>
      <c r="E462" s="920">
        <v>1150</v>
      </c>
      <c r="F462" s="919" t="s">
        <v>4666</v>
      </c>
      <c r="G462" s="919" t="s">
        <v>4667</v>
      </c>
      <c r="H462" s="919" t="s">
        <v>4502</v>
      </c>
      <c r="I462" s="919" t="s">
        <v>3686</v>
      </c>
      <c r="J462" s="919"/>
      <c r="K462" s="920"/>
      <c r="L462" s="920"/>
      <c r="M462" s="920">
        <f t="shared" si="14"/>
        <v>0</v>
      </c>
      <c r="N462" s="919">
        <v>1</v>
      </c>
      <c r="O462" s="919">
        <v>5</v>
      </c>
      <c r="P462" s="921">
        <f t="shared" si="15"/>
        <v>5750</v>
      </c>
    </row>
    <row r="463" spans="1:16" ht="20.100000000000001" customHeight="1" x14ac:dyDescent="0.25">
      <c r="A463" s="918" t="s">
        <v>469</v>
      </c>
      <c r="B463" s="944" t="s">
        <v>3901</v>
      </c>
      <c r="C463" s="919" t="s">
        <v>3902</v>
      </c>
      <c r="D463" s="919" t="s">
        <v>4502</v>
      </c>
      <c r="E463" s="920">
        <v>1150</v>
      </c>
      <c r="F463" s="919" t="s">
        <v>4668</v>
      </c>
      <c r="G463" s="919" t="s">
        <v>4669</v>
      </c>
      <c r="H463" s="919" t="s">
        <v>4502</v>
      </c>
      <c r="I463" s="919" t="s">
        <v>3686</v>
      </c>
      <c r="J463" s="919"/>
      <c r="K463" s="920"/>
      <c r="L463" s="920"/>
      <c r="M463" s="920">
        <f t="shared" si="14"/>
        <v>0</v>
      </c>
      <c r="N463" s="919">
        <v>1</v>
      </c>
      <c r="O463" s="919">
        <v>5</v>
      </c>
      <c r="P463" s="921">
        <f t="shared" si="15"/>
        <v>5750</v>
      </c>
    </row>
    <row r="464" spans="1:16" ht="20.100000000000001" customHeight="1" x14ac:dyDescent="0.25">
      <c r="A464" s="918" t="s">
        <v>469</v>
      </c>
      <c r="B464" s="944" t="s">
        <v>3901</v>
      </c>
      <c r="C464" s="919" t="s">
        <v>3902</v>
      </c>
      <c r="D464" s="919" t="s">
        <v>4502</v>
      </c>
      <c r="E464" s="920">
        <v>1150</v>
      </c>
      <c r="F464" s="919" t="s">
        <v>4670</v>
      </c>
      <c r="G464" s="919" t="s">
        <v>4671</v>
      </c>
      <c r="H464" s="919" t="s">
        <v>4502</v>
      </c>
      <c r="I464" s="919" t="s">
        <v>3686</v>
      </c>
      <c r="J464" s="919"/>
      <c r="K464" s="920"/>
      <c r="L464" s="920"/>
      <c r="M464" s="920">
        <f t="shared" si="14"/>
        <v>0</v>
      </c>
      <c r="N464" s="919">
        <v>1</v>
      </c>
      <c r="O464" s="919">
        <v>5</v>
      </c>
      <c r="P464" s="921">
        <f t="shared" si="15"/>
        <v>5750</v>
      </c>
    </row>
    <row r="465" spans="1:16" ht="20.100000000000001" customHeight="1" x14ac:dyDescent="0.25">
      <c r="A465" s="918" t="s">
        <v>469</v>
      </c>
      <c r="B465" s="944" t="s">
        <v>3901</v>
      </c>
      <c r="C465" s="919" t="s">
        <v>3902</v>
      </c>
      <c r="D465" s="919" t="s">
        <v>4502</v>
      </c>
      <c r="E465" s="920">
        <v>1150</v>
      </c>
      <c r="F465" s="919" t="s">
        <v>4672</v>
      </c>
      <c r="G465" s="919" t="s">
        <v>4673</v>
      </c>
      <c r="H465" s="919" t="s">
        <v>4502</v>
      </c>
      <c r="I465" s="919" t="s">
        <v>3686</v>
      </c>
      <c r="J465" s="919"/>
      <c r="K465" s="920"/>
      <c r="L465" s="920"/>
      <c r="M465" s="920">
        <f t="shared" si="14"/>
        <v>0</v>
      </c>
      <c r="N465" s="919">
        <v>1</v>
      </c>
      <c r="O465" s="919">
        <v>5</v>
      </c>
      <c r="P465" s="921">
        <f t="shared" si="15"/>
        <v>5750</v>
      </c>
    </row>
    <row r="466" spans="1:16" ht="20.100000000000001" customHeight="1" x14ac:dyDescent="0.25">
      <c r="A466" s="918" t="s">
        <v>469</v>
      </c>
      <c r="B466" s="944" t="s">
        <v>3901</v>
      </c>
      <c r="C466" s="919" t="s">
        <v>3902</v>
      </c>
      <c r="D466" s="919" t="s">
        <v>4502</v>
      </c>
      <c r="E466" s="920">
        <v>1150</v>
      </c>
      <c r="F466" s="919" t="s">
        <v>4674</v>
      </c>
      <c r="G466" s="919" t="s">
        <v>4675</v>
      </c>
      <c r="H466" s="919" t="s">
        <v>4502</v>
      </c>
      <c r="I466" s="919" t="s">
        <v>3686</v>
      </c>
      <c r="J466" s="919"/>
      <c r="K466" s="920"/>
      <c r="L466" s="920"/>
      <c r="M466" s="920">
        <f t="shared" si="14"/>
        <v>0</v>
      </c>
      <c r="N466" s="919">
        <v>1</v>
      </c>
      <c r="O466" s="919">
        <v>5</v>
      </c>
      <c r="P466" s="921">
        <f t="shared" si="15"/>
        <v>5750</v>
      </c>
    </row>
    <row r="467" spans="1:16" ht="20.100000000000001" customHeight="1" x14ac:dyDescent="0.25">
      <c r="A467" s="918" t="s">
        <v>469</v>
      </c>
      <c r="B467" s="944" t="s">
        <v>3901</v>
      </c>
      <c r="C467" s="919" t="s">
        <v>3902</v>
      </c>
      <c r="D467" s="919" t="s">
        <v>4502</v>
      </c>
      <c r="E467" s="920">
        <v>1150</v>
      </c>
      <c r="F467" s="919" t="s">
        <v>4676</v>
      </c>
      <c r="G467" s="919" t="s">
        <v>4677</v>
      </c>
      <c r="H467" s="919" t="s">
        <v>4502</v>
      </c>
      <c r="I467" s="919" t="s">
        <v>3686</v>
      </c>
      <c r="J467" s="919"/>
      <c r="K467" s="920"/>
      <c r="L467" s="920"/>
      <c r="M467" s="920">
        <f t="shared" si="14"/>
        <v>0</v>
      </c>
      <c r="N467" s="919">
        <v>1</v>
      </c>
      <c r="O467" s="919">
        <v>5</v>
      </c>
      <c r="P467" s="921">
        <f t="shared" si="15"/>
        <v>5750</v>
      </c>
    </row>
    <row r="468" spans="1:16" ht="20.100000000000001" customHeight="1" x14ac:dyDescent="0.25">
      <c r="A468" s="918" t="s">
        <v>469</v>
      </c>
      <c r="B468" s="944" t="s">
        <v>3901</v>
      </c>
      <c r="C468" s="919" t="s">
        <v>3902</v>
      </c>
      <c r="D468" s="919" t="s">
        <v>4502</v>
      </c>
      <c r="E468" s="920">
        <v>1150</v>
      </c>
      <c r="F468" s="919" t="s">
        <v>4678</v>
      </c>
      <c r="G468" s="919" t="s">
        <v>4679</v>
      </c>
      <c r="H468" s="919" t="s">
        <v>4502</v>
      </c>
      <c r="I468" s="919" t="s">
        <v>3686</v>
      </c>
      <c r="J468" s="919"/>
      <c r="K468" s="920"/>
      <c r="L468" s="920"/>
      <c r="M468" s="920">
        <f t="shared" si="14"/>
        <v>0</v>
      </c>
      <c r="N468" s="919">
        <v>1</v>
      </c>
      <c r="O468" s="919">
        <v>4</v>
      </c>
      <c r="P468" s="921">
        <f t="shared" si="15"/>
        <v>4600</v>
      </c>
    </row>
    <row r="469" spans="1:16" ht="20.100000000000001" customHeight="1" x14ac:dyDescent="0.25">
      <c r="A469" s="918" t="s">
        <v>469</v>
      </c>
      <c r="B469" s="944" t="s">
        <v>3901</v>
      </c>
      <c r="C469" s="919" t="s">
        <v>3902</v>
      </c>
      <c r="D469" s="919" t="s">
        <v>4502</v>
      </c>
      <c r="E469" s="920">
        <v>1150</v>
      </c>
      <c r="F469" s="919" t="s">
        <v>4680</v>
      </c>
      <c r="G469" s="919" t="s">
        <v>4681</v>
      </c>
      <c r="H469" s="919" t="s">
        <v>4502</v>
      </c>
      <c r="I469" s="919" t="s">
        <v>3686</v>
      </c>
      <c r="J469" s="919"/>
      <c r="K469" s="920"/>
      <c r="L469" s="920"/>
      <c r="M469" s="920">
        <f t="shared" si="14"/>
        <v>0</v>
      </c>
      <c r="N469" s="919">
        <v>1</v>
      </c>
      <c r="O469" s="919">
        <v>5</v>
      </c>
      <c r="P469" s="921">
        <f t="shared" si="15"/>
        <v>5750</v>
      </c>
    </row>
    <row r="470" spans="1:16" ht="20.100000000000001" customHeight="1" x14ac:dyDescent="0.25">
      <c r="A470" s="918" t="s">
        <v>469</v>
      </c>
      <c r="B470" s="944" t="s">
        <v>3901</v>
      </c>
      <c r="C470" s="919" t="s">
        <v>3902</v>
      </c>
      <c r="D470" s="919" t="s">
        <v>4502</v>
      </c>
      <c r="E470" s="920">
        <v>1150</v>
      </c>
      <c r="F470" s="919" t="s">
        <v>4682</v>
      </c>
      <c r="G470" s="919" t="s">
        <v>4683</v>
      </c>
      <c r="H470" s="919" t="s">
        <v>4502</v>
      </c>
      <c r="I470" s="919" t="s">
        <v>3686</v>
      </c>
      <c r="J470" s="919"/>
      <c r="K470" s="920"/>
      <c r="L470" s="920"/>
      <c r="M470" s="920">
        <f t="shared" si="14"/>
        <v>0</v>
      </c>
      <c r="N470" s="919">
        <v>1</v>
      </c>
      <c r="O470" s="919">
        <v>5</v>
      </c>
      <c r="P470" s="921">
        <f t="shared" si="15"/>
        <v>5750</v>
      </c>
    </row>
    <row r="471" spans="1:16" ht="20.100000000000001" customHeight="1" x14ac:dyDescent="0.25">
      <c r="A471" s="918" t="s">
        <v>469</v>
      </c>
      <c r="B471" s="944" t="s">
        <v>3901</v>
      </c>
      <c r="C471" s="919" t="s">
        <v>3902</v>
      </c>
      <c r="D471" s="919" t="s">
        <v>4502</v>
      </c>
      <c r="E471" s="920">
        <v>1150</v>
      </c>
      <c r="F471" s="919" t="s">
        <v>4684</v>
      </c>
      <c r="G471" s="919" t="s">
        <v>4685</v>
      </c>
      <c r="H471" s="919" t="s">
        <v>4502</v>
      </c>
      <c r="I471" s="919" t="s">
        <v>3686</v>
      </c>
      <c r="J471" s="919"/>
      <c r="K471" s="920"/>
      <c r="L471" s="920"/>
      <c r="M471" s="920">
        <f t="shared" si="14"/>
        <v>0</v>
      </c>
      <c r="N471" s="919">
        <v>1</v>
      </c>
      <c r="O471" s="919">
        <v>5</v>
      </c>
      <c r="P471" s="921">
        <f t="shared" si="15"/>
        <v>5750</v>
      </c>
    </row>
    <row r="472" spans="1:16" ht="20.100000000000001" customHeight="1" x14ac:dyDescent="0.25">
      <c r="A472" s="918" t="s">
        <v>469</v>
      </c>
      <c r="B472" s="944" t="s">
        <v>3901</v>
      </c>
      <c r="C472" s="919" t="s">
        <v>3902</v>
      </c>
      <c r="D472" s="919" t="s">
        <v>4502</v>
      </c>
      <c r="E472" s="920">
        <v>1150</v>
      </c>
      <c r="F472" s="919" t="s">
        <v>4686</v>
      </c>
      <c r="G472" s="919" t="s">
        <v>4687</v>
      </c>
      <c r="H472" s="919" t="s">
        <v>4502</v>
      </c>
      <c r="I472" s="919" t="s">
        <v>3686</v>
      </c>
      <c r="J472" s="919"/>
      <c r="K472" s="920"/>
      <c r="L472" s="920"/>
      <c r="M472" s="920">
        <f t="shared" si="14"/>
        <v>0</v>
      </c>
      <c r="N472" s="919">
        <v>1</v>
      </c>
      <c r="O472" s="919">
        <v>5</v>
      </c>
      <c r="P472" s="921">
        <f t="shared" si="15"/>
        <v>5750</v>
      </c>
    </row>
    <row r="473" spans="1:16" ht="20.100000000000001" customHeight="1" x14ac:dyDescent="0.25">
      <c r="A473" s="918" t="s">
        <v>469</v>
      </c>
      <c r="B473" s="944" t="s">
        <v>3901</v>
      </c>
      <c r="C473" s="919" t="s">
        <v>3902</v>
      </c>
      <c r="D473" s="919" t="s">
        <v>4502</v>
      </c>
      <c r="E473" s="920">
        <v>1150</v>
      </c>
      <c r="F473" s="919" t="s">
        <v>4688</v>
      </c>
      <c r="G473" s="919" t="s">
        <v>4689</v>
      </c>
      <c r="H473" s="919" t="s">
        <v>4502</v>
      </c>
      <c r="I473" s="919" t="s">
        <v>3686</v>
      </c>
      <c r="J473" s="919"/>
      <c r="K473" s="920"/>
      <c r="L473" s="920"/>
      <c r="M473" s="920">
        <f t="shared" si="14"/>
        <v>0</v>
      </c>
      <c r="N473" s="919">
        <v>1</v>
      </c>
      <c r="O473" s="919">
        <v>5</v>
      </c>
      <c r="P473" s="921">
        <f t="shared" si="15"/>
        <v>5750</v>
      </c>
    </row>
    <row r="474" spans="1:16" ht="20.100000000000001" customHeight="1" x14ac:dyDescent="0.25">
      <c r="A474" s="918" t="s">
        <v>469</v>
      </c>
      <c r="B474" s="944" t="s">
        <v>3901</v>
      </c>
      <c r="C474" s="919" t="s">
        <v>3902</v>
      </c>
      <c r="D474" s="919" t="s">
        <v>4502</v>
      </c>
      <c r="E474" s="920">
        <v>1150</v>
      </c>
      <c r="F474" s="919" t="s">
        <v>4690</v>
      </c>
      <c r="G474" s="919" t="s">
        <v>4691</v>
      </c>
      <c r="H474" s="919" t="s">
        <v>4502</v>
      </c>
      <c r="I474" s="919" t="s">
        <v>3686</v>
      </c>
      <c r="J474" s="919"/>
      <c r="K474" s="920"/>
      <c r="L474" s="920"/>
      <c r="M474" s="920">
        <f t="shared" si="14"/>
        <v>0</v>
      </c>
      <c r="N474" s="919">
        <v>1</v>
      </c>
      <c r="O474" s="919">
        <v>5</v>
      </c>
      <c r="P474" s="921">
        <f t="shared" si="15"/>
        <v>5750</v>
      </c>
    </row>
    <row r="475" spans="1:16" ht="20.100000000000001" customHeight="1" x14ac:dyDescent="0.25">
      <c r="A475" s="918" t="s">
        <v>469</v>
      </c>
      <c r="B475" s="944" t="s">
        <v>3901</v>
      </c>
      <c r="C475" s="919" t="s">
        <v>3902</v>
      </c>
      <c r="D475" s="919" t="s">
        <v>4502</v>
      </c>
      <c r="E475" s="920">
        <v>1150</v>
      </c>
      <c r="F475" s="919" t="s">
        <v>4692</v>
      </c>
      <c r="G475" s="919" t="s">
        <v>4693</v>
      </c>
      <c r="H475" s="919" t="s">
        <v>4502</v>
      </c>
      <c r="I475" s="919" t="s">
        <v>3686</v>
      </c>
      <c r="J475" s="919"/>
      <c r="K475" s="920"/>
      <c r="L475" s="920"/>
      <c r="M475" s="920">
        <f t="shared" si="14"/>
        <v>0</v>
      </c>
      <c r="N475" s="919">
        <v>1</v>
      </c>
      <c r="O475" s="919">
        <v>5</v>
      </c>
      <c r="P475" s="921">
        <f t="shared" si="15"/>
        <v>5750</v>
      </c>
    </row>
    <row r="476" spans="1:16" ht="20.100000000000001" customHeight="1" x14ac:dyDescent="0.25">
      <c r="A476" s="918" t="s">
        <v>469</v>
      </c>
      <c r="B476" s="944" t="s">
        <v>3901</v>
      </c>
      <c r="C476" s="919" t="s">
        <v>3902</v>
      </c>
      <c r="D476" s="919" t="s">
        <v>4502</v>
      </c>
      <c r="E476" s="920">
        <v>1150</v>
      </c>
      <c r="F476" s="919" t="s">
        <v>4694</v>
      </c>
      <c r="G476" s="919" t="s">
        <v>4695</v>
      </c>
      <c r="H476" s="919" t="s">
        <v>4502</v>
      </c>
      <c r="I476" s="919" t="s">
        <v>3686</v>
      </c>
      <c r="J476" s="919"/>
      <c r="K476" s="920"/>
      <c r="L476" s="920"/>
      <c r="M476" s="920">
        <f t="shared" si="14"/>
        <v>0</v>
      </c>
      <c r="N476" s="919">
        <v>1</v>
      </c>
      <c r="O476" s="919">
        <v>5</v>
      </c>
      <c r="P476" s="921">
        <f t="shared" si="15"/>
        <v>5750</v>
      </c>
    </row>
    <row r="477" spans="1:16" ht="20.100000000000001" customHeight="1" x14ac:dyDescent="0.25">
      <c r="A477" s="918" t="s">
        <v>469</v>
      </c>
      <c r="B477" s="944" t="s">
        <v>3901</v>
      </c>
      <c r="C477" s="919" t="s">
        <v>3902</v>
      </c>
      <c r="D477" s="919" t="s">
        <v>4502</v>
      </c>
      <c r="E477" s="920">
        <v>1150</v>
      </c>
      <c r="F477" s="919" t="s">
        <v>4696</v>
      </c>
      <c r="G477" s="919" t="s">
        <v>4697</v>
      </c>
      <c r="H477" s="919" t="s">
        <v>4502</v>
      </c>
      <c r="I477" s="919" t="s">
        <v>3686</v>
      </c>
      <c r="J477" s="919"/>
      <c r="K477" s="920"/>
      <c r="L477" s="920"/>
      <c r="M477" s="920">
        <f t="shared" si="14"/>
        <v>0</v>
      </c>
      <c r="N477" s="919">
        <v>1</v>
      </c>
      <c r="O477" s="919">
        <v>5</v>
      </c>
      <c r="P477" s="921">
        <f t="shared" si="15"/>
        <v>5750</v>
      </c>
    </row>
    <row r="478" spans="1:16" ht="20.100000000000001" customHeight="1" x14ac:dyDescent="0.25">
      <c r="A478" s="918" t="s">
        <v>469</v>
      </c>
      <c r="B478" s="944" t="s">
        <v>3901</v>
      </c>
      <c r="C478" s="919" t="s">
        <v>3902</v>
      </c>
      <c r="D478" s="919" t="s">
        <v>4502</v>
      </c>
      <c r="E478" s="920">
        <v>1150</v>
      </c>
      <c r="F478" s="919" t="s">
        <v>4698</v>
      </c>
      <c r="G478" s="919" t="s">
        <v>4699</v>
      </c>
      <c r="H478" s="919" t="s">
        <v>4502</v>
      </c>
      <c r="I478" s="919" t="s">
        <v>3686</v>
      </c>
      <c r="J478" s="919"/>
      <c r="K478" s="920"/>
      <c r="L478" s="920"/>
      <c r="M478" s="920">
        <f t="shared" si="14"/>
        <v>0</v>
      </c>
      <c r="N478" s="919">
        <v>1</v>
      </c>
      <c r="O478" s="919">
        <v>5</v>
      </c>
      <c r="P478" s="921">
        <f t="shared" si="15"/>
        <v>5750</v>
      </c>
    </row>
    <row r="479" spans="1:16" ht="20.100000000000001" customHeight="1" x14ac:dyDescent="0.25">
      <c r="A479" s="918" t="s">
        <v>469</v>
      </c>
      <c r="B479" s="944" t="s">
        <v>3901</v>
      </c>
      <c r="C479" s="919" t="s">
        <v>3902</v>
      </c>
      <c r="D479" s="919" t="s">
        <v>4502</v>
      </c>
      <c r="E479" s="920">
        <v>1150</v>
      </c>
      <c r="F479" s="919" t="s">
        <v>4700</v>
      </c>
      <c r="G479" s="919" t="s">
        <v>4701</v>
      </c>
      <c r="H479" s="919" t="s">
        <v>4502</v>
      </c>
      <c r="I479" s="919" t="s">
        <v>3686</v>
      </c>
      <c r="J479" s="919"/>
      <c r="K479" s="920"/>
      <c r="L479" s="920"/>
      <c r="M479" s="920">
        <f t="shared" si="14"/>
        <v>0</v>
      </c>
      <c r="N479" s="919">
        <v>1</v>
      </c>
      <c r="O479" s="919">
        <v>5</v>
      </c>
      <c r="P479" s="921">
        <f t="shared" si="15"/>
        <v>5750</v>
      </c>
    </row>
    <row r="480" spans="1:16" ht="20.100000000000001" customHeight="1" x14ac:dyDescent="0.25">
      <c r="A480" s="918" t="s">
        <v>469</v>
      </c>
      <c r="B480" s="944" t="s">
        <v>3901</v>
      </c>
      <c r="C480" s="919" t="s">
        <v>3902</v>
      </c>
      <c r="D480" s="919" t="s">
        <v>4502</v>
      </c>
      <c r="E480" s="920">
        <v>1150</v>
      </c>
      <c r="F480" s="919" t="s">
        <v>4702</v>
      </c>
      <c r="G480" s="919" t="s">
        <v>4703</v>
      </c>
      <c r="H480" s="919" t="s">
        <v>4502</v>
      </c>
      <c r="I480" s="919" t="s">
        <v>3686</v>
      </c>
      <c r="J480" s="919"/>
      <c r="K480" s="920"/>
      <c r="L480" s="920"/>
      <c r="M480" s="920">
        <f t="shared" si="14"/>
        <v>0</v>
      </c>
      <c r="N480" s="919">
        <v>1</v>
      </c>
      <c r="O480" s="919">
        <v>4</v>
      </c>
      <c r="P480" s="921">
        <f t="shared" si="15"/>
        <v>4600</v>
      </c>
    </row>
    <row r="481" spans="1:16" ht="20.100000000000001" customHeight="1" x14ac:dyDescent="0.25">
      <c r="A481" s="918" t="s">
        <v>469</v>
      </c>
      <c r="B481" s="944" t="s">
        <v>3901</v>
      </c>
      <c r="C481" s="919" t="s">
        <v>3902</v>
      </c>
      <c r="D481" s="919" t="s">
        <v>4502</v>
      </c>
      <c r="E481" s="920">
        <v>1150</v>
      </c>
      <c r="F481" s="919" t="s">
        <v>4704</v>
      </c>
      <c r="G481" s="919" t="s">
        <v>4705</v>
      </c>
      <c r="H481" s="919" t="s">
        <v>4502</v>
      </c>
      <c r="I481" s="919" t="s">
        <v>3686</v>
      </c>
      <c r="J481" s="919"/>
      <c r="K481" s="920"/>
      <c r="L481" s="920"/>
      <c r="M481" s="920">
        <f t="shared" si="14"/>
        <v>0</v>
      </c>
      <c r="N481" s="919">
        <v>1</v>
      </c>
      <c r="O481" s="919">
        <v>5</v>
      </c>
      <c r="P481" s="921">
        <f t="shared" si="15"/>
        <v>5750</v>
      </c>
    </row>
    <row r="482" spans="1:16" ht="20.100000000000001" customHeight="1" x14ac:dyDescent="0.25">
      <c r="A482" s="918" t="s">
        <v>469</v>
      </c>
      <c r="B482" s="944" t="s">
        <v>3901</v>
      </c>
      <c r="C482" s="919" t="s">
        <v>3902</v>
      </c>
      <c r="D482" s="919" t="s">
        <v>4502</v>
      </c>
      <c r="E482" s="920">
        <v>1150</v>
      </c>
      <c r="F482" s="919" t="s">
        <v>4706</v>
      </c>
      <c r="G482" s="919" t="s">
        <v>4707</v>
      </c>
      <c r="H482" s="919" t="s">
        <v>4502</v>
      </c>
      <c r="I482" s="919" t="s">
        <v>3686</v>
      </c>
      <c r="J482" s="919"/>
      <c r="K482" s="920"/>
      <c r="L482" s="920"/>
      <c r="M482" s="920">
        <f t="shared" si="14"/>
        <v>0</v>
      </c>
      <c r="N482" s="919">
        <v>1</v>
      </c>
      <c r="O482" s="919">
        <v>5</v>
      </c>
      <c r="P482" s="921">
        <f t="shared" si="15"/>
        <v>5750</v>
      </c>
    </row>
    <row r="483" spans="1:16" ht="20.100000000000001" customHeight="1" x14ac:dyDescent="0.25">
      <c r="A483" s="918" t="s">
        <v>469</v>
      </c>
      <c r="B483" s="944" t="s">
        <v>3901</v>
      </c>
      <c r="C483" s="919" t="s">
        <v>3902</v>
      </c>
      <c r="D483" s="919" t="s">
        <v>4502</v>
      </c>
      <c r="E483" s="920">
        <v>1150</v>
      </c>
      <c r="F483" s="919" t="s">
        <v>4708</v>
      </c>
      <c r="G483" s="919" t="s">
        <v>4709</v>
      </c>
      <c r="H483" s="919" t="s">
        <v>4502</v>
      </c>
      <c r="I483" s="919" t="s">
        <v>3686</v>
      </c>
      <c r="J483" s="919"/>
      <c r="K483" s="920"/>
      <c r="L483" s="920"/>
      <c r="M483" s="920">
        <f t="shared" si="14"/>
        <v>0</v>
      </c>
      <c r="N483" s="919">
        <v>1</v>
      </c>
      <c r="O483" s="919">
        <v>5</v>
      </c>
      <c r="P483" s="921">
        <f t="shared" si="15"/>
        <v>5750</v>
      </c>
    </row>
    <row r="484" spans="1:16" ht="20.100000000000001" customHeight="1" x14ac:dyDescent="0.25">
      <c r="A484" s="918" t="s">
        <v>469</v>
      </c>
      <c r="B484" s="944" t="s">
        <v>3901</v>
      </c>
      <c r="C484" s="919" t="s">
        <v>3902</v>
      </c>
      <c r="D484" s="919" t="s">
        <v>4502</v>
      </c>
      <c r="E484" s="920">
        <v>1150</v>
      </c>
      <c r="F484" s="919" t="s">
        <v>4710</v>
      </c>
      <c r="G484" s="919" t="s">
        <v>4711</v>
      </c>
      <c r="H484" s="919" t="s">
        <v>4502</v>
      </c>
      <c r="I484" s="919" t="s">
        <v>3686</v>
      </c>
      <c r="J484" s="919"/>
      <c r="K484" s="920"/>
      <c r="L484" s="920"/>
      <c r="M484" s="920">
        <f t="shared" si="14"/>
        <v>0</v>
      </c>
      <c r="N484" s="919">
        <v>1</v>
      </c>
      <c r="O484" s="919">
        <v>5</v>
      </c>
      <c r="P484" s="921">
        <f t="shared" si="15"/>
        <v>5750</v>
      </c>
    </row>
    <row r="485" spans="1:16" ht="20.100000000000001" customHeight="1" x14ac:dyDescent="0.25">
      <c r="A485" s="918" t="s">
        <v>469</v>
      </c>
      <c r="B485" s="944" t="s">
        <v>3901</v>
      </c>
      <c r="C485" s="919" t="s">
        <v>3902</v>
      </c>
      <c r="D485" s="919" t="s">
        <v>4502</v>
      </c>
      <c r="E485" s="920">
        <v>1150</v>
      </c>
      <c r="F485" s="919" t="s">
        <v>4712</v>
      </c>
      <c r="G485" s="919" t="s">
        <v>4713</v>
      </c>
      <c r="H485" s="919" t="s">
        <v>4502</v>
      </c>
      <c r="I485" s="919" t="s">
        <v>3686</v>
      </c>
      <c r="J485" s="919"/>
      <c r="K485" s="920"/>
      <c r="L485" s="920"/>
      <c r="M485" s="920">
        <f t="shared" si="14"/>
        <v>0</v>
      </c>
      <c r="N485" s="919">
        <v>1</v>
      </c>
      <c r="O485" s="919">
        <v>5</v>
      </c>
      <c r="P485" s="921">
        <f t="shared" si="15"/>
        <v>5750</v>
      </c>
    </row>
    <row r="486" spans="1:16" ht="20.100000000000001" customHeight="1" x14ac:dyDescent="0.25">
      <c r="A486" s="918" t="s">
        <v>469</v>
      </c>
      <c r="B486" s="944" t="s">
        <v>3901</v>
      </c>
      <c r="C486" s="919" t="s">
        <v>3902</v>
      </c>
      <c r="D486" s="919" t="s">
        <v>4502</v>
      </c>
      <c r="E486" s="920">
        <v>1150</v>
      </c>
      <c r="F486" s="919" t="s">
        <v>4714</v>
      </c>
      <c r="G486" s="919" t="s">
        <v>4715</v>
      </c>
      <c r="H486" s="919" t="s">
        <v>4502</v>
      </c>
      <c r="I486" s="919" t="s">
        <v>3686</v>
      </c>
      <c r="J486" s="919"/>
      <c r="K486" s="920"/>
      <c r="L486" s="920"/>
      <c r="M486" s="920">
        <f t="shared" si="14"/>
        <v>0</v>
      </c>
      <c r="N486" s="919">
        <v>1</v>
      </c>
      <c r="O486" s="919">
        <v>5</v>
      </c>
      <c r="P486" s="921">
        <f t="shared" si="15"/>
        <v>5750</v>
      </c>
    </row>
    <row r="487" spans="1:16" ht="20.100000000000001" customHeight="1" x14ac:dyDescent="0.25">
      <c r="A487" s="918" t="s">
        <v>469</v>
      </c>
      <c r="B487" s="944" t="s">
        <v>3901</v>
      </c>
      <c r="C487" s="919" t="s">
        <v>3902</v>
      </c>
      <c r="D487" s="919" t="s">
        <v>4502</v>
      </c>
      <c r="E487" s="920">
        <v>1150</v>
      </c>
      <c r="F487" s="919" t="s">
        <v>4716</v>
      </c>
      <c r="G487" s="919" t="s">
        <v>4717</v>
      </c>
      <c r="H487" s="919" t="s">
        <v>4502</v>
      </c>
      <c r="I487" s="919" t="s">
        <v>3686</v>
      </c>
      <c r="J487" s="919"/>
      <c r="K487" s="920"/>
      <c r="L487" s="920"/>
      <c r="M487" s="920">
        <f t="shared" si="14"/>
        <v>0</v>
      </c>
      <c r="N487" s="919">
        <v>1</v>
      </c>
      <c r="O487" s="919">
        <v>5</v>
      </c>
      <c r="P487" s="921">
        <f t="shared" si="15"/>
        <v>5750</v>
      </c>
    </row>
    <row r="488" spans="1:16" ht="20.100000000000001" customHeight="1" x14ac:dyDescent="0.25">
      <c r="A488" s="918" t="s">
        <v>469</v>
      </c>
      <c r="B488" s="944" t="s">
        <v>3901</v>
      </c>
      <c r="C488" s="919" t="s">
        <v>3902</v>
      </c>
      <c r="D488" s="919" t="s">
        <v>4502</v>
      </c>
      <c r="E488" s="920">
        <v>1150</v>
      </c>
      <c r="F488" s="919" t="s">
        <v>4718</v>
      </c>
      <c r="G488" s="919" t="s">
        <v>4719</v>
      </c>
      <c r="H488" s="919" t="s">
        <v>4502</v>
      </c>
      <c r="I488" s="919" t="s">
        <v>3686</v>
      </c>
      <c r="J488" s="919"/>
      <c r="K488" s="920"/>
      <c r="L488" s="920"/>
      <c r="M488" s="920">
        <f t="shared" si="14"/>
        <v>0</v>
      </c>
      <c r="N488" s="919">
        <v>1</v>
      </c>
      <c r="O488" s="919">
        <v>5</v>
      </c>
      <c r="P488" s="921">
        <f t="shared" si="15"/>
        <v>5750</v>
      </c>
    </row>
    <row r="489" spans="1:16" ht="20.100000000000001" customHeight="1" x14ac:dyDescent="0.25">
      <c r="A489" s="918" t="s">
        <v>469</v>
      </c>
      <c r="B489" s="944" t="s">
        <v>3901</v>
      </c>
      <c r="C489" s="919" t="s">
        <v>3902</v>
      </c>
      <c r="D489" s="919" t="s">
        <v>4502</v>
      </c>
      <c r="E489" s="920">
        <v>1150</v>
      </c>
      <c r="F489" s="919" t="s">
        <v>4720</v>
      </c>
      <c r="G489" s="919" t="s">
        <v>4721</v>
      </c>
      <c r="H489" s="919" t="s">
        <v>4502</v>
      </c>
      <c r="I489" s="919" t="s">
        <v>3686</v>
      </c>
      <c r="J489" s="919"/>
      <c r="K489" s="920"/>
      <c r="L489" s="920"/>
      <c r="M489" s="920">
        <f t="shared" si="14"/>
        <v>0</v>
      </c>
      <c r="N489" s="919">
        <v>1</v>
      </c>
      <c r="O489" s="919">
        <v>5</v>
      </c>
      <c r="P489" s="921">
        <f t="shared" si="15"/>
        <v>5750</v>
      </c>
    </row>
    <row r="490" spans="1:16" ht="20.100000000000001" customHeight="1" x14ac:dyDescent="0.25">
      <c r="A490" s="918" t="s">
        <v>469</v>
      </c>
      <c r="B490" s="944" t="s">
        <v>3901</v>
      </c>
      <c r="C490" s="919" t="s">
        <v>3902</v>
      </c>
      <c r="D490" s="919" t="s">
        <v>4502</v>
      </c>
      <c r="E490" s="920">
        <v>1150</v>
      </c>
      <c r="F490" s="919" t="s">
        <v>4722</v>
      </c>
      <c r="G490" s="919" t="s">
        <v>4723</v>
      </c>
      <c r="H490" s="919" t="s">
        <v>4502</v>
      </c>
      <c r="I490" s="919" t="s">
        <v>3686</v>
      </c>
      <c r="J490" s="919"/>
      <c r="K490" s="920"/>
      <c r="L490" s="920"/>
      <c r="M490" s="920">
        <f t="shared" si="14"/>
        <v>0</v>
      </c>
      <c r="N490" s="919">
        <v>1</v>
      </c>
      <c r="O490" s="919">
        <v>5</v>
      </c>
      <c r="P490" s="921">
        <f t="shared" si="15"/>
        <v>5750</v>
      </c>
    </row>
    <row r="491" spans="1:16" ht="20.100000000000001" customHeight="1" x14ac:dyDescent="0.25">
      <c r="A491" s="918" t="s">
        <v>469</v>
      </c>
      <c r="B491" s="944" t="s">
        <v>3901</v>
      </c>
      <c r="C491" s="919" t="s">
        <v>3902</v>
      </c>
      <c r="D491" s="919" t="s">
        <v>4502</v>
      </c>
      <c r="E491" s="920">
        <v>1150</v>
      </c>
      <c r="F491" s="919" t="s">
        <v>4724</v>
      </c>
      <c r="G491" s="919" t="s">
        <v>4725</v>
      </c>
      <c r="H491" s="919" t="s">
        <v>4502</v>
      </c>
      <c r="I491" s="919" t="s">
        <v>3686</v>
      </c>
      <c r="J491" s="919"/>
      <c r="K491" s="920"/>
      <c r="L491" s="920"/>
      <c r="M491" s="920">
        <f t="shared" si="14"/>
        <v>0</v>
      </c>
      <c r="N491" s="919">
        <v>1</v>
      </c>
      <c r="O491" s="919">
        <v>5</v>
      </c>
      <c r="P491" s="921">
        <f t="shared" si="15"/>
        <v>5750</v>
      </c>
    </row>
    <row r="492" spans="1:16" ht="20.100000000000001" customHeight="1" x14ac:dyDescent="0.25">
      <c r="A492" s="918" t="s">
        <v>469</v>
      </c>
      <c r="B492" s="944" t="s">
        <v>3901</v>
      </c>
      <c r="C492" s="919" t="s">
        <v>3902</v>
      </c>
      <c r="D492" s="919" t="s">
        <v>4502</v>
      </c>
      <c r="E492" s="920">
        <v>1150</v>
      </c>
      <c r="F492" s="919" t="s">
        <v>4726</v>
      </c>
      <c r="G492" s="919" t="s">
        <v>4727</v>
      </c>
      <c r="H492" s="919" t="s">
        <v>4502</v>
      </c>
      <c r="I492" s="919" t="s">
        <v>3686</v>
      </c>
      <c r="J492" s="919"/>
      <c r="K492" s="920"/>
      <c r="L492" s="920"/>
      <c r="M492" s="920">
        <f t="shared" si="14"/>
        <v>0</v>
      </c>
      <c r="N492" s="919">
        <v>1</v>
      </c>
      <c r="O492" s="919">
        <v>1</v>
      </c>
      <c r="P492" s="921">
        <f t="shared" si="15"/>
        <v>1150</v>
      </c>
    </row>
    <row r="493" spans="1:16" ht="20.100000000000001" customHeight="1" x14ac:dyDescent="0.25">
      <c r="A493" s="918" t="s">
        <v>469</v>
      </c>
      <c r="B493" s="944" t="s">
        <v>3901</v>
      </c>
      <c r="C493" s="919" t="s">
        <v>3902</v>
      </c>
      <c r="D493" s="919" t="s">
        <v>4502</v>
      </c>
      <c r="E493" s="920">
        <v>1150</v>
      </c>
      <c r="F493" s="919" t="s">
        <v>4728</v>
      </c>
      <c r="G493" s="919" t="s">
        <v>4729</v>
      </c>
      <c r="H493" s="919" t="s">
        <v>4502</v>
      </c>
      <c r="I493" s="919" t="s">
        <v>3686</v>
      </c>
      <c r="J493" s="919"/>
      <c r="K493" s="920"/>
      <c r="L493" s="920"/>
      <c r="M493" s="920">
        <f t="shared" si="14"/>
        <v>0</v>
      </c>
      <c r="N493" s="919">
        <v>1</v>
      </c>
      <c r="O493" s="919">
        <v>3</v>
      </c>
      <c r="P493" s="921">
        <f t="shared" si="15"/>
        <v>3450</v>
      </c>
    </row>
    <row r="494" spans="1:16" ht="20.100000000000001" customHeight="1" x14ac:dyDescent="0.25">
      <c r="A494" s="918" t="s">
        <v>469</v>
      </c>
      <c r="B494" s="944" t="s">
        <v>3901</v>
      </c>
      <c r="C494" s="919" t="s">
        <v>3902</v>
      </c>
      <c r="D494" s="919" t="s">
        <v>4502</v>
      </c>
      <c r="E494" s="920">
        <v>1150</v>
      </c>
      <c r="F494" s="919" t="s">
        <v>4730</v>
      </c>
      <c r="G494" s="919" t="s">
        <v>4731</v>
      </c>
      <c r="H494" s="919" t="s">
        <v>4502</v>
      </c>
      <c r="I494" s="919" t="s">
        <v>3686</v>
      </c>
      <c r="J494" s="919"/>
      <c r="K494" s="920"/>
      <c r="L494" s="920"/>
      <c r="M494" s="920">
        <f t="shared" si="14"/>
        <v>0</v>
      </c>
      <c r="N494" s="919">
        <v>1</v>
      </c>
      <c r="O494" s="919">
        <v>5</v>
      </c>
      <c r="P494" s="921">
        <f t="shared" si="15"/>
        <v>5750</v>
      </c>
    </row>
    <row r="495" spans="1:16" ht="20.100000000000001" customHeight="1" x14ac:dyDescent="0.25">
      <c r="A495" s="918" t="s">
        <v>469</v>
      </c>
      <c r="B495" s="944" t="s">
        <v>3901</v>
      </c>
      <c r="C495" s="919" t="s">
        <v>3902</v>
      </c>
      <c r="D495" s="919" t="s">
        <v>4502</v>
      </c>
      <c r="E495" s="920">
        <v>1150</v>
      </c>
      <c r="F495" s="919" t="s">
        <v>4732</v>
      </c>
      <c r="G495" s="919" t="s">
        <v>4733</v>
      </c>
      <c r="H495" s="919" t="s">
        <v>4502</v>
      </c>
      <c r="I495" s="919" t="s">
        <v>3686</v>
      </c>
      <c r="J495" s="919"/>
      <c r="K495" s="920"/>
      <c r="L495" s="920"/>
      <c r="M495" s="920">
        <f t="shared" si="14"/>
        <v>0</v>
      </c>
      <c r="N495" s="919">
        <v>1</v>
      </c>
      <c r="O495" s="919">
        <v>5</v>
      </c>
      <c r="P495" s="921">
        <f t="shared" si="15"/>
        <v>5750</v>
      </c>
    </row>
    <row r="496" spans="1:16" ht="20.100000000000001" customHeight="1" x14ac:dyDescent="0.25">
      <c r="A496" s="918" t="s">
        <v>469</v>
      </c>
      <c r="B496" s="944" t="s">
        <v>3901</v>
      </c>
      <c r="C496" s="919" t="s">
        <v>3902</v>
      </c>
      <c r="D496" s="919" t="s">
        <v>4502</v>
      </c>
      <c r="E496" s="920">
        <v>1150</v>
      </c>
      <c r="F496" s="919" t="s">
        <v>4734</v>
      </c>
      <c r="G496" s="919" t="s">
        <v>4735</v>
      </c>
      <c r="H496" s="919" t="s">
        <v>4502</v>
      </c>
      <c r="I496" s="919" t="s">
        <v>3686</v>
      </c>
      <c r="J496" s="919"/>
      <c r="K496" s="920"/>
      <c r="L496" s="920"/>
      <c r="M496" s="920">
        <f t="shared" si="14"/>
        <v>0</v>
      </c>
      <c r="N496" s="919">
        <v>1</v>
      </c>
      <c r="O496" s="919">
        <v>5</v>
      </c>
      <c r="P496" s="921">
        <f t="shared" si="15"/>
        <v>5750</v>
      </c>
    </row>
    <row r="497" spans="1:16" ht="20.100000000000001" customHeight="1" x14ac:dyDescent="0.25">
      <c r="A497" s="918" t="s">
        <v>469</v>
      </c>
      <c r="B497" s="944" t="s">
        <v>3901</v>
      </c>
      <c r="C497" s="919" t="s">
        <v>3902</v>
      </c>
      <c r="D497" s="919" t="s">
        <v>4502</v>
      </c>
      <c r="E497" s="920">
        <v>1150</v>
      </c>
      <c r="F497" s="919" t="s">
        <v>4736</v>
      </c>
      <c r="G497" s="919" t="s">
        <v>4737</v>
      </c>
      <c r="H497" s="919" t="s">
        <v>4502</v>
      </c>
      <c r="I497" s="919" t="s">
        <v>3686</v>
      </c>
      <c r="J497" s="919"/>
      <c r="K497" s="920"/>
      <c r="L497" s="920"/>
      <c r="M497" s="920">
        <f t="shared" si="14"/>
        <v>0</v>
      </c>
      <c r="N497" s="919">
        <v>1</v>
      </c>
      <c r="O497" s="919">
        <v>5</v>
      </c>
      <c r="P497" s="921">
        <f t="shared" si="15"/>
        <v>5750</v>
      </c>
    </row>
    <row r="498" spans="1:16" ht="20.100000000000001" customHeight="1" x14ac:dyDescent="0.25">
      <c r="A498" s="918" t="s">
        <v>469</v>
      </c>
      <c r="B498" s="944" t="s">
        <v>3901</v>
      </c>
      <c r="C498" s="919" t="s">
        <v>3902</v>
      </c>
      <c r="D498" s="919" t="s">
        <v>4502</v>
      </c>
      <c r="E498" s="920">
        <v>1150</v>
      </c>
      <c r="F498" s="919" t="s">
        <v>4738</v>
      </c>
      <c r="G498" s="919" t="s">
        <v>4739</v>
      </c>
      <c r="H498" s="919" t="s">
        <v>4502</v>
      </c>
      <c r="I498" s="919" t="s">
        <v>3686</v>
      </c>
      <c r="J498" s="919"/>
      <c r="K498" s="920"/>
      <c r="L498" s="920"/>
      <c r="M498" s="920">
        <f t="shared" si="14"/>
        <v>0</v>
      </c>
      <c r="N498" s="919">
        <v>1</v>
      </c>
      <c r="O498" s="919">
        <v>5</v>
      </c>
      <c r="P498" s="921">
        <f t="shared" si="15"/>
        <v>5750</v>
      </c>
    </row>
    <row r="499" spans="1:16" ht="20.100000000000001" customHeight="1" x14ac:dyDescent="0.25">
      <c r="A499" s="918" t="s">
        <v>469</v>
      </c>
      <c r="B499" s="944" t="s">
        <v>3901</v>
      </c>
      <c r="C499" s="919" t="s">
        <v>3902</v>
      </c>
      <c r="D499" s="919" t="s">
        <v>4502</v>
      </c>
      <c r="E499" s="920">
        <v>1150</v>
      </c>
      <c r="F499" s="919" t="s">
        <v>4740</v>
      </c>
      <c r="G499" s="919" t="s">
        <v>4741</v>
      </c>
      <c r="H499" s="919" t="s">
        <v>4502</v>
      </c>
      <c r="I499" s="919" t="s">
        <v>3686</v>
      </c>
      <c r="J499" s="919"/>
      <c r="K499" s="920"/>
      <c r="L499" s="920"/>
      <c r="M499" s="920">
        <f t="shared" si="14"/>
        <v>0</v>
      </c>
      <c r="N499" s="919">
        <v>1</v>
      </c>
      <c r="O499" s="919">
        <v>5</v>
      </c>
      <c r="P499" s="921">
        <f t="shared" si="15"/>
        <v>5750</v>
      </c>
    </row>
    <row r="500" spans="1:16" ht="20.100000000000001" customHeight="1" x14ac:dyDescent="0.25">
      <c r="A500" s="918" t="s">
        <v>469</v>
      </c>
      <c r="B500" s="944" t="s">
        <v>3901</v>
      </c>
      <c r="C500" s="919" t="s">
        <v>3902</v>
      </c>
      <c r="D500" s="919" t="s">
        <v>4502</v>
      </c>
      <c r="E500" s="920">
        <v>1150</v>
      </c>
      <c r="F500" s="919" t="s">
        <v>4742</v>
      </c>
      <c r="G500" s="919" t="s">
        <v>4743</v>
      </c>
      <c r="H500" s="919" t="s">
        <v>4502</v>
      </c>
      <c r="I500" s="919" t="s">
        <v>3686</v>
      </c>
      <c r="J500" s="919"/>
      <c r="K500" s="920"/>
      <c r="L500" s="920"/>
      <c r="M500" s="920">
        <f t="shared" si="14"/>
        <v>0</v>
      </c>
      <c r="N500" s="919">
        <v>1</v>
      </c>
      <c r="O500" s="919">
        <v>5</v>
      </c>
      <c r="P500" s="921">
        <f t="shared" si="15"/>
        <v>5750</v>
      </c>
    </row>
    <row r="501" spans="1:16" ht="20.100000000000001" customHeight="1" x14ac:dyDescent="0.25">
      <c r="A501" s="918" t="s">
        <v>469</v>
      </c>
      <c r="B501" s="944" t="s">
        <v>3901</v>
      </c>
      <c r="C501" s="919" t="s">
        <v>3902</v>
      </c>
      <c r="D501" s="919" t="s">
        <v>4502</v>
      </c>
      <c r="E501" s="920">
        <v>1150</v>
      </c>
      <c r="F501" s="919" t="s">
        <v>4744</v>
      </c>
      <c r="G501" s="919" t="s">
        <v>4745</v>
      </c>
      <c r="H501" s="919" t="s">
        <v>4502</v>
      </c>
      <c r="I501" s="919" t="s">
        <v>3686</v>
      </c>
      <c r="J501" s="919"/>
      <c r="K501" s="920"/>
      <c r="L501" s="920"/>
      <c r="M501" s="920">
        <f t="shared" si="14"/>
        <v>0</v>
      </c>
      <c r="N501" s="919">
        <v>1</v>
      </c>
      <c r="O501" s="919">
        <v>5</v>
      </c>
      <c r="P501" s="921">
        <f t="shared" si="15"/>
        <v>5750</v>
      </c>
    </row>
    <row r="502" spans="1:16" ht="20.100000000000001" customHeight="1" x14ac:dyDescent="0.25">
      <c r="A502" s="918" t="s">
        <v>469</v>
      </c>
      <c r="B502" s="944" t="s">
        <v>3901</v>
      </c>
      <c r="C502" s="919" t="s">
        <v>3902</v>
      </c>
      <c r="D502" s="919" t="s">
        <v>4502</v>
      </c>
      <c r="E502" s="920">
        <v>1150</v>
      </c>
      <c r="F502" s="919" t="s">
        <v>4746</v>
      </c>
      <c r="G502" s="919" t="s">
        <v>4747</v>
      </c>
      <c r="H502" s="919" t="s">
        <v>4502</v>
      </c>
      <c r="I502" s="919" t="s">
        <v>3686</v>
      </c>
      <c r="J502" s="919"/>
      <c r="K502" s="920"/>
      <c r="L502" s="920"/>
      <c r="M502" s="920">
        <f t="shared" si="14"/>
        <v>0</v>
      </c>
      <c r="N502" s="919">
        <v>1</v>
      </c>
      <c r="O502" s="919">
        <v>5</v>
      </c>
      <c r="P502" s="921">
        <f t="shared" si="15"/>
        <v>5750</v>
      </c>
    </row>
    <row r="503" spans="1:16" ht="20.100000000000001" customHeight="1" x14ac:dyDescent="0.25">
      <c r="A503" s="918" t="s">
        <v>469</v>
      </c>
      <c r="B503" s="944" t="s">
        <v>3901</v>
      </c>
      <c r="C503" s="919" t="s">
        <v>3902</v>
      </c>
      <c r="D503" s="919" t="s">
        <v>4502</v>
      </c>
      <c r="E503" s="920">
        <v>1150</v>
      </c>
      <c r="F503" s="919" t="s">
        <v>4748</v>
      </c>
      <c r="G503" s="919" t="s">
        <v>4749</v>
      </c>
      <c r="H503" s="919" t="s">
        <v>4502</v>
      </c>
      <c r="I503" s="919" t="s">
        <v>3686</v>
      </c>
      <c r="J503" s="919"/>
      <c r="K503" s="920"/>
      <c r="L503" s="920"/>
      <c r="M503" s="920">
        <f t="shared" si="14"/>
        <v>0</v>
      </c>
      <c r="N503" s="919">
        <v>1</v>
      </c>
      <c r="O503" s="919">
        <v>5</v>
      </c>
      <c r="P503" s="921">
        <f t="shared" si="15"/>
        <v>5750</v>
      </c>
    </row>
    <row r="504" spans="1:16" ht="20.100000000000001" customHeight="1" x14ac:dyDescent="0.25">
      <c r="A504" s="918" t="s">
        <v>469</v>
      </c>
      <c r="B504" s="944" t="s">
        <v>3901</v>
      </c>
      <c r="C504" s="919" t="s">
        <v>3902</v>
      </c>
      <c r="D504" s="919" t="s">
        <v>4502</v>
      </c>
      <c r="E504" s="920">
        <v>1150</v>
      </c>
      <c r="F504" s="919" t="s">
        <v>4750</v>
      </c>
      <c r="G504" s="919" t="s">
        <v>4751</v>
      </c>
      <c r="H504" s="919" t="s">
        <v>4502</v>
      </c>
      <c r="I504" s="919" t="s">
        <v>3686</v>
      </c>
      <c r="J504" s="919"/>
      <c r="K504" s="920"/>
      <c r="L504" s="920"/>
      <c r="M504" s="920">
        <f t="shared" si="14"/>
        <v>0</v>
      </c>
      <c r="N504" s="919">
        <v>1</v>
      </c>
      <c r="O504" s="919">
        <v>5</v>
      </c>
      <c r="P504" s="921">
        <f t="shared" si="15"/>
        <v>5750</v>
      </c>
    </row>
    <row r="505" spans="1:16" ht="20.100000000000001" customHeight="1" x14ac:dyDescent="0.25">
      <c r="A505" s="918" t="s">
        <v>469</v>
      </c>
      <c r="B505" s="944" t="s">
        <v>3901</v>
      </c>
      <c r="C505" s="919" t="s">
        <v>3902</v>
      </c>
      <c r="D505" s="919" t="s">
        <v>4502</v>
      </c>
      <c r="E505" s="920">
        <v>1150</v>
      </c>
      <c r="F505" s="919" t="s">
        <v>4752</v>
      </c>
      <c r="G505" s="919" t="s">
        <v>4753</v>
      </c>
      <c r="H505" s="919" t="s">
        <v>4502</v>
      </c>
      <c r="I505" s="919" t="s">
        <v>3686</v>
      </c>
      <c r="J505" s="919"/>
      <c r="K505" s="920"/>
      <c r="L505" s="920"/>
      <c r="M505" s="920">
        <f t="shared" si="14"/>
        <v>0</v>
      </c>
      <c r="N505" s="919">
        <v>1</v>
      </c>
      <c r="O505" s="919">
        <v>5</v>
      </c>
      <c r="P505" s="921">
        <f t="shared" si="15"/>
        <v>5750</v>
      </c>
    </row>
    <row r="506" spans="1:16" ht="20.100000000000001" customHeight="1" x14ac:dyDescent="0.25">
      <c r="A506" s="918" t="s">
        <v>469</v>
      </c>
      <c r="B506" s="944" t="s">
        <v>3901</v>
      </c>
      <c r="C506" s="919" t="s">
        <v>3902</v>
      </c>
      <c r="D506" s="919" t="s">
        <v>4502</v>
      </c>
      <c r="E506" s="920">
        <v>1150</v>
      </c>
      <c r="F506" s="919" t="s">
        <v>4754</v>
      </c>
      <c r="G506" s="919" t="s">
        <v>4755</v>
      </c>
      <c r="H506" s="919" t="s">
        <v>4502</v>
      </c>
      <c r="I506" s="919" t="s">
        <v>3686</v>
      </c>
      <c r="J506" s="919"/>
      <c r="K506" s="920"/>
      <c r="L506" s="920"/>
      <c r="M506" s="920">
        <f t="shared" si="14"/>
        <v>0</v>
      </c>
      <c r="N506" s="919">
        <v>1</v>
      </c>
      <c r="O506" s="919">
        <v>5</v>
      </c>
      <c r="P506" s="921">
        <f t="shared" si="15"/>
        <v>5750</v>
      </c>
    </row>
    <row r="507" spans="1:16" ht="20.100000000000001" customHeight="1" x14ac:dyDescent="0.25">
      <c r="A507" s="918" t="s">
        <v>469</v>
      </c>
      <c r="B507" s="944" t="s">
        <v>3901</v>
      </c>
      <c r="C507" s="919" t="s">
        <v>3902</v>
      </c>
      <c r="D507" s="919" t="s">
        <v>4502</v>
      </c>
      <c r="E507" s="920">
        <v>1150</v>
      </c>
      <c r="F507" s="919" t="s">
        <v>4756</v>
      </c>
      <c r="G507" s="919" t="s">
        <v>4757</v>
      </c>
      <c r="H507" s="919" t="s">
        <v>4502</v>
      </c>
      <c r="I507" s="919" t="s">
        <v>3686</v>
      </c>
      <c r="J507" s="919"/>
      <c r="K507" s="920"/>
      <c r="L507" s="920"/>
      <c r="M507" s="920">
        <f t="shared" si="14"/>
        <v>0</v>
      </c>
      <c r="N507" s="919">
        <v>1</v>
      </c>
      <c r="O507" s="919">
        <v>5</v>
      </c>
      <c r="P507" s="921">
        <f t="shared" si="15"/>
        <v>5750</v>
      </c>
    </row>
    <row r="508" spans="1:16" ht="20.100000000000001" customHeight="1" x14ac:dyDescent="0.25">
      <c r="A508" s="918" t="s">
        <v>469</v>
      </c>
      <c r="B508" s="944" t="s">
        <v>3901</v>
      </c>
      <c r="C508" s="919" t="s">
        <v>3902</v>
      </c>
      <c r="D508" s="919" t="s">
        <v>4502</v>
      </c>
      <c r="E508" s="920">
        <v>1150</v>
      </c>
      <c r="F508" s="919" t="s">
        <v>4758</v>
      </c>
      <c r="G508" s="919" t="s">
        <v>4759</v>
      </c>
      <c r="H508" s="919" t="s">
        <v>4502</v>
      </c>
      <c r="I508" s="919" t="s">
        <v>3686</v>
      </c>
      <c r="J508" s="919"/>
      <c r="K508" s="920"/>
      <c r="L508" s="920"/>
      <c r="M508" s="920">
        <f t="shared" si="14"/>
        <v>0</v>
      </c>
      <c r="N508" s="919">
        <v>1</v>
      </c>
      <c r="O508" s="919">
        <v>5</v>
      </c>
      <c r="P508" s="921">
        <f t="shared" si="15"/>
        <v>5750</v>
      </c>
    </row>
    <row r="509" spans="1:16" ht="20.100000000000001" customHeight="1" x14ac:dyDescent="0.25">
      <c r="A509" s="918" t="s">
        <v>469</v>
      </c>
      <c r="B509" s="944" t="s">
        <v>3901</v>
      </c>
      <c r="C509" s="919" t="s">
        <v>3902</v>
      </c>
      <c r="D509" s="919" t="s">
        <v>4502</v>
      </c>
      <c r="E509" s="920">
        <v>1150</v>
      </c>
      <c r="F509" s="919" t="s">
        <v>4760</v>
      </c>
      <c r="G509" s="919" t="s">
        <v>4761</v>
      </c>
      <c r="H509" s="919" t="s">
        <v>4502</v>
      </c>
      <c r="I509" s="919" t="s">
        <v>3686</v>
      </c>
      <c r="J509" s="919"/>
      <c r="K509" s="920"/>
      <c r="L509" s="920"/>
      <c r="M509" s="920">
        <f t="shared" si="14"/>
        <v>0</v>
      </c>
      <c r="N509" s="919">
        <v>1</v>
      </c>
      <c r="O509" s="919">
        <v>5</v>
      </c>
      <c r="P509" s="921">
        <f t="shared" si="15"/>
        <v>5750</v>
      </c>
    </row>
    <row r="510" spans="1:16" ht="20.100000000000001" customHeight="1" x14ac:dyDescent="0.25">
      <c r="A510" s="918" t="s">
        <v>469</v>
      </c>
      <c r="B510" s="944" t="s">
        <v>3901</v>
      </c>
      <c r="C510" s="919" t="s">
        <v>3902</v>
      </c>
      <c r="D510" s="919" t="s">
        <v>4502</v>
      </c>
      <c r="E510" s="920">
        <v>1150</v>
      </c>
      <c r="F510" s="919" t="s">
        <v>4762</v>
      </c>
      <c r="G510" s="919" t="s">
        <v>4763</v>
      </c>
      <c r="H510" s="919" t="s">
        <v>4502</v>
      </c>
      <c r="I510" s="919" t="s">
        <v>3686</v>
      </c>
      <c r="J510" s="919"/>
      <c r="K510" s="920"/>
      <c r="L510" s="920"/>
      <c r="M510" s="920">
        <f t="shared" si="14"/>
        <v>0</v>
      </c>
      <c r="N510" s="919">
        <v>1</v>
      </c>
      <c r="O510" s="919">
        <v>5</v>
      </c>
      <c r="P510" s="921">
        <f t="shared" si="15"/>
        <v>5750</v>
      </c>
    </row>
    <row r="511" spans="1:16" ht="20.100000000000001" customHeight="1" x14ac:dyDescent="0.25">
      <c r="A511" s="918" t="s">
        <v>469</v>
      </c>
      <c r="B511" s="944" t="s">
        <v>3901</v>
      </c>
      <c r="C511" s="919" t="s">
        <v>3902</v>
      </c>
      <c r="D511" s="919" t="s">
        <v>4502</v>
      </c>
      <c r="E511" s="920">
        <v>1150</v>
      </c>
      <c r="F511" s="919" t="s">
        <v>4764</v>
      </c>
      <c r="G511" s="919" t="s">
        <v>4765</v>
      </c>
      <c r="H511" s="919" t="s">
        <v>4502</v>
      </c>
      <c r="I511" s="919" t="s">
        <v>3686</v>
      </c>
      <c r="J511" s="919"/>
      <c r="K511" s="920"/>
      <c r="L511" s="920"/>
      <c r="M511" s="920">
        <f t="shared" si="14"/>
        <v>0</v>
      </c>
      <c r="N511" s="919">
        <v>1</v>
      </c>
      <c r="O511" s="919">
        <v>5</v>
      </c>
      <c r="P511" s="921">
        <f t="shared" si="15"/>
        <v>5750</v>
      </c>
    </row>
    <row r="512" spans="1:16" ht="20.100000000000001" customHeight="1" x14ac:dyDescent="0.25">
      <c r="A512" s="918" t="s">
        <v>469</v>
      </c>
      <c r="B512" s="944" t="s">
        <v>3901</v>
      </c>
      <c r="C512" s="919" t="s">
        <v>3902</v>
      </c>
      <c r="D512" s="919" t="s">
        <v>4502</v>
      </c>
      <c r="E512" s="920">
        <v>1150</v>
      </c>
      <c r="F512" s="919" t="s">
        <v>4766</v>
      </c>
      <c r="G512" s="919" t="s">
        <v>4767</v>
      </c>
      <c r="H512" s="919" t="s">
        <v>4502</v>
      </c>
      <c r="I512" s="919" t="s">
        <v>3686</v>
      </c>
      <c r="J512" s="919"/>
      <c r="K512" s="920"/>
      <c r="L512" s="920"/>
      <c r="M512" s="920">
        <f t="shared" si="14"/>
        <v>0</v>
      </c>
      <c r="N512" s="919">
        <v>1</v>
      </c>
      <c r="O512" s="919">
        <v>5</v>
      </c>
      <c r="P512" s="921">
        <f t="shared" si="15"/>
        <v>5750</v>
      </c>
    </row>
    <row r="513" spans="1:16" ht="20.100000000000001" customHeight="1" x14ac:dyDescent="0.25">
      <c r="A513" s="918" t="s">
        <v>469</v>
      </c>
      <c r="B513" s="944" t="s">
        <v>3901</v>
      </c>
      <c r="C513" s="919" t="s">
        <v>3902</v>
      </c>
      <c r="D513" s="919" t="s">
        <v>4502</v>
      </c>
      <c r="E513" s="920">
        <v>1150</v>
      </c>
      <c r="F513" s="919" t="s">
        <v>4768</v>
      </c>
      <c r="G513" s="919" t="s">
        <v>4769</v>
      </c>
      <c r="H513" s="919" t="s">
        <v>4502</v>
      </c>
      <c r="I513" s="919" t="s">
        <v>3686</v>
      </c>
      <c r="J513" s="919"/>
      <c r="K513" s="920"/>
      <c r="L513" s="920"/>
      <c r="M513" s="920">
        <f t="shared" si="14"/>
        <v>0</v>
      </c>
      <c r="N513" s="919">
        <v>1</v>
      </c>
      <c r="O513" s="919">
        <v>5</v>
      </c>
      <c r="P513" s="921">
        <f t="shared" si="15"/>
        <v>5750</v>
      </c>
    </row>
    <row r="514" spans="1:16" ht="20.100000000000001" customHeight="1" x14ac:dyDescent="0.25">
      <c r="A514" s="918" t="s">
        <v>469</v>
      </c>
      <c r="B514" s="944" t="s">
        <v>3901</v>
      </c>
      <c r="C514" s="919" t="s">
        <v>3902</v>
      </c>
      <c r="D514" s="919" t="s">
        <v>4502</v>
      </c>
      <c r="E514" s="920">
        <v>1150</v>
      </c>
      <c r="F514" s="919" t="s">
        <v>4770</v>
      </c>
      <c r="G514" s="919" t="s">
        <v>4771</v>
      </c>
      <c r="H514" s="919" t="s">
        <v>4502</v>
      </c>
      <c r="I514" s="919" t="s">
        <v>3686</v>
      </c>
      <c r="J514" s="919"/>
      <c r="K514" s="920"/>
      <c r="L514" s="920"/>
      <c r="M514" s="920">
        <f t="shared" si="14"/>
        <v>0</v>
      </c>
      <c r="N514" s="919">
        <v>1</v>
      </c>
      <c r="O514" s="919">
        <v>5</v>
      </c>
      <c r="P514" s="921">
        <f t="shared" si="15"/>
        <v>5750</v>
      </c>
    </row>
    <row r="515" spans="1:16" ht="20.100000000000001" customHeight="1" x14ac:dyDescent="0.25">
      <c r="A515" s="918" t="s">
        <v>469</v>
      </c>
      <c r="B515" s="944" t="s">
        <v>3901</v>
      </c>
      <c r="C515" s="919" t="s">
        <v>3902</v>
      </c>
      <c r="D515" s="919" t="s">
        <v>4502</v>
      </c>
      <c r="E515" s="920">
        <v>1150</v>
      </c>
      <c r="F515" s="919" t="s">
        <v>4772</v>
      </c>
      <c r="G515" s="919" t="s">
        <v>4773</v>
      </c>
      <c r="H515" s="919" t="s">
        <v>4502</v>
      </c>
      <c r="I515" s="919" t="s">
        <v>3686</v>
      </c>
      <c r="J515" s="919"/>
      <c r="K515" s="920"/>
      <c r="L515" s="920"/>
      <c r="M515" s="920">
        <f t="shared" si="14"/>
        <v>0</v>
      </c>
      <c r="N515" s="919">
        <v>1</v>
      </c>
      <c r="O515" s="919">
        <v>5</v>
      </c>
      <c r="P515" s="921">
        <f t="shared" si="15"/>
        <v>5750</v>
      </c>
    </row>
    <row r="516" spans="1:16" ht="20.100000000000001" customHeight="1" x14ac:dyDescent="0.25">
      <c r="A516" s="918" t="s">
        <v>469</v>
      </c>
      <c r="B516" s="944" t="s">
        <v>3901</v>
      </c>
      <c r="C516" s="919" t="s">
        <v>3902</v>
      </c>
      <c r="D516" s="919" t="s">
        <v>4774</v>
      </c>
      <c r="E516" s="920">
        <v>2000</v>
      </c>
      <c r="F516" s="919" t="s">
        <v>4775</v>
      </c>
      <c r="G516" s="919" t="s">
        <v>4776</v>
      </c>
      <c r="H516" s="919" t="s">
        <v>4774</v>
      </c>
      <c r="I516" s="919" t="s">
        <v>3679</v>
      </c>
      <c r="J516" s="919"/>
      <c r="K516" s="920"/>
      <c r="L516" s="920"/>
      <c r="M516" s="920">
        <f t="shared" si="14"/>
        <v>0</v>
      </c>
      <c r="N516" s="919">
        <v>1</v>
      </c>
      <c r="O516" s="919">
        <v>4</v>
      </c>
      <c r="P516" s="921">
        <f t="shared" si="15"/>
        <v>8000</v>
      </c>
    </row>
    <row r="517" spans="1:16" ht="20.100000000000001" customHeight="1" x14ac:dyDescent="0.25">
      <c r="A517" s="918" t="s">
        <v>469</v>
      </c>
      <c r="B517" s="944" t="s">
        <v>3901</v>
      </c>
      <c r="C517" s="919" t="s">
        <v>3902</v>
      </c>
      <c r="D517" s="919" t="s">
        <v>4777</v>
      </c>
      <c r="E517" s="920">
        <v>2000</v>
      </c>
      <c r="F517" s="919" t="s">
        <v>4778</v>
      </c>
      <c r="G517" s="919" t="s">
        <v>4779</v>
      </c>
      <c r="H517" s="919" t="s">
        <v>4777</v>
      </c>
      <c r="I517" s="919" t="s">
        <v>3679</v>
      </c>
      <c r="J517" s="919"/>
      <c r="K517" s="920"/>
      <c r="L517" s="920"/>
      <c r="M517" s="920">
        <f t="shared" si="14"/>
        <v>0</v>
      </c>
      <c r="N517" s="919">
        <v>1</v>
      </c>
      <c r="O517" s="919">
        <v>5</v>
      </c>
      <c r="P517" s="921">
        <f t="shared" si="15"/>
        <v>10000</v>
      </c>
    </row>
    <row r="518" spans="1:16" ht="20.100000000000001" customHeight="1" x14ac:dyDescent="0.25">
      <c r="A518" s="918" t="s">
        <v>469</v>
      </c>
      <c r="B518" s="944" t="s">
        <v>3901</v>
      </c>
      <c r="C518" s="919" t="s">
        <v>3902</v>
      </c>
      <c r="D518" s="919" t="s">
        <v>4777</v>
      </c>
      <c r="E518" s="920">
        <v>2000</v>
      </c>
      <c r="F518" s="919" t="s">
        <v>4780</v>
      </c>
      <c r="G518" s="919" t="s">
        <v>4781</v>
      </c>
      <c r="H518" s="919" t="s">
        <v>4777</v>
      </c>
      <c r="I518" s="919" t="s">
        <v>3679</v>
      </c>
      <c r="J518" s="919"/>
      <c r="K518" s="920"/>
      <c r="L518" s="920"/>
      <c r="M518" s="920">
        <f t="shared" ref="M518:M581" si="16">E518*L518</f>
        <v>0</v>
      </c>
      <c r="N518" s="919">
        <v>1</v>
      </c>
      <c r="O518" s="919">
        <v>5</v>
      </c>
      <c r="P518" s="921">
        <f t="shared" ref="P518:P581" si="17">E518*O518</f>
        <v>10000</v>
      </c>
    </row>
    <row r="519" spans="1:16" ht="20.100000000000001" customHeight="1" x14ac:dyDescent="0.25">
      <c r="A519" s="918" t="s">
        <v>469</v>
      </c>
      <c r="B519" s="944" t="s">
        <v>3901</v>
      </c>
      <c r="C519" s="919" t="s">
        <v>3902</v>
      </c>
      <c r="D519" s="919" t="s">
        <v>4777</v>
      </c>
      <c r="E519" s="920">
        <v>2000</v>
      </c>
      <c r="F519" s="919" t="s">
        <v>4782</v>
      </c>
      <c r="G519" s="919" t="s">
        <v>4783</v>
      </c>
      <c r="H519" s="919" t="s">
        <v>4777</v>
      </c>
      <c r="I519" s="919" t="s">
        <v>3679</v>
      </c>
      <c r="J519" s="919"/>
      <c r="K519" s="920"/>
      <c r="L519" s="920"/>
      <c r="M519" s="920">
        <f t="shared" si="16"/>
        <v>0</v>
      </c>
      <c r="N519" s="919">
        <v>1</v>
      </c>
      <c r="O519" s="919">
        <v>5</v>
      </c>
      <c r="P519" s="921">
        <f t="shared" si="17"/>
        <v>10000</v>
      </c>
    </row>
    <row r="520" spans="1:16" ht="20.100000000000001" customHeight="1" x14ac:dyDescent="0.25">
      <c r="A520" s="918" t="s">
        <v>469</v>
      </c>
      <c r="B520" s="944" t="s">
        <v>3901</v>
      </c>
      <c r="C520" s="919" t="s">
        <v>3902</v>
      </c>
      <c r="D520" s="919" t="s">
        <v>4777</v>
      </c>
      <c r="E520" s="920">
        <v>2000</v>
      </c>
      <c r="F520" s="919" t="s">
        <v>4784</v>
      </c>
      <c r="G520" s="919" t="s">
        <v>4785</v>
      </c>
      <c r="H520" s="919" t="s">
        <v>4777</v>
      </c>
      <c r="I520" s="919" t="s">
        <v>3679</v>
      </c>
      <c r="J520" s="919"/>
      <c r="K520" s="920"/>
      <c r="L520" s="920"/>
      <c r="M520" s="920">
        <f t="shared" si="16"/>
        <v>0</v>
      </c>
      <c r="N520" s="919">
        <v>1</v>
      </c>
      <c r="O520" s="919">
        <v>5</v>
      </c>
      <c r="P520" s="921">
        <f t="shared" si="17"/>
        <v>10000</v>
      </c>
    </row>
    <row r="521" spans="1:16" ht="20.100000000000001" customHeight="1" x14ac:dyDescent="0.25">
      <c r="A521" s="918" t="s">
        <v>469</v>
      </c>
      <c r="B521" s="944" t="s">
        <v>3901</v>
      </c>
      <c r="C521" s="919" t="s">
        <v>3902</v>
      </c>
      <c r="D521" s="919" t="s">
        <v>4774</v>
      </c>
      <c r="E521" s="920">
        <v>2000</v>
      </c>
      <c r="F521" s="919" t="s">
        <v>4786</v>
      </c>
      <c r="G521" s="919" t="s">
        <v>4787</v>
      </c>
      <c r="H521" s="919" t="s">
        <v>4774</v>
      </c>
      <c r="I521" s="919" t="s">
        <v>3679</v>
      </c>
      <c r="J521" s="919"/>
      <c r="K521" s="920"/>
      <c r="L521" s="920"/>
      <c r="M521" s="920">
        <f t="shared" si="16"/>
        <v>0</v>
      </c>
      <c r="N521" s="919">
        <v>1</v>
      </c>
      <c r="O521" s="919">
        <v>5</v>
      </c>
      <c r="P521" s="921">
        <f t="shared" si="17"/>
        <v>10000</v>
      </c>
    </row>
    <row r="522" spans="1:16" ht="20.100000000000001" customHeight="1" x14ac:dyDescent="0.25">
      <c r="A522" s="918" t="s">
        <v>469</v>
      </c>
      <c r="B522" s="944" t="s">
        <v>3901</v>
      </c>
      <c r="C522" s="919" t="s">
        <v>3902</v>
      </c>
      <c r="D522" s="919" t="s">
        <v>4774</v>
      </c>
      <c r="E522" s="920">
        <v>2000</v>
      </c>
      <c r="F522" s="919" t="s">
        <v>4788</v>
      </c>
      <c r="G522" s="919" t="s">
        <v>4789</v>
      </c>
      <c r="H522" s="919" t="s">
        <v>4774</v>
      </c>
      <c r="I522" s="919" t="s">
        <v>3679</v>
      </c>
      <c r="J522" s="919"/>
      <c r="K522" s="920"/>
      <c r="L522" s="920"/>
      <c r="M522" s="920">
        <f t="shared" si="16"/>
        <v>0</v>
      </c>
      <c r="N522" s="919">
        <v>1</v>
      </c>
      <c r="O522" s="919">
        <v>5</v>
      </c>
      <c r="P522" s="921">
        <f t="shared" si="17"/>
        <v>10000</v>
      </c>
    </row>
    <row r="523" spans="1:16" ht="20.100000000000001" customHeight="1" x14ac:dyDescent="0.25">
      <c r="A523" s="918" t="s">
        <v>469</v>
      </c>
      <c r="B523" s="944" t="s">
        <v>3901</v>
      </c>
      <c r="C523" s="919" t="s">
        <v>3902</v>
      </c>
      <c r="D523" s="919" t="s">
        <v>4777</v>
      </c>
      <c r="E523" s="920">
        <v>2000</v>
      </c>
      <c r="F523" s="919" t="s">
        <v>4790</v>
      </c>
      <c r="G523" s="919" t="s">
        <v>4791</v>
      </c>
      <c r="H523" s="919" t="s">
        <v>4777</v>
      </c>
      <c r="I523" s="919" t="s">
        <v>3679</v>
      </c>
      <c r="J523" s="919"/>
      <c r="K523" s="920"/>
      <c r="L523" s="920"/>
      <c r="M523" s="920">
        <f t="shared" si="16"/>
        <v>0</v>
      </c>
      <c r="N523" s="919">
        <v>1</v>
      </c>
      <c r="O523" s="919">
        <v>5</v>
      </c>
      <c r="P523" s="921">
        <f t="shared" si="17"/>
        <v>10000</v>
      </c>
    </row>
    <row r="524" spans="1:16" ht="20.100000000000001" customHeight="1" x14ac:dyDescent="0.25">
      <c r="A524" s="918" t="s">
        <v>469</v>
      </c>
      <c r="B524" s="944" t="s">
        <v>3901</v>
      </c>
      <c r="C524" s="919" t="s">
        <v>3902</v>
      </c>
      <c r="D524" s="919" t="s">
        <v>4777</v>
      </c>
      <c r="E524" s="920">
        <v>2000</v>
      </c>
      <c r="F524" s="919" t="s">
        <v>4792</v>
      </c>
      <c r="G524" s="919" t="s">
        <v>4793</v>
      </c>
      <c r="H524" s="919" t="s">
        <v>4777</v>
      </c>
      <c r="I524" s="919" t="s">
        <v>3679</v>
      </c>
      <c r="J524" s="919"/>
      <c r="K524" s="920"/>
      <c r="L524" s="920"/>
      <c r="M524" s="920">
        <f t="shared" si="16"/>
        <v>0</v>
      </c>
      <c r="N524" s="919">
        <v>1</v>
      </c>
      <c r="O524" s="919">
        <v>4</v>
      </c>
      <c r="P524" s="921">
        <f t="shared" si="17"/>
        <v>8000</v>
      </c>
    </row>
    <row r="525" spans="1:16" ht="20.100000000000001" customHeight="1" x14ac:dyDescent="0.25">
      <c r="A525" s="918" t="s">
        <v>469</v>
      </c>
      <c r="B525" s="944" t="s">
        <v>3901</v>
      </c>
      <c r="C525" s="919" t="s">
        <v>3902</v>
      </c>
      <c r="D525" s="919" t="s">
        <v>4777</v>
      </c>
      <c r="E525" s="920">
        <v>2000</v>
      </c>
      <c r="F525" s="919" t="s">
        <v>4794</v>
      </c>
      <c r="G525" s="919" t="s">
        <v>4795</v>
      </c>
      <c r="H525" s="919" t="s">
        <v>4777</v>
      </c>
      <c r="I525" s="919" t="s">
        <v>3679</v>
      </c>
      <c r="J525" s="919"/>
      <c r="K525" s="920"/>
      <c r="L525" s="920"/>
      <c r="M525" s="920">
        <f t="shared" si="16"/>
        <v>0</v>
      </c>
      <c r="N525" s="919">
        <v>1</v>
      </c>
      <c r="O525" s="919">
        <v>5</v>
      </c>
      <c r="P525" s="921">
        <f t="shared" si="17"/>
        <v>10000</v>
      </c>
    </row>
    <row r="526" spans="1:16" ht="20.100000000000001" customHeight="1" x14ac:dyDescent="0.25">
      <c r="A526" s="918" t="s">
        <v>469</v>
      </c>
      <c r="B526" s="944" t="s">
        <v>3901</v>
      </c>
      <c r="C526" s="919" t="s">
        <v>3902</v>
      </c>
      <c r="D526" s="919" t="s">
        <v>4777</v>
      </c>
      <c r="E526" s="920">
        <v>2000</v>
      </c>
      <c r="F526" s="919" t="s">
        <v>4796</v>
      </c>
      <c r="G526" s="919" t="s">
        <v>4797</v>
      </c>
      <c r="H526" s="919" t="s">
        <v>4777</v>
      </c>
      <c r="I526" s="919" t="s">
        <v>3679</v>
      </c>
      <c r="J526" s="919"/>
      <c r="K526" s="920"/>
      <c r="L526" s="920"/>
      <c r="M526" s="920">
        <f t="shared" si="16"/>
        <v>0</v>
      </c>
      <c r="N526" s="919">
        <v>1</v>
      </c>
      <c r="O526" s="919">
        <v>5</v>
      </c>
      <c r="P526" s="921">
        <f t="shared" si="17"/>
        <v>10000</v>
      </c>
    </row>
    <row r="527" spans="1:16" ht="20.100000000000001" customHeight="1" x14ac:dyDescent="0.25">
      <c r="A527" s="918" t="s">
        <v>469</v>
      </c>
      <c r="B527" s="944" t="s">
        <v>3901</v>
      </c>
      <c r="C527" s="919" t="s">
        <v>3902</v>
      </c>
      <c r="D527" s="919" t="s">
        <v>4777</v>
      </c>
      <c r="E527" s="920">
        <v>2000</v>
      </c>
      <c r="F527" s="919" t="s">
        <v>4798</v>
      </c>
      <c r="G527" s="919" t="s">
        <v>4799</v>
      </c>
      <c r="H527" s="919" t="s">
        <v>4777</v>
      </c>
      <c r="I527" s="919" t="s">
        <v>3679</v>
      </c>
      <c r="J527" s="919"/>
      <c r="K527" s="920"/>
      <c r="L527" s="920"/>
      <c r="M527" s="920">
        <f t="shared" si="16"/>
        <v>0</v>
      </c>
      <c r="N527" s="919">
        <v>1</v>
      </c>
      <c r="O527" s="919">
        <v>5</v>
      </c>
      <c r="P527" s="921">
        <f t="shared" si="17"/>
        <v>10000</v>
      </c>
    </row>
    <row r="528" spans="1:16" ht="20.100000000000001" customHeight="1" x14ac:dyDescent="0.25">
      <c r="A528" s="918" t="s">
        <v>469</v>
      </c>
      <c r="B528" s="944" t="s">
        <v>3901</v>
      </c>
      <c r="C528" s="919" t="s">
        <v>3902</v>
      </c>
      <c r="D528" s="919" t="s">
        <v>4777</v>
      </c>
      <c r="E528" s="920">
        <v>2000</v>
      </c>
      <c r="F528" s="919" t="s">
        <v>4800</v>
      </c>
      <c r="G528" s="919" t="s">
        <v>4801</v>
      </c>
      <c r="H528" s="919" t="s">
        <v>4777</v>
      </c>
      <c r="I528" s="919" t="s">
        <v>3679</v>
      </c>
      <c r="J528" s="919"/>
      <c r="K528" s="920"/>
      <c r="L528" s="920"/>
      <c r="M528" s="920">
        <f t="shared" si="16"/>
        <v>0</v>
      </c>
      <c r="N528" s="919">
        <v>1</v>
      </c>
      <c r="O528" s="919">
        <v>5</v>
      </c>
      <c r="P528" s="921">
        <f t="shared" si="17"/>
        <v>10000</v>
      </c>
    </row>
    <row r="529" spans="1:16" ht="20.100000000000001" customHeight="1" x14ac:dyDescent="0.25">
      <c r="A529" s="918" t="s">
        <v>469</v>
      </c>
      <c r="B529" s="944" t="s">
        <v>3901</v>
      </c>
      <c r="C529" s="919" t="s">
        <v>3902</v>
      </c>
      <c r="D529" s="919" t="s">
        <v>4774</v>
      </c>
      <c r="E529" s="920">
        <v>2000</v>
      </c>
      <c r="F529" s="919" t="s">
        <v>4802</v>
      </c>
      <c r="G529" s="919" t="s">
        <v>4803</v>
      </c>
      <c r="H529" s="919" t="s">
        <v>4774</v>
      </c>
      <c r="I529" s="919" t="s">
        <v>3679</v>
      </c>
      <c r="J529" s="919"/>
      <c r="K529" s="920"/>
      <c r="L529" s="920"/>
      <c r="M529" s="920">
        <f t="shared" si="16"/>
        <v>0</v>
      </c>
      <c r="N529" s="919">
        <v>1</v>
      </c>
      <c r="O529" s="919">
        <v>5</v>
      </c>
      <c r="P529" s="921">
        <f t="shared" si="17"/>
        <v>10000</v>
      </c>
    </row>
    <row r="530" spans="1:16" ht="20.100000000000001" customHeight="1" x14ac:dyDescent="0.25">
      <c r="A530" s="918" t="s">
        <v>469</v>
      </c>
      <c r="B530" s="944" t="s">
        <v>3901</v>
      </c>
      <c r="C530" s="919" t="s">
        <v>3902</v>
      </c>
      <c r="D530" s="919" t="s">
        <v>4777</v>
      </c>
      <c r="E530" s="920">
        <v>2000</v>
      </c>
      <c r="F530" s="919" t="s">
        <v>4804</v>
      </c>
      <c r="G530" s="919" t="s">
        <v>4805</v>
      </c>
      <c r="H530" s="919" t="s">
        <v>4777</v>
      </c>
      <c r="I530" s="919" t="s">
        <v>3679</v>
      </c>
      <c r="J530" s="919"/>
      <c r="K530" s="920"/>
      <c r="L530" s="920"/>
      <c r="M530" s="920">
        <f t="shared" si="16"/>
        <v>0</v>
      </c>
      <c r="N530" s="919">
        <v>1</v>
      </c>
      <c r="O530" s="919">
        <v>4</v>
      </c>
      <c r="P530" s="921">
        <f t="shared" si="17"/>
        <v>8000</v>
      </c>
    </row>
    <row r="531" spans="1:16" ht="20.100000000000001" customHeight="1" x14ac:dyDescent="0.25">
      <c r="A531" s="918" t="s">
        <v>469</v>
      </c>
      <c r="B531" s="944" t="s">
        <v>3901</v>
      </c>
      <c r="C531" s="919" t="s">
        <v>3902</v>
      </c>
      <c r="D531" s="919" t="s">
        <v>4777</v>
      </c>
      <c r="E531" s="920">
        <v>2000</v>
      </c>
      <c r="F531" s="919" t="s">
        <v>4806</v>
      </c>
      <c r="G531" s="919" t="s">
        <v>4807</v>
      </c>
      <c r="H531" s="919" t="s">
        <v>4777</v>
      </c>
      <c r="I531" s="919" t="s">
        <v>3679</v>
      </c>
      <c r="J531" s="919"/>
      <c r="K531" s="920"/>
      <c r="L531" s="920"/>
      <c r="M531" s="920">
        <f t="shared" si="16"/>
        <v>0</v>
      </c>
      <c r="N531" s="919">
        <v>1</v>
      </c>
      <c r="O531" s="919">
        <v>5</v>
      </c>
      <c r="P531" s="921">
        <f t="shared" si="17"/>
        <v>10000</v>
      </c>
    </row>
    <row r="532" spans="1:16" ht="20.100000000000001" customHeight="1" x14ac:dyDescent="0.25">
      <c r="A532" s="918" t="s">
        <v>469</v>
      </c>
      <c r="B532" s="944" t="s">
        <v>3901</v>
      </c>
      <c r="C532" s="919" t="s">
        <v>3902</v>
      </c>
      <c r="D532" s="919" t="s">
        <v>4777</v>
      </c>
      <c r="E532" s="920">
        <v>2000</v>
      </c>
      <c r="F532" s="919" t="s">
        <v>4808</v>
      </c>
      <c r="G532" s="919" t="s">
        <v>4809</v>
      </c>
      <c r="H532" s="919" t="s">
        <v>4777</v>
      </c>
      <c r="I532" s="919" t="s">
        <v>3679</v>
      </c>
      <c r="J532" s="919"/>
      <c r="K532" s="920"/>
      <c r="L532" s="920"/>
      <c r="M532" s="920">
        <f t="shared" si="16"/>
        <v>0</v>
      </c>
      <c r="N532" s="919">
        <v>1</v>
      </c>
      <c r="O532" s="919">
        <v>5</v>
      </c>
      <c r="P532" s="921">
        <f t="shared" si="17"/>
        <v>10000</v>
      </c>
    </row>
    <row r="533" spans="1:16" ht="20.100000000000001" customHeight="1" x14ac:dyDescent="0.25">
      <c r="A533" s="918" t="s">
        <v>469</v>
      </c>
      <c r="B533" s="944" t="s">
        <v>3901</v>
      </c>
      <c r="C533" s="919" t="s">
        <v>3902</v>
      </c>
      <c r="D533" s="919" t="s">
        <v>4777</v>
      </c>
      <c r="E533" s="920">
        <v>2000</v>
      </c>
      <c r="F533" s="919" t="s">
        <v>4810</v>
      </c>
      <c r="G533" s="919" t="s">
        <v>4811</v>
      </c>
      <c r="H533" s="919" t="s">
        <v>4777</v>
      </c>
      <c r="I533" s="919" t="s">
        <v>3679</v>
      </c>
      <c r="J533" s="919"/>
      <c r="K533" s="920"/>
      <c r="L533" s="920"/>
      <c r="M533" s="920">
        <f t="shared" si="16"/>
        <v>0</v>
      </c>
      <c r="N533" s="919">
        <v>1</v>
      </c>
      <c r="O533" s="919">
        <v>5</v>
      </c>
      <c r="P533" s="921">
        <f t="shared" si="17"/>
        <v>10000</v>
      </c>
    </row>
    <row r="534" spans="1:16" ht="20.100000000000001" customHeight="1" x14ac:dyDescent="0.25">
      <c r="A534" s="918" t="s">
        <v>469</v>
      </c>
      <c r="B534" s="944" t="s">
        <v>3901</v>
      </c>
      <c r="C534" s="919" t="s">
        <v>3902</v>
      </c>
      <c r="D534" s="919" t="s">
        <v>4812</v>
      </c>
      <c r="E534" s="920">
        <v>2000</v>
      </c>
      <c r="F534" s="919" t="s">
        <v>4813</v>
      </c>
      <c r="G534" s="919" t="s">
        <v>4814</v>
      </c>
      <c r="H534" s="919" t="s">
        <v>4812</v>
      </c>
      <c r="I534" s="919" t="s">
        <v>3679</v>
      </c>
      <c r="J534" s="919"/>
      <c r="K534" s="920"/>
      <c r="L534" s="920"/>
      <c r="M534" s="920">
        <f t="shared" si="16"/>
        <v>0</v>
      </c>
      <c r="N534" s="919">
        <v>1</v>
      </c>
      <c r="O534" s="919">
        <v>4</v>
      </c>
      <c r="P534" s="921">
        <f t="shared" si="17"/>
        <v>8000</v>
      </c>
    </row>
    <row r="535" spans="1:16" ht="20.100000000000001" customHeight="1" x14ac:dyDescent="0.25">
      <c r="A535" s="918" t="s">
        <v>469</v>
      </c>
      <c r="B535" s="944" t="s">
        <v>3901</v>
      </c>
      <c r="C535" s="919" t="s">
        <v>3902</v>
      </c>
      <c r="D535" s="919" t="s">
        <v>4815</v>
      </c>
      <c r="E535" s="920">
        <v>2000</v>
      </c>
      <c r="F535" s="919" t="s">
        <v>4816</v>
      </c>
      <c r="G535" s="919" t="s">
        <v>4817</v>
      </c>
      <c r="H535" s="919" t="s">
        <v>4815</v>
      </c>
      <c r="I535" s="919" t="s">
        <v>3679</v>
      </c>
      <c r="J535" s="919"/>
      <c r="K535" s="920"/>
      <c r="L535" s="920"/>
      <c r="M535" s="920">
        <f t="shared" si="16"/>
        <v>0</v>
      </c>
      <c r="N535" s="919">
        <v>1</v>
      </c>
      <c r="O535" s="919">
        <v>4</v>
      </c>
      <c r="P535" s="921">
        <f t="shared" si="17"/>
        <v>8000</v>
      </c>
    </row>
    <row r="536" spans="1:16" ht="20.100000000000001" customHeight="1" x14ac:dyDescent="0.25">
      <c r="A536" s="918" t="s">
        <v>469</v>
      </c>
      <c r="B536" s="944" t="s">
        <v>3901</v>
      </c>
      <c r="C536" s="919" t="s">
        <v>3902</v>
      </c>
      <c r="D536" s="919" t="s">
        <v>4347</v>
      </c>
      <c r="E536" s="920">
        <v>3000</v>
      </c>
      <c r="F536" s="919" t="s">
        <v>4818</v>
      </c>
      <c r="G536" s="919" t="s">
        <v>4819</v>
      </c>
      <c r="H536" s="919" t="s">
        <v>4347</v>
      </c>
      <c r="I536" s="919" t="s">
        <v>3679</v>
      </c>
      <c r="J536" s="919"/>
      <c r="K536" s="920"/>
      <c r="L536" s="920"/>
      <c r="M536" s="920">
        <f t="shared" si="16"/>
        <v>0</v>
      </c>
      <c r="N536" s="919">
        <v>1</v>
      </c>
      <c r="O536" s="919">
        <v>1</v>
      </c>
      <c r="P536" s="921">
        <f t="shared" si="17"/>
        <v>3000</v>
      </c>
    </row>
    <row r="537" spans="1:16" ht="20.100000000000001" customHeight="1" x14ac:dyDescent="0.25">
      <c r="A537" s="918" t="s">
        <v>469</v>
      </c>
      <c r="B537" s="944" t="s">
        <v>3901</v>
      </c>
      <c r="C537" s="919" t="s">
        <v>3902</v>
      </c>
      <c r="D537" s="919" t="s">
        <v>4820</v>
      </c>
      <c r="E537" s="920">
        <v>2600</v>
      </c>
      <c r="F537" s="919" t="s">
        <v>4821</v>
      </c>
      <c r="G537" s="919" t="s">
        <v>4822</v>
      </c>
      <c r="H537" s="919" t="s">
        <v>4820</v>
      </c>
      <c r="I537" s="919" t="s">
        <v>3679</v>
      </c>
      <c r="J537" s="919"/>
      <c r="K537" s="920"/>
      <c r="L537" s="920"/>
      <c r="M537" s="920">
        <f t="shared" si="16"/>
        <v>0</v>
      </c>
      <c r="N537" s="919">
        <v>1</v>
      </c>
      <c r="O537" s="919">
        <v>5</v>
      </c>
      <c r="P537" s="921">
        <f t="shared" si="17"/>
        <v>13000</v>
      </c>
    </row>
    <row r="538" spans="1:16" ht="20.100000000000001" customHeight="1" x14ac:dyDescent="0.25">
      <c r="A538" s="918" t="s">
        <v>469</v>
      </c>
      <c r="B538" s="944" t="s">
        <v>3901</v>
      </c>
      <c r="C538" s="919" t="s">
        <v>3902</v>
      </c>
      <c r="D538" s="919" t="s">
        <v>4823</v>
      </c>
      <c r="E538" s="920">
        <v>2600</v>
      </c>
      <c r="F538" s="919" t="s">
        <v>4824</v>
      </c>
      <c r="G538" s="919" t="s">
        <v>4825</v>
      </c>
      <c r="H538" s="919" t="s">
        <v>4823</v>
      </c>
      <c r="I538" s="919" t="s">
        <v>3679</v>
      </c>
      <c r="J538" s="919"/>
      <c r="K538" s="920"/>
      <c r="L538" s="920"/>
      <c r="M538" s="920">
        <f t="shared" si="16"/>
        <v>0</v>
      </c>
      <c r="N538" s="919">
        <v>1</v>
      </c>
      <c r="O538" s="919">
        <v>5</v>
      </c>
      <c r="P538" s="921">
        <f t="shared" si="17"/>
        <v>13000</v>
      </c>
    </row>
    <row r="539" spans="1:16" ht="20.100000000000001" customHeight="1" x14ac:dyDescent="0.25">
      <c r="A539" s="918" t="s">
        <v>469</v>
      </c>
      <c r="B539" s="944" t="s">
        <v>3901</v>
      </c>
      <c r="C539" s="919" t="s">
        <v>3902</v>
      </c>
      <c r="D539" s="919" t="s">
        <v>4823</v>
      </c>
      <c r="E539" s="920">
        <v>2600</v>
      </c>
      <c r="F539" s="919" t="s">
        <v>4826</v>
      </c>
      <c r="G539" s="919" t="s">
        <v>4827</v>
      </c>
      <c r="H539" s="919" t="s">
        <v>4823</v>
      </c>
      <c r="I539" s="919" t="s">
        <v>3679</v>
      </c>
      <c r="J539" s="919"/>
      <c r="K539" s="920"/>
      <c r="L539" s="920"/>
      <c r="M539" s="920">
        <f t="shared" si="16"/>
        <v>0</v>
      </c>
      <c r="N539" s="919">
        <v>1</v>
      </c>
      <c r="O539" s="919">
        <v>5</v>
      </c>
      <c r="P539" s="921">
        <f t="shared" si="17"/>
        <v>13000</v>
      </c>
    </row>
    <row r="540" spans="1:16" ht="20.100000000000001" customHeight="1" x14ac:dyDescent="0.25">
      <c r="A540" s="918" t="s">
        <v>469</v>
      </c>
      <c r="B540" s="944" t="s">
        <v>3901</v>
      </c>
      <c r="C540" s="919" t="s">
        <v>3902</v>
      </c>
      <c r="D540" s="919" t="s">
        <v>4823</v>
      </c>
      <c r="E540" s="920">
        <v>2600</v>
      </c>
      <c r="F540" s="919" t="s">
        <v>4828</v>
      </c>
      <c r="G540" s="919" t="s">
        <v>4829</v>
      </c>
      <c r="H540" s="919" t="s">
        <v>4823</v>
      </c>
      <c r="I540" s="919" t="s">
        <v>3679</v>
      </c>
      <c r="J540" s="919"/>
      <c r="K540" s="920"/>
      <c r="L540" s="920"/>
      <c r="M540" s="920">
        <f t="shared" si="16"/>
        <v>0</v>
      </c>
      <c r="N540" s="919">
        <v>1</v>
      </c>
      <c r="O540" s="919">
        <v>3</v>
      </c>
      <c r="P540" s="921">
        <f t="shared" si="17"/>
        <v>7800</v>
      </c>
    </row>
    <row r="541" spans="1:16" ht="20.100000000000001" customHeight="1" x14ac:dyDescent="0.25">
      <c r="A541" s="918" t="s">
        <v>469</v>
      </c>
      <c r="B541" s="944" t="s">
        <v>3901</v>
      </c>
      <c r="C541" s="919" t="s">
        <v>3902</v>
      </c>
      <c r="D541" s="919" t="s">
        <v>4823</v>
      </c>
      <c r="E541" s="920">
        <v>2600</v>
      </c>
      <c r="F541" s="919" t="s">
        <v>4830</v>
      </c>
      <c r="G541" s="919" t="s">
        <v>4831</v>
      </c>
      <c r="H541" s="919" t="s">
        <v>4823</v>
      </c>
      <c r="I541" s="919" t="s">
        <v>3679</v>
      </c>
      <c r="J541" s="919"/>
      <c r="K541" s="920"/>
      <c r="L541" s="920"/>
      <c r="M541" s="920">
        <f t="shared" si="16"/>
        <v>0</v>
      </c>
      <c r="N541" s="919">
        <v>1</v>
      </c>
      <c r="O541" s="919">
        <v>3</v>
      </c>
      <c r="P541" s="921">
        <f t="shared" si="17"/>
        <v>7800</v>
      </c>
    </row>
    <row r="542" spans="1:16" ht="20.100000000000001" customHeight="1" x14ac:dyDescent="0.25">
      <c r="A542" s="918" t="s">
        <v>469</v>
      </c>
      <c r="B542" s="944" t="s">
        <v>3901</v>
      </c>
      <c r="C542" s="919" t="s">
        <v>3902</v>
      </c>
      <c r="D542" s="919" t="s">
        <v>4832</v>
      </c>
      <c r="E542" s="920">
        <v>4000</v>
      </c>
      <c r="F542" s="919" t="s">
        <v>4833</v>
      </c>
      <c r="G542" s="919" t="s">
        <v>4834</v>
      </c>
      <c r="H542" s="919" t="s">
        <v>4832</v>
      </c>
      <c r="I542" s="919" t="s">
        <v>3679</v>
      </c>
      <c r="J542" s="919"/>
      <c r="K542" s="920"/>
      <c r="L542" s="920"/>
      <c r="M542" s="920">
        <f t="shared" si="16"/>
        <v>0</v>
      </c>
      <c r="N542" s="919">
        <v>1</v>
      </c>
      <c r="O542" s="919">
        <v>4</v>
      </c>
      <c r="P542" s="921">
        <f t="shared" si="17"/>
        <v>16000</v>
      </c>
    </row>
    <row r="543" spans="1:16" ht="20.100000000000001" customHeight="1" x14ac:dyDescent="0.25">
      <c r="A543" s="918" t="s">
        <v>469</v>
      </c>
      <c r="B543" s="944" t="s">
        <v>3901</v>
      </c>
      <c r="C543" s="919" t="s">
        <v>3902</v>
      </c>
      <c r="D543" s="919" t="s">
        <v>4835</v>
      </c>
      <c r="E543" s="920">
        <v>4000</v>
      </c>
      <c r="F543" s="919" t="s">
        <v>4836</v>
      </c>
      <c r="G543" s="919" t="s">
        <v>4837</v>
      </c>
      <c r="H543" s="919" t="s">
        <v>4835</v>
      </c>
      <c r="I543" s="919" t="s">
        <v>3679</v>
      </c>
      <c r="J543" s="919"/>
      <c r="K543" s="920"/>
      <c r="L543" s="920"/>
      <c r="M543" s="920">
        <f t="shared" si="16"/>
        <v>0</v>
      </c>
      <c r="N543" s="919">
        <v>1</v>
      </c>
      <c r="O543" s="919">
        <v>4</v>
      </c>
      <c r="P543" s="921">
        <f t="shared" si="17"/>
        <v>16000</v>
      </c>
    </row>
    <row r="544" spans="1:16" ht="20.100000000000001" customHeight="1" x14ac:dyDescent="0.25">
      <c r="A544" s="918" t="s">
        <v>469</v>
      </c>
      <c r="B544" s="944" t="s">
        <v>3901</v>
      </c>
      <c r="C544" s="919" t="s">
        <v>3902</v>
      </c>
      <c r="D544" s="919" t="s">
        <v>4835</v>
      </c>
      <c r="E544" s="920">
        <v>4000</v>
      </c>
      <c r="F544" s="919" t="s">
        <v>4838</v>
      </c>
      <c r="G544" s="919" t="s">
        <v>4839</v>
      </c>
      <c r="H544" s="919" t="s">
        <v>4835</v>
      </c>
      <c r="I544" s="919" t="s">
        <v>3679</v>
      </c>
      <c r="J544" s="919"/>
      <c r="K544" s="920"/>
      <c r="L544" s="920"/>
      <c r="M544" s="920">
        <f t="shared" si="16"/>
        <v>0</v>
      </c>
      <c r="N544" s="919">
        <v>1</v>
      </c>
      <c r="O544" s="919">
        <v>4</v>
      </c>
      <c r="P544" s="921">
        <f t="shared" si="17"/>
        <v>16000</v>
      </c>
    </row>
    <row r="545" spans="1:16" ht="20.100000000000001" customHeight="1" x14ac:dyDescent="0.25">
      <c r="A545" s="918" t="s">
        <v>469</v>
      </c>
      <c r="B545" s="944" t="s">
        <v>3901</v>
      </c>
      <c r="C545" s="919" t="s">
        <v>3902</v>
      </c>
      <c r="D545" s="919" t="s">
        <v>4840</v>
      </c>
      <c r="E545" s="920">
        <v>3700</v>
      </c>
      <c r="F545" s="919" t="s">
        <v>4841</v>
      </c>
      <c r="G545" s="919" t="s">
        <v>4842</v>
      </c>
      <c r="H545" s="919" t="s">
        <v>4840</v>
      </c>
      <c r="I545" s="919" t="s">
        <v>3679</v>
      </c>
      <c r="J545" s="919"/>
      <c r="K545" s="920"/>
      <c r="L545" s="920"/>
      <c r="M545" s="920">
        <f t="shared" si="16"/>
        <v>0</v>
      </c>
      <c r="N545" s="919">
        <v>1</v>
      </c>
      <c r="O545" s="919">
        <v>4</v>
      </c>
      <c r="P545" s="921">
        <f t="shared" si="17"/>
        <v>14800</v>
      </c>
    </row>
    <row r="546" spans="1:16" ht="20.100000000000001" customHeight="1" x14ac:dyDescent="0.25">
      <c r="A546" s="918" t="s">
        <v>469</v>
      </c>
      <c r="B546" s="944" t="s">
        <v>3901</v>
      </c>
      <c r="C546" s="919" t="s">
        <v>3902</v>
      </c>
      <c r="D546" s="919" t="s">
        <v>4840</v>
      </c>
      <c r="E546" s="920">
        <v>3700</v>
      </c>
      <c r="F546" s="919" t="s">
        <v>4843</v>
      </c>
      <c r="G546" s="919" t="s">
        <v>4844</v>
      </c>
      <c r="H546" s="919" t="s">
        <v>4840</v>
      </c>
      <c r="I546" s="919" t="s">
        <v>3679</v>
      </c>
      <c r="J546" s="919"/>
      <c r="K546" s="920"/>
      <c r="L546" s="920"/>
      <c r="M546" s="920">
        <f t="shared" si="16"/>
        <v>0</v>
      </c>
      <c r="N546" s="919">
        <v>1</v>
      </c>
      <c r="O546" s="919">
        <v>4</v>
      </c>
      <c r="P546" s="921">
        <f t="shared" si="17"/>
        <v>14800</v>
      </c>
    </row>
    <row r="547" spans="1:16" ht="20.100000000000001" customHeight="1" x14ac:dyDescent="0.25">
      <c r="A547" s="918" t="s">
        <v>469</v>
      </c>
      <c r="B547" s="944" t="s">
        <v>3901</v>
      </c>
      <c r="C547" s="919" t="s">
        <v>3902</v>
      </c>
      <c r="D547" s="919" t="s">
        <v>4840</v>
      </c>
      <c r="E547" s="920">
        <v>3700</v>
      </c>
      <c r="F547" s="919" t="s">
        <v>4845</v>
      </c>
      <c r="G547" s="919" t="s">
        <v>4846</v>
      </c>
      <c r="H547" s="919" t="s">
        <v>4840</v>
      </c>
      <c r="I547" s="919" t="s">
        <v>3679</v>
      </c>
      <c r="J547" s="919"/>
      <c r="K547" s="920"/>
      <c r="L547" s="920"/>
      <c r="M547" s="920">
        <f t="shared" si="16"/>
        <v>0</v>
      </c>
      <c r="N547" s="919">
        <v>1</v>
      </c>
      <c r="O547" s="919">
        <v>4</v>
      </c>
      <c r="P547" s="921">
        <f t="shared" si="17"/>
        <v>14800</v>
      </c>
    </row>
    <row r="548" spans="1:16" ht="20.100000000000001" customHeight="1" x14ac:dyDescent="0.25">
      <c r="A548" s="918" t="s">
        <v>469</v>
      </c>
      <c r="B548" s="944" t="s">
        <v>3901</v>
      </c>
      <c r="C548" s="919" t="s">
        <v>3902</v>
      </c>
      <c r="D548" s="919" t="s">
        <v>4840</v>
      </c>
      <c r="E548" s="920">
        <v>3700</v>
      </c>
      <c r="F548" s="919" t="s">
        <v>4847</v>
      </c>
      <c r="G548" s="919" t="s">
        <v>4848</v>
      </c>
      <c r="H548" s="919" t="s">
        <v>4840</v>
      </c>
      <c r="I548" s="919" t="s">
        <v>3679</v>
      </c>
      <c r="J548" s="919"/>
      <c r="K548" s="920"/>
      <c r="L548" s="920"/>
      <c r="M548" s="920">
        <f t="shared" si="16"/>
        <v>0</v>
      </c>
      <c r="N548" s="919">
        <v>1</v>
      </c>
      <c r="O548" s="919">
        <v>4</v>
      </c>
      <c r="P548" s="921">
        <f t="shared" si="17"/>
        <v>14800</v>
      </c>
    </row>
    <row r="549" spans="1:16" ht="20.100000000000001" customHeight="1" x14ac:dyDescent="0.25">
      <c r="A549" s="918" t="s">
        <v>469</v>
      </c>
      <c r="B549" s="944" t="s">
        <v>3901</v>
      </c>
      <c r="C549" s="919" t="s">
        <v>3902</v>
      </c>
      <c r="D549" s="919" t="s">
        <v>4840</v>
      </c>
      <c r="E549" s="920">
        <v>3700</v>
      </c>
      <c r="F549" s="919" t="s">
        <v>4849</v>
      </c>
      <c r="G549" s="919" t="s">
        <v>4850</v>
      </c>
      <c r="H549" s="919" t="s">
        <v>4840</v>
      </c>
      <c r="I549" s="919" t="s">
        <v>3679</v>
      </c>
      <c r="J549" s="919"/>
      <c r="K549" s="920"/>
      <c r="L549" s="920"/>
      <c r="M549" s="920">
        <f t="shared" si="16"/>
        <v>0</v>
      </c>
      <c r="N549" s="919">
        <v>1</v>
      </c>
      <c r="O549" s="919">
        <v>4</v>
      </c>
      <c r="P549" s="921">
        <f t="shared" si="17"/>
        <v>14800</v>
      </c>
    </row>
    <row r="550" spans="1:16" ht="20.100000000000001" customHeight="1" x14ac:dyDescent="0.25">
      <c r="A550" s="918" t="s">
        <v>469</v>
      </c>
      <c r="B550" s="944" t="s">
        <v>3901</v>
      </c>
      <c r="C550" s="919" t="s">
        <v>3902</v>
      </c>
      <c r="D550" s="919" t="s">
        <v>4851</v>
      </c>
      <c r="E550" s="920">
        <v>3700</v>
      </c>
      <c r="F550" s="919" t="s">
        <v>4852</v>
      </c>
      <c r="G550" s="919" t="s">
        <v>4853</v>
      </c>
      <c r="H550" s="919" t="s">
        <v>4851</v>
      </c>
      <c r="I550" s="919" t="s">
        <v>3679</v>
      </c>
      <c r="J550" s="919"/>
      <c r="K550" s="920"/>
      <c r="L550" s="920"/>
      <c r="M550" s="920">
        <f t="shared" si="16"/>
        <v>0</v>
      </c>
      <c r="N550" s="919">
        <v>1</v>
      </c>
      <c r="O550" s="919">
        <v>4</v>
      </c>
      <c r="P550" s="921">
        <f t="shared" si="17"/>
        <v>14800</v>
      </c>
    </row>
    <row r="551" spans="1:16" ht="20.100000000000001" customHeight="1" x14ac:dyDescent="0.25">
      <c r="A551" s="918" t="s">
        <v>469</v>
      </c>
      <c r="B551" s="944" t="s">
        <v>3901</v>
      </c>
      <c r="C551" s="919" t="s">
        <v>3902</v>
      </c>
      <c r="D551" s="919" t="s">
        <v>4851</v>
      </c>
      <c r="E551" s="920">
        <v>3700</v>
      </c>
      <c r="F551" s="919" t="s">
        <v>4854</v>
      </c>
      <c r="G551" s="919" t="s">
        <v>4855</v>
      </c>
      <c r="H551" s="919" t="s">
        <v>4851</v>
      </c>
      <c r="I551" s="919" t="s">
        <v>3679</v>
      </c>
      <c r="J551" s="919"/>
      <c r="K551" s="920"/>
      <c r="L551" s="920"/>
      <c r="M551" s="920">
        <f t="shared" si="16"/>
        <v>0</v>
      </c>
      <c r="N551" s="919">
        <v>1</v>
      </c>
      <c r="O551" s="919">
        <v>4</v>
      </c>
      <c r="P551" s="921">
        <f t="shared" si="17"/>
        <v>14800</v>
      </c>
    </row>
    <row r="552" spans="1:16" ht="20.100000000000001" customHeight="1" x14ac:dyDescent="0.25">
      <c r="A552" s="918" t="s">
        <v>469</v>
      </c>
      <c r="B552" s="944" t="s">
        <v>3901</v>
      </c>
      <c r="C552" s="919" t="s">
        <v>3902</v>
      </c>
      <c r="D552" s="919" t="s">
        <v>4851</v>
      </c>
      <c r="E552" s="920">
        <v>3700</v>
      </c>
      <c r="F552" s="919" t="s">
        <v>4856</v>
      </c>
      <c r="G552" s="919" t="s">
        <v>4857</v>
      </c>
      <c r="H552" s="919" t="s">
        <v>4851</v>
      </c>
      <c r="I552" s="919" t="s">
        <v>3679</v>
      </c>
      <c r="J552" s="919"/>
      <c r="K552" s="920"/>
      <c r="L552" s="920"/>
      <c r="M552" s="920">
        <f t="shared" si="16"/>
        <v>0</v>
      </c>
      <c r="N552" s="919">
        <v>1</v>
      </c>
      <c r="O552" s="919">
        <v>1</v>
      </c>
      <c r="P552" s="921">
        <f t="shared" si="17"/>
        <v>3700</v>
      </c>
    </row>
    <row r="553" spans="1:16" ht="20.100000000000001" customHeight="1" x14ac:dyDescent="0.25">
      <c r="A553" s="918" t="s">
        <v>469</v>
      </c>
      <c r="B553" s="944" t="s">
        <v>3901</v>
      </c>
      <c r="C553" s="919" t="s">
        <v>3902</v>
      </c>
      <c r="D553" s="919" t="s">
        <v>4858</v>
      </c>
      <c r="E553" s="920">
        <v>3700</v>
      </c>
      <c r="F553" s="919" t="s">
        <v>4041</v>
      </c>
      <c r="G553" s="919" t="s">
        <v>4042</v>
      </c>
      <c r="H553" s="919" t="s">
        <v>4858</v>
      </c>
      <c r="I553" s="919" t="s">
        <v>3679</v>
      </c>
      <c r="J553" s="919"/>
      <c r="K553" s="920">
        <v>1</v>
      </c>
      <c r="L553" s="920">
        <v>12</v>
      </c>
      <c r="M553" s="920">
        <f t="shared" si="16"/>
        <v>44400</v>
      </c>
      <c r="N553" s="919"/>
      <c r="O553" s="919"/>
      <c r="P553" s="921">
        <f t="shared" si="17"/>
        <v>0</v>
      </c>
    </row>
    <row r="554" spans="1:16" ht="20.100000000000001" customHeight="1" x14ac:dyDescent="0.25">
      <c r="A554" s="918" t="s">
        <v>469</v>
      </c>
      <c r="B554" s="944" t="s">
        <v>3901</v>
      </c>
      <c r="C554" s="919" t="s">
        <v>3902</v>
      </c>
      <c r="D554" s="919" t="s">
        <v>4858</v>
      </c>
      <c r="E554" s="920">
        <v>3700</v>
      </c>
      <c r="F554" s="919" t="s">
        <v>4859</v>
      </c>
      <c r="G554" s="919" t="s">
        <v>4860</v>
      </c>
      <c r="H554" s="919" t="s">
        <v>4858</v>
      </c>
      <c r="I554" s="919" t="s">
        <v>3679</v>
      </c>
      <c r="J554" s="919"/>
      <c r="K554" s="920"/>
      <c r="L554" s="920"/>
      <c r="M554" s="920">
        <f t="shared" si="16"/>
        <v>0</v>
      </c>
      <c r="N554" s="919">
        <v>1</v>
      </c>
      <c r="O554" s="919">
        <v>4</v>
      </c>
      <c r="P554" s="921">
        <f t="shared" si="17"/>
        <v>14800</v>
      </c>
    </row>
    <row r="555" spans="1:16" ht="20.100000000000001" customHeight="1" x14ac:dyDescent="0.25">
      <c r="A555" s="918" t="s">
        <v>469</v>
      </c>
      <c r="B555" s="944" t="s">
        <v>3901</v>
      </c>
      <c r="C555" s="919" t="s">
        <v>3902</v>
      </c>
      <c r="D555" s="919" t="s">
        <v>4858</v>
      </c>
      <c r="E555" s="920">
        <v>3700</v>
      </c>
      <c r="F555" s="919" t="s">
        <v>4861</v>
      </c>
      <c r="G555" s="919" t="s">
        <v>4862</v>
      </c>
      <c r="H555" s="919" t="s">
        <v>4858</v>
      </c>
      <c r="I555" s="919" t="s">
        <v>3679</v>
      </c>
      <c r="J555" s="919"/>
      <c r="K555" s="920"/>
      <c r="L555" s="920"/>
      <c r="M555" s="920">
        <f t="shared" si="16"/>
        <v>0</v>
      </c>
      <c r="N555" s="919">
        <v>1</v>
      </c>
      <c r="O555" s="919">
        <v>4</v>
      </c>
      <c r="P555" s="921">
        <f t="shared" si="17"/>
        <v>14800</v>
      </c>
    </row>
    <row r="556" spans="1:16" ht="20.100000000000001" customHeight="1" x14ac:dyDescent="0.25">
      <c r="A556" s="918" t="s">
        <v>469</v>
      </c>
      <c r="B556" s="944" t="s">
        <v>3901</v>
      </c>
      <c r="C556" s="919" t="s">
        <v>3902</v>
      </c>
      <c r="D556" s="919" t="s">
        <v>4858</v>
      </c>
      <c r="E556" s="920">
        <v>3700</v>
      </c>
      <c r="F556" s="919" t="s">
        <v>4041</v>
      </c>
      <c r="G556" s="919" t="s">
        <v>4062</v>
      </c>
      <c r="H556" s="919" t="s">
        <v>4858</v>
      </c>
      <c r="I556" s="919" t="s">
        <v>3679</v>
      </c>
      <c r="J556" s="919"/>
      <c r="K556" s="920">
        <v>1</v>
      </c>
      <c r="L556" s="920">
        <v>12</v>
      </c>
      <c r="M556" s="920">
        <f t="shared" si="16"/>
        <v>44400</v>
      </c>
      <c r="N556" s="919"/>
      <c r="O556" s="919"/>
      <c r="P556" s="921">
        <f t="shared" si="17"/>
        <v>0</v>
      </c>
    </row>
    <row r="557" spans="1:16" ht="20.100000000000001" customHeight="1" x14ac:dyDescent="0.25">
      <c r="A557" s="918" t="s">
        <v>470</v>
      </c>
      <c r="B557" s="944" t="s">
        <v>3901</v>
      </c>
      <c r="C557" s="919" t="s">
        <v>3902</v>
      </c>
      <c r="D557" s="919" t="s">
        <v>4006</v>
      </c>
      <c r="E557" s="920">
        <v>2000</v>
      </c>
      <c r="F557" s="919" t="s">
        <v>4863</v>
      </c>
      <c r="G557" s="919" t="s">
        <v>4864</v>
      </c>
      <c r="H557" s="919" t="s">
        <v>4006</v>
      </c>
      <c r="I557" s="919" t="s">
        <v>3686</v>
      </c>
      <c r="J557" s="919"/>
      <c r="K557" s="920"/>
      <c r="L557" s="920"/>
      <c r="M557" s="920">
        <f t="shared" si="16"/>
        <v>0</v>
      </c>
      <c r="N557" s="919">
        <v>1</v>
      </c>
      <c r="O557" s="919">
        <v>3</v>
      </c>
      <c r="P557" s="921">
        <f t="shared" si="17"/>
        <v>6000</v>
      </c>
    </row>
    <row r="558" spans="1:16" ht="20.100000000000001" customHeight="1" x14ac:dyDescent="0.25">
      <c r="A558" s="918" t="s">
        <v>470</v>
      </c>
      <c r="B558" s="944" t="s">
        <v>3901</v>
      </c>
      <c r="C558" s="919" t="s">
        <v>3902</v>
      </c>
      <c r="D558" s="919" t="s">
        <v>4006</v>
      </c>
      <c r="E558" s="920">
        <v>2000</v>
      </c>
      <c r="F558" s="919" t="s">
        <v>4865</v>
      </c>
      <c r="G558" s="919" t="s">
        <v>4866</v>
      </c>
      <c r="H558" s="919" t="s">
        <v>4006</v>
      </c>
      <c r="I558" s="919" t="s">
        <v>3686</v>
      </c>
      <c r="J558" s="919"/>
      <c r="K558" s="920">
        <v>1</v>
      </c>
      <c r="L558" s="920">
        <v>12</v>
      </c>
      <c r="M558" s="920">
        <f t="shared" si="16"/>
        <v>24000</v>
      </c>
      <c r="N558" s="919"/>
      <c r="O558" s="919"/>
      <c r="P558" s="921">
        <f t="shared" si="17"/>
        <v>0</v>
      </c>
    </row>
    <row r="559" spans="1:16" ht="20.100000000000001" customHeight="1" x14ac:dyDescent="0.25">
      <c r="A559" s="918" t="s">
        <v>470</v>
      </c>
      <c r="B559" s="944" t="s">
        <v>3901</v>
      </c>
      <c r="C559" s="919" t="s">
        <v>3902</v>
      </c>
      <c r="D559" s="919" t="s">
        <v>4006</v>
      </c>
      <c r="E559" s="920">
        <v>2000</v>
      </c>
      <c r="F559" s="919" t="s">
        <v>4041</v>
      </c>
      <c r="G559" s="919" t="s">
        <v>4042</v>
      </c>
      <c r="H559" s="919" t="s">
        <v>4006</v>
      </c>
      <c r="I559" s="919" t="s">
        <v>3686</v>
      </c>
      <c r="J559" s="919"/>
      <c r="K559" s="920">
        <v>1</v>
      </c>
      <c r="L559" s="920">
        <v>12</v>
      </c>
      <c r="M559" s="920">
        <f t="shared" si="16"/>
        <v>24000</v>
      </c>
      <c r="N559" s="919"/>
      <c r="O559" s="919"/>
      <c r="P559" s="921">
        <f t="shared" si="17"/>
        <v>0</v>
      </c>
    </row>
    <row r="560" spans="1:16" ht="20.100000000000001" customHeight="1" x14ac:dyDescent="0.25">
      <c r="A560" s="918" t="s">
        <v>470</v>
      </c>
      <c r="B560" s="944" t="s">
        <v>3901</v>
      </c>
      <c r="C560" s="919" t="s">
        <v>3902</v>
      </c>
      <c r="D560" s="919" t="s">
        <v>4006</v>
      </c>
      <c r="E560" s="920">
        <v>2000</v>
      </c>
      <c r="F560" s="919" t="s">
        <v>4867</v>
      </c>
      <c r="G560" s="919" t="s">
        <v>4868</v>
      </c>
      <c r="H560" s="919" t="s">
        <v>4006</v>
      </c>
      <c r="I560" s="919" t="s">
        <v>3686</v>
      </c>
      <c r="J560" s="919"/>
      <c r="K560" s="920"/>
      <c r="L560" s="920"/>
      <c r="M560" s="920">
        <f t="shared" si="16"/>
        <v>0</v>
      </c>
      <c r="N560" s="919">
        <v>1</v>
      </c>
      <c r="O560" s="919">
        <v>1</v>
      </c>
      <c r="P560" s="921">
        <f t="shared" si="17"/>
        <v>2000</v>
      </c>
    </row>
    <row r="561" spans="1:16" ht="20.100000000000001" customHeight="1" x14ac:dyDescent="0.25">
      <c r="A561" s="918" t="s">
        <v>470</v>
      </c>
      <c r="B561" s="944" t="s">
        <v>3901</v>
      </c>
      <c r="C561" s="919" t="s">
        <v>3902</v>
      </c>
      <c r="D561" s="919" t="s">
        <v>4006</v>
      </c>
      <c r="E561" s="920">
        <v>2000</v>
      </c>
      <c r="F561" s="919" t="s">
        <v>4869</v>
      </c>
      <c r="G561" s="919" t="s">
        <v>4870</v>
      </c>
      <c r="H561" s="919" t="s">
        <v>4006</v>
      </c>
      <c r="I561" s="919" t="s">
        <v>3686</v>
      </c>
      <c r="J561" s="919"/>
      <c r="K561" s="920">
        <v>1</v>
      </c>
      <c r="L561" s="920">
        <v>12</v>
      </c>
      <c r="M561" s="920">
        <f t="shared" si="16"/>
        <v>24000</v>
      </c>
      <c r="N561" s="919"/>
      <c r="O561" s="919"/>
      <c r="P561" s="921">
        <f t="shared" si="17"/>
        <v>0</v>
      </c>
    </row>
    <row r="562" spans="1:16" ht="20.100000000000001" customHeight="1" x14ac:dyDescent="0.25">
      <c r="A562" s="918" t="s">
        <v>470</v>
      </c>
      <c r="B562" s="944" t="s">
        <v>3901</v>
      </c>
      <c r="C562" s="919" t="s">
        <v>3902</v>
      </c>
      <c r="D562" s="919" t="s">
        <v>4006</v>
      </c>
      <c r="E562" s="920">
        <v>2000</v>
      </c>
      <c r="F562" s="919" t="s">
        <v>4871</v>
      </c>
      <c r="G562" s="919" t="s">
        <v>4872</v>
      </c>
      <c r="H562" s="919" t="s">
        <v>4006</v>
      </c>
      <c r="I562" s="919" t="s">
        <v>3686</v>
      </c>
      <c r="J562" s="919"/>
      <c r="K562" s="920"/>
      <c r="L562" s="920"/>
      <c r="M562" s="920">
        <f t="shared" si="16"/>
        <v>0</v>
      </c>
      <c r="N562" s="919">
        <v>1</v>
      </c>
      <c r="O562" s="919">
        <v>3</v>
      </c>
      <c r="P562" s="921">
        <f t="shared" si="17"/>
        <v>6000</v>
      </c>
    </row>
    <row r="563" spans="1:16" ht="20.100000000000001" customHeight="1" x14ac:dyDescent="0.25">
      <c r="A563" s="918" t="s">
        <v>470</v>
      </c>
      <c r="B563" s="944" t="s">
        <v>3901</v>
      </c>
      <c r="C563" s="919" t="s">
        <v>3902</v>
      </c>
      <c r="D563" s="919" t="s">
        <v>4250</v>
      </c>
      <c r="E563" s="920">
        <v>3500</v>
      </c>
      <c r="F563" s="919" t="s">
        <v>4873</v>
      </c>
      <c r="G563" s="919" t="s">
        <v>4874</v>
      </c>
      <c r="H563" s="919" t="s">
        <v>4250</v>
      </c>
      <c r="I563" s="919" t="s">
        <v>3679</v>
      </c>
      <c r="J563" s="919"/>
      <c r="K563" s="920"/>
      <c r="L563" s="920"/>
      <c r="M563" s="920">
        <f t="shared" si="16"/>
        <v>0</v>
      </c>
      <c r="N563" s="919">
        <v>1</v>
      </c>
      <c r="O563" s="919">
        <v>1</v>
      </c>
      <c r="P563" s="921">
        <f t="shared" si="17"/>
        <v>3500</v>
      </c>
    </row>
    <row r="564" spans="1:16" ht="20.100000000000001" customHeight="1" x14ac:dyDescent="0.25">
      <c r="A564" s="918" t="s">
        <v>470</v>
      </c>
      <c r="B564" s="944" t="s">
        <v>3901</v>
      </c>
      <c r="C564" s="919" t="s">
        <v>3902</v>
      </c>
      <c r="D564" s="919" t="s">
        <v>4492</v>
      </c>
      <c r="E564" s="920">
        <v>2800</v>
      </c>
      <c r="F564" s="919" t="s">
        <v>4875</v>
      </c>
      <c r="G564" s="919" t="s">
        <v>4876</v>
      </c>
      <c r="H564" s="919" t="s">
        <v>4492</v>
      </c>
      <c r="I564" s="919" t="s">
        <v>3679</v>
      </c>
      <c r="J564" s="919"/>
      <c r="K564" s="920"/>
      <c r="L564" s="920"/>
      <c r="M564" s="920">
        <f t="shared" si="16"/>
        <v>0</v>
      </c>
      <c r="N564" s="919">
        <v>1</v>
      </c>
      <c r="O564" s="919">
        <v>4</v>
      </c>
      <c r="P564" s="921">
        <f t="shared" si="17"/>
        <v>11200</v>
      </c>
    </row>
    <row r="565" spans="1:16" ht="20.100000000000001" customHeight="1" x14ac:dyDescent="0.25">
      <c r="A565" s="918" t="s">
        <v>470</v>
      </c>
      <c r="B565" s="944" t="s">
        <v>3901</v>
      </c>
      <c r="C565" s="919" t="s">
        <v>3902</v>
      </c>
      <c r="D565" s="919" t="s">
        <v>4492</v>
      </c>
      <c r="E565" s="920">
        <v>2800</v>
      </c>
      <c r="F565" s="919" t="s">
        <v>4877</v>
      </c>
      <c r="G565" s="919" t="s">
        <v>4878</v>
      </c>
      <c r="H565" s="919" t="s">
        <v>4492</v>
      </c>
      <c r="I565" s="919" t="s">
        <v>3679</v>
      </c>
      <c r="J565" s="919"/>
      <c r="K565" s="920"/>
      <c r="L565" s="920"/>
      <c r="M565" s="920">
        <f t="shared" si="16"/>
        <v>0</v>
      </c>
      <c r="N565" s="919">
        <v>1</v>
      </c>
      <c r="O565" s="919">
        <v>4</v>
      </c>
      <c r="P565" s="921">
        <f t="shared" si="17"/>
        <v>11200</v>
      </c>
    </row>
    <row r="566" spans="1:16" ht="20.100000000000001" customHeight="1" x14ac:dyDescent="0.25">
      <c r="A566" s="918" t="s">
        <v>470</v>
      </c>
      <c r="B566" s="944" t="s">
        <v>3901</v>
      </c>
      <c r="C566" s="919" t="s">
        <v>3902</v>
      </c>
      <c r="D566" s="919" t="s">
        <v>4492</v>
      </c>
      <c r="E566" s="920">
        <v>2800</v>
      </c>
      <c r="F566" s="919" t="s">
        <v>4879</v>
      </c>
      <c r="G566" s="919" t="s">
        <v>4880</v>
      </c>
      <c r="H566" s="919" t="s">
        <v>4492</v>
      </c>
      <c r="I566" s="919" t="s">
        <v>3679</v>
      </c>
      <c r="J566" s="919"/>
      <c r="K566" s="920"/>
      <c r="L566" s="920"/>
      <c r="M566" s="920">
        <f t="shared" si="16"/>
        <v>0</v>
      </c>
      <c r="N566" s="919">
        <v>1</v>
      </c>
      <c r="O566" s="919">
        <v>4</v>
      </c>
      <c r="P566" s="921">
        <f t="shared" si="17"/>
        <v>11200</v>
      </c>
    </row>
    <row r="567" spans="1:16" ht="20.100000000000001" customHeight="1" x14ac:dyDescent="0.25">
      <c r="A567" s="918" t="s">
        <v>470</v>
      </c>
      <c r="B567" s="944" t="s">
        <v>3901</v>
      </c>
      <c r="C567" s="919" t="s">
        <v>3902</v>
      </c>
      <c r="D567" s="919" t="s">
        <v>4881</v>
      </c>
      <c r="E567" s="920">
        <v>3200</v>
      </c>
      <c r="F567" s="919" t="s">
        <v>4882</v>
      </c>
      <c r="G567" s="919" t="s">
        <v>4883</v>
      </c>
      <c r="H567" s="919" t="s">
        <v>4881</v>
      </c>
      <c r="I567" s="919" t="s">
        <v>3679</v>
      </c>
      <c r="J567" s="919"/>
      <c r="K567" s="920"/>
      <c r="L567" s="920"/>
      <c r="M567" s="920">
        <f t="shared" si="16"/>
        <v>0</v>
      </c>
      <c r="N567" s="919">
        <v>1</v>
      </c>
      <c r="O567" s="919">
        <v>4</v>
      </c>
      <c r="P567" s="921">
        <f t="shared" si="17"/>
        <v>12800</v>
      </c>
    </row>
    <row r="568" spans="1:16" ht="20.100000000000001" customHeight="1" x14ac:dyDescent="0.25">
      <c r="A568" s="918" t="s">
        <v>470</v>
      </c>
      <c r="B568" s="944" t="s">
        <v>3901</v>
      </c>
      <c r="C568" s="919" t="s">
        <v>3902</v>
      </c>
      <c r="D568" s="919" t="s">
        <v>4881</v>
      </c>
      <c r="E568" s="920">
        <v>3200</v>
      </c>
      <c r="F568" s="919" t="s">
        <v>4884</v>
      </c>
      <c r="G568" s="919" t="s">
        <v>4885</v>
      </c>
      <c r="H568" s="919" t="s">
        <v>4881</v>
      </c>
      <c r="I568" s="919" t="s">
        <v>3679</v>
      </c>
      <c r="J568" s="919"/>
      <c r="K568" s="920"/>
      <c r="L568" s="920"/>
      <c r="M568" s="920">
        <f t="shared" si="16"/>
        <v>0</v>
      </c>
      <c r="N568" s="919">
        <v>1</v>
      </c>
      <c r="O568" s="919">
        <v>4</v>
      </c>
      <c r="P568" s="921">
        <f t="shared" si="17"/>
        <v>12800</v>
      </c>
    </row>
    <row r="569" spans="1:16" ht="20.100000000000001" customHeight="1" x14ac:dyDescent="0.25">
      <c r="A569" s="918" t="s">
        <v>470</v>
      </c>
      <c r="B569" s="944" t="s">
        <v>3901</v>
      </c>
      <c r="C569" s="919" t="s">
        <v>3902</v>
      </c>
      <c r="D569" s="919" t="s">
        <v>4886</v>
      </c>
      <c r="E569" s="920">
        <v>2300</v>
      </c>
      <c r="F569" s="919" t="s">
        <v>4887</v>
      </c>
      <c r="G569" s="919" t="s">
        <v>4888</v>
      </c>
      <c r="H569" s="919" t="s">
        <v>4886</v>
      </c>
      <c r="I569" s="919" t="s">
        <v>3679</v>
      </c>
      <c r="J569" s="919"/>
      <c r="K569" s="920"/>
      <c r="L569" s="920"/>
      <c r="M569" s="920">
        <f t="shared" si="16"/>
        <v>0</v>
      </c>
      <c r="N569" s="919">
        <v>1</v>
      </c>
      <c r="O569" s="919">
        <v>4</v>
      </c>
      <c r="P569" s="921">
        <f t="shared" si="17"/>
        <v>9200</v>
      </c>
    </row>
    <row r="570" spans="1:16" ht="20.100000000000001" customHeight="1" x14ac:dyDescent="0.25">
      <c r="A570" s="918" t="s">
        <v>470</v>
      </c>
      <c r="B570" s="944" t="s">
        <v>3901</v>
      </c>
      <c r="C570" s="919" t="s">
        <v>3902</v>
      </c>
      <c r="D570" s="919" t="s">
        <v>4886</v>
      </c>
      <c r="E570" s="920">
        <v>2300</v>
      </c>
      <c r="F570" s="919" t="s">
        <v>4889</v>
      </c>
      <c r="G570" s="919" t="s">
        <v>4890</v>
      </c>
      <c r="H570" s="919" t="s">
        <v>4886</v>
      </c>
      <c r="I570" s="919" t="s">
        <v>3679</v>
      </c>
      <c r="J570" s="919"/>
      <c r="K570" s="920"/>
      <c r="L570" s="920"/>
      <c r="M570" s="920">
        <f t="shared" si="16"/>
        <v>0</v>
      </c>
      <c r="N570" s="919">
        <v>1</v>
      </c>
      <c r="O570" s="919">
        <v>1</v>
      </c>
      <c r="P570" s="921">
        <f t="shared" si="17"/>
        <v>2300</v>
      </c>
    </row>
    <row r="571" spans="1:16" ht="20.100000000000001" customHeight="1" x14ac:dyDescent="0.25">
      <c r="A571" s="918" t="s">
        <v>470</v>
      </c>
      <c r="B571" s="944" t="s">
        <v>3901</v>
      </c>
      <c r="C571" s="919" t="s">
        <v>3902</v>
      </c>
      <c r="D571" s="919" t="s">
        <v>4657</v>
      </c>
      <c r="E571" s="920">
        <v>1150</v>
      </c>
      <c r="F571" s="919" t="s">
        <v>4891</v>
      </c>
      <c r="G571" s="919" t="s">
        <v>4892</v>
      </c>
      <c r="H571" s="919" t="s">
        <v>4657</v>
      </c>
      <c r="I571" s="919" t="s">
        <v>3686</v>
      </c>
      <c r="J571" s="919"/>
      <c r="K571" s="920"/>
      <c r="L571" s="920"/>
      <c r="M571" s="920">
        <f t="shared" si="16"/>
        <v>0</v>
      </c>
      <c r="N571" s="919">
        <v>1</v>
      </c>
      <c r="O571" s="919">
        <v>4</v>
      </c>
      <c r="P571" s="921">
        <f t="shared" si="17"/>
        <v>4600</v>
      </c>
    </row>
    <row r="572" spans="1:16" ht="20.100000000000001" customHeight="1" x14ac:dyDescent="0.25">
      <c r="A572" s="918" t="s">
        <v>470</v>
      </c>
      <c r="B572" s="944" t="s">
        <v>3901</v>
      </c>
      <c r="C572" s="919" t="s">
        <v>3902</v>
      </c>
      <c r="D572" s="919" t="s">
        <v>4657</v>
      </c>
      <c r="E572" s="920">
        <v>1150</v>
      </c>
      <c r="F572" s="919" t="s">
        <v>4893</v>
      </c>
      <c r="G572" s="919" t="s">
        <v>4894</v>
      </c>
      <c r="H572" s="919" t="s">
        <v>4657</v>
      </c>
      <c r="I572" s="919" t="s">
        <v>3686</v>
      </c>
      <c r="J572" s="919"/>
      <c r="K572" s="920"/>
      <c r="L572" s="920"/>
      <c r="M572" s="920">
        <f t="shared" si="16"/>
        <v>0</v>
      </c>
      <c r="N572" s="919">
        <v>1</v>
      </c>
      <c r="O572" s="919">
        <v>4</v>
      </c>
      <c r="P572" s="921">
        <f t="shared" si="17"/>
        <v>4600</v>
      </c>
    </row>
    <row r="573" spans="1:16" ht="20.100000000000001" customHeight="1" x14ac:dyDescent="0.25">
      <c r="A573" s="918" t="s">
        <v>470</v>
      </c>
      <c r="B573" s="944" t="s">
        <v>3901</v>
      </c>
      <c r="C573" s="919" t="s">
        <v>3902</v>
      </c>
      <c r="D573" s="919" t="s">
        <v>4895</v>
      </c>
      <c r="E573" s="920">
        <v>1150</v>
      </c>
      <c r="F573" s="919" t="s">
        <v>4896</v>
      </c>
      <c r="G573" s="919" t="s">
        <v>4897</v>
      </c>
      <c r="H573" s="919" t="s">
        <v>4895</v>
      </c>
      <c r="I573" s="919" t="s">
        <v>3693</v>
      </c>
      <c r="J573" s="919"/>
      <c r="K573" s="920"/>
      <c r="L573" s="920"/>
      <c r="M573" s="920">
        <f t="shared" si="16"/>
        <v>0</v>
      </c>
      <c r="N573" s="919">
        <v>1</v>
      </c>
      <c r="O573" s="919">
        <v>1</v>
      </c>
      <c r="P573" s="921">
        <f t="shared" si="17"/>
        <v>1150</v>
      </c>
    </row>
    <row r="574" spans="1:16" ht="20.100000000000001" customHeight="1" x14ac:dyDescent="0.25">
      <c r="A574" s="918" t="s">
        <v>470</v>
      </c>
      <c r="B574" s="944" t="s">
        <v>3901</v>
      </c>
      <c r="C574" s="919" t="s">
        <v>3902</v>
      </c>
      <c r="D574" s="919" t="s">
        <v>4895</v>
      </c>
      <c r="E574" s="920">
        <v>1150</v>
      </c>
      <c r="F574" s="919" t="s">
        <v>4898</v>
      </c>
      <c r="G574" s="919" t="s">
        <v>4899</v>
      </c>
      <c r="H574" s="919" t="s">
        <v>4895</v>
      </c>
      <c r="I574" s="919" t="s">
        <v>3693</v>
      </c>
      <c r="J574" s="919"/>
      <c r="K574" s="920"/>
      <c r="L574" s="920"/>
      <c r="M574" s="920">
        <f t="shared" si="16"/>
        <v>0</v>
      </c>
      <c r="N574" s="919">
        <v>1</v>
      </c>
      <c r="O574" s="919">
        <v>3</v>
      </c>
      <c r="P574" s="921">
        <f t="shared" si="17"/>
        <v>3450</v>
      </c>
    </row>
    <row r="575" spans="1:16" ht="20.100000000000001" customHeight="1" x14ac:dyDescent="0.25">
      <c r="A575" s="918" t="s">
        <v>470</v>
      </c>
      <c r="B575" s="944" t="s">
        <v>3901</v>
      </c>
      <c r="C575" s="919" t="s">
        <v>3902</v>
      </c>
      <c r="D575" s="919" t="s">
        <v>4895</v>
      </c>
      <c r="E575" s="920">
        <v>1150</v>
      </c>
      <c r="F575" s="919" t="s">
        <v>4900</v>
      </c>
      <c r="G575" s="919" t="s">
        <v>4901</v>
      </c>
      <c r="H575" s="919" t="s">
        <v>4895</v>
      </c>
      <c r="I575" s="919" t="s">
        <v>3693</v>
      </c>
      <c r="J575" s="919"/>
      <c r="K575" s="920"/>
      <c r="L575" s="920"/>
      <c r="M575" s="920">
        <f t="shared" si="16"/>
        <v>0</v>
      </c>
      <c r="N575" s="919">
        <v>1</v>
      </c>
      <c r="O575" s="919">
        <v>3</v>
      </c>
      <c r="P575" s="921">
        <f t="shared" si="17"/>
        <v>3450</v>
      </c>
    </row>
    <row r="576" spans="1:16" ht="20.100000000000001" customHeight="1" x14ac:dyDescent="0.25">
      <c r="A576" s="918" t="s">
        <v>470</v>
      </c>
      <c r="B576" s="944" t="s">
        <v>3901</v>
      </c>
      <c r="C576" s="919" t="s">
        <v>3902</v>
      </c>
      <c r="D576" s="919" t="s">
        <v>4895</v>
      </c>
      <c r="E576" s="920">
        <v>1150</v>
      </c>
      <c r="F576" s="919" t="s">
        <v>4902</v>
      </c>
      <c r="G576" s="919" t="s">
        <v>4903</v>
      </c>
      <c r="H576" s="919" t="s">
        <v>4895</v>
      </c>
      <c r="I576" s="919" t="s">
        <v>3693</v>
      </c>
      <c r="J576" s="919"/>
      <c r="K576" s="920"/>
      <c r="L576" s="920"/>
      <c r="M576" s="920">
        <f t="shared" si="16"/>
        <v>0</v>
      </c>
      <c r="N576" s="919">
        <v>1</v>
      </c>
      <c r="O576" s="919">
        <v>3</v>
      </c>
      <c r="P576" s="921">
        <f t="shared" si="17"/>
        <v>3450</v>
      </c>
    </row>
    <row r="577" spans="1:16" ht="20.100000000000001" customHeight="1" x14ac:dyDescent="0.25">
      <c r="A577" s="918" t="s">
        <v>470</v>
      </c>
      <c r="B577" s="944" t="s">
        <v>3901</v>
      </c>
      <c r="C577" s="919" t="s">
        <v>3902</v>
      </c>
      <c r="D577" s="919" t="s">
        <v>4895</v>
      </c>
      <c r="E577" s="920">
        <v>1150</v>
      </c>
      <c r="F577" s="919" t="s">
        <v>4904</v>
      </c>
      <c r="G577" s="919" t="s">
        <v>4905</v>
      </c>
      <c r="H577" s="919" t="s">
        <v>4895</v>
      </c>
      <c r="I577" s="919" t="s">
        <v>3693</v>
      </c>
      <c r="J577" s="919"/>
      <c r="K577" s="920"/>
      <c r="L577" s="920"/>
      <c r="M577" s="920">
        <f t="shared" si="16"/>
        <v>0</v>
      </c>
      <c r="N577" s="919">
        <v>1</v>
      </c>
      <c r="O577" s="919">
        <v>3</v>
      </c>
      <c r="P577" s="921">
        <f t="shared" si="17"/>
        <v>3450</v>
      </c>
    </row>
    <row r="578" spans="1:16" ht="20.100000000000001" customHeight="1" x14ac:dyDescent="0.25">
      <c r="A578" s="918" t="s">
        <v>470</v>
      </c>
      <c r="B578" s="944" t="s">
        <v>3901</v>
      </c>
      <c r="C578" s="919" t="s">
        <v>3902</v>
      </c>
      <c r="D578" s="919" t="s">
        <v>4895</v>
      </c>
      <c r="E578" s="920">
        <v>1150</v>
      </c>
      <c r="F578" s="919" t="s">
        <v>4906</v>
      </c>
      <c r="G578" s="919" t="s">
        <v>4907</v>
      </c>
      <c r="H578" s="919" t="s">
        <v>4895</v>
      </c>
      <c r="I578" s="919" t="s">
        <v>3693</v>
      </c>
      <c r="J578" s="919"/>
      <c r="K578" s="920"/>
      <c r="L578" s="920"/>
      <c r="M578" s="920">
        <f t="shared" si="16"/>
        <v>0</v>
      </c>
      <c r="N578" s="919">
        <v>1</v>
      </c>
      <c r="O578" s="919">
        <v>1</v>
      </c>
      <c r="P578" s="921">
        <f t="shared" si="17"/>
        <v>1150</v>
      </c>
    </row>
    <row r="579" spans="1:16" ht="20.100000000000001" customHeight="1" x14ac:dyDescent="0.25">
      <c r="A579" s="918" t="s">
        <v>470</v>
      </c>
      <c r="B579" s="944" t="s">
        <v>3901</v>
      </c>
      <c r="C579" s="919" t="s">
        <v>3902</v>
      </c>
      <c r="D579" s="919" t="s">
        <v>4502</v>
      </c>
      <c r="E579" s="920">
        <v>1150</v>
      </c>
      <c r="F579" s="919" t="s">
        <v>4908</v>
      </c>
      <c r="G579" s="919" t="s">
        <v>4909</v>
      </c>
      <c r="H579" s="919" t="s">
        <v>4502</v>
      </c>
      <c r="I579" s="919" t="s">
        <v>3686</v>
      </c>
      <c r="J579" s="919"/>
      <c r="K579" s="920"/>
      <c r="L579" s="920"/>
      <c r="M579" s="920">
        <f t="shared" si="16"/>
        <v>0</v>
      </c>
      <c r="N579" s="919">
        <v>1</v>
      </c>
      <c r="O579" s="919">
        <v>4</v>
      </c>
      <c r="P579" s="921">
        <f t="shared" si="17"/>
        <v>4600</v>
      </c>
    </row>
    <row r="580" spans="1:16" ht="20.100000000000001" customHeight="1" x14ac:dyDescent="0.25">
      <c r="A580" s="918" t="s">
        <v>470</v>
      </c>
      <c r="B580" s="944" t="s">
        <v>3901</v>
      </c>
      <c r="C580" s="919" t="s">
        <v>3902</v>
      </c>
      <c r="D580" s="919" t="s">
        <v>4502</v>
      </c>
      <c r="E580" s="920">
        <v>1150</v>
      </c>
      <c r="F580" s="919" t="s">
        <v>4910</v>
      </c>
      <c r="G580" s="919" t="s">
        <v>4911</v>
      </c>
      <c r="H580" s="919" t="s">
        <v>4502</v>
      </c>
      <c r="I580" s="919" t="s">
        <v>3686</v>
      </c>
      <c r="J580" s="919"/>
      <c r="K580" s="920"/>
      <c r="L580" s="920"/>
      <c r="M580" s="920">
        <f t="shared" si="16"/>
        <v>0</v>
      </c>
      <c r="N580" s="919">
        <v>1</v>
      </c>
      <c r="O580" s="919">
        <v>4</v>
      </c>
      <c r="P580" s="921">
        <f t="shared" si="17"/>
        <v>4600</v>
      </c>
    </row>
    <row r="581" spans="1:16" ht="20.100000000000001" customHeight="1" x14ac:dyDescent="0.25">
      <c r="A581" s="918" t="s">
        <v>470</v>
      </c>
      <c r="B581" s="944" t="s">
        <v>3901</v>
      </c>
      <c r="C581" s="919" t="s">
        <v>3902</v>
      </c>
      <c r="D581" s="919" t="s">
        <v>4502</v>
      </c>
      <c r="E581" s="920">
        <v>1150</v>
      </c>
      <c r="F581" s="919" t="s">
        <v>4912</v>
      </c>
      <c r="G581" s="919" t="s">
        <v>4913</v>
      </c>
      <c r="H581" s="919" t="s">
        <v>4502</v>
      </c>
      <c r="I581" s="919" t="s">
        <v>3686</v>
      </c>
      <c r="J581" s="919"/>
      <c r="K581" s="920"/>
      <c r="L581" s="920"/>
      <c r="M581" s="920">
        <f t="shared" si="16"/>
        <v>0</v>
      </c>
      <c r="N581" s="919">
        <v>1</v>
      </c>
      <c r="O581" s="919">
        <v>4</v>
      </c>
      <c r="P581" s="921">
        <f t="shared" si="17"/>
        <v>4600</v>
      </c>
    </row>
    <row r="582" spans="1:16" ht="20.100000000000001" customHeight="1" x14ac:dyDescent="0.25">
      <c r="A582" s="918" t="s">
        <v>470</v>
      </c>
      <c r="B582" s="944" t="s">
        <v>3901</v>
      </c>
      <c r="C582" s="919" t="s">
        <v>3902</v>
      </c>
      <c r="D582" s="919" t="s">
        <v>4502</v>
      </c>
      <c r="E582" s="920">
        <v>1150</v>
      </c>
      <c r="F582" s="919" t="s">
        <v>4914</v>
      </c>
      <c r="G582" s="919" t="s">
        <v>4915</v>
      </c>
      <c r="H582" s="919" t="s">
        <v>4502</v>
      </c>
      <c r="I582" s="919" t="s">
        <v>3686</v>
      </c>
      <c r="J582" s="919"/>
      <c r="K582" s="920"/>
      <c r="L582" s="920"/>
      <c r="M582" s="920">
        <f t="shared" ref="M582:M645" si="18">E582*L582</f>
        <v>0</v>
      </c>
      <c r="N582" s="919">
        <v>1</v>
      </c>
      <c r="O582" s="919">
        <v>4</v>
      </c>
      <c r="P582" s="921">
        <f t="shared" ref="P582:P645" si="19">E582*O582</f>
        <v>4600</v>
      </c>
    </row>
    <row r="583" spans="1:16" ht="20.100000000000001" customHeight="1" x14ac:dyDescent="0.25">
      <c r="A583" s="918" t="s">
        <v>470</v>
      </c>
      <c r="B583" s="944" t="s">
        <v>3901</v>
      </c>
      <c r="C583" s="919" t="s">
        <v>3902</v>
      </c>
      <c r="D583" s="919" t="s">
        <v>4502</v>
      </c>
      <c r="E583" s="920">
        <v>1150</v>
      </c>
      <c r="F583" s="919" t="s">
        <v>4916</v>
      </c>
      <c r="G583" s="919" t="s">
        <v>4917</v>
      </c>
      <c r="H583" s="919" t="s">
        <v>4502</v>
      </c>
      <c r="I583" s="919" t="s">
        <v>3686</v>
      </c>
      <c r="J583" s="919"/>
      <c r="K583" s="920"/>
      <c r="L583" s="920"/>
      <c r="M583" s="920">
        <f t="shared" si="18"/>
        <v>0</v>
      </c>
      <c r="N583" s="919">
        <v>1</v>
      </c>
      <c r="O583" s="919">
        <v>4</v>
      </c>
      <c r="P583" s="921">
        <f t="shared" si="19"/>
        <v>4600</v>
      </c>
    </row>
    <row r="584" spans="1:16" ht="20.100000000000001" customHeight="1" x14ac:dyDescent="0.25">
      <c r="A584" s="918" t="s">
        <v>470</v>
      </c>
      <c r="B584" s="944" t="s">
        <v>3901</v>
      </c>
      <c r="C584" s="919" t="s">
        <v>3902</v>
      </c>
      <c r="D584" s="919" t="s">
        <v>4502</v>
      </c>
      <c r="E584" s="920">
        <v>1150</v>
      </c>
      <c r="F584" s="919" t="s">
        <v>4918</v>
      </c>
      <c r="G584" s="919" t="s">
        <v>4919</v>
      </c>
      <c r="H584" s="919" t="s">
        <v>4502</v>
      </c>
      <c r="I584" s="919" t="s">
        <v>3686</v>
      </c>
      <c r="J584" s="919"/>
      <c r="K584" s="920"/>
      <c r="L584" s="920"/>
      <c r="M584" s="920">
        <f t="shared" si="18"/>
        <v>0</v>
      </c>
      <c r="N584" s="919">
        <v>1</v>
      </c>
      <c r="O584" s="919">
        <v>4</v>
      </c>
      <c r="P584" s="921">
        <f t="shared" si="19"/>
        <v>4600</v>
      </c>
    </row>
    <row r="585" spans="1:16" ht="20.100000000000001" customHeight="1" x14ac:dyDescent="0.25">
      <c r="A585" s="918" t="s">
        <v>470</v>
      </c>
      <c r="B585" s="944" t="s">
        <v>3901</v>
      </c>
      <c r="C585" s="919" t="s">
        <v>3902</v>
      </c>
      <c r="D585" s="919" t="s">
        <v>4502</v>
      </c>
      <c r="E585" s="920">
        <v>1150</v>
      </c>
      <c r="F585" s="919" t="s">
        <v>4041</v>
      </c>
      <c r="G585" s="919" t="s">
        <v>4042</v>
      </c>
      <c r="H585" s="919" t="s">
        <v>4502</v>
      </c>
      <c r="I585" s="919" t="s">
        <v>3686</v>
      </c>
      <c r="J585" s="919"/>
      <c r="K585" s="920">
        <v>1</v>
      </c>
      <c r="L585" s="920">
        <v>12</v>
      </c>
      <c r="M585" s="920">
        <f t="shared" si="18"/>
        <v>13800</v>
      </c>
      <c r="N585" s="919"/>
      <c r="O585" s="919"/>
      <c r="P585" s="921">
        <f t="shared" si="19"/>
        <v>0</v>
      </c>
    </row>
    <row r="586" spans="1:16" ht="20.100000000000001" customHeight="1" x14ac:dyDescent="0.25">
      <c r="A586" s="918" t="s">
        <v>470</v>
      </c>
      <c r="B586" s="944" t="s">
        <v>3901</v>
      </c>
      <c r="C586" s="919" t="s">
        <v>3902</v>
      </c>
      <c r="D586" s="919" t="s">
        <v>4502</v>
      </c>
      <c r="E586" s="920">
        <v>1150</v>
      </c>
      <c r="F586" s="919" t="s">
        <v>4920</v>
      </c>
      <c r="G586" s="919" t="s">
        <v>4921</v>
      </c>
      <c r="H586" s="919" t="s">
        <v>4502</v>
      </c>
      <c r="I586" s="919" t="s">
        <v>3686</v>
      </c>
      <c r="J586" s="919"/>
      <c r="K586" s="920"/>
      <c r="L586" s="920"/>
      <c r="M586" s="920">
        <f t="shared" si="18"/>
        <v>0</v>
      </c>
      <c r="N586" s="919">
        <v>1</v>
      </c>
      <c r="O586" s="919">
        <v>4</v>
      </c>
      <c r="P586" s="921">
        <f t="shared" si="19"/>
        <v>4600</v>
      </c>
    </row>
    <row r="587" spans="1:16" ht="20.100000000000001" customHeight="1" x14ac:dyDescent="0.25">
      <c r="A587" s="918" t="s">
        <v>470</v>
      </c>
      <c r="B587" s="944" t="s">
        <v>3901</v>
      </c>
      <c r="C587" s="919" t="s">
        <v>3902</v>
      </c>
      <c r="D587" s="919" t="s">
        <v>4502</v>
      </c>
      <c r="E587" s="920">
        <v>1150</v>
      </c>
      <c r="F587" s="919" t="s">
        <v>4922</v>
      </c>
      <c r="G587" s="919" t="s">
        <v>4923</v>
      </c>
      <c r="H587" s="919" t="s">
        <v>4502</v>
      </c>
      <c r="I587" s="919" t="s">
        <v>3686</v>
      </c>
      <c r="J587" s="919"/>
      <c r="K587" s="920"/>
      <c r="L587" s="920"/>
      <c r="M587" s="920">
        <f t="shared" si="18"/>
        <v>0</v>
      </c>
      <c r="N587" s="919">
        <v>1</v>
      </c>
      <c r="O587" s="919">
        <v>4</v>
      </c>
      <c r="P587" s="921">
        <f t="shared" si="19"/>
        <v>4600</v>
      </c>
    </row>
    <row r="588" spans="1:16" ht="20.100000000000001" customHeight="1" x14ac:dyDescent="0.25">
      <c r="A588" s="918" t="s">
        <v>470</v>
      </c>
      <c r="B588" s="944" t="s">
        <v>3901</v>
      </c>
      <c r="C588" s="919" t="s">
        <v>3902</v>
      </c>
      <c r="D588" s="919" t="s">
        <v>4502</v>
      </c>
      <c r="E588" s="920">
        <v>1150</v>
      </c>
      <c r="F588" s="919" t="s">
        <v>4924</v>
      </c>
      <c r="G588" s="919" t="s">
        <v>4925</v>
      </c>
      <c r="H588" s="919" t="s">
        <v>4502</v>
      </c>
      <c r="I588" s="919" t="s">
        <v>3686</v>
      </c>
      <c r="J588" s="919"/>
      <c r="K588" s="920"/>
      <c r="L588" s="920"/>
      <c r="M588" s="920">
        <f t="shared" si="18"/>
        <v>0</v>
      </c>
      <c r="N588" s="919">
        <v>1</v>
      </c>
      <c r="O588" s="919">
        <v>4</v>
      </c>
      <c r="P588" s="921">
        <f t="shared" si="19"/>
        <v>4600</v>
      </c>
    </row>
    <row r="589" spans="1:16" ht="20.100000000000001" customHeight="1" x14ac:dyDescent="0.25">
      <c r="A589" s="918" t="s">
        <v>470</v>
      </c>
      <c r="B589" s="944" t="s">
        <v>3901</v>
      </c>
      <c r="C589" s="919" t="s">
        <v>3902</v>
      </c>
      <c r="D589" s="919" t="s">
        <v>4502</v>
      </c>
      <c r="E589" s="920">
        <v>1150</v>
      </c>
      <c r="F589" s="919" t="s">
        <v>4926</v>
      </c>
      <c r="G589" s="919" t="s">
        <v>4927</v>
      </c>
      <c r="H589" s="919" t="s">
        <v>4502</v>
      </c>
      <c r="I589" s="919" t="s">
        <v>3686</v>
      </c>
      <c r="J589" s="919"/>
      <c r="K589" s="920"/>
      <c r="L589" s="920"/>
      <c r="M589" s="920">
        <f t="shared" si="18"/>
        <v>0</v>
      </c>
      <c r="N589" s="919">
        <v>1</v>
      </c>
      <c r="O589" s="919">
        <v>4</v>
      </c>
      <c r="P589" s="921">
        <f t="shared" si="19"/>
        <v>4600</v>
      </c>
    </row>
    <row r="590" spans="1:16" ht="20.100000000000001" customHeight="1" x14ac:dyDescent="0.25">
      <c r="A590" s="918" t="s">
        <v>470</v>
      </c>
      <c r="B590" s="944" t="s">
        <v>3901</v>
      </c>
      <c r="C590" s="919" t="s">
        <v>3902</v>
      </c>
      <c r="D590" s="919" t="s">
        <v>4502</v>
      </c>
      <c r="E590" s="920">
        <v>1150</v>
      </c>
      <c r="F590" s="919" t="s">
        <v>4928</v>
      </c>
      <c r="G590" s="919" t="s">
        <v>4929</v>
      </c>
      <c r="H590" s="919" t="s">
        <v>4502</v>
      </c>
      <c r="I590" s="919" t="s">
        <v>3686</v>
      </c>
      <c r="J590" s="919"/>
      <c r="K590" s="920"/>
      <c r="L590" s="920"/>
      <c r="M590" s="920">
        <f t="shared" si="18"/>
        <v>0</v>
      </c>
      <c r="N590" s="919">
        <v>1</v>
      </c>
      <c r="O590" s="919">
        <v>4</v>
      </c>
      <c r="P590" s="921">
        <f t="shared" si="19"/>
        <v>4600</v>
      </c>
    </row>
    <row r="591" spans="1:16" ht="20.100000000000001" customHeight="1" x14ac:dyDescent="0.25">
      <c r="A591" s="918" t="s">
        <v>470</v>
      </c>
      <c r="B591" s="944" t="s">
        <v>3901</v>
      </c>
      <c r="C591" s="919" t="s">
        <v>3902</v>
      </c>
      <c r="D591" s="919" t="s">
        <v>4502</v>
      </c>
      <c r="E591" s="920">
        <v>1150</v>
      </c>
      <c r="F591" s="919" t="s">
        <v>4930</v>
      </c>
      <c r="G591" s="919" t="s">
        <v>4931</v>
      </c>
      <c r="H591" s="919" t="s">
        <v>4502</v>
      </c>
      <c r="I591" s="919" t="s">
        <v>3686</v>
      </c>
      <c r="J591" s="919"/>
      <c r="K591" s="920"/>
      <c r="L591" s="920"/>
      <c r="M591" s="920">
        <f t="shared" si="18"/>
        <v>0</v>
      </c>
      <c r="N591" s="919">
        <v>1</v>
      </c>
      <c r="O591" s="919">
        <v>4</v>
      </c>
      <c r="P591" s="921">
        <f t="shared" si="19"/>
        <v>4600</v>
      </c>
    </row>
    <row r="592" spans="1:16" ht="20.100000000000001" customHeight="1" x14ac:dyDescent="0.25">
      <c r="A592" s="918" t="s">
        <v>470</v>
      </c>
      <c r="B592" s="944" t="s">
        <v>3901</v>
      </c>
      <c r="C592" s="919" t="s">
        <v>3902</v>
      </c>
      <c r="D592" s="919" t="s">
        <v>4502</v>
      </c>
      <c r="E592" s="920">
        <v>1150</v>
      </c>
      <c r="F592" s="919" t="s">
        <v>4932</v>
      </c>
      <c r="G592" s="919" t="s">
        <v>4933</v>
      </c>
      <c r="H592" s="919" t="s">
        <v>4502</v>
      </c>
      <c r="I592" s="919" t="s">
        <v>3686</v>
      </c>
      <c r="J592" s="919"/>
      <c r="K592" s="920"/>
      <c r="L592" s="920"/>
      <c r="M592" s="920">
        <f t="shared" si="18"/>
        <v>0</v>
      </c>
      <c r="N592" s="919">
        <v>1</v>
      </c>
      <c r="O592" s="919">
        <v>4</v>
      </c>
      <c r="P592" s="921">
        <f t="shared" si="19"/>
        <v>4600</v>
      </c>
    </row>
    <row r="593" spans="1:16" ht="20.100000000000001" customHeight="1" x14ac:dyDescent="0.25">
      <c r="A593" s="918" t="s">
        <v>470</v>
      </c>
      <c r="B593" s="944" t="s">
        <v>3901</v>
      </c>
      <c r="C593" s="919" t="s">
        <v>3902</v>
      </c>
      <c r="D593" s="919" t="s">
        <v>4502</v>
      </c>
      <c r="E593" s="920">
        <v>1150</v>
      </c>
      <c r="F593" s="919" t="s">
        <v>4934</v>
      </c>
      <c r="G593" s="919" t="s">
        <v>4935</v>
      </c>
      <c r="H593" s="919" t="s">
        <v>4502</v>
      </c>
      <c r="I593" s="919" t="s">
        <v>3686</v>
      </c>
      <c r="J593" s="919"/>
      <c r="K593" s="920"/>
      <c r="L593" s="920"/>
      <c r="M593" s="920">
        <f t="shared" si="18"/>
        <v>0</v>
      </c>
      <c r="N593" s="919">
        <v>1</v>
      </c>
      <c r="O593" s="919">
        <v>4</v>
      </c>
      <c r="P593" s="921">
        <f t="shared" si="19"/>
        <v>4600</v>
      </c>
    </row>
    <row r="594" spans="1:16" ht="20.100000000000001" customHeight="1" x14ac:dyDescent="0.25">
      <c r="A594" s="918" t="s">
        <v>470</v>
      </c>
      <c r="B594" s="944" t="s">
        <v>3901</v>
      </c>
      <c r="C594" s="919" t="s">
        <v>3902</v>
      </c>
      <c r="D594" s="919" t="s">
        <v>4502</v>
      </c>
      <c r="E594" s="920">
        <v>1150</v>
      </c>
      <c r="F594" s="919" t="s">
        <v>4936</v>
      </c>
      <c r="G594" s="919" t="s">
        <v>4937</v>
      </c>
      <c r="H594" s="919" t="s">
        <v>4502</v>
      </c>
      <c r="I594" s="919" t="s">
        <v>3686</v>
      </c>
      <c r="J594" s="919"/>
      <c r="K594" s="920"/>
      <c r="L594" s="920"/>
      <c r="M594" s="920">
        <f t="shared" si="18"/>
        <v>0</v>
      </c>
      <c r="N594" s="919">
        <v>1</v>
      </c>
      <c r="O594" s="919">
        <v>4</v>
      </c>
      <c r="P594" s="921">
        <f t="shared" si="19"/>
        <v>4600</v>
      </c>
    </row>
    <row r="595" spans="1:16" ht="20.100000000000001" customHeight="1" x14ac:dyDescent="0.25">
      <c r="A595" s="918" t="s">
        <v>470</v>
      </c>
      <c r="B595" s="944" t="s">
        <v>3901</v>
      </c>
      <c r="C595" s="919" t="s">
        <v>3902</v>
      </c>
      <c r="D595" s="919" t="s">
        <v>4502</v>
      </c>
      <c r="E595" s="920">
        <v>1150</v>
      </c>
      <c r="F595" s="919" t="s">
        <v>4938</v>
      </c>
      <c r="G595" s="919" t="s">
        <v>4939</v>
      </c>
      <c r="H595" s="919" t="s">
        <v>4502</v>
      </c>
      <c r="I595" s="919" t="s">
        <v>3686</v>
      </c>
      <c r="J595" s="919"/>
      <c r="K595" s="920"/>
      <c r="L595" s="920"/>
      <c r="M595" s="920">
        <f t="shared" si="18"/>
        <v>0</v>
      </c>
      <c r="N595" s="919">
        <v>1</v>
      </c>
      <c r="O595" s="919">
        <v>4</v>
      </c>
      <c r="P595" s="921">
        <f t="shared" si="19"/>
        <v>4600</v>
      </c>
    </row>
    <row r="596" spans="1:16" ht="20.100000000000001" customHeight="1" x14ac:dyDescent="0.25">
      <c r="A596" s="918" t="s">
        <v>470</v>
      </c>
      <c r="B596" s="944" t="s">
        <v>3901</v>
      </c>
      <c r="C596" s="919" t="s">
        <v>3902</v>
      </c>
      <c r="D596" s="919" t="s">
        <v>4502</v>
      </c>
      <c r="E596" s="920">
        <v>1150</v>
      </c>
      <c r="F596" s="919" t="s">
        <v>4940</v>
      </c>
      <c r="G596" s="919" t="s">
        <v>4941</v>
      </c>
      <c r="H596" s="919" t="s">
        <v>4502</v>
      </c>
      <c r="I596" s="919" t="s">
        <v>3686</v>
      </c>
      <c r="J596" s="919"/>
      <c r="K596" s="920"/>
      <c r="L596" s="920"/>
      <c r="M596" s="920">
        <f t="shared" si="18"/>
        <v>0</v>
      </c>
      <c r="N596" s="919">
        <v>1</v>
      </c>
      <c r="O596" s="919">
        <v>4</v>
      </c>
      <c r="P596" s="921">
        <f t="shared" si="19"/>
        <v>4600</v>
      </c>
    </row>
    <row r="597" spans="1:16" ht="20.100000000000001" customHeight="1" x14ac:dyDescent="0.25">
      <c r="A597" s="918" t="s">
        <v>470</v>
      </c>
      <c r="B597" s="944" t="s">
        <v>3901</v>
      </c>
      <c r="C597" s="919" t="s">
        <v>3902</v>
      </c>
      <c r="D597" s="919" t="s">
        <v>4502</v>
      </c>
      <c r="E597" s="920">
        <v>1150</v>
      </c>
      <c r="F597" s="919" t="s">
        <v>4942</v>
      </c>
      <c r="G597" s="919" t="s">
        <v>4943</v>
      </c>
      <c r="H597" s="919" t="s">
        <v>4502</v>
      </c>
      <c r="I597" s="919" t="s">
        <v>3686</v>
      </c>
      <c r="J597" s="919"/>
      <c r="K597" s="920"/>
      <c r="L597" s="920"/>
      <c r="M597" s="920">
        <f t="shared" si="18"/>
        <v>0</v>
      </c>
      <c r="N597" s="919">
        <v>1</v>
      </c>
      <c r="O597" s="919">
        <v>4</v>
      </c>
      <c r="P597" s="921">
        <f t="shared" si="19"/>
        <v>4600</v>
      </c>
    </row>
    <row r="598" spans="1:16" ht="20.100000000000001" customHeight="1" x14ac:dyDescent="0.25">
      <c r="A598" s="918" t="s">
        <v>470</v>
      </c>
      <c r="B598" s="944" t="s">
        <v>3901</v>
      </c>
      <c r="C598" s="919" t="s">
        <v>3902</v>
      </c>
      <c r="D598" s="919" t="s">
        <v>4502</v>
      </c>
      <c r="E598" s="920">
        <v>1150</v>
      </c>
      <c r="F598" s="919" t="s">
        <v>4944</v>
      </c>
      <c r="G598" s="919" t="s">
        <v>4945</v>
      </c>
      <c r="H598" s="919" t="s">
        <v>4502</v>
      </c>
      <c r="I598" s="919" t="s">
        <v>3686</v>
      </c>
      <c r="J598" s="919"/>
      <c r="K598" s="920"/>
      <c r="L598" s="920"/>
      <c r="M598" s="920">
        <f t="shared" si="18"/>
        <v>0</v>
      </c>
      <c r="N598" s="919">
        <v>1</v>
      </c>
      <c r="O598" s="919">
        <v>4</v>
      </c>
      <c r="P598" s="921">
        <f t="shared" si="19"/>
        <v>4600</v>
      </c>
    </row>
    <row r="599" spans="1:16" ht="20.100000000000001" customHeight="1" x14ac:dyDescent="0.25">
      <c r="A599" s="918" t="s">
        <v>470</v>
      </c>
      <c r="B599" s="944" t="s">
        <v>3901</v>
      </c>
      <c r="C599" s="919" t="s">
        <v>3902</v>
      </c>
      <c r="D599" s="919" t="s">
        <v>4502</v>
      </c>
      <c r="E599" s="920">
        <v>1150</v>
      </c>
      <c r="F599" s="919" t="s">
        <v>4946</v>
      </c>
      <c r="G599" s="919" t="s">
        <v>4947</v>
      </c>
      <c r="H599" s="919" t="s">
        <v>4502</v>
      </c>
      <c r="I599" s="919" t="s">
        <v>3686</v>
      </c>
      <c r="J599" s="919"/>
      <c r="K599" s="920"/>
      <c r="L599" s="920"/>
      <c r="M599" s="920">
        <f t="shared" si="18"/>
        <v>0</v>
      </c>
      <c r="N599" s="919">
        <v>1</v>
      </c>
      <c r="O599" s="919">
        <v>4</v>
      </c>
      <c r="P599" s="921">
        <f t="shared" si="19"/>
        <v>4600</v>
      </c>
    </row>
    <row r="600" spans="1:16" ht="20.100000000000001" customHeight="1" x14ac:dyDescent="0.25">
      <c r="A600" s="918" t="s">
        <v>470</v>
      </c>
      <c r="B600" s="944" t="s">
        <v>3901</v>
      </c>
      <c r="C600" s="919" t="s">
        <v>3902</v>
      </c>
      <c r="D600" s="919" t="s">
        <v>4502</v>
      </c>
      <c r="E600" s="920">
        <v>1150</v>
      </c>
      <c r="F600" s="919" t="s">
        <v>4948</v>
      </c>
      <c r="G600" s="919" t="s">
        <v>4949</v>
      </c>
      <c r="H600" s="919" t="s">
        <v>4502</v>
      </c>
      <c r="I600" s="919" t="s">
        <v>3686</v>
      </c>
      <c r="J600" s="919"/>
      <c r="K600" s="920"/>
      <c r="L600" s="920"/>
      <c r="M600" s="920">
        <f t="shared" si="18"/>
        <v>0</v>
      </c>
      <c r="N600" s="919">
        <v>1</v>
      </c>
      <c r="O600" s="919">
        <v>1</v>
      </c>
      <c r="P600" s="921">
        <f t="shared" si="19"/>
        <v>1150</v>
      </c>
    </row>
    <row r="601" spans="1:16" ht="20.100000000000001" customHeight="1" x14ac:dyDescent="0.25">
      <c r="A601" s="918" t="s">
        <v>470</v>
      </c>
      <c r="B601" s="944" t="s">
        <v>3901</v>
      </c>
      <c r="C601" s="919" t="s">
        <v>3902</v>
      </c>
      <c r="D601" s="919" t="s">
        <v>4531</v>
      </c>
      <c r="E601" s="920">
        <v>1800</v>
      </c>
      <c r="F601" s="919" t="s">
        <v>4950</v>
      </c>
      <c r="G601" s="919" t="s">
        <v>4951</v>
      </c>
      <c r="H601" s="919" t="s">
        <v>4531</v>
      </c>
      <c r="I601" s="919" t="s">
        <v>3679</v>
      </c>
      <c r="J601" s="919"/>
      <c r="K601" s="920"/>
      <c r="L601" s="920"/>
      <c r="M601" s="920">
        <f t="shared" si="18"/>
        <v>0</v>
      </c>
      <c r="N601" s="919">
        <v>1</v>
      </c>
      <c r="O601" s="919">
        <v>4</v>
      </c>
      <c r="P601" s="921">
        <f t="shared" si="19"/>
        <v>7200</v>
      </c>
    </row>
    <row r="602" spans="1:16" ht="20.100000000000001" customHeight="1" x14ac:dyDescent="0.25">
      <c r="A602" s="918" t="s">
        <v>470</v>
      </c>
      <c r="B602" s="944" t="s">
        <v>3901</v>
      </c>
      <c r="C602" s="919" t="s">
        <v>3902</v>
      </c>
      <c r="D602" s="919" t="s">
        <v>4531</v>
      </c>
      <c r="E602" s="920">
        <v>1800</v>
      </c>
      <c r="F602" s="919" t="s">
        <v>4952</v>
      </c>
      <c r="G602" s="919" t="s">
        <v>4953</v>
      </c>
      <c r="H602" s="919" t="s">
        <v>4531</v>
      </c>
      <c r="I602" s="919" t="s">
        <v>3679</v>
      </c>
      <c r="J602" s="919"/>
      <c r="K602" s="920"/>
      <c r="L602" s="920"/>
      <c r="M602" s="920">
        <f t="shared" si="18"/>
        <v>0</v>
      </c>
      <c r="N602" s="919">
        <v>1</v>
      </c>
      <c r="O602" s="919">
        <v>4</v>
      </c>
      <c r="P602" s="921">
        <f t="shared" si="19"/>
        <v>7200</v>
      </c>
    </row>
    <row r="603" spans="1:16" ht="20.100000000000001" customHeight="1" x14ac:dyDescent="0.25">
      <c r="A603" s="918" t="s">
        <v>470</v>
      </c>
      <c r="B603" s="944" t="s">
        <v>3901</v>
      </c>
      <c r="C603" s="919" t="s">
        <v>3902</v>
      </c>
      <c r="D603" s="919" t="s">
        <v>4531</v>
      </c>
      <c r="E603" s="920">
        <v>1800</v>
      </c>
      <c r="F603" s="919" t="s">
        <v>4954</v>
      </c>
      <c r="G603" s="919" t="s">
        <v>4955</v>
      </c>
      <c r="H603" s="919" t="s">
        <v>4531</v>
      </c>
      <c r="I603" s="919" t="s">
        <v>3679</v>
      </c>
      <c r="J603" s="919"/>
      <c r="K603" s="920"/>
      <c r="L603" s="920"/>
      <c r="M603" s="920">
        <f t="shared" si="18"/>
        <v>0</v>
      </c>
      <c r="N603" s="919">
        <v>1</v>
      </c>
      <c r="O603" s="919">
        <v>4</v>
      </c>
      <c r="P603" s="921">
        <f t="shared" si="19"/>
        <v>7200</v>
      </c>
    </row>
    <row r="604" spans="1:16" ht="20.100000000000001" customHeight="1" x14ac:dyDescent="0.25">
      <c r="A604" s="918" t="s">
        <v>470</v>
      </c>
      <c r="B604" s="944" t="s">
        <v>3901</v>
      </c>
      <c r="C604" s="919" t="s">
        <v>3902</v>
      </c>
      <c r="D604" s="919" t="s">
        <v>4531</v>
      </c>
      <c r="E604" s="920">
        <v>1800</v>
      </c>
      <c r="F604" s="919" t="s">
        <v>4956</v>
      </c>
      <c r="G604" s="919" t="s">
        <v>4957</v>
      </c>
      <c r="H604" s="919" t="s">
        <v>4531</v>
      </c>
      <c r="I604" s="919" t="s">
        <v>3679</v>
      </c>
      <c r="J604" s="919"/>
      <c r="K604" s="920"/>
      <c r="L604" s="920"/>
      <c r="M604" s="920">
        <f t="shared" si="18"/>
        <v>0</v>
      </c>
      <c r="N604" s="919">
        <v>1</v>
      </c>
      <c r="O604" s="919">
        <v>4</v>
      </c>
      <c r="P604" s="921">
        <f t="shared" si="19"/>
        <v>7200</v>
      </c>
    </row>
    <row r="605" spans="1:16" ht="20.100000000000001" customHeight="1" x14ac:dyDescent="0.25">
      <c r="A605" s="918" t="s">
        <v>470</v>
      </c>
      <c r="B605" s="944" t="s">
        <v>3901</v>
      </c>
      <c r="C605" s="919" t="s">
        <v>3902</v>
      </c>
      <c r="D605" s="919" t="s">
        <v>4531</v>
      </c>
      <c r="E605" s="920">
        <v>1800</v>
      </c>
      <c r="F605" s="919" t="s">
        <v>4958</v>
      </c>
      <c r="G605" s="919" t="s">
        <v>4959</v>
      </c>
      <c r="H605" s="919" t="s">
        <v>4531</v>
      </c>
      <c r="I605" s="919" t="s">
        <v>3679</v>
      </c>
      <c r="J605" s="919"/>
      <c r="K605" s="920"/>
      <c r="L605" s="920"/>
      <c r="M605" s="920">
        <f t="shared" si="18"/>
        <v>0</v>
      </c>
      <c r="N605" s="919">
        <v>1</v>
      </c>
      <c r="O605" s="919">
        <v>4</v>
      </c>
      <c r="P605" s="921">
        <f t="shared" si="19"/>
        <v>7200</v>
      </c>
    </row>
    <row r="606" spans="1:16" ht="20.100000000000001" customHeight="1" x14ac:dyDescent="0.25">
      <c r="A606" s="918" t="s">
        <v>470</v>
      </c>
      <c r="B606" s="944" t="s">
        <v>3901</v>
      </c>
      <c r="C606" s="919" t="s">
        <v>3902</v>
      </c>
      <c r="D606" s="919" t="s">
        <v>4531</v>
      </c>
      <c r="E606" s="920">
        <v>1800</v>
      </c>
      <c r="F606" s="919" t="s">
        <v>4960</v>
      </c>
      <c r="G606" s="919" t="s">
        <v>4961</v>
      </c>
      <c r="H606" s="919" t="s">
        <v>4531</v>
      </c>
      <c r="I606" s="919" t="s">
        <v>3679</v>
      </c>
      <c r="J606" s="919"/>
      <c r="K606" s="920"/>
      <c r="L606" s="920"/>
      <c r="M606" s="920">
        <f t="shared" si="18"/>
        <v>0</v>
      </c>
      <c r="N606" s="919">
        <v>1</v>
      </c>
      <c r="O606" s="919">
        <v>4</v>
      </c>
      <c r="P606" s="921">
        <f t="shared" si="19"/>
        <v>7200</v>
      </c>
    </row>
    <row r="607" spans="1:16" ht="20.100000000000001" customHeight="1" x14ac:dyDescent="0.25">
      <c r="A607" s="918" t="s">
        <v>470</v>
      </c>
      <c r="B607" s="944" t="s">
        <v>3901</v>
      </c>
      <c r="C607" s="919" t="s">
        <v>3902</v>
      </c>
      <c r="D607" s="919" t="s">
        <v>4531</v>
      </c>
      <c r="E607" s="920">
        <v>1800</v>
      </c>
      <c r="F607" s="919" t="s">
        <v>4962</v>
      </c>
      <c r="G607" s="919" t="s">
        <v>4963</v>
      </c>
      <c r="H607" s="919" t="s">
        <v>4531</v>
      </c>
      <c r="I607" s="919" t="s">
        <v>3679</v>
      </c>
      <c r="J607" s="919"/>
      <c r="K607" s="920"/>
      <c r="L607" s="920"/>
      <c r="M607" s="920">
        <f t="shared" si="18"/>
        <v>0</v>
      </c>
      <c r="N607" s="919">
        <v>1</v>
      </c>
      <c r="O607" s="919">
        <v>4</v>
      </c>
      <c r="P607" s="921">
        <f t="shared" si="19"/>
        <v>7200</v>
      </c>
    </row>
    <row r="608" spans="1:16" ht="20.100000000000001" customHeight="1" x14ac:dyDescent="0.25">
      <c r="A608" s="918" t="s">
        <v>470</v>
      </c>
      <c r="B608" s="944" t="s">
        <v>3901</v>
      </c>
      <c r="C608" s="919" t="s">
        <v>3902</v>
      </c>
      <c r="D608" s="919" t="s">
        <v>4531</v>
      </c>
      <c r="E608" s="920">
        <v>1800</v>
      </c>
      <c r="F608" s="919" t="s">
        <v>4964</v>
      </c>
      <c r="G608" s="919" t="s">
        <v>4965</v>
      </c>
      <c r="H608" s="919" t="s">
        <v>4531</v>
      </c>
      <c r="I608" s="919" t="s">
        <v>3679</v>
      </c>
      <c r="J608" s="919"/>
      <c r="K608" s="920"/>
      <c r="L608" s="920"/>
      <c r="M608" s="920">
        <f t="shared" si="18"/>
        <v>0</v>
      </c>
      <c r="N608" s="919">
        <v>1</v>
      </c>
      <c r="O608" s="919">
        <v>4</v>
      </c>
      <c r="P608" s="921">
        <f t="shared" si="19"/>
        <v>7200</v>
      </c>
    </row>
    <row r="609" spans="1:16" ht="20.100000000000001" customHeight="1" x14ac:dyDescent="0.25">
      <c r="A609" s="918" t="s">
        <v>470</v>
      </c>
      <c r="B609" s="944" t="s">
        <v>3901</v>
      </c>
      <c r="C609" s="919" t="s">
        <v>3902</v>
      </c>
      <c r="D609" s="919" t="s">
        <v>4531</v>
      </c>
      <c r="E609" s="920">
        <v>1800</v>
      </c>
      <c r="F609" s="919" t="s">
        <v>4966</v>
      </c>
      <c r="G609" s="919" t="s">
        <v>4967</v>
      </c>
      <c r="H609" s="919" t="s">
        <v>4531</v>
      </c>
      <c r="I609" s="919" t="s">
        <v>3679</v>
      </c>
      <c r="J609" s="919"/>
      <c r="K609" s="920"/>
      <c r="L609" s="920"/>
      <c r="M609" s="920">
        <f t="shared" si="18"/>
        <v>0</v>
      </c>
      <c r="N609" s="919">
        <v>1</v>
      </c>
      <c r="O609" s="919">
        <v>4</v>
      </c>
      <c r="P609" s="921">
        <f t="shared" si="19"/>
        <v>7200</v>
      </c>
    </row>
    <row r="610" spans="1:16" ht="20.100000000000001" customHeight="1" x14ac:dyDescent="0.25">
      <c r="A610" s="918" t="s">
        <v>470</v>
      </c>
      <c r="B610" s="944" t="s">
        <v>3901</v>
      </c>
      <c r="C610" s="919" t="s">
        <v>3902</v>
      </c>
      <c r="D610" s="919" t="s">
        <v>4531</v>
      </c>
      <c r="E610" s="920">
        <v>1800</v>
      </c>
      <c r="F610" s="919" t="s">
        <v>4968</v>
      </c>
      <c r="G610" s="919" t="s">
        <v>4969</v>
      </c>
      <c r="H610" s="919" t="s">
        <v>4531</v>
      </c>
      <c r="I610" s="919" t="s">
        <v>3679</v>
      </c>
      <c r="J610" s="919"/>
      <c r="K610" s="920"/>
      <c r="L610" s="920"/>
      <c r="M610" s="920">
        <f t="shared" si="18"/>
        <v>0</v>
      </c>
      <c r="N610" s="919">
        <v>1</v>
      </c>
      <c r="O610" s="919">
        <v>4</v>
      </c>
      <c r="P610" s="921">
        <f t="shared" si="19"/>
        <v>7200</v>
      </c>
    </row>
    <row r="611" spans="1:16" ht="20.100000000000001" customHeight="1" x14ac:dyDescent="0.25">
      <c r="A611" s="918" t="s">
        <v>470</v>
      </c>
      <c r="B611" s="944" t="s">
        <v>3901</v>
      </c>
      <c r="C611" s="919" t="s">
        <v>3902</v>
      </c>
      <c r="D611" s="919" t="s">
        <v>4531</v>
      </c>
      <c r="E611" s="920">
        <v>1800</v>
      </c>
      <c r="F611" s="919" t="s">
        <v>4041</v>
      </c>
      <c r="G611" s="919" t="s">
        <v>4042</v>
      </c>
      <c r="H611" s="919" t="s">
        <v>4531</v>
      </c>
      <c r="I611" s="919" t="s">
        <v>3679</v>
      </c>
      <c r="J611" s="919"/>
      <c r="K611" s="920">
        <v>1</v>
      </c>
      <c r="L611" s="920">
        <v>12</v>
      </c>
      <c r="M611" s="920">
        <f t="shared" si="18"/>
        <v>21600</v>
      </c>
      <c r="N611" s="919"/>
      <c r="O611" s="919"/>
      <c r="P611" s="921">
        <f t="shared" si="19"/>
        <v>0</v>
      </c>
    </row>
    <row r="612" spans="1:16" ht="20.100000000000001" customHeight="1" x14ac:dyDescent="0.25">
      <c r="A612" s="918" t="s">
        <v>470</v>
      </c>
      <c r="B612" s="944" t="s">
        <v>3901</v>
      </c>
      <c r="C612" s="919" t="s">
        <v>3902</v>
      </c>
      <c r="D612" s="919" t="s">
        <v>4531</v>
      </c>
      <c r="E612" s="920">
        <v>1800</v>
      </c>
      <c r="F612" s="919" t="s">
        <v>4970</v>
      </c>
      <c r="G612" s="919" t="s">
        <v>4971</v>
      </c>
      <c r="H612" s="919" t="s">
        <v>4531</v>
      </c>
      <c r="I612" s="919" t="s">
        <v>3679</v>
      </c>
      <c r="J612" s="919"/>
      <c r="K612" s="920"/>
      <c r="L612" s="920"/>
      <c r="M612" s="920">
        <f t="shared" si="18"/>
        <v>0</v>
      </c>
      <c r="N612" s="919">
        <v>1</v>
      </c>
      <c r="O612" s="919">
        <v>4</v>
      </c>
      <c r="P612" s="921">
        <f t="shared" si="19"/>
        <v>7200</v>
      </c>
    </row>
    <row r="613" spans="1:16" ht="20.100000000000001" customHeight="1" x14ac:dyDescent="0.25">
      <c r="A613" s="918" t="s">
        <v>470</v>
      </c>
      <c r="B613" s="944" t="s">
        <v>3901</v>
      </c>
      <c r="C613" s="919" t="s">
        <v>3902</v>
      </c>
      <c r="D613" s="919" t="s">
        <v>4531</v>
      </c>
      <c r="E613" s="920">
        <v>1800</v>
      </c>
      <c r="F613" s="919" t="s">
        <v>4972</v>
      </c>
      <c r="G613" s="919" t="s">
        <v>4973</v>
      </c>
      <c r="H613" s="919" t="s">
        <v>4531</v>
      </c>
      <c r="I613" s="919" t="s">
        <v>3679</v>
      </c>
      <c r="J613" s="919"/>
      <c r="K613" s="920"/>
      <c r="L613" s="920"/>
      <c r="M613" s="920">
        <f t="shared" si="18"/>
        <v>0</v>
      </c>
      <c r="N613" s="919">
        <v>1</v>
      </c>
      <c r="O613" s="919">
        <v>4</v>
      </c>
      <c r="P613" s="921">
        <f t="shared" si="19"/>
        <v>7200</v>
      </c>
    </row>
    <row r="614" spans="1:16" ht="20.100000000000001" customHeight="1" x14ac:dyDescent="0.25">
      <c r="A614" s="918" t="s">
        <v>470</v>
      </c>
      <c r="B614" s="944" t="s">
        <v>3901</v>
      </c>
      <c r="C614" s="919" t="s">
        <v>3902</v>
      </c>
      <c r="D614" s="919" t="s">
        <v>4531</v>
      </c>
      <c r="E614" s="920">
        <v>1800</v>
      </c>
      <c r="F614" s="919" t="s">
        <v>4974</v>
      </c>
      <c r="G614" s="919" t="s">
        <v>4975</v>
      </c>
      <c r="H614" s="919" t="s">
        <v>4531</v>
      </c>
      <c r="I614" s="919" t="s">
        <v>3679</v>
      </c>
      <c r="J614" s="919"/>
      <c r="K614" s="920"/>
      <c r="L614" s="920"/>
      <c r="M614" s="920">
        <f t="shared" si="18"/>
        <v>0</v>
      </c>
      <c r="N614" s="919">
        <v>1</v>
      </c>
      <c r="O614" s="919">
        <v>4</v>
      </c>
      <c r="P614" s="921">
        <f t="shared" si="19"/>
        <v>7200</v>
      </c>
    </row>
    <row r="615" spans="1:16" ht="20.100000000000001" customHeight="1" x14ac:dyDescent="0.25">
      <c r="A615" s="918" t="s">
        <v>470</v>
      </c>
      <c r="B615" s="944" t="s">
        <v>3901</v>
      </c>
      <c r="C615" s="919" t="s">
        <v>3902</v>
      </c>
      <c r="D615" s="919" t="s">
        <v>4531</v>
      </c>
      <c r="E615" s="920">
        <v>1800</v>
      </c>
      <c r="F615" s="919" t="s">
        <v>4976</v>
      </c>
      <c r="G615" s="919" t="s">
        <v>4977</v>
      </c>
      <c r="H615" s="919" t="s">
        <v>4531</v>
      </c>
      <c r="I615" s="919" t="s">
        <v>3679</v>
      </c>
      <c r="J615" s="919"/>
      <c r="K615" s="920"/>
      <c r="L615" s="920"/>
      <c r="M615" s="920">
        <f t="shared" si="18"/>
        <v>0</v>
      </c>
      <c r="N615" s="919">
        <v>1</v>
      </c>
      <c r="O615" s="919">
        <v>4</v>
      </c>
      <c r="P615" s="921">
        <f t="shared" si="19"/>
        <v>7200</v>
      </c>
    </row>
    <row r="616" spans="1:16" ht="20.100000000000001" customHeight="1" x14ac:dyDescent="0.25">
      <c r="A616" s="918" t="s">
        <v>470</v>
      </c>
      <c r="B616" s="944" t="s">
        <v>3901</v>
      </c>
      <c r="C616" s="919" t="s">
        <v>3902</v>
      </c>
      <c r="D616" s="919" t="s">
        <v>4531</v>
      </c>
      <c r="E616" s="920">
        <v>1800</v>
      </c>
      <c r="F616" s="919" t="s">
        <v>4978</v>
      </c>
      <c r="G616" s="919" t="s">
        <v>4979</v>
      </c>
      <c r="H616" s="919" t="s">
        <v>4531</v>
      </c>
      <c r="I616" s="919" t="s">
        <v>3679</v>
      </c>
      <c r="J616" s="919"/>
      <c r="K616" s="920"/>
      <c r="L616" s="920"/>
      <c r="M616" s="920">
        <f t="shared" si="18"/>
        <v>0</v>
      </c>
      <c r="N616" s="919">
        <v>1</v>
      </c>
      <c r="O616" s="919">
        <v>4</v>
      </c>
      <c r="P616" s="921">
        <f t="shared" si="19"/>
        <v>7200</v>
      </c>
    </row>
    <row r="617" spans="1:16" ht="20.100000000000001" customHeight="1" x14ac:dyDescent="0.25">
      <c r="A617" s="918" t="s">
        <v>470</v>
      </c>
      <c r="B617" s="944" t="s">
        <v>3901</v>
      </c>
      <c r="C617" s="919" t="s">
        <v>3902</v>
      </c>
      <c r="D617" s="919" t="s">
        <v>4531</v>
      </c>
      <c r="E617" s="920">
        <v>1800</v>
      </c>
      <c r="F617" s="919" t="s">
        <v>4980</v>
      </c>
      <c r="G617" s="919" t="s">
        <v>4981</v>
      </c>
      <c r="H617" s="919" t="s">
        <v>4531</v>
      </c>
      <c r="I617" s="919" t="s">
        <v>3679</v>
      </c>
      <c r="J617" s="919"/>
      <c r="K617" s="920"/>
      <c r="L617" s="920"/>
      <c r="M617" s="920">
        <f t="shared" si="18"/>
        <v>0</v>
      </c>
      <c r="N617" s="919">
        <v>1</v>
      </c>
      <c r="O617" s="919">
        <v>4</v>
      </c>
      <c r="P617" s="921">
        <f t="shared" si="19"/>
        <v>7200</v>
      </c>
    </row>
    <row r="618" spans="1:16" ht="20.100000000000001" customHeight="1" x14ac:dyDescent="0.25">
      <c r="A618" s="918" t="s">
        <v>470</v>
      </c>
      <c r="B618" s="944" t="s">
        <v>3901</v>
      </c>
      <c r="C618" s="919" t="s">
        <v>3902</v>
      </c>
      <c r="D618" s="919" t="s">
        <v>4531</v>
      </c>
      <c r="E618" s="920">
        <v>1800</v>
      </c>
      <c r="F618" s="919" t="s">
        <v>4982</v>
      </c>
      <c r="G618" s="919" t="s">
        <v>4983</v>
      </c>
      <c r="H618" s="919" t="s">
        <v>4531</v>
      </c>
      <c r="I618" s="919" t="s">
        <v>3679</v>
      </c>
      <c r="J618" s="919"/>
      <c r="K618" s="920"/>
      <c r="L618" s="920"/>
      <c r="M618" s="920">
        <f t="shared" si="18"/>
        <v>0</v>
      </c>
      <c r="N618" s="919">
        <v>1</v>
      </c>
      <c r="O618" s="919">
        <v>4</v>
      </c>
      <c r="P618" s="921">
        <f t="shared" si="19"/>
        <v>7200</v>
      </c>
    </row>
    <row r="619" spans="1:16" ht="20.100000000000001" customHeight="1" x14ac:dyDescent="0.25">
      <c r="A619" s="918" t="s">
        <v>470</v>
      </c>
      <c r="B619" s="944" t="s">
        <v>3901</v>
      </c>
      <c r="C619" s="919" t="s">
        <v>3902</v>
      </c>
      <c r="D619" s="919" t="s">
        <v>4531</v>
      </c>
      <c r="E619" s="920">
        <v>1800</v>
      </c>
      <c r="F619" s="919" t="s">
        <v>4984</v>
      </c>
      <c r="G619" s="919" t="s">
        <v>4985</v>
      </c>
      <c r="H619" s="919" t="s">
        <v>4531</v>
      </c>
      <c r="I619" s="919" t="s">
        <v>3679</v>
      </c>
      <c r="J619" s="919"/>
      <c r="K619" s="920"/>
      <c r="L619" s="920"/>
      <c r="M619" s="920">
        <f t="shared" si="18"/>
        <v>0</v>
      </c>
      <c r="N619" s="919">
        <v>1</v>
      </c>
      <c r="O619" s="919">
        <v>1</v>
      </c>
      <c r="P619" s="921">
        <f t="shared" si="19"/>
        <v>1800</v>
      </c>
    </row>
    <row r="620" spans="1:16" ht="20.100000000000001" customHeight="1" x14ac:dyDescent="0.25">
      <c r="A620" s="918" t="s">
        <v>470</v>
      </c>
      <c r="B620" s="944" t="s">
        <v>3901</v>
      </c>
      <c r="C620" s="919" t="s">
        <v>3902</v>
      </c>
      <c r="D620" s="919" t="s">
        <v>4531</v>
      </c>
      <c r="E620" s="920">
        <v>1800</v>
      </c>
      <c r="F620" s="919" t="s">
        <v>4986</v>
      </c>
      <c r="G620" s="919" t="s">
        <v>4987</v>
      </c>
      <c r="H620" s="919" t="s">
        <v>4531</v>
      </c>
      <c r="I620" s="919" t="s">
        <v>3679</v>
      </c>
      <c r="J620" s="919"/>
      <c r="K620" s="920"/>
      <c r="L620" s="920"/>
      <c r="M620" s="920">
        <f t="shared" si="18"/>
        <v>0</v>
      </c>
      <c r="N620" s="919">
        <v>1</v>
      </c>
      <c r="O620" s="919">
        <v>4</v>
      </c>
      <c r="P620" s="921">
        <f t="shared" si="19"/>
        <v>7200</v>
      </c>
    </row>
    <row r="621" spans="1:16" ht="20.100000000000001" customHeight="1" x14ac:dyDescent="0.25">
      <c r="A621" s="918" t="s">
        <v>470</v>
      </c>
      <c r="B621" s="944" t="s">
        <v>3901</v>
      </c>
      <c r="C621" s="919" t="s">
        <v>3902</v>
      </c>
      <c r="D621" s="919" t="s">
        <v>4531</v>
      </c>
      <c r="E621" s="920">
        <v>1800</v>
      </c>
      <c r="F621" s="919" t="s">
        <v>4988</v>
      </c>
      <c r="G621" s="919" t="s">
        <v>4989</v>
      </c>
      <c r="H621" s="919" t="s">
        <v>4531</v>
      </c>
      <c r="I621" s="919" t="s">
        <v>3679</v>
      </c>
      <c r="J621" s="919"/>
      <c r="K621" s="920"/>
      <c r="L621" s="920"/>
      <c r="M621" s="920">
        <f t="shared" si="18"/>
        <v>0</v>
      </c>
      <c r="N621" s="919">
        <v>1</v>
      </c>
      <c r="O621" s="919">
        <v>4</v>
      </c>
      <c r="P621" s="921">
        <f t="shared" si="19"/>
        <v>7200</v>
      </c>
    </row>
    <row r="622" spans="1:16" ht="20.100000000000001" customHeight="1" x14ac:dyDescent="0.25">
      <c r="A622" s="918" t="s">
        <v>470</v>
      </c>
      <c r="B622" s="944" t="s">
        <v>3901</v>
      </c>
      <c r="C622" s="919" t="s">
        <v>3902</v>
      </c>
      <c r="D622" s="919" t="s">
        <v>4531</v>
      </c>
      <c r="E622" s="920">
        <v>1800</v>
      </c>
      <c r="F622" s="919" t="s">
        <v>4990</v>
      </c>
      <c r="G622" s="919" t="s">
        <v>4991</v>
      </c>
      <c r="H622" s="919" t="s">
        <v>4531</v>
      </c>
      <c r="I622" s="919" t="s">
        <v>3679</v>
      </c>
      <c r="J622" s="919"/>
      <c r="K622" s="920"/>
      <c r="L622" s="920"/>
      <c r="M622" s="920">
        <f t="shared" si="18"/>
        <v>0</v>
      </c>
      <c r="N622" s="919">
        <v>1</v>
      </c>
      <c r="O622" s="919">
        <v>4</v>
      </c>
      <c r="P622" s="921">
        <f t="shared" si="19"/>
        <v>7200</v>
      </c>
    </row>
    <row r="623" spans="1:16" ht="20.100000000000001" customHeight="1" x14ac:dyDescent="0.25">
      <c r="A623" s="918" t="s">
        <v>470</v>
      </c>
      <c r="B623" s="944" t="s">
        <v>3901</v>
      </c>
      <c r="C623" s="919" t="s">
        <v>3902</v>
      </c>
      <c r="D623" s="919" t="s">
        <v>4531</v>
      </c>
      <c r="E623" s="920">
        <v>1800</v>
      </c>
      <c r="F623" s="919" t="s">
        <v>4992</v>
      </c>
      <c r="G623" s="919" t="s">
        <v>4993</v>
      </c>
      <c r="H623" s="919" t="s">
        <v>4531</v>
      </c>
      <c r="I623" s="919" t="s">
        <v>3679</v>
      </c>
      <c r="J623" s="919"/>
      <c r="K623" s="920"/>
      <c r="L623" s="920"/>
      <c r="M623" s="920">
        <f t="shared" si="18"/>
        <v>0</v>
      </c>
      <c r="N623" s="919">
        <v>1</v>
      </c>
      <c r="O623" s="919">
        <v>4</v>
      </c>
      <c r="P623" s="921">
        <f t="shared" si="19"/>
        <v>7200</v>
      </c>
    </row>
    <row r="624" spans="1:16" ht="20.100000000000001" customHeight="1" x14ac:dyDescent="0.25">
      <c r="A624" s="918" t="s">
        <v>470</v>
      </c>
      <c r="B624" s="944" t="s">
        <v>3901</v>
      </c>
      <c r="C624" s="919" t="s">
        <v>3902</v>
      </c>
      <c r="D624" s="919" t="s">
        <v>4531</v>
      </c>
      <c r="E624" s="920">
        <v>1800</v>
      </c>
      <c r="F624" s="919" t="s">
        <v>4994</v>
      </c>
      <c r="G624" s="919" t="s">
        <v>4995</v>
      </c>
      <c r="H624" s="919" t="s">
        <v>4531</v>
      </c>
      <c r="I624" s="919" t="s">
        <v>3679</v>
      </c>
      <c r="J624" s="919"/>
      <c r="K624" s="920"/>
      <c r="L624" s="920"/>
      <c r="M624" s="920">
        <f t="shared" si="18"/>
        <v>0</v>
      </c>
      <c r="N624" s="919">
        <v>1</v>
      </c>
      <c r="O624" s="919">
        <v>4</v>
      </c>
      <c r="P624" s="921">
        <f t="shared" si="19"/>
        <v>7200</v>
      </c>
    </row>
    <row r="625" spans="1:16" ht="20.100000000000001" customHeight="1" x14ac:dyDescent="0.25">
      <c r="A625" s="918" t="s">
        <v>470</v>
      </c>
      <c r="B625" s="944" t="s">
        <v>3901</v>
      </c>
      <c r="C625" s="919" t="s">
        <v>3902</v>
      </c>
      <c r="D625" s="919" t="s">
        <v>4531</v>
      </c>
      <c r="E625" s="920">
        <v>1800</v>
      </c>
      <c r="F625" s="919" t="s">
        <v>4996</v>
      </c>
      <c r="G625" s="919" t="s">
        <v>4997</v>
      </c>
      <c r="H625" s="919" t="s">
        <v>4531</v>
      </c>
      <c r="I625" s="919" t="s">
        <v>3679</v>
      </c>
      <c r="J625" s="919"/>
      <c r="K625" s="920"/>
      <c r="L625" s="920"/>
      <c r="M625" s="920">
        <f t="shared" si="18"/>
        <v>0</v>
      </c>
      <c r="N625" s="919">
        <v>1</v>
      </c>
      <c r="O625" s="919">
        <v>3</v>
      </c>
      <c r="P625" s="921">
        <f t="shared" si="19"/>
        <v>5400</v>
      </c>
    </row>
    <row r="626" spans="1:16" ht="20.100000000000001" customHeight="1" x14ac:dyDescent="0.25">
      <c r="A626" s="918" t="s">
        <v>470</v>
      </c>
      <c r="B626" s="944" t="s">
        <v>3901</v>
      </c>
      <c r="C626" s="919" t="s">
        <v>3902</v>
      </c>
      <c r="D626" s="919" t="s">
        <v>4531</v>
      </c>
      <c r="E626" s="920">
        <v>1800</v>
      </c>
      <c r="F626" s="919" t="s">
        <v>4998</v>
      </c>
      <c r="G626" s="919" t="s">
        <v>4999</v>
      </c>
      <c r="H626" s="919" t="s">
        <v>4531</v>
      </c>
      <c r="I626" s="919" t="s">
        <v>3679</v>
      </c>
      <c r="J626" s="919"/>
      <c r="K626" s="920"/>
      <c r="L626" s="920"/>
      <c r="M626" s="920">
        <f t="shared" si="18"/>
        <v>0</v>
      </c>
      <c r="N626" s="919">
        <v>1</v>
      </c>
      <c r="O626" s="919">
        <v>4</v>
      </c>
      <c r="P626" s="921">
        <f t="shared" si="19"/>
        <v>7200</v>
      </c>
    </row>
    <row r="627" spans="1:16" ht="20.100000000000001" customHeight="1" x14ac:dyDescent="0.25">
      <c r="A627" s="918" t="s">
        <v>470</v>
      </c>
      <c r="B627" s="944" t="s">
        <v>3901</v>
      </c>
      <c r="C627" s="919" t="s">
        <v>3902</v>
      </c>
      <c r="D627" s="919" t="s">
        <v>4531</v>
      </c>
      <c r="E627" s="920">
        <v>1800</v>
      </c>
      <c r="F627" s="919" t="s">
        <v>5000</v>
      </c>
      <c r="G627" s="919" t="s">
        <v>5001</v>
      </c>
      <c r="H627" s="919" t="s">
        <v>4531</v>
      </c>
      <c r="I627" s="919" t="s">
        <v>3679</v>
      </c>
      <c r="J627" s="919"/>
      <c r="K627" s="920"/>
      <c r="L627" s="920"/>
      <c r="M627" s="920">
        <f t="shared" si="18"/>
        <v>0</v>
      </c>
      <c r="N627" s="919">
        <v>1</v>
      </c>
      <c r="O627" s="919">
        <v>4</v>
      </c>
      <c r="P627" s="921">
        <f t="shared" si="19"/>
        <v>7200</v>
      </c>
    </row>
    <row r="628" spans="1:16" ht="20.100000000000001" customHeight="1" x14ac:dyDescent="0.25">
      <c r="A628" s="918" t="s">
        <v>470</v>
      </c>
      <c r="B628" s="944" t="s">
        <v>3901</v>
      </c>
      <c r="C628" s="919" t="s">
        <v>3902</v>
      </c>
      <c r="D628" s="919" t="s">
        <v>4531</v>
      </c>
      <c r="E628" s="920">
        <v>1800</v>
      </c>
      <c r="F628" s="919" t="s">
        <v>5002</v>
      </c>
      <c r="G628" s="919" t="s">
        <v>5003</v>
      </c>
      <c r="H628" s="919" t="s">
        <v>4531</v>
      </c>
      <c r="I628" s="919" t="s">
        <v>3679</v>
      </c>
      <c r="J628" s="919"/>
      <c r="K628" s="920"/>
      <c r="L628" s="920"/>
      <c r="M628" s="920">
        <f t="shared" si="18"/>
        <v>0</v>
      </c>
      <c r="N628" s="919">
        <v>1</v>
      </c>
      <c r="O628" s="919">
        <v>4</v>
      </c>
      <c r="P628" s="921">
        <f t="shared" si="19"/>
        <v>7200</v>
      </c>
    </row>
    <row r="629" spans="1:16" ht="20.100000000000001" customHeight="1" x14ac:dyDescent="0.25">
      <c r="A629" s="918" t="s">
        <v>470</v>
      </c>
      <c r="B629" s="944" t="s">
        <v>3901</v>
      </c>
      <c r="C629" s="919" t="s">
        <v>3902</v>
      </c>
      <c r="D629" s="919" t="s">
        <v>4531</v>
      </c>
      <c r="E629" s="920">
        <v>1800</v>
      </c>
      <c r="F629" s="919" t="s">
        <v>5004</v>
      </c>
      <c r="G629" s="919" t="s">
        <v>5005</v>
      </c>
      <c r="H629" s="919" t="s">
        <v>4531</v>
      </c>
      <c r="I629" s="919" t="s">
        <v>3679</v>
      </c>
      <c r="J629" s="919"/>
      <c r="K629" s="920"/>
      <c r="L629" s="920"/>
      <c r="M629" s="920">
        <f t="shared" si="18"/>
        <v>0</v>
      </c>
      <c r="N629" s="919">
        <v>1</v>
      </c>
      <c r="O629" s="919">
        <v>4</v>
      </c>
      <c r="P629" s="921">
        <f t="shared" si="19"/>
        <v>7200</v>
      </c>
    </row>
    <row r="630" spans="1:16" ht="20.100000000000001" customHeight="1" x14ac:dyDescent="0.25">
      <c r="A630" s="918" t="s">
        <v>470</v>
      </c>
      <c r="B630" s="944" t="s">
        <v>3901</v>
      </c>
      <c r="C630" s="919" t="s">
        <v>3902</v>
      </c>
      <c r="D630" s="919" t="s">
        <v>4382</v>
      </c>
      <c r="E630" s="920">
        <v>2500</v>
      </c>
      <c r="F630" s="919" t="s">
        <v>5006</v>
      </c>
      <c r="G630" s="919" t="s">
        <v>5007</v>
      </c>
      <c r="H630" s="919" t="s">
        <v>4382</v>
      </c>
      <c r="I630" s="919" t="s">
        <v>3679</v>
      </c>
      <c r="J630" s="919"/>
      <c r="K630" s="920"/>
      <c r="L630" s="920"/>
      <c r="M630" s="920">
        <f t="shared" si="18"/>
        <v>0</v>
      </c>
      <c r="N630" s="919">
        <v>1</v>
      </c>
      <c r="O630" s="919">
        <v>4</v>
      </c>
      <c r="P630" s="921">
        <f t="shared" si="19"/>
        <v>10000</v>
      </c>
    </row>
    <row r="631" spans="1:16" ht="20.100000000000001" customHeight="1" x14ac:dyDescent="0.25">
      <c r="A631" s="918" t="s">
        <v>470</v>
      </c>
      <c r="B631" s="944" t="s">
        <v>3901</v>
      </c>
      <c r="C631" s="919" t="s">
        <v>3902</v>
      </c>
      <c r="D631" s="919" t="s">
        <v>4382</v>
      </c>
      <c r="E631" s="920">
        <v>2500</v>
      </c>
      <c r="F631" s="919" t="s">
        <v>5008</v>
      </c>
      <c r="G631" s="919" t="s">
        <v>5009</v>
      </c>
      <c r="H631" s="919" t="s">
        <v>4382</v>
      </c>
      <c r="I631" s="919" t="s">
        <v>3679</v>
      </c>
      <c r="J631" s="919"/>
      <c r="K631" s="920"/>
      <c r="L631" s="920"/>
      <c r="M631" s="920">
        <f t="shared" si="18"/>
        <v>0</v>
      </c>
      <c r="N631" s="919">
        <v>1</v>
      </c>
      <c r="O631" s="919">
        <v>4</v>
      </c>
      <c r="P631" s="921">
        <f t="shared" si="19"/>
        <v>10000</v>
      </c>
    </row>
    <row r="632" spans="1:16" ht="20.100000000000001" customHeight="1" x14ac:dyDescent="0.25">
      <c r="A632" s="918" t="s">
        <v>470</v>
      </c>
      <c r="B632" s="944" t="s">
        <v>3901</v>
      </c>
      <c r="C632" s="919" t="s">
        <v>3902</v>
      </c>
      <c r="D632" s="919" t="s">
        <v>4382</v>
      </c>
      <c r="E632" s="920">
        <v>2500</v>
      </c>
      <c r="F632" s="919" t="s">
        <v>5010</v>
      </c>
      <c r="G632" s="919" t="s">
        <v>5011</v>
      </c>
      <c r="H632" s="919" t="s">
        <v>4382</v>
      </c>
      <c r="I632" s="919" t="s">
        <v>3679</v>
      </c>
      <c r="J632" s="919"/>
      <c r="K632" s="920"/>
      <c r="L632" s="920"/>
      <c r="M632" s="920">
        <f t="shared" si="18"/>
        <v>0</v>
      </c>
      <c r="N632" s="919">
        <v>1</v>
      </c>
      <c r="O632" s="919">
        <v>4</v>
      </c>
      <c r="P632" s="921">
        <f t="shared" si="19"/>
        <v>10000</v>
      </c>
    </row>
    <row r="633" spans="1:16" ht="20.100000000000001" customHeight="1" x14ac:dyDescent="0.25">
      <c r="A633" s="918" t="s">
        <v>470</v>
      </c>
      <c r="B633" s="944" t="s">
        <v>3901</v>
      </c>
      <c r="C633" s="919" t="s">
        <v>3902</v>
      </c>
      <c r="D633" s="919" t="s">
        <v>4382</v>
      </c>
      <c r="E633" s="920">
        <v>2500</v>
      </c>
      <c r="F633" s="919" t="s">
        <v>5012</v>
      </c>
      <c r="G633" s="919" t="s">
        <v>5013</v>
      </c>
      <c r="H633" s="919" t="s">
        <v>4382</v>
      </c>
      <c r="I633" s="919" t="s">
        <v>3679</v>
      </c>
      <c r="J633" s="919"/>
      <c r="K633" s="920"/>
      <c r="L633" s="920"/>
      <c r="M633" s="920">
        <f t="shared" si="18"/>
        <v>0</v>
      </c>
      <c r="N633" s="919">
        <v>1</v>
      </c>
      <c r="O633" s="919">
        <v>4</v>
      </c>
      <c r="P633" s="921">
        <f t="shared" si="19"/>
        <v>10000</v>
      </c>
    </row>
    <row r="634" spans="1:16" ht="20.100000000000001" customHeight="1" x14ac:dyDescent="0.25">
      <c r="A634" s="918" t="s">
        <v>470</v>
      </c>
      <c r="B634" s="944" t="s">
        <v>3901</v>
      </c>
      <c r="C634" s="919" t="s">
        <v>3902</v>
      </c>
      <c r="D634" s="919" t="s">
        <v>4382</v>
      </c>
      <c r="E634" s="920">
        <v>2500</v>
      </c>
      <c r="F634" s="919" t="s">
        <v>5014</v>
      </c>
      <c r="G634" s="919" t="s">
        <v>5015</v>
      </c>
      <c r="H634" s="919" t="s">
        <v>4382</v>
      </c>
      <c r="I634" s="919" t="s">
        <v>3679</v>
      </c>
      <c r="J634" s="919"/>
      <c r="K634" s="920"/>
      <c r="L634" s="920"/>
      <c r="M634" s="920">
        <f t="shared" si="18"/>
        <v>0</v>
      </c>
      <c r="N634" s="919">
        <v>1</v>
      </c>
      <c r="O634" s="919">
        <v>4</v>
      </c>
      <c r="P634" s="921">
        <f t="shared" si="19"/>
        <v>10000</v>
      </c>
    </row>
    <row r="635" spans="1:16" ht="20.100000000000001" customHeight="1" x14ac:dyDescent="0.25">
      <c r="A635" s="918" t="s">
        <v>470</v>
      </c>
      <c r="B635" s="944" t="s">
        <v>3901</v>
      </c>
      <c r="C635" s="919" t="s">
        <v>3902</v>
      </c>
      <c r="D635" s="919" t="s">
        <v>4382</v>
      </c>
      <c r="E635" s="920">
        <v>2500</v>
      </c>
      <c r="F635" s="919" t="s">
        <v>5016</v>
      </c>
      <c r="G635" s="919" t="s">
        <v>5017</v>
      </c>
      <c r="H635" s="919" t="s">
        <v>4382</v>
      </c>
      <c r="I635" s="919" t="s">
        <v>3679</v>
      </c>
      <c r="J635" s="919"/>
      <c r="K635" s="920"/>
      <c r="L635" s="920"/>
      <c r="M635" s="920">
        <f t="shared" si="18"/>
        <v>0</v>
      </c>
      <c r="N635" s="919">
        <v>1</v>
      </c>
      <c r="O635" s="919">
        <v>4</v>
      </c>
      <c r="P635" s="921">
        <f t="shared" si="19"/>
        <v>10000</v>
      </c>
    </row>
    <row r="636" spans="1:16" ht="20.100000000000001" customHeight="1" x14ac:dyDescent="0.25">
      <c r="A636" s="918" t="s">
        <v>470</v>
      </c>
      <c r="B636" s="944" t="s">
        <v>3901</v>
      </c>
      <c r="C636" s="919" t="s">
        <v>3902</v>
      </c>
      <c r="D636" s="919" t="s">
        <v>4382</v>
      </c>
      <c r="E636" s="920">
        <v>2500</v>
      </c>
      <c r="F636" s="919" t="s">
        <v>5018</v>
      </c>
      <c r="G636" s="919" t="s">
        <v>5019</v>
      </c>
      <c r="H636" s="919" t="s">
        <v>4382</v>
      </c>
      <c r="I636" s="919" t="s">
        <v>3679</v>
      </c>
      <c r="J636" s="919"/>
      <c r="K636" s="920"/>
      <c r="L636" s="920"/>
      <c r="M636" s="920">
        <f t="shared" si="18"/>
        <v>0</v>
      </c>
      <c r="N636" s="919">
        <v>1</v>
      </c>
      <c r="O636" s="919">
        <v>4</v>
      </c>
      <c r="P636" s="921">
        <f t="shared" si="19"/>
        <v>10000</v>
      </c>
    </row>
    <row r="637" spans="1:16" ht="20.100000000000001" customHeight="1" x14ac:dyDescent="0.25">
      <c r="A637" s="918" t="s">
        <v>470</v>
      </c>
      <c r="B637" s="944" t="s">
        <v>3901</v>
      </c>
      <c r="C637" s="919" t="s">
        <v>3902</v>
      </c>
      <c r="D637" s="919" t="s">
        <v>4382</v>
      </c>
      <c r="E637" s="920">
        <v>2500</v>
      </c>
      <c r="F637" s="919" t="s">
        <v>4041</v>
      </c>
      <c r="G637" s="919" t="s">
        <v>4042</v>
      </c>
      <c r="H637" s="919" t="s">
        <v>4382</v>
      </c>
      <c r="I637" s="919" t="s">
        <v>3679</v>
      </c>
      <c r="J637" s="919"/>
      <c r="K637" s="920">
        <v>1</v>
      </c>
      <c r="L637" s="920">
        <v>12</v>
      </c>
      <c r="M637" s="920">
        <f t="shared" si="18"/>
        <v>30000</v>
      </c>
      <c r="N637" s="919"/>
      <c r="O637" s="919"/>
      <c r="P637" s="921">
        <f t="shared" si="19"/>
        <v>0</v>
      </c>
    </row>
    <row r="638" spans="1:16" ht="20.100000000000001" customHeight="1" x14ac:dyDescent="0.25">
      <c r="A638" s="918" t="s">
        <v>470</v>
      </c>
      <c r="B638" s="944" t="s">
        <v>3901</v>
      </c>
      <c r="C638" s="919" t="s">
        <v>3902</v>
      </c>
      <c r="D638" s="919" t="s">
        <v>4382</v>
      </c>
      <c r="E638" s="920">
        <v>2500</v>
      </c>
      <c r="F638" s="919" t="s">
        <v>5020</v>
      </c>
      <c r="G638" s="919" t="s">
        <v>5021</v>
      </c>
      <c r="H638" s="919" t="s">
        <v>4382</v>
      </c>
      <c r="I638" s="919" t="s">
        <v>3679</v>
      </c>
      <c r="J638" s="919"/>
      <c r="K638" s="920"/>
      <c r="L638" s="920"/>
      <c r="M638" s="920">
        <f t="shared" si="18"/>
        <v>0</v>
      </c>
      <c r="N638" s="919">
        <v>1</v>
      </c>
      <c r="O638" s="919">
        <v>4</v>
      </c>
      <c r="P638" s="921">
        <f t="shared" si="19"/>
        <v>10000</v>
      </c>
    </row>
    <row r="639" spans="1:16" ht="20.100000000000001" customHeight="1" x14ac:dyDescent="0.25">
      <c r="A639" s="918" t="s">
        <v>470</v>
      </c>
      <c r="B639" s="944" t="s">
        <v>3901</v>
      </c>
      <c r="C639" s="919" t="s">
        <v>3902</v>
      </c>
      <c r="D639" s="919" t="s">
        <v>4382</v>
      </c>
      <c r="E639" s="920">
        <v>2500</v>
      </c>
      <c r="F639" s="919" t="s">
        <v>5022</v>
      </c>
      <c r="G639" s="919" t="s">
        <v>5023</v>
      </c>
      <c r="H639" s="919" t="s">
        <v>4382</v>
      </c>
      <c r="I639" s="919" t="s">
        <v>3679</v>
      </c>
      <c r="J639" s="919"/>
      <c r="K639" s="920"/>
      <c r="L639" s="920"/>
      <c r="M639" s="920">
        <f t="shared" si="18"/>
        <v>0</v>
      </c>
      <c r="N639" s="919">
        <v>1</v>
      </c>
      <c r="O639" s="919">
        <v>4</v>
      </c>
      <c r="P639" s="921">
        <f t="shared" si="19"/>
        <v>10000</v>
      </c>
    </row>
    <row r="640" spans="1:16" ht="20.100000000000001" customHeight="1" x14ac:dyDescent="0.25">
      <c r="A640" s="918" t="s">
        <v>470</v>
      </c>
      <c r="B640" s="944" t="s">
        <v>3901</v>
      </c>
      <c r="C640" s="919" t="s">
        <v>3902</v>
      </c>
      <c r="D640" s="919" t="s">
        <v>4382</v>
      </c>
      <c r="E640" s="920">
        <v>2500</v>
      </c>
      <c r="F640" s="919" t="s">
        <v>5024</v>
      </c>
      <c r="G640" s="919" t="s">
        <v>5025</v>
      </c>
      <c r="H640" s="919" t="s">
        <v>4382</v>
      </c>
      <c r="I640" s="919" t="s">
        <v>3679</v>
      </c>
      <c r="J640" s="919"/>
      <c r="K640" s="920"/>
      <c r="L640" s="920"/>
      <c r="M640" s="920">
        <f t="shared" si="18"/>
        <v>0</v>
      </c>
      <c r="N640" s="919">
        <v>1</v>
      </c>
      <c r="O640" s="919">
        <v>1</v>
      </c>
      <c r="P640" s="921">
        <f t="shared" si="19"/>
        <v>2500</v>
      </c>
    </row>
    <row r="641" spans="1:16" ht="20.100000000000001" customHeight="1" x14ac:dyDescent="0.25">
      <c r="A641" s="918" t="s">
        <v>470</v>
      </c>
      <c r="B641" s="944" t="s">
        <v>3901</v>
      </c>
      <c r="C641" s="919" t="s">
        <v>3902</v>
      </c>
      <c r="D641" s="919" t="s">
        <v>4382</v>
      </c>
      <c r="E641" s="920">
        <v>2500</v>
      </c>
      <c r="F641" s="919" t="s">
        <v>5026</v>
      </c>
      <c r="G641" s="919" t="s">
        <v>5027</v>
      </c>
      <c r="H641" s="919" t="s">
        <v>4382</v>
      </c>
      <c r="I641" s="919" t="s">
        <v>3679</v>
      </c>
      <c r="J641" s="919"/>
      <c r="K641" s="920"/>
      <c r="L641" s="920"/>
      <c r="M641" s="920">
        <f t="shared" si="18"/>
        <v>0</v>
      </c>
      <c r="N641" s="919">
        <v>1</v>
      </c>
      <c r="O641" s="919">
        <v>4</v>
      </c>
      <c r="P641" s="921">
        <f t="shared" si="19"/>
        <v>10000</v>
      </c>
    </row>
    <row r="642" spans="1:16" ht="20.100000000000001" customHeight="1" x14ac:dyDescent="0.25">
      <c r="A642" s="918" t="s">
        <v>470</v>
      </c>
      <c r="B642" s="944" t="s">
        <v>3901</v>
      </c>
      <c r="C642" s="919" t="s">
        <v>3902</v>
      </c>
      <c r="D642" s="919" t="s">
        <v>4382</v>
      </c>
      <c r="E642" s="920">
        <v>2500</v>
      </c>
      <c r="F642" s="919" t="s">
        <v>5028</v>
      </c>
      <c r="G642" s="919" t="s">
        <v>5029</v>
      </c>
      <c r="H642" s="919" t="s">
        <v>4382</v>
      </c>
      <c r="I642" s="919" t="s">
        <v>3679</v>
      </c>
      <c r="J642" s="919"/>
      <c r="K642" s="920"/>
      <c r="L642" s="920"/>
      <c r="M642" s="920">
        <f t="shared" si="18"/>
        <v>0</v>
      </c>
      <c r="N642" s="919">
        <v>1</v>
      </c>
      <c r="O642" s="919">
        <v>4</v>
      </c>
      <c r="P642" s="921">
        <f t="shared" si="19"/>
        <v>10000</v>
      </c>
    </row>
    <row r="643" spans="1:16" ht="20.100000000000001" customHeight="1" x14ac:dyDescent="0.25">
      <c r="A643" s="918" t="s">
        <v>470</v>
      </c>
      <c r="B643" s="944" t="s">
        <v>3901</v>
      </c>
      <c r="C643" s="919" t="s">
        <v>3902</v>
      </c>
      <c r="D643" s="919" t="s">
        <v>4382</v>
      </c>
      <c r="E643" s="920">
        <v>2500</v>
      </c>
      <c r="F643" s="919" t="s">
        <v>5030</v>
      </c>
      <c r="G643" s="919" t="s">
        <v>5031</v>
      </c>
      <c r="H643" s="919" t="s">
        <v>4382</v>
      </c>
      <c r="I643" s="919" t="s">
        <v>3679</v>
      </c>
      <c r="J643" s="919"/>
      <c r="K643" s="920"/>
      <c r="L643" s="920"/>
      <c r="M643" s="920">
        <f t="shared" si="18"/>
        <v>0</v>
      </c>
      <c r="N643" s="919">
        <v>1</v>
      </c>
      <c r="O643" s="919">
        <v>4</v>
      </c>
      <c r="P643" s="921">
        <f t="shared" si="19"/>
        <v>10000</v>
      </c>
    </row>
    <row r="644" spans="1:16" ht="20.100000000000001" customHeight="1" x14ac:dyDescent="0.25">
      <c r="A644" s="918" t="s">
        <v>470</v>
      </c>
      <c r="B644" s="944" t="s">
        <v>3901</v>
      </c>
      <c r="C644" s="919" t="s">
        <v>3902</v>
      </c>
      <c r="D644" s="919" t="s">
        <v>4382</v>
      </c>
      <c r="E644" s="920">
        <v>2500</v>
      </c>
      <c r="F644" s="919" t="s">
        <v>5032</v>
      </c>
      <c r="G644" s="919" t="s">
        <v>5033</v>
      </c>
      <c r="H644" s="919" t="s">
        <v>4382</v>
      </c>
      <c r="I644" s="919" t="s">
        <v>3679</v>
      </c>
      <c r="J644" s="919"/>
      <c r="K644" s="920"/>
      <c r="L644" s="920"/>
      <c r="M644" s="920">
        <f t="shared" si="18"/>
        <v>0</v>
      </c>
      <c r="N644" s="919">
        <v>1</v>
      </c>
      <c r="O644" s="919">
        <v>4</v>
      </c>
      <c r="P644" s="921">
        <f t="shared" si="19"/>
        <v>10000</v>
      </c>
    </row>
    <row r="645" spans="1:16" ht="20.100000000000001" customHeight="1" x14ac:dyDescent="0.25">
      <c r="A645" s="918" t="s">
        <v>470</v>
      </c>
      <c r="B645" s="944" t="s">
        <v>3901</v>
      </c>
      <c r="C645" s="919" t="s">
        <v>3902</v>
      </c>
      <c r="D645" s="919" t="s">
        <v>4382</v>
      </c>
      <c r="E645" s="920">
        <v>2500</v>
      </c>
      <c r="F645" s="919" t="s">
        <v>5034</v>
      </c>
      <c r="G645" s="919" t="s">
        <v>5035</v>
      </c>
      <c r="H645" s="919" t="s">
        <v>4382</v>
      </c>
      <c r="I645" s="919" t="s">
        <v>3679</v>
      </c>
      <c r="J645" s="919"/>
      <c r="K645" s="920"/>
      <c r="L645" s="920"/>
      <c r="M645" s="920">
        <f t="shared" si="18"/>
        <v>0</v>
      </c>
      <c r="N645" s="919">
        <v>1</v>
      </c>
      <c r="O645" s="919">
        <v>4</v>
      </c>
      <c r="P645" s="921">
        <f t="shared" si="19"/>
        <v>10000</v>
      </c>
    </row>
    <row r="646" spans="1:16" ht="20.100000000000001" customHeight="1" x14ac:dyDescent="0.25">
      <c r="A646" s="918" t="s">
        <v>470</v>
      </c>
      <c r="B646" s="944" t="s">
        <v>3901</v>
      </c>
      <c r="C646" s="919" t="s">
        <v>3902</v>
      </c>
      <c r="D646" s="919" t="s">
        <v>4382</v>
      </c>
      <c r="E646" s="920">
        <v>2500</v>
      </c>
      <c r="F646" s="919" t="s">
        <v>5036</v>
      </c>
      <c r="G646" s="919" t="s">
        <v>5037</v>
      </c>
      <c r="H646" s="919" t="s">
        <v>4382</v>
      </c>
      <c r="I646" s="919" t="s">
        <v>3679</v>
      </c>
      <c r="J646" s="919"/>
      <c r="K646" s="920"/>
      <c r="L646" s="920"/>
      <c r="M646" s="920">
        <f t="shared" ref="M646:M709" si="20">E646*L646</f>
        <v>0</v>
      </c>
      <c r="N646" s="919">
        <v>1</v>
      </c>
      <c r="O646" s="919">
        <v>4</v>
      </c>
      <c r="P646" s="921">
        <f t="shared" ref="P646:P709" si="21">E646*O646</f>
        <v>10000</v>
      </c>
    </row>
    <row r="647" spans="1:16" ht="20.100000000000001" customHeight="1" x14ac:dyDescent="0.25">
      <c r="A647" s="918" t="s">
        <v>470</v>
      </c>
      <c r="B647" s="944" t="s">
        <v>3901</v>
      </c>
      <c r="C647" s="919" t="s">
        <v>3902</v>
      </c>
      <c r="D647" s="919" t="s">
        <v>4382</v>
      </c>
      <c r="E647" s="920">
        <v>2500</v>
      </c>
      <c r="F647" s="919" t="s">
        <v>5038</v>
      </c>
      <c r="G647" s="919" t="s">
        <v>5039</v>
      </c>
      <c r="H647" s="919" t="s">
        <v>4382</v>
      </c>
      <c r="I647" s="919" t="s">
        <v>3679</v>
      </c>
      <c r="J647" s="919"/>
      <c r="K647" s="920"/>
      <c r="L647" s="920"/>
      <c r="M647" s="920">
        <f t="shared" si="20"/>
        <v>0</v>
      </c>
      <c r="N647" s="919">
        <v>1</v>
      </c>
      <c r="O647" s="919">
        <v>4</v>
      </c>
      <c r="P647" s="921">
        <f t="shared" si="21"/>
        <v>10000</v>
      </c>
    </row>
    <row r="648" spans="1:16" ht="20.100000000000001" customHeight="1" x14ac:dyDescent="0.25">
      <c r="A648" s="918" t="s">
        <v>470</v>
      </c>
      <c r="B648" s="944" t="s">
        <v>3901</v>
      </c>
      <c r="C648" s="919" t="s">
        <v>3902</v>
      </c>
      <c r="D648" s="919" t="s">
        <v>4382</v>
      </c>
      <c r="E648" s="920">
        <v>2500</v>
      </c>
      <c r="F648" s="919" t="s">
        <v>5040</v>
      </c>
      <c r="G648" s="919" t="s">
        <v>5041</v>
      </c>
      <c r="H648" s="919" t="s">
        <v>4382</v>
      </c>
      <c r="I648" s="919" t="s">
        <v>3679</v>
      </c>
      <c r="J648" s="919"/>
      <c r="K648" s="920"/>
      <c r="L648" s="920"/>
      <c r="M648" s="920">
        <f t="shared" si="20"/>
        <v>0</v>
      </c>
      <c r="N648" s="919">
        <v>1</v>
      </c>
      <c r="O648" s="919">
        <v>4</v>
      </c>
      <c r="P648" s="921">
        <f t="shared" si="21"/>
        <v>10000</v>
      </c>
    </row>
    <row r="649" spans="1:16" ht="20.100000000000001" customHeight="1" x14ac:dyDescent="0.25">
      <c r="A649" s="918" t="s">
        <v>470</v>
      </c>
      <c r="B649" s="944" t="s">
        <v>3901</v>
      </c>
      <c r="C649" s="919" t="s">
        <v>3902</v>
      </c>
      <c r="D649" s="919" t="s">
        <v>4382</v>
      </c>
      <c r="E649" s="920">
        <v>2500</v>
      </c>
      <c r="F649" s="919" t="s">
        <v>5042</v>
      </c>
      <c r="G649" s="919" t="s">
        <v>5043</v>
      </c>
      <c r="H649" s="919" t="s">
        <v>4382</v>
      </c>
      <c r="I649" s="919" t="s">
        <v>3679</v>
      </c>
      <c r="J649" s="919"/>
      <c r="K649" s="920"/>
      <c r="L649" s="920"/>
      <c r="M649" s="920">
        <f t="shared" si="20"/>
        <v>0</v>
      </c>
      <c r="N649" s="919">
        <v>1</v>
      </c>
      <c r="O649" s="919">
        <v>4</v>
      </c>
      <c r="P649" s="921">
        <f t="shared" si="21"/>
        <v>10000</v>
      </c>
    </row>
    <row r="650" spans="1:16" ht="20.100000000000001" customHeight="1" x14ac:dyDescent="0.25">
      <c r="A650" s="918" t="s">
        <v>470</v>
      </c>
      <c r="B650" s="944" t="s">
        <v>3901</v>
      </c>
      <c r="C650" s="919" t="s">
        <v>3902</v>
      </c>
      <c r="D650" s="919" t="s">
        <v>4382</v>
      </c>
      <c r="E650" s="920">
        <v>2500</v>
      </c>
      <c r="F650" s="919" t="s">
        <v>5044</v>
      </c>
      <c r="G650" s="919" t="s">
        <v>5045</v>
      </c>
      <c r="H650" s="919" t="s">
        <v>4382</v>
      </c>
      <c r="I650" s="919" t="s">
        <v>3679</v>
      </c>
      <c r="J650" s="919"/>
      <c r="K650" s="920"/>
      <c r="L650" s="920"/>
      <c r="M650" s="920">
        <f t="shared" si="20"/>
        <v>0</v>
      </c>
      <c r="N650" s="919">
        <v>1</v>
      </c>
      <c r="O650" s="919">
        <v>4</v>
      </c>
      <c r="P650" s="921">
        <f t="shared" si="21"/>
        <v>10000</v>
      </c>
    </row>
    <row r="651" spans="1:16" ht="20.100000000000001" customHeight="1" x14ac:dyDescent="0.25">
      <c r="A651" s="918" t="s">
        <v>470</v>
      </c>
      <c r="B651" s="944" t="s">
        <v>3901</v>
      </c>
      <c r="C651" s="919" t="s">
        <v>3902</v>
      </c>
      <c r="D651" s="919" t="s">
        <v>4382</v>
      </c>
      <c r="E651" s="920">
        <v>2500</v>
      </c>
      <c r="F651" s="919" t="s">
        <v>5046</v>
      </c>
      <c r="G651" s="919" t="s">
        <v>5047</v>
      </c>
      <c r="H651" s="919" t="s">
        <v>4382</v>
      </c>
      <c r="I651" s="919" t="s">
        <v>3679</v>
      </c>
      <c r="J651" s="919"/>
      <c r="K651" s="920"/>
      <c r="L651" s="920"/>
      <c r="M651" s="920">
        <f t="shared" si="20"/>
        <v>0</v>
      </c>
      <c r="N651" s="919">
        <v>1</v>
      </c>
      <c r="O651" s="919">
        <v>4</v>
      </c>
      <c r="P651" s="921">
        <f t="shared" si="21"/>
        <v>10000</v>
      </c>
    </row>
    <row r="652" spans="1:16" ht="20.100000000000001" customHeight="1" x14ac:dyDescent="0.25">
      <c r="A652" s="918" t="s">
        <v>470</v>
      </c>
      <c r="B652" s="944" t="s">
        <v>3901</v>
      </c>
      <c r="C652" s="919" t="s">
        <v>3902</v>
      </c>
      <c r="D652" s="919" t="s">
        <v>4382</v>
      </c>
      <c r="E652" s="920">
        <v>2500</v>
      </c>
      <c r="F652" s="919" t="s">
        <v>5048</v>
      </c>
      <c r="G652" s="919" t="s">
        <v>5049</v>
      </c>
      <c r="H652" s="919" t="s">
        <v>4382</v>
      </c>
      <c r="I652" s="919" t="s">
        <v>3679</v>
      </c>
      <c r="J652" s="919"/>
      <c r="K652" s="920"/>
      <c r="L652" s="920"/>
      <c r="M652" s="920">
        <f t="shared" si="20"/>
        <v>0</v>
      </c>
      <c r="N652" s="919">
        <v>1</v>
      </c>
      <c r="O652" s="919">
        <v>4</v>
      </c>
      <c r="P652" s="921">
        <f t="shared" si="21"/>
        <v>10000</v>
      </c>
    </row>
    <row r="653" spans="1:16" ht="20.100000000000001" customHeight="1" x14ac:dyDescent="0.25">
      <c r="A653" s="918" t="s">
        <v>470</v>
      </c>
      <c r="B653" s="944" t="s">
        <v>3901</v>
      </c>
      <c r="C653" s="919" t="s">
        <v>3902</v>
      </c>
      <c r="D653" s="919" t="s">
        <v>4382</v>
      </c>
      <c r="E653" s="920">
        <v>2500</v>
      </c>
      <c r="F653" s="919" t="s">
        <v>5050</v>
      </c>
      <c r="G653" s="919" t="s">
        <v>5051</v>
      </c>
      <c r="H653" s="919" t="s">
        <v>4382</v>
      </c>
      <c r="I653" s="919" t="s">
        <v>3679</v>
      </c>
      <c r="J653" s="919"/>
      <c r="K653" s="920"/>
      <c r="L653" s="920"/>
      <c r="M653" s="920">
        <f t="shared" si="20"/>
        <v>0</v>
      </c>
      <c r="N653" s="919">
        <v>1</v>
      </c>
      <c r="O653" s="919">
        <v>4</v>
      </c>
      <c r="P653" s="921">
        <f t="shared" si="21"/>
        <v>10000</v>
      </c>
    </row>
    <row r="654" spans="1:16" ht="20.100000000000001" customHeight="1" x14ac:dyDescent="0.25">
      <c r="A654" s="918" t="s">
        <v>470</v>
      </c>
      <c r="B654" s="944" t="s">
        <v>3901</v>
      </c>
      <c r="C654" s="919" t="s">
        <v>3902</v>
      </c>
      <c r="D654" s="919" t="s">
        <v>4382</v>
      </c>
      <c r="E654" s="920">
        <v>2500</v>
      </c>
      <c r="F654" s="919" t="s">
        <v>5052</v>
      </c>
      <c r="G654" s="919" t="s">
        <v>5053</v>
      </c>
      <c r="H654" s="919" t="s">
        <v>4382</v>
      </c>
      <c r="I654" s="919" t="s">
        <v>3679</v>
      </c>
      <c r="J654" s="919"/>
      <c r="K654" s="920"/>
      <c r="L654" s="920"/>
      <c r="M654" s="920">
        <f t="shared" si="20"/>
        <v>0</v>
      </c>
      <c r="N654" s="919">
        <v>1</v>
      </c>
      <c r="O654" s="919">
        <v>4</v>
      </c>
      <c r="P654" s="921">
        <f t="shared" si="21"/>
        <v>10000</v>
      </c>
    </row>
    <row r="655" spans="1:16" ht="20.100000000000001" customHeight="1" x14ac:dyDescent="0.25">
      <c r="A655" s="918" t="s">
        <v>470</v>
      </c>
      <c r="B655" s="944" t="s">
        <v>3901</v>
      </c>
      <c r="C655" s="919" t="s">
        <v>3902</v>
      </c>
      <c r="D655" s="919" t="s">
        <v>4382</v>
      </c>
      <c r="E655" s="920">
        <v>2500</v>
      </c>
      <c r="F655" s="919" t="s">
        <v>5054</v>
      </c>
      <c r="G655" s="919" t="s">
        <v>5055</v>
      </c>
      <c r="H655" s="919" t="s">
        <v>4382</v>
      </c>
      <c r="I655" s="919" t="s">
        <v>3679</v>
      </c>
      <c r="J655" s="919"/>
      <c r="K655" s="920"/>
      <c r="L655" s="920"/>
      <c r="M655" s="920">
        <f t="shared" si="20"/>
        <v>0</v>
      </c>
      <c r="N655" s="919">
        <v>1</v>
      </c>
      <c r="O655" s="919">
        <v>4</v>
      </c>
      <c r="P655" s="921">
        <f t="shared" si="21"/>
        <v>10000</v>
      </c>
    </row>
    <row r="656" spans="1:16" ht="20.100000000000001" customHeight="1" x14ac:dyDescent="0.25">
      <c r="A656" s="918" t="s">
        <v>470</v>
      </c>
      <c r="B656" s="944" t="s">
        <v>3901</v>
      </c>
      <c r="C656" s="919" t="s">
        <v>3902</v>
      </c>
      <c r="D656" s="919" t="s">
        <v>4382</v>
      </c>
      <c r="E656" s="920">
        <v>2500</v>
      </c>
      <c r="F656" s="919" t="s">
        <v>5056</v>
      </c>
      <c r="G656" s="919" t="s">
        <v>5057</v>
      </c>
      <c r="H656" s="919" t="s">
        <v>4382</v>
      </c>
      <c r="I656" s="919" t="s">
        <v>3679</v>
      </c>
      <c r="J656" s="919"/>
      <c r="K656" s="920"/>
      <c r="L656" s="920"/>
      <c r="M656" s="920">
        <f t="shared" si="20"/>
        <v>0</v>
      </c>
      <c r="N656" s="919">
        <v>1</v>
      </c>
      <c r="O656" s="919">
        <v>4</v>
      </c>
      <c r="P656" s="921">
        <f t="shared" si="21"/>
        <v>10000</v>
      </c>
    </row>
    <row r="657" spans="1:16" ht="20.100000000000001" customHeight="1" x14ac:dyDescent="0.25">
      <c r="A657" s="918" t="s">
        <v>470</v>
      </c>
      <c r="B657" s="944" t="s">
        <v>3901</v>
      </c>
      <c r="C657" s="919" t="s">
        <v>3902</v>
      </c>
      <c r="D657" s="919" t="s">
        <v>4592</v>
      </c>
      <c r="E657" s="920">
        <v>1150</v>
      </c>
      <c r="F657" s="919" t="s">
        <v>5058</v>
      </c>
      <c r="G657" s="919" t="s">
        <v>5059</v>
      </c>
      <c r="H657" s="919" t="s">
        <v>4592</v>
      </c>
      <c r="I657" s="919" t="s">
        <v>3686</v>
      </c>
      <c r="J657" s="919"/>
      <c r="K657" s="920"/>
      <c r="L657" s="920"/>
      <c r="M657" s="920">
        <f t="shared" si="20"/>
        <v>0</v>
      </c>
      <c r="N657" s="919">
        <v>1</v>
      </c>
      <c r="O657" s="919">
        <v>4</v>
      </c>
      <c r="P657" s="921">
        <f t="shared" si="21"/>
        <v>4600</v>
      </c>
    </row>
    <row r="658" spans="1:16" ht="20.100000000000001" customHeight="1" x14ac:dyDescent="0.25">
      <c r="A658" s="918" t="s">
        <v>470</v>
      </c>
      <c r="B658" s="944" t="s">
        <v>3901</v>
      </c>
      <c r="C658" s="919" t="s">
        <v>3902</v>
      </c>
      <c r="D658" s="919" t="s">
        <v>4592</v>
      </c>
      <c r="E658" s="920">
        <v>1150</v>
      </c>
      <c r="F658" s="919" t="s">
        <v>5060</v>
      </c>
      <c r="G658" s="919" t="s">
        <v>5061</v>
      </c>
      <c r="H658" s="919" t="s">
        <v>4592</v>
      </c>
      <c r="I658" s="919" t="s">
        <v>3686</v>
      </c>
      <c r="J658" s="919"/>
      <c r="K658" s="920"/>
      <c r="L658" s="920"/>
      <c r="M658" s="920">
        <f t="shared" si="20"/>
        <v>0</v>
      </c>
      <c r="N658" s="919">
        <v>1</v>
      </c>
      <c r="O658" s="919">
        <v>4</v>
      </c>
      <c r="P658" s="921">
        <f t="shared" si="21"/>
        <v>4600</v>
      </c>
    </row>
    <row r="659" spans="1:16" ht="20.100000000000001" customHeight="1" x14ac:dyDescent="0.25">
      <c r="A659" s="918" t="s">
        <v>470</v>
      </c>
      <c r="B659" s="944" t="s">
        <v>3901</v>
      </c>
      <c r="C659" s="919" t="s">
        <v>3902</v>
      </c>
      <c r="D659" s="919" t="s">
        <v>4592</v>
      </c>
      <c r="E659" s="920">
        <v>1150</v>
      </c>
      <c r="F659" s="919" t="s">
        <v>5062</v>
      </c>
      <c r="G659" s="919" t="s">
        <v>5063</v>
      </c>
      <c r="H659" s="919" t="s">
        <v>4592</v>
      </c>
      <c r="I659" s="919" t="s">
        <v>3686</v>
      </c>
      <c r="J659" s="919"/>
      <c r="K659" s="920"/>
      <c r="L659" s="920"/>
      <c r="M659" s="920">
        <f t="shared" si="20"/>
        <v>0</v>
      </c>
      <c r="N659" s="919">
        <v>1</v>
      </c>
      <c r="O659" s="919">
        <v>4</v>
      </c>
      <c r="P659" s="921">
        <f t="shared" si="21"/>
        <v>4600</v>
      </c>
    </row>
    <row r="660" spans="1:16" ht="20.100000000000001" customHeight="1" x14ac:dyDescent="0.25">
      <c r="A660" s="918" t="s">
        <v>470</v>
      </c>
      <c r="B660" s="944" t="s">
        <v>3901</v>
      </c>
      <c r="C660" s="919" t="s">
        <v>3902</v>
      </c>
      <c r="D660" s="919" t="s">
        <v>4592</v>
      </c>
      <c r="E660" s="920">
        <v>1150</v>
      </c>
      <c r="F660" s="919" t="s">
        <v>5064</v>
      </c>
      <c r="G660" s="919" t="s">
        <v>5065</v>
      </c>
      <c r="H660" s="919" t="s">
        <v>4592</v>
      </c>
      <c r="I660" s="919" t="s">
        <v>3686</v>
      </c>
      <c r="J660" s="919"/>
      <c r="K660" s="920"/>
      <c r="L660" s="920"/>
      <c r="M660" s="920">
        <f t="shared" si="20"/>
        <v>0</v>
      </c>
      <c r="N660" s="919">
        <v>1</v>
      </c>
      <c r="O660" s="919">
        <v>4</v>
      </c>
      <c r="P660" s="921">
        <f t="shared" si="21"/>
        <v>4600</v>
      </c>
    </row>
    <row r="661" spans="1:16" ht="20.100000000000001" customHeight="1" x14ac:dyDescent="0.25">
      <c r="A661" s="918" t="s">
        <v>470</v>
      </c>
      <c r="B661" s="944" t="s">
        <v>3901</v>
      </c>
      <c r="C661" s="919" t="s">
        <v>3902</v>
      </c>
      <c r="D661" s="919" t="s">
        <v>4592</v>
      </c>
      <c r="E661" s="920">
        <v>1150</v>
      </c>
      <c r="F661" s="919" t="s">
        <v>5066</v>
      </c>
      <c r="G661" s="919" t="s">
        <v>5067</v>
      </c>
      <c r="H661" s="919" t="s">
        <v>4592</v>
      </c>
      <c r="I661" s="919" t="s">
        <v>3686</v>
      </c>
      <c r="J661" s="919"/>
      <c r="K661" s="920"/>
      <c r="L661" s="920"/>
      <c r="M661" s="920">
        <f t="shared" si="20"/>
        <v>0</v>
      </c>
      <c r="N661" s="919">
        <v>1</v>
      </c>
      <c r="O661" s="919">
        <v>4</v>
      </c>
      <c r="P661" s="921">
        <f t="shared" si="21"/>
        <v>4600</v>
      </c>
    </row>
    <row r="662" spans="1:16" ht="20.100000000000001" customHeight="1" x14ac:dyDescent="0.25">
      <c r="A662" s="918" t="s">
        <v>470</v>
      </c>
      <c r="B662" s="944" t="s">
        <v>3901</v>
      </c>
      <c r="C662" s="919" t="s">
        <v>3902</v>
      </c>
      <c r="D662" s="919" t="s">
        <v>4592</v>
      </c>
      <c r="E662" s="920">
        <v>1150</v>
      </c>
      <c r="F662" s="919" t="s">
        <v>5068</v>
      </c>
      <c r="G662" s="919" t="s">
        <v>5069</v>
      </c>
      <c r="H662" s="919" t="s">
        <v>4592</v>
      </c>
      <c r="I662" s="919" t="s">
        <v>3686</v>
      </c>
      <c r="J662" s="919"/>
      <c r="K662" s="920"/>
      <c r="L662" s="920"/>
      <c r="M662" s="920">
        <f t="shared" si="20"/>
        <v>0</v>
      </c>
      <c r="N662" s="919">
        <v>1</v>
      </c>
      <c r="O662" s="919">
        <v>1</v>
      </c>
      <c r="P662" s="921">
        <f t="shared" si="21"/>
        <v>1150</v>
      </c>
    </row>
    <row r="663" spans="1:16" ht="20.100000000000001" customHeight="1" x14ac:dyDescent="0.25">
      <c r="A663" s="918" t="s">
        <v>470</v>
      </c>
      <c r="B663" s="944" t="s">
        <v>3901</v>
      </c>
      <c r="C663" s="919" t="s">
        <v>3902</v>
      </c>
      <c r="D663" s="919" t="s">
        <v>4592</v>
      </c>
      <c r="E663" s="920">
        <v>1150</v>
      </c>
      <c r="F663" s="919" t="s">
        <v>5070</v>
      </c>
      <c r="G663" s="919" t="s">
        <v>5071</v>
      </c>
      <c r="H663" s="919" t="s">
        <v>4592</v>
      </c>
      <c r="I663" s="919" t="s">
        <v>3686</v>
      </c>
      <c r="J663" s="919"/>
      <c r="K663" s="920"/>
      <c r="L663" s="920"/>
      <c r="M663" s="920">
        <f t="shared" si="20"/>
        <v>0</v>
      </c>
      <c r="N663" s="919">
        <v>1</v>
      </c>
      <c r="O663" s="919">
        <v>1</v>
      </c>
      <c r="P663" s="921">
        <f t="shared" si="21"/>
        <v>1150</v>
      </c>
    </row>
    <row r="664" spans="1:16" ht="20.100000000000001" customHeight="1" x14ac:dyDescent="0.25">
      <c r="A664" s="918" t="s">
        <v>470</v>
      </c>
      <c r="B664" s="944" t="s">
        <v>3901</v>
      </c>
      <c r="C664" s="919" t="s">
        <v>3902</v>
      </c>
      <c r="D664" s="919" t="s">
        <v>4592</v>
      </c>
      <c r="E664" s="920">
        <v>1150</v>
      </c>
      <c r="F664" s="919" t="s">
        <v>5072</v>
      </c>
      <c r="G664" s="919" t="s">
        <v>5073</v>
      </c>
      <c r="H664" s="919" t="s">
        <v>4592</v>
      </c>
      <c r="I664" s="919" t="s">
        <v>3686</v>
      </c>
      <c r="J664" s="919"/>
      <c r="K664" s="920"/>
      <c r="L664" s="920"/>
      <c r="M664" s="920">
        <f t="shared" si="20"/>
        <v>0</v>
      </c>
      <c r="N664" s="919">
        <v>1</v>
      </c>
      <c r="O664" s="919">
        <v>4</v>
      </c>
      <c r="P664" s="921">
        <f t="shared" si="21"/>
        <v>4600</v>
      </c>
    </row>
    <row r="665" spans="1:16" ht="20.100000000000001" customHeight="1" x14ac:dyDescent="0.25">
      <c r="A665" s="918" t="s">
        <v>470</v>
      </c>
      <c r="B665" s="944" t="s">
        <v>3901</v>
      </c>
      <c r="C665" s="919" t="s">
        <v>3902</v>
      </c>
      <c r="D665" s="919" t="s">
        <v>4592</v>
      </c>
      <c r="E665" s="920">
        <v>1150</v>
      </c>
      <c r="F665" s="919" t="s">
        <v>5074</v>
      </c>
      <c r="G665" s="919" t="s">
        <v>5075</v>
      </c>
      <c r="H665" s="919" t="s">
        <v>4592</v>
      </c>
      <c r="I665" s="919" t="s">
        <v>3686</v>
      </c>
      <c r="J665" s="919"/>
      <c r="K665" s="920"/>
      <c r="L665" s="920"/>
      <c r="M665" s="920">
        <f t="shared" si="20"/>
        <v>0</v>
      </c>
      <c r="N665" s="919">
        <v>1</v>
      </c>
      <c r="O665" s="919">
        <v>4</v>
      </c>
      <c r="P665" s="921">
        <f t="shared" si="21"/>
        <v>4600</v>
      </c>
    </row>
    <row r="666" spans="1:16" ht="20.100000000000001" customHeight="1" x14ac:dyDescent="0.25">
      <c r="A666" s="918" t="s">
        <v>470</v>
      </c>
      <c r="B666" s="944" t="s">
        <v>3901</v>
      </c>
      <c r="C666" s="919" t="s">
        <v>3902</v>
      </c>
      <c r="D666" s="919" t="s">
        <v>4592</v>
      </c>
      <c r="E666" s="920">
        <v>1150</v>
      </c>
      <c r="F666" s="919" t="s">
        <v>5076</v>
      </c>
      <c r="G666" s="919" t="s">
        <v>5077</v>
      </c>
      <c r="H666" s="919" t="s">
        <v>4592</v>
      </c>
      <c r="I666" s="919" t="s">
        <v>3686</v>
      </c>
      <c r="J666" s="919"/>
      <c r="K666" s="920"/>
      <c r="L666" s="920"/>
      <c r="M666" s="920">
        <f t="shared" si="20"/>
        <v>0</v>
      </c>
      <c r="N666" s="919">
        <v>1</v>
      </c>
      <c r="O666" s="919">
        <v>4</v>
      </c>
      <c r="P666" s="921">
        <f t="shared" si="21"/>
        <v>4600</v>
      </c>
    </row>
    <row r="667" spans="1:16" ht="20.100000000000001" customHeight="1" x14ac:dyDescent="0.25">
      <c r="A667" s="918" t="s">
        <v>470</v>
      </c>
      <c r="B667" s="944" t="s">
        <v>3901</v>
      </c>
      <c r="C667" s="919" t="s">
        <v>3902</v>
      </c>
      <c r="D667" s="919" t="s">
        <v>4592</v>
      </c>
      <c r="E667" s="920">
        <v>1150</v>
      </c>
      <c r="F667" s="919" t="s">
        <v>5078</v>
      </c>
      <c r="G667" s="919" t="s">
        <v>5079</v>
      </c>
      <c r="H667" s="919" t="s">
        <v>4592</v>
      </c>
      <c r="I667" s="919" t="s">
        <v>3686</v>
      </c>
      <c r="J667" s="919"/>
      <c r="K667" s="920"/>
      <c r="L667" s="920"/>
      <c r="M667" s="920">
        <f t="shared" si="20"/>
        <v>0</v>
      </c>
      <c r="N667" s="919">
        <v>1</v>
      </c>
      <c r="O667" s="919">
        <v>4</v>
      </c>
      <c r="P667" s="921">
        <f t="shared" si="21"/>
        <v>4600</v>
      </c>
    </row>
    <row r="668" spans="1:16" ht="20.100000000000001" customHeight="1" x14ac:dyDescent="0.25">
      <c r="A668" s="918" t="s">
        <v>470</v>
      </c>
      <c r="B668" s="944" t="s">
        <v>3901</v>
      </c>
      <c r="C668" s="919" t="s">
        <v>3902</v>
      </c>
      <c r="D668" s="919" t="s">
        <v>4592</v>
      </c>
      <c r="E668" s="920">
        <v>1150</v>
      </c>
      <c r="F668" s="919" t="s">
        <v>5080</v>
      </c>
      <c r="G668" s="919" t="s">
        <v>5081</v>
      </c>
      <c r="H668" s="919" t="s">
        <v>4592</v>
      </c>
      <c r="I668" s="919" t="s">
        <v>3686</v>
      </c>
      <c r="J668" s="919"/>
      <c r="K668" s="920"/>
      <c r="L668" s="920"/>
      <c r="M668" s="920">
        <f t="shared" si="20"/>
        <v>0</v>
      </c>
      <c r="N668" s="919">
        <v>1</v>
      </c>
      <c r="O668" s="919">
        <v>4</v>
      </c>
      <c r="P668" s="921">
        <f t="shared" si="21"/>
        <v>4600</v>
      </c>
    </row>
    <row r="669" spans="1:16" ht="20.100000000000001" customHeight="1" x14ac:dyDescent="0.25">
      <c r="A669" s="918" t="s">
        <v>470</v>
      </c>
      <c r="B669" s="944" t="s">
        <v>3901</v>
      </c>
      <c r="C669" s="919" t="s">
        <v>3902</v>
      </c>
      <c r="D669" s="919" t="s">
        <v>4592</v>
      </c>
      <c r="E669" s="920">
        <v>1150</v>
      </c>
      <c r="F669" s="919" t="s">
        <v>5082</v>
      </c>
      <c r="G669" s="919" t="s">
        <v>5083</v>
      </c>
      <c r="H669" s="919" t="s">
        <v>4592</v>
      </c>
      <c r="I669" s="919" t="s">
        <v>3686</v>
      </c>
      <c r="J669" s="919"/>
      <c r="K669" s="920"/>
      <c r="L669" s="920"/>
      <c r="M669" s="920">
        <f t="shared" si="20"/>
        <v>0</v>
      </c>
      <c r="N669" s="919">
        <v>1</v>
      </c>
      <c r="O669" s="919">
        <v>4</v>
      </c>
      <c r="P669" s="921">
        <f t="shared" si="21"/>
        <v>4600</v>
      </c>
    </row>
    <row r="670" spans="1:16" ht="20.100000000000001" customHeight="1" x14ac:dyDescent="0.25">
      <c r="A670" s="918" t="s">
        <v>470</v>
      </c>
      <c r="B670" s="944" t="s">
        <v>3901</v>
      </c>
      <c r="C670" s="919" t="s">
        <v>3902</v>
      </c>
      <c r="D670" s="919" t="s">
        <v>4592</v>
      </c>
      <c r="E670" s="920">
        <v>1150</v>
      </c>
      <c r="F670" s="919" t="s">
        <v>5084</v>
      </c>
      <c r="G670" s="919" t="s">
        <v>5085</v>
      </c>
      <c r="H670" s="919" t="s">
        <v>4592</v>
      </c>
      <c r="I670" s="919" t="s">
        <v>3686</v>
      </c>
      <c r="J670" s="919"/>
      <c r="K670" s="920"/>
      <c r="L670" s="920"/>
      <c r="M670" s="920">
        <f t="shared" si="20"/>
        <v>0</v>
      </c>
      <c r="N670" s="919">
        <v>1</v>
      </c>
      <c r="O670" s="919">
        <v>4</v>
      </c>
      <c r="P670" s="921">
        <f t="shared" si="21"/>
        <v>4600</v>
      </c>
    </row>
    <row r="671" spans="1:16" ht="20.100000000000001" customHeight="1" x14ac:dyDescent="0.25">
      <c r="A671" s="918" t="s">
        <v>470</v>
      </c>
      <c r="B671" s="944" t="s">
        <v>3901</v>
      </c>
      <c r="C671" s="919" t="s">
        <v>3902</v>
      </c>
      <c r="D671" s="919" t="s">
        <v>4592</v>
      </c>
      <c r="E671" s="920">
        <v>1150</v>
      </c>
      <c r="F671" s="919" t="s">
        <v>5086</v>
      </c>
      <c r="G671" s="919" t="s">
        <v>5087</v>
      </c>
      <c r="H671" s="919" t="s">
        <v>4592</v>
      </c>
      <c r="I671" s="919" t="s">
        <v>3686</v>
      </c>
      <c r="J671" s="919"/>
      <c r="K671" s="920"/>
      <c r="L671" s="920"/>
      <c r="M671" s="920">
        <f t="shared" si="20"/>
        <v>0</v>
      </c>
      <c r="N671" s="919">
        <v>1</v>
      </c>
      <c r="O671" s="919">
        <v>4</v>
      </c>
      <c r="P671" s="921">
        <f t="shared" si="21"/>
        <v>4600</v>
      </c>
    </row>
    <row r="672" spans="1:16" ht="20.100000000000001" customHeight="1" x14ac:dyDescent="0.25">
      <c r="A672" s="918" t="s">
        <v>470</v>
      </c>
      <c r="B672" s="944" t="s">
        <v>3901</v>
      </c>
      <c r="C672" s="919" t="s">
        <v>3902</v>
      </c>
      <c r="D672" s="919" t="s">
        <v>4592</v>
      </c>
      <c r="E672" s="920">
        <v>1150</v>
      </c>
      <c r="F672" s="919" t="s">
        <v>5088</v>
      </c>
      <c r="G672" s="919" t="s">
        <v>5089</v>
      </c>
      <c r="H672" s="919" t="s">
        <v>4592</v>
      </c>
      <c r="I672" s="919" t="s">
        <v>3686</v>
      </c>
      <c r="J672" s="919"/>
      <c r="K672" s="920"/>
      <c r="L672" s="920"/>
      <c r="M672" s="920">
        <f t="shared" si="20"/>
        <v>0</v>
      </c>
      <c r="N672" s="919">
        <v>1</v>
      </c>
      <c r="O672" s="919">
        <v>4</v>
      </c>
      <c r="P672" s="921">
        <f t="shared" si="21"/>
        <v>4600</v>
      </c>
    </row>
    <row r="673" spans="1:16" ht="20.100000000000001" customHeight="1" x14ac:dyDescent="0.25">
      <c r="A673" s="918" t="s">
        <v>470</v>
      </c>
      <c r="B673" s="944" t="s">
        <v>3901</v>
      </c>
      <c r="C673" s="919" t="s">
        <v>3902</v>
      </c>
      <c r="D673" s="919" t="s">
        <v>4592</v>
      </c>
      <c r="E673" s="920">
        <v>1150</v>
      </c>
      <c r="F673" s="919" t="s">
        <v>5090</v>
      </c>
      <c r="G673" s="919" t="s">
        <v>5091</v>
      </c>
      <c r="H673" s="919" t="s">
        <v>4592</v>
      </c>
      <c r="I673" s="919" t="s">
        <v>3686</v>
      </c>
      <c r="J673" s="919"/>
      <c r="K673" s="920"/>
      <c r="L673" s="920"/>
      <c r="M673" s="920">
        <f t="shared" si="20"/>
        <v>0</v>
      </c>
      <c r="N673" s="919">
        <v>1</v>
      </c>
      <c r="O673" s="919">
        <v>4</v>
      </c>
      <c r="P673" s="921">
        <f t="shared" si="21"/>
        <v>4600</v>
      </c>
    </row>
    <row r="674" spans="1:16" ht="20.100000000000001" customHeight="1" x14ac:dyDescent="0.25">
      <c r="A674" s="918" t="s">
        <v>470</v>
      </c>
      <c r="B674" s="944" t="s">
        <v>3901</v>
      </c>
      <c r="C674" s="919" t="s">
        <v>3902</v>
      </c>
      <c r="D674" s="919" t="s">
        <v>4592</v>
      </c>
      <c r="E674" s="920">
        <v>1150</v>
      </c>
      <c r="F674" s="919" t="s">
        <v>5092</v>
      </c>
      <c r="G674" s="919" t="s">
        <v>5093</v>
      </c>
      <c r="H674" s="919" t="s">
        <v>4592</v>
      </c>
      <c r="I674" s="919" t="s">
        <v>3686</v>
      </c>
      <c r="J674" s="919"/>
      <c r="K674" s="920"/>
      <c r="L674" s="920"/>
      <c r="M674" s="920">
        <f t="shared" si="20"/>
        <v>0</v>
      </c>
      <c r="N674" s="919">
        <v>1</v>
      </c>
      <c r="O674" s="919">
        <v>4</v>
      </c>
      <c r="P674" s="921">
        <f t="shared" si="21"/>
        <v>4600</v>
      </c>
    </row>
    <row r="675" spans="1:16" ht="20.100000000000001" customHeight="1" x14ac:dyDescent="0.25">
      <c r="A675" s="918" t="s">
        <v>470</v>
      </c>
      <c r="B675" s="944" t="s">
        <v>3901</v>
      </c>
      <c r="C675" s="919" t="s">
        <v>3902</v>
      </c>
      <c r="D675" s="919" t="s">
        <v>4592</v>
      </c>
      <c r="E675" s="920">
        <v>1150</v>
      </c>
      <c r="F675" s="919" t="s">
        <v>5094</v>
      </c>
      <c r="G675" s="919" t="s">
        <v>5095</v>
      </c>
      <c r="H675" s="919" t="s">
        <v>4592</v>
      </c>
      <c r="I675" s="919" t="s">
        <v>3686</v>
      </c>
      <c r="J675" s="919"/>
      <c r="K675" s="920"/>
      <c r="L675" s="920"/>
      <c r="M675" s="920">
        <f t="shared" si="20"/>
        <v>0</v>
      </c>
      <c r="N675" s="919">
        <v>1</v>
      </c>
      <c r="O675" s="919">
        <v>4</v>
      </c>
      <c r="P675" s="921">
        <f t="shared" si="21"/>
        <v>4600</v>
      </c>
    </row>
    <row r="676" spans="1:16" ht="20.100000000000001" customHeight="1" x14ac:dyDescent="0.25">
      <c r="A676" s="918" t="s">
        <v>470</v>
      </c>
      <c r="B676" s="944" t="s">
        <v>3901</v>
      </c>
      <c r="C676" s="919" t="s">
        <v>3902</v>
      </c>
      <c r="D676" s="919" t="s">
        <v>4592</v>
      </c>
      <c r="E676" s="920">
        <v>1150</v>
      </c>
      <c r="F676" s="919" t="s">
        <v>5096</v>
      </c>
      <c r="G676" s="919" t="s">
        <v>5097</v>
      </c>
      <c r="H676" s="919" t="s">
        <v>4592</v>
      </c>
      <c r="I676" s="919" t="s">
        <v>3686</v>
      </c>
      <c r="J676" s="919"/>
      <c r="K676" s="920"/>
      <c r="L676" s="920"/>
      <c r="M676" s="920">
        <f t="shared" si="20"/>
        <v>0</v>
      </c>
      <c r="N676" s="919">
        <v>1</v>
      </c>
      <c r="O676" s="919">
        <v>4</v>
      </c>
      <c r="P676" s="921">
        <f t="shared" si="21"/>
        <v>4600</v>
      </c>
    </row>
    <row r="677" spans="1:16" ht="20.100000000000001" customHeight="1" x14ac:dyDescent="0.25">
      <c r="A677" s="918" t="s">
        <v>470</v>
      </c>
      <c r="B677" s="944" t="s">
        <v>3901</v>
      </c>
      <c r="C677" s="919" t="s">
        <v>3902</v>
      </c>
      <c r="D677" s="919" t="s">
        <v>4592</v>
      </c>
      <c r="E677" s="920">
        <v>1150</v>
      </c>
      <c r="F677" s="919" t="s">
        <v>5098</v>
      </c>
      <c r="G677" s="919" t="s">
        <v>5099</v>
      </c>
      <c r="H677" s="919" t="s">
        <v>4592</v>
      </c>
      <c r="I677" s="919" t="s">
        <v>3686</v>
      </c>
      <c r="J677" s="919"/>
      <c r="K677" s="920"/>
      <c r="L677" s="920"/>
      <c r="M677" s="920">
        <f t="shared" si="20"/>
        <v>0</v>
      </c>
      <c r="N677" s="919">
        <v>1</v>
      </c>
      <c r="O677" s="919">
        <v>3</v>
      </c>
      <c r="P677" s="921">
        <f t="shared" si="21"/>
        <v>3450</v>
      </c>
    </row>
    <row r="678" spans="1:16" ht="20.100000000000001" customHeight="1" x14ac:dyDescent="0.25">
      <c r="A678" s="918" t="s">
        <v>470</v>
      </c>
      <c r="B678" s="944" t="s">
        <v>3901</v>
      </c>
      <c r="C678" s="919" t="s">
        <v>3902</v>
      </c>
      <c r="D678" s="919" t="s">
        <v>4592</v>
      </c>
      <c r="E678" s="920">
        <v>1150</v>
      </c>
      <c r="F678" s="919" t="s">
        <v>5100</v>
      </c>
      <c r="G678" s="919" t="s">
        <v>5101</v>
      </c>
      <c r="H678" s="919" t="s">
        <v>4592</v>
      </c>
      <c r="I678" s="919" t="s">
        <v>3686</v>
      </c>
      <c r="J678" s="919"/>
      <c r="K678" s="920"/>
      <c r="L678" s="920"/>
      <c r="M678" s="920">
        <f t="shared" si="20"/>
        <v>0</v>
      </c>
      <c r="N678" s="919">
        <v>1</v>
      </c>
      <c r="O678" s="919">
        <v>4</v>
      </c>
      <c r="P678" s="921">
        <f t="shared" si="21"/>
        <v>4600</v>
      </c>
    </row>
    <row r="679" spans="1:16" ht="20.100000000000001" customHeight="1" x14ac:dyDescent="0.25">
      <c r="A679" s="918" t="s">
        <v>470</v>
      </c>
      <c r="B679" s="944" t="s">
        <v>3901</v>
      </c>
      <c r="C679" s="919" t="s">
        <v>3902</v>
      </c>
      <c r="D679" s="919" t="s">
        <v>4592</v>
      </c>
      <c r="E679" s="920">
        <v>1150</v>
      </c>
      <c r="F679" s="919" t="s">
        <v>5102</v>
      </c>
      <c r="G679" s="919" t="s">
        <v>5103</v>
      </c>
      <c r="H679" s="919" t="s">
        <v>4592</v>
      </c>
      <c r="I679" s="919" t="s">
        <v>3686</v>
      </c>
      <c r="J679" s="919"/>
      <c r="K679" s="920"/>
      <c r="L679" s="920"/>
      <c r="M679" s="920">
        <f t="shared" si="20"/>
        <v>0</v>
      </c>
      <c r="N679" s="919">
        <v>1</v>
      </c>
      <c r="O679" s="919">
        <v>4</v>
      </c>
      <c r="P679" s="921">
        <f t="shared" si="21"/>
        <v>4600</v>
      </c>
    </row>
    <row r="680" spans="1:16" ht="20.100000000000001" customHeight="1" x14ac:dyDescent="0.25">
      <c r="A680" s="918" t="s">
        <v>470</v>
      </c>
      <c r="B680" s="944" t="s">
        <v>3901</v>
      </c>
      <c r="C680" s="919" t="s">
        <v>3902</v>
      </c>
      <c r="D680" s="919" t="s">
        <v>4592</v>
      </c>
      <c r="E680" s="920">
        <v>1150</v>
      </c>
      <c r="F680" s="919" t="s">
        <v>5104</v>
      </c>
      <c r="G680" s="919" t="s">
        <v>5105</v>
      </c>
      <c r="H680" s="919" t="s">
        <v>4592</v>
      </c>
      <c r="I680" s="919" t="s">
        <v>3686</v>
      </c>
      <c r="J680" s="919"/>
      <c r="K680" s="920"/>
      <c r="L680" s="920"/>
      <c r="M680" s="920">
        <f t="shared" si="20"/>
        <v>0</v>
      </c>
      <c r="N680" s="919">
        <v>1</v>
      </c>
      <c r="O680" s="919">
        <v>4</v>
      </c>
      <c r="P680" s="921">
        <f t="shared" si="21"/>
        <v>4600</v>
      </c>
    </row>
    <row r="681" spans="1:16" ht="20.100000000000001" customHeight="1" x14ac:dyDescent="0.25">
      <c r="A681" s="918" t="s">
        <v>470</v>
      </c>
      <c r="B681" s="944" t="s">
        <v>3901</v>
      </c>
      <c r="C681" s="919" t="s">
        <v>3902</v>
      </c>
      <c r="D681" s="919" t="s">
        <v>4592</v>
      </c>
      <c r="E681" s="920">
        <v>1150</v>
      </c>
      <c r="F681" s="919" t="s">
        <v>5106</v>
      </c>
      <c r="G681" s="919" t="s">
        <v>5107</v>
      </c>
      <c r="H681" s="919" t="s">
        <v>4592</v>
      </c>
      <c r="I681" s="919" t="s">
        <v>3686</v>
      </c>
      <c r="J681" s="919"/>
      <c r="K681" s="920"/>
      <c r="L681" s="920"/>
      <c r="M681" s="920">
        <f t="shared" si="20"/>
        <v>0</v>
      </c>
      <c r="N681" s="919">
        <v>1</v>
      </c>
      <c r="O681" s="919">
        <v>4</v>
      </c>
      <c r="P681" s="921">
        <f t="shared" si="21"/>
        <v>4600</v>
      </c>
    </row>
    <row r="682" spans="1:16" ht="20.100000000000001" customHeight="1" x14ac:dyDescent="0.25">
      <c r="A682" s="918" t="s">
        <v>470</v>
      </c>
      <c r="B682" s="944" t="s">
        <v>3901</v>
      </c>
      <c r="C682" s="919" t="s">
        <v>3902</v>
      </c>
      <c r="D682" s="919" t="s">
        <v>4592</v>
      </c>
      <c r="E682" s="920">
        <v>1150</v>
      </c>
      <c r="F682" s="919" t="s">
        <v>5108</v>
      </c>
      <c r="G682" s="919" t="s">
        <v>5109</v>
      </c>
      <c r="H682" s="919" t="s">
        <v>4592</v>
      </c>
      <c r="I682" s="919" t="s">
        <v>3686</v>
      </c>
      <c r="J682" s="919"/>
      <c r="K682" s="920"/>
      <c r="L682" s="920"/>
      <c r="M682" s="920">
        <f t="shared" si="20"/>
        <v>0</v>
      </c>
      <c r="N682" s="919">
        <v>1</v>
      </c>
      <c r="O682" s="919">
        <v>4</v>
      </c>
      <c r="P682" s="921">
        <f t="shared" si="21"/>
        <v>4600</v>
      </c>
    </row>
    <row r="683" spans="1:16" ht="20.100000000000001" customHeight="1" x14ac:dyDescent="0.25">
      <c r="A683" s="918" t="s">
        <v>470</v>
      </c>
      <c r="B683" s="944" t="s">
        <v>3901</v>
      </c>
      <c r="C683" s="919" t="s">
        <v>3902</v>
      </c>
      <c r="D683" s="919" t="s">
        <v>4592</v>
      </c>
      <c r="E683" s="920">
        <v>1150</v>
      </c>
      <c r="F683" s="919" t="s">
        <v>5110</v>
      </c>
      <c r="G683" s="919" t="s">
        <v>5111</v>
      </c>
      <c r="H683" s="919" t="s">
        <v>4592</v>
      </c>
      <c r="I683" s="919" t="s">
        <v>3686</v>
      </c>
      <c r="J683" s="919"/>
      <c r="K683" s="920"/>
      <c r="L683" s="920"/>
      <c r="M683" s="920">
        <f t="shared" si="20"/>
        <v>0</v>
      </c>
      <c r="N683" s="919">
        <v>1</v>
      </c>
      <c r="O683" s="919">
        <v>4</v>
      </c>
      <c r="P683" s="921">
        <f t="shared" si="21"/>
        <v>4600</v>
      </c>
    </row>
    <row r="684" spans="1:16" ht="20.100000000000001" customHeight="1" x14ac:dyDescent="0.25">
      <c r="A684" s="918" t="s">
        <v>470</v>
      </c>
      <c r="B684" s="944" t="s">
        <v>3901</v>
      </c>
      <c r="C684" s="919" t="s">
        <v>3902</v>
      </c>
      <c r="D684" s="919" t="s">
        <v>4592</v>
      </c>
      <c r="E684" s="920">
        <v>1150</v>
      </c>
      <c r="F684" s="919" t="s">
        <v>5112</v>
      </c>
      <c r="G684" s="919" t="s">
        <v>5113</v>
      </c>
      <c r="H684" s="919" t="s">
        <v>4592</v>
      </c>
      <c r="I684" s="919" t="s">
        <v>3686</v>
      </c>
      <c r="J684" s="919"/>
      <c r="K684" s="920"/>
      <c r="L684" s="920"/>
      <c r="M684" s="920">
        <f t="shared" si="20"/>
        <v>0</v>
      </c>
      <c r="N684" s="919">
        <v>1</v>
      </c>
      <c r="O684" s="919">
        <v>4</v>
      </c>
      <c r="P684" s="921">
        <f t="shared" si="21"/>
        <v>4600</v>
      </c>
    </row>
    <row r="685" spans="1:16" ht="20.100000000000001" customHeight="1" x14ac:dyDescent="0.25">
      <c r="A685" s="918" t="s">
        <v>470</v>
      </c>
      <c r="B685" s="944" t="s">
        <v>3901</v>
      </c>
      <c r="C685" s="919" t="s">
        <v>3902</v>
      </c>
      <c r="D685" s="919" t="s">
        <v>4592</v>
      </c>
      <c r="E685" s="920">
        <v>1150</v>
      </c>
      <c r="F685" s="919" t="s">
        <v>5114</v>
      </c>
      <c r="G685" s="919" t="s">
        <v>5115</v>
      </c>
      <c r="H685" s="919" t="s">
        <v>4592</v>
      </c>
      <c r="I685" s="919" t="s">
        <v>3686</v>
      </c>
      <c r="J685" s="919"/>
      <c r="K685" s="920"/>
      <c r="L685" s="920"/>
      <c r="M685" s="920">
        <f t="shared" si="20"/>
        <v>0</v>
      </c>
      <c r="N685" s="919">
        <v>1</v>
      </c>
      <c r="O685" s="919">
        <v>4</v>
      </c>
      <c r="P685" s="921">
        <f t="shared" si="21"/>
        <v>4600</v>
      </c>
    </row>
    <row r="686" spans="1:16" ht="20.100000000000001" customHeight="1" x14ac:dyDescent="0.25">
      <c r="A686" s="918" t="s">
        <v>470</v>
      </c>
      <c r="B686" s="944" t="s">
        <v>3901</v>
      </c>
      <c r="C686" s="919" t="s">
        <v>3902</v>
      </c>
      <c r="D686" s="919" t="s">
        <v>4592</v>
      </c>
      <c r="E686" s="920">
        <v>1150</v>
      </c>
      <c r="F686" s="919" t="s">
        <v>5116</v>
      </c>
      <c r="G686" s="919" t="s">
        <v>5117</v>
      </c>
      <c r="H686" s="919" t="s">
        <v>4592</v>
      </c>
      <c r="I686" s="919" t="s">
        <v>3686</v>
      </c>
      <c r="J686" s="919"/>
      <c r="K686" s="920"/>
      <c r="L686" s="920"/>
      <c r="M686" s="920">
        <f t="shared" si="20"/>
        <v>0</v>
      </c>
      <c r="N686" s="919">
        <v>1</v>
      </c>
      <c r="O686" s="919">
        <v>3</v>
      </c>
      <c r="P686" s="921">
        <f t="shared" si="21"/>
        <v>3450</v>
      </c>
    </row>
    <row r="687" spans="1:16" ht="20.100000000000001" customHeight="1" x14ac:dyDescent="0.25">
      <c r="A687" s="918" t="s">
        <v>470</v>
      </c>
      <c r="B687" s="944" t="s">
        <v>3901</v>
      </c>
      <c r="C687" s="919" t="s">
        <v>3902</v>
      </c>
      <c r="D687" s="919" t="s">
        <v>4592</v>
      </c>
      <c r="E687" s="920">
        <v>1150</v>
      </c>
      <c r="F687" s="919" t="s">
        <v>5118</v>
      </c>
      <c r="G687" s="919" t="s">
        <v>5119</v>
      </c>
      <c r="H687" s="919" t="s">
        <v>4592</v>
      </c>
      <c r="I687" s="919" t="s">
        <v>3686</v>
      </c>
      <c r="J687" s="919"/>
      <c r="K687" s="920"/>
      <c r="L687" s="920"/>
      <c r="M687" s="920">
        <f t="shared" si="20"/>
        <v>0</v>
      </c>
      <c r="N687" s="919">
        <v>1</v>
      </c>
      <c r="O687" s="919">
        <v>4</v>
      </c>
      <c r="P687" s="921">
        <f t="shared" si="21"/>
        <v>4600</v>
      </c>
    </row>
    <row r="688" spans="1:16" ht="20.100000000000001" customHeight="1" x14ac:dyDescent="0.25">
      <c r="A688" s="918" t="s">
        <v>470</v>
      </c>
      <c r="B688" s="944" t="s">
        <v>3901</v>
      </c>
      <c r="C688" s="919" t="s">
        <v>3902</v>
      </c>
      <c r="D688" s="919" t="s">
        <v>4592</v>
      </c>
      <c r="E688" s="920">
        <v>1150</v>
      </c>
      <c r="F688" s="919" t="s">
        <v>5120</v>
      </c>
      <c r="G688" s="919" t="s">
        <v>5121</v>
      </c>
      <c r="H688" s="919" t="s">
        <v>4592</v>
      </c>
      <c r="I688" s="919" t="s">
        <v>3686</v>
      </c>
      <c r="J688" s="919"/>
      <c r="K688" s="920"/>
      <c r="L688" s="920"/>
      <c r="M688" s="920">
        <f t="shared" si="20"/>
        <v>0</v>
      </c>
      <c r="N688" s="919">
        <v>1</v>
      </c>
      <c r="O688" s="919">
        <v>4</v>
      </c>
      <c r="P688" s="921">
        <f t="shared" si="21"/>
        <v>4600</v>
      </c>
    </row>
    <row r="689" spans="1:16" ht="20.100000000000001" customHeight="1" x14ac:dyDescent="0.25">
      <c r="A689" s="918" t="s">
        <v>470</v>
      </c>
      <c r="B689" s="944" t="s">
        <v>3901</v>
      </c>
      <c r="C689" s="919" t="s">
        <v>3902</v>
      </c>
      <c r="D689" s="919" t="s">
        <v>4592</v>
      </c>
      <c r="E689" s="920">
        <v>1150</v>
      </c>
      <c r="F689" s="919" t="s">
        <v>5122</v>
      </c>
      <c r="G689" s="919" t="s">
        <v>5123</v>
      </c>
      <c r="H689" s="919" t="s">
        <v>4592</v>
      </c>
      <c r="I689" s="919" t="s">
        <v>3686</v>
      </c>
      <c r="J689" s="919"/>
      <c r="K689" s="920"/>
      <c r="L689" s="920"/>
      <c r="M689" s="920">
        <f t="shared" si="20"/>
        <v>0</v>
      </c>
      <c r="N689" s="919">
        <v>1</v>
      </c>
      <c r="O689" s="919">
        <v>4</v>
      </c>
      <c r="P689" s="921">
        <f t="shared" si="21"/>
        <v>4600</v>
      </c>
    </row>
    <row r="690" spans="1:16" ht="20.100000000000001" customHeight="1" x14ac:dyDescent="0.25">
      <c r="A690" s="918" t="s">
        <v>470</v>
      </c>
      <c r="B690" s="944" t="s">
        <v>3901</v>
      </c>
      <c r="C690" s="919" t="s">
        <v>3902</v>
      </c>
      <c r="D690" s="919" t="s">
        <v>4592</v>
      </c>
      <c r="E690" s="920">
        <v>1150</v>
      </c>
      <c r="F690" s="919" t="s">
        <v>5124</v>
      </c>
      <c r="G690" s="919" t="s">
        <v>5125</v>
      </c>
      <c r="H690" s="919" t="s">
        <v>4592</v>
      </c>
      <c r="I690" s="919" t="s">
        <v>3686</v>
      </c>
      <c r="J690" s="919"/>
      <c r="K690" s="920"/>
      <c r="L690" s="920"/>
      <c r="M690" s="920">
        <f t="shared" si="20"/>
        <v>0</v>
      </c>
      <c r="N690" s="919">
        <v>1</v>
      </c>
      <c r="O690" s="919">
        <v>4</v>
      </c>
      <c r="P690" s="921">
        <f t="shared" si="21"/>
        <v>4600</v>
      </c>
    </row>
    <row r="691" spans="1:16" ht="20.100000000000001" customHeight="1" x14ac:dyDescent="0.25">
      <c r="A691" s="918" t="s">
        <v>470</v>
      </c>
      <c r="B691" s="944" t="s">
        <v>3901</v>
      </c>
      <c r="C691" s="919" t="s">
        <v>3902</v>
      </c>
      <c r="D691" s="919" t="s">
        <v>4592</v>
      </c>
      <c r="E691" s="920">
        <v>1150</v>
      </c>
      <c r="F691" s="919" t="s">
        <v>5126</v>
      </c>
      <c r="G691" s="919" t="s">
        <v>5127</v>
      </c>
      <c r="H691" s="919" t="s">
        <v>4592</v>
      </c>
      <c r="I691" s="919" t="s">
        <v>3686</v>
      </c>
      <c r="J691" s="919"/>
      <c r="K691" s="920"/>
      <c r="L691" s="920"/>
      <c r="M691" s="920">
        <f t="shared" si="20"/>
        <v>0</v>
      </c>
      <c r="N691" s="919">
        <v>1</v>
      </c>
      <c r="O691" s="919">
        <v>4</v>
      </c>
      <c r="P691" s="921">
        <f t="shared" si="21"/>
        <v>4600</v>
      </c>
    </row>
    <row r="692" spans="1:16" ht="20.100000000000001" customHeight="1" x14ac:dyDescent="0.25">
      <c r="A692" s="918" t="s">
        <v>470</v>
      </c>
      <c r="B692" s="944" t="s">
        <v>3901</v>
      </c>
      <c r="C692" s="919" t="s">
        <v>3902</v>
      </c>
      <c r="D692" s="919" t="s">
        <v>4109</v>
      </c>
      <c r="E692" s="920">
        <v>1400</v>
      </c>
      <c r="F692" s="919" t="s">
        <v>5128</v>
      </c>
      <c r="G692" s="919" t="s">
        <v>5129</v>
      </c>
      <c r="H692" s="919" t="s">
        <v>4109</v>
      </c>
      <c r="I692" s="919" t="s">
        <v>3686</v>
      </c>
      <c r="J692" s="919"/>
      <c r="K692" s="920"/>
      <c r="L692" s="920"/>
      <c r="M692" s="920">
        <f t="shared" si="20"/>
        <v>0</v>
      </c>
      <c r="N692" s="919">
        <v>1</v>
      </c>
      <c r="O692" s="919">
        <v>4</v>
      </c>
      <c r="P692" s="921">
        <f t="shared" si="21"/>
        <v>5600</v>
      </c>
    </row>
    <row r="693" spans="1:16" ht="20.100000000000001" customHeight="1" x14ac:dyDescent="0.25">
      <c r="A693" s="918" t="s">
        <v>470</v>
      </c>
      <c r="B693" s="944" t="s">
        <v>3901</v>
      </c>
      <c r="C693" s="919" t="s">
        <v>3902</v>
      </c>
      <c r="D693" s="919" t="s">
        <v>4109</v>
      </c>
      <c r="E693" s="920">
        <v>1400</v>
      </c>
      <c r="F693" s="919" t="s">
        <v>5130</v>
      </c>
      <c r="G693" s="919" t="s">
        <v>5131</v>
      </c>
      <c r="H693" s="919" t="s">
        <v>4109</v>
      </c>
      <c r="I693" s="919" t="s">
        <v>3686</v>
      </c>
      <c r="J693" s="919"/>
      <c r="K693" s="920"/>
      <c r="L693" s="920"/>
      <c r="M693" s="920">
        <f t="shared" si="20"/>
        <v>0</v>
      </c>
      <c r="N693" s="919">
        <v>1</v>
      </c>
      <c r="O693" s="919">
        <v>4</v>
      </c>
      <c r="P693" s="921">
        <f t="shared" si="21"/>
        <v>5600</v>
      </c>
    </row>
    <row r="694" spans="1:16" ht="20.100000000000001" customHeight="1" x14ac:dyDescent="0.25">
      <c r="A694" s="918" t="s">
        <v>470</v>
      </c>
      <c r="B694" s="944" t="s">
        <v>3901</v>
      </c>
      <c r="C694" s="919" t="s">
        <v>3902</v>
      </c>
      <c r="D694" s="919" t="s">
        <v>4109</v>
      </c>
      <c r="E694" s="920">
        <v>1400</v>
      </c>
      <c r="F694" s="919" t="s">
        <v>5132</v>
      </c>
      <c r="G694" s="919" t="s">
        <v>5133</v>
      </c>
      <c r="H694" s="919" t="s">
        <v>4109</v>
      </c>
      <c r="I694" s="919" t="s">
        <v>3686</v>
      </c>
      <c r="J694" s="919"/>
      <c r="K694" s="920"/>
      <c r="L694" s="920"/>
      <c r="M694" s="920">
        <f t="shared" si="20"/>
        <v>0</v>
      </c>
      <c r="N694" s="919">
        <v>1</v>
      </c>
      <c r="O694" s="919">
        <v>4</v>
      </c>
      <c r="P694" s="921">
        <f t="shared" si="21"/>
        <v>5600</v>
      </c>
    </row>
    <row r="695" spans="1:16" ht="20.100000000000001" customHeight="1" x14ac:dyDescent="0.25">
      <c r="A695" s="918" t="s">
        <v>470</v>
      </c>
      <c r="B695" s="944" t="s">
        <v>3901</v>
      </c>
      <c r="C695" s="919" t="s">
        <v>3902</v>
      </c>
      <c r="D695" s="919" t="s">
        <v>4109</v>
      </c>
      <c r="E695" s="920">
        <v>1400</v>
      </c>
      <c r="F695" s="919" t="s">
        <v>4041</v>
      </c>
      <c r="G695" s="919" t="s">
        <v>4042</v>
      </c>
      <c r="H695" s="919" t="s">
        <v>4109</v>
      </c>
      <c r="I695" s="919" t="s">
        <v>3686</v>
      </c>
      <c r="J695" s="919"/>
      <c r="K695" s="920">
        <v>1</v>
      </c>
      <c r="L695" s="920">
        <v>12</v>
      </c>
      <c r="M695" s="920">
        <f t="shared" si="20"/>
        <v>16800</v>
      </c>
      <c r="N695" s="919"/>
      <c r="O695" s="919"/>
      <c r="P695" s="921">
        <f t="shared" si="21"/>
        <v>0</v>
      </c>
    </row>
    <row r="696" spans="1:16" ht="20.100000000000001" customHeight="1" x14ac:dyDescent="0.25">
      <c r="A696" s="918" t="s">
        <v>470</v>
      </c>
      <c r="B696" s="944" t="s">
        <v>3901</v>
      </c>
      <c r="C696" s="919" t="s">
        <v>3902</v>
      </c>
      <c r="D696" s="919" t="s">
        <v>4109</v>
      </c>
      <c r="E696" s="920">
        <v>1400</v>
      </c>
      <c r="F696" s="919" t="s">
        <v>5134</v>
      </c>
      <c r="G696" s="919" t="s">
        <v>5135</v>
      </c>
      <c r="H696" s="919" t="s">
        <v>4109</v>
      </c>
      <c r="I696" s="919" t="s">
        <v>3686</v>
      </c>
      <c r="J696" s="919"/>
      <c r="K696" s="920"/>
      <c r="L696" s="920"/>
      <c r="M696" s="920">
        <f t="shared" si="20"/>
        <v>0</v>
      </c>
      <c r="N696" s="919">
        <v>1</v>
      </c>
      <c r="O696" s="919">
        <v>4</v>
      </c>
      <c r="P696" s="921">
        <f t="shared" si="21"/>
        <v>5600</v>
      </c>
    </row>
    <row r="697" spans="1:16" ht="20.100000000000001" customHeight="1" x14ac:dyDescent="0.25">
      <c r="A697" s="918" t="s">
        <v>470</v>
      </c>
      <c r="B697" s="944" t="s">
        <v>3901</v>
      </c>
      <c r="C697" s="919" t="s">
        <v>3902</v>
      </c>
      <c r="D697" s="919" t="s">
        <v>4109</v>
      </c>
      <c r="E697" s="920">
        <v>1400</v>
      </c>
      <c r="F697" s="919" t="s">
        <v>5136</v>
      </c>
      <c r="G697" s="919" t="s">
        <v>5137</v>
      </c>
      <c r="H697" s="919" t="s">
        <v>4109</v>
      </c>
      <c r="I697" s="919" t="s">
        <v>3686</v>
      </c>
      <c r="J697" s="919"/>
      <c r="K697" s="920"/>
      <c r="L697" s="920"/>
      <c r="M697" s="920">
        <f t="shared" si="20"/>
        <v>0</v>
      </c>
      <c r="N697" s="919">
        <v>1</v>
      </c>
      <c r="O697" s="919">
        <v>4</v>
      </c>
      <c r="P697" s="921">
        <f t="shared" si="21"/>
        <v>5600</v>
      </c>
    </row>
    <row r="698" spans="1:16" ht="20.100000000000001" customHeight="1" x14ac:dyDescent="0.25">
      <c r="A698" s="918" t="s">
        <v>470</v>
      </c>
      <c r="B698" s="944" t="s">
        <v>3901</v>
      </c>
      <c r="C698" s="919" t="s">
        <v>3902</v>
      </c>
      <c r="D698" s="919" t="s">
        <v>4109</v>
      </c>
      <c r="E698" s="920">
        <v>1400</v>
      </c>
      <c r="F698" s="919" t="s">
        <v>5138</v>
      </c>
      <c r="G698" s="919" t="s">
        <v>5139</v>
      </c>
      <c r="H698" s="919" t="s">
        <v>4109</v>
      </c>
      <c r="I698" s="919" t="s">
        <v>3686</v>
      </c>
      <c r="J698" s="919"/>
      <c r="K698" s="920"/>
      <c r="L698" s="920"/>
      <c r="M698" s="920">
        <f t="shared" si="20"/>
        <v>0</v>
      </c>
      <c r="N698" s="919">
        <v>1</v>
      </c>
      <c r="O698" s="919">
        <v>4</v>
      </c>
      <c r="P698" s="921">
        <f t="shared" si="21"/>
        <v>5600</v>
      </c>
    </row>
    <row r="699" spans="1:16" ht="20.100000000000001" customHeight="1" x14ac:dyDescent="0.25">
      <c r="A699" s="918" t="s">
        <v>470</v>
      </c>
      <c r="B699" s="944" t="s">
        <v>3901</v>
      </c>
      <c r="C699" s="919" t="s">
        <v>3902</v>
      </c>
      <c r="D699" s="919" t="s">
        <v>4109</v>
      </c>
      <c r="E699" s="920">
        <v>1400</v>
      </c>
      <c r="F699" s="919" t="s">
        <v>5140</v>
      </c>
      <c r="G699" s="919" t="s">
        <v>5141</v>
      </c>
      <c r="H699" s="919" t="s">
        <v>4109</v>
      </c>
      <c r="I699" s="919" t="s">
        <v>3686</v>
      </c>
      <c r="J699" s="919"/>
      <c r="K699" s="920"/>
      <c r="L699" s="920"/>
      <c r="M699" s="920">
        <f t="shared" si="20"/>
        <v>0</v>
      </c>
      <c r="N699" s="919">
        <v>1</v>
      </c>
      <c r="O699" s="919">
        <v>4</v>
      </c>
      <c r="P699" s="921">
        <f t="shared" si="21"/>
        <v>5600</v>
      </c>
    </row>
    <row r="700" spans="1:16" ht="20.100000000000001" customHeight="1" x14ac:dyDescent="0.25">
      <c r="A700" s="918" t="s">
        <v>470</v>
      </c>
      <c r="B700" s="944" t="s">
        <v>3901</v>
      </c>
      <c r="C700" s="919" t="s">
        <v>3902</v>
      </c>
      <c r="D700" s="919" t="s">
        <v>4109</v>
      </c>
      <c r="E700" s="920">
        <v>1400</v>
      </c>
      <c r="F700" s="919" t="s">
        <v>5142</v>
      </c>
      <c r="G700" s="919" t="s">
        <v>5143</v>
      </c>
      <c r="H700" s="919" t="s">
        <v>4109</v>
      </c>
      <c r="I700" s="919" t="s">
        <v>3686</v>
      </c>
      <c r="J700" s="919"/>
      <c r="K700" s="920"/>
      <c r="L700" s="920"/>
      <c r="M700" s="920">
        <f t="shared" si="20"/>
        <v>0</v>
      </c>
      <c r="N700" s="919">
        <v>1</v>
      </c>
      <c r="O700" s="919">
        <v>4</v>
      </c>
      <c r="P700" s="921">
        <f t="shared" si="21"/>
        <v>5600</v>
      </c>
    </row>
    <row r="701" spans="1:16" ht="20.100000000000001" customHeight="1" x14ac:dyDescent="0.25">
      <c r="A701" s="918" t="s">
        <v>470</v>
      </c>
      <c r="B701" s="944" t="s">
        <v>3901</v>
      </c>
      <c r="C701" s="919" t="s">
        <v>3902</v>
      </c>
      <c r="D701" s="919" t="s">
        <v>4109</v>
      </c>
      <c r="E701" s="920">
        <v>1400</v>
      </c>
      <c r="F701" s="919" t="s">
        <v>5144</v>
      </c>
      <c r="G701" s="919" t="s">
        <v>5145</v>
      </c>
      <c r="H701" s="919" t="s">
        <v>4109</v>
      </c>
      <c r="I701" s="919" t="s">
        <v>3686</v>
      </c>
      <c r="J701" s="919"/>
      <c r="K701" s="920"/>
      <c r="L701" s="920"/>
      <c r="M701" s="920">
        <f t="shared" si="20"/>
        <v>0</v>
      </c>
      <c r="N701" s="919">
        <v>1</v>
      </c>
      <c r="O701" s="919">
        <v>4</v>
      </c>
      <c r="P701" s="921">
        <f t="shared" si="21"/>
        <v>5600</v>
      </c>
    </row>
    <row r="702" spans="1:16" ht="20.100000000000001" customHeight="1" x14ac:dyDescent="0.25">
      <c r="A702" s="918" t="s">
        <v>470</v>
      </c>
      <c r="B702" s="944" t="s">
        <v>3901</v>
      </c>
      <c r="C702" s="919" t="s">
        <v>3902</v>
      </c>
      <c r="D702" s="919" t="s">
        <v>4109</v>
      </c>
      <c r="E702" s="920">
        <v>1400</v>
      </c>
      <c r="F702" s="919" t="s">
        <v>5146</v>
      </c>
      <c r="G702" s="919" t="s">
        <v>5147</v>
      </c>
      <c r="H702" s="919" t="s">
        <v>4109</v>
      </c>
      <c r="I702" s="919" t="s">
        <v>3686</v>
      </c>
      <c r="J702" s="919"/>
      <c r="K702" s="920"/>
      <c r="L702" s="920"/>
      <c r="M702" s="920">
        <f t="shared" si="20"/>
        <v>0</v>
      </c>
      <c r="N702" s="919">
        <v>1</v>
      </c>
      <c r="O702" s="919">
        <v>4</v>
      </c>
      <c r="P702" s="921">
        <f t="shared" si="21"/>
        <v>5600</v>
      </c>
    </row>
    <row r="703" spans="1:16" ht="20.100000000000001" customHeight="1" x14ac:dyDescent="0.25">
      <c r="A703" s="918" t="s">
        <v>470</v>
      </c>
      <c r="B703" s="944" t="s">
        <v>3901</v>
      </c>
      <c r="C703" s="919" t="s">
        <v>3902</v>
      </c>
      <c r="D703" s="919" t="s">
        <v>4109</v>
      </c>
      <c r="E703" s="920">
        <v>1400</v>
      </c>
      <c r="F703" s="919" t="s">
        <v>5148</v>
      </c>
      <c r="G703" s="919" t="s">
        <v>5149</v>
      </c>
      <c r="H703" s="919" t="s">
        <v>4109</v>
      </c>
      <c r="I703" s="919" t="s">
        <v>3686</v>
      </c>
      <c r="J703" s="919"/>
      <c r="K703" s="920"/>
      <c r="L703" s="920"/>
      <c r="M703" s="920">
        <f t="shared" si="20"/>
        <v>0</v>
      </c>
      <c r="N703" s="919">
        <v>1</v>
      </c>
      <c r="O703" s="919">
        <v>4</v>
      </c>
      <c r="P703" s="921">
        <f t="shared" si="21"/>
        <v>5600</v>
      </c>
    </row>
    <row r="704" spans="1:16" ht="20.100000000000001" customHeight="1" x14ac:dyDescent="0.25">
      <c r="A704" s="918" t="s">
        <v>470</v>
      </c>
      <c r="B704" s="944" t="s">
        <v>3901</v>
      </c>
      <c r="C704" s="919" t="s">
        <v>3902</v>
      </c>
      <c r="D704" s="919" t="s">
        <v>4109</v>
      </c>
      <c r="E704" s="920">
        <v>1400</v>
      </c>
      <c r="F704" s="919" t="s">
        <v>5150</v>
      </c>
      <c r="G704" s="919" t="s">
        <v>5151</v>
      </c>
      <c r="H704" s="919" t="s">
        <v>4109</v>
      </c>
      <c r="I704" s="919" t="s">
        <v>3686</v>
      </c>
      <c r="J704" s="919"/>
      <c r="K704" s="920"/>
      <c r="L704" s="920"/>
      <c r="M704" s="920">
        <f t="shared" si="20"/>
        <v>0</v>
      </c>
      <c r="N704" s="919">
        <v>1</v>
      </c>
      <c r="O704" s="919">
        <v>4</v>
      </c>
      <c r="P704" s="921">
        <f t="shared" si="21"/>
        <v>5600</v>
      </c>
    </row>
    <row r="705" spans="1:16" ht="20.100000000000001" customHeight="1" x14ac:dyDescent="0.25">
      <c r="A705" s="918" t="s">
        <v>470</v>
      </c>
      <c r="B705" s="944" t="s">
        <v>3901</v>
      </c>
      <c r="C705" s="919" t="s">
        <v>3902</v>
      </c>
      <c r="D705" s="919" t="s">
        <v>4109</v>
      </c>
      <c r="E705" s="920">
        <v>1400</v>
      </c>
      <c r="F705" s="919" t="s">
        <v>5152</v>
      </c>
      <c r="G705" s="919" t="s">
        <v>5153</v>
      </c>
      <c r="H705" s="919" t="s">
        <v>4109</v>
      </c>
      <c r="I705" s="919" t="s">
        <v>3686</v>
      </c>
      <c r="J705" s="919"/>
      <c r="K705" s="920"/>
      <c r="L705" s="920"/>
      <c r="M705" s="920">
        <f t="shared" si="20"/>
        <v>0</v>
      </c>
      <c r="N705" s="919">
        <v>1</v>
      </c>
      <c r="O705" s="919">
        <v>4</v>
      </c>
      <c r="P705" s="921">
        <f t="shared" si="21"/>
        <v>5600</v>
      </c>
    </row>
    <row r="706" spans="1:16" ht="20.100000000000001" customHeight="1" x14ac:dyDescent="0.25">
      <c r="A706" s="918" t="s">
        <v>470</v>
      </c>
      <c r="B706" s="944" t="s">
        <v>3901</v>
      </c>
      <c r="C706" s="919" t="s">
        <v>3902</v>
      </c>
      <c r="D706" s="919" t="s">
        <v>4109</v>
      </c>
      <c r="E706" s="920">
        <v>1400</v>
      </c>
      <c r="F706" s="919" t="s">
        <v>5154</v>
      </c>
      <c r="G706" s="919" t="s">
        <v>5155</v>
      </c>
      <c r="H706" s="919" t="s">
        <v>4109</v>
      </c>
      <c r="I706" s="919" t="s">
        <v>3686</v>
      </c>
      <c r="J706" s="919"/>
      <c r="K706" s="920"/>
      <c r="L706" s="920"/>
      <c r="M706" s="920">
        <f t="shared" si="20"/>
        <v>0</v>
      </c>
      <c r="N706" s="919">
        <v>1</v>
      </c>
      <c r="O706" s="919">
        <v>4</v>
      </c>
      <c r="P706" s="921">
        <f t="shared" si="21"/>
        <v>5600</v>
      </c>
    </row>
    <row r="707" spans="1:16" ht="20.100000000000001" customHeight="1" x14ac:dyDescent="0.25">
      <c r="A707" s="918" t="s">
        <v>470</v>
      </c>
      <c r="B707" s="944" t="s">
        <v>3901</v>
      </c>
      <c r="C707" s="919" t="s">
        <v>3902</v>
      </c>
      <c r="D707" s="919" t="s">
        <v>4109</v>
      </c>
      <c r="E707" s="920">
        <v>1400</v>
      </c>
      <c r="F707" s="919" t="s">
        <v>5156</v>
      </c>
      <c r="G707" s="919" t="s">
        <v>5157</v>
      </c>
      <c r="H707" s="919" t="s">
        <v>4109</v>
      </c>
      <c r="I707" s="919" t="s">
        <v>3686</v>
      </c>
      <c r="J707" s="919"/>
      <c r="K707" s="920"/>
      <c r="L707" s="920"/>
      <c r="M707" s="920">
        <f t="shared" si="20"/>
        <v>0</v>
      </c>
      <c r="N707" s="919">
        <v>1</v>
      </c>
      <c r="O707" s="919">
        <v>4</v>
      </c>
      <c r="P707" s="921">
        <f t="shared" si="21"/>
        <v>5600</v>
      </c>
    </row>
    <row r="708" spans="1:16" ht="20.100000000000001" customHeight="1" x14ac:dyDescent="0.25">
      <c r="A708" s="918" t="s">
        <v>470</v>
      </c>
      <c r="B708" s="944" t="s">
        <v>3901</v>
      </c>
      <c r="C708" s="919" t="s">
        <v>3902</v>
      </c>
      <c r="D708" s="919" t="s">
        <v>4109</v>
      </c>
      <c r="E708" s="920">
        <v>1400</v>
      </c>
      <c r="F708" s="919" t="s">
        <v>5158</v>
      </c>
      <c r="G708" s="919" t="s">
        <v>5159</v>
      </c>
      <c r="H708" s="919" t="s">
        <v>4109</v>
      </c>
      <c r="I708" s="919" t="s">
        <v>3686</v>
      </c>
      <c r="J708" s="919"/>
      <c r="K708" s="920"/>
      <c r="L708" s="920"/>
      <c r="M708" s="920">
        <f t="shared" si="20"/>
        <v>0</v>
      </c>
      <c r="N708" s="919">
        <v>1</v>
      </c>
      <c r="O708" s="919">
        <v>4</v>
      </c>
      <c r="P708" s="921">
        <f t="shared" si="21"/>
        <v>5600</v>
      </c>
    </row>
    <row r="709" spans="1:16" ht="20.100000000000001" customHeight="1" x14ac:dyDescent="0.25">
      <c r="A709" s="918" t="s">
        <v>470</v>
      </c>
      <c r="B709" s="944" t="s">
        <v>3901</v>
      </c>
      <c r="C709" s="919" t="s">
        <v>3902</v>
      </c>
      <c r="D709" s="919" t="s">
        <v>4109</v>
      </c>
      <c r="E709" s="920">
        <v>1400</v>
      </c>
      <c r="F709" s="919" t="s">
        <v>5160</v>
      </c>
      <c r="G709" s="919" t="s">
        <v>5161</v>
      </c>
      <c r="H709" s="919" t="s">
        <v>4109</v>
      </c>
      <c r="I709" s="919" t="s">
        <v>3686</v>
      </c>
      <c r="J709" s="919"/>
      <c r="K709" s="920"/>
      <c r="L709" s="920"/>
      <c r="M709" s="920">
        <f t="shared" si="20"/>
        <v>0</v>
      </c>
      <c r="N709" s="919">
        <v>1</v>
      </c>
      <c r="O709" s="919">
        <v>4</v>
      </c>
      <c r="P709" s="921">
        <f t="shared" si="21"/>
        <v>5600</v>
      </c>
    </row>
    <row r="710" spans="1:16" ht="20.100000000000001" customHeight="1" x14ac:dyDescent="0.25">
      <c r="A710" s="918" t="s">
        <v>470</v>
      </c>
      <c r="B710" s="944" t="s">
        <v>3901</v>
      </c>
      <c r="C710" s="919" t="s">
        <v>3902</v>
      </c>
      <c r="D710" s="919" t="s">
        <v>4109</v>
      </c>
      <c r="E710" s="920">
        <v>1400</v>
      </c>
      <c r="F710" s="919" t="s">
        <v>5162</v>
      </c>
      <c r="G710" s="919" t="s">
        <v>5163</v>
      </c>
      <c r="H710" s="919" t="s">
        <v>4109</v>
      </c>
      <c r="I710" s="919" t="s">
        <v>3686</v>
      </c>
      <c r="J710" s="919"/>
      <c r="K710" s="920"/>
      <c r="L710" s="920"/>
      <c r="M710" s="920">
        <f t="shared" ref="M710:M773" si="22">E710*L710</f>
        <v>0</v>
      </c>
      <c r="N710" s="919">
        <v>1</v>
      </c>
      <c r="O710" s="919">
        <v>4</v>
      </c>
      <c r="P710" s="921">
        <f t="shared" ref="P710:P773" si="23">E710*O710</f>
        <v>5600</v>
      </c>
    </row>
    <row r="711" spans="1:16" ht="20.100000000000001" customHeight="1" x14ac:dyDescent="0.25">
      <c r="A711" s="918" t="s">
        <v>470</v>
      </c>
      <c r="B711" s="944" t="s">
        <v>3901</v>
      </c>
      <c r="C711" s="919" t="s">
        <v>3902</v>
      </c>
      <c r="D711" s="919" t="s">
        <v>4109</v>
      </c>
      <c r="E711" s="920">
        <v>1400</v>
      </c>
      <c r="F711" s="919" t="s">
        <v>5164</v>
      </c>
      <c r="G711" s="919" t="s">
        <v>5165</v>
      </c>
      <c r="H711" s="919" t="s">
        <v>4109</v>
      </c>
      <c r="I711" s="919" t="s">
        <v>3686</v>
      </c>
      <c r="J711" s="919"/>
      <c r="K711" s="920"/>
      <c r="L711" s="920"/>
      <c r="M711" s="920">
        <f t="shared" si="22"/>
        <v>0</v>
      </c>
      <c r="N711" s="919">
        <v>1</v>
      </c>
      <c r="O711" s="919">
        <v>4</v>
      </c>
      <c r="P711" s="921">
        <f t="shared" si="23"/>
        <v>5600</v>
      </c>
    </row>
    <row r="712" spans="1:16" ht="20.100000000000001" customHeight="1" x14ac:dyDescent="0.25">
      <c r="A712" s="918" t="s">
        <v>470</v>
      </c>
      <c r="B712" s="944" t="s">
        <v>3901</v>
      </c>
      <c r="C712" s="919" t="s">
        <v>3902</v>
      </c>
      <c r="D712" s="919" t="s">
        <v>4109</v>
      </c>
      <c r="E712" s="920">
        <v>1400</v>
      </c>
      <c r="F712" s="919" t="s">
        <v>5166</v>
      </c>
      <c r="G712" s="919" t="s">
        <v>5167</v>
      </c>
      <c r="H712" s="919" t="s">
        <v>4109</v>
      </c>
      <c r="I712" s="919" t="s">
        <v>3686</v>
      </c>
      <c r="J712" s="919"/>
      <c r="K712" s="920"/>
      <c r="L712" s="920"/>
      <c r="M712" s="920">
        <f t="shared" si="22"/>
        <v>0</v>
      </c>
      <c r="N712" s="919">
        <v>1</v>
      </c>
      <c r="O712" s="919">
        <v>4</v>
      </c>
      <c r="P712" s="921">
        <f t="shared" si="23"/>
        <v>5600</v>
      </c>
    </row>
    <row r="713" spans="1:16" ht="20.100000000000001" customHeight="1" x14ac:dyDescent="0.25">
      <c r="A713" s="918" t="s">
        <v>470</v>
      </c>
      <c r="B713" s="944" t="s">
        <v>3901</v>
      </c>
      <c r="C713" s="919" t="s">
        <v>3902</v>
      </c>
      <c r="D713" s="919" t="s">
        <v>4109</v>
      </c>
      <c r="E713" s="920">
        <v>1400</v>
      </c>
      <c r="F713" s="919" t="s">
        <v>4041</v>
      </c>
      <c r="G713" s="919" t="s">
        <v>4042</v>
      </c>
      <c r="H713" s="919" t="s">
        <v>4109</v>
      </c>
      <c r="I713" s="919" t="s">
        <v>3686</v>
      </c>
      <c r="J713" s="919"/>
      <c r="K713" s="920">
        <v>1</v>
      </c>
      <c r="L713" s="920">
        <v>12</v>
      </c>
      <c r="M713" s="920">
        <f t="shared" si="22"/>
        <v>16800</v>
      </c>
      <c r="N713" s="919"/>
      <c r="O713" s="919"/>
      <c r="P713" s="921">
        <f t="shared" si="23"/>
        <v>0</v>
      </c>
    </row>
    <row r="714" spans="1:16" ht="20.100000000000001" customHeight="1" x14ac:dyDescent="0.25">
      <c r="A714" s="918" t="s">
        <v>470</v>
      </c>
      <c r="B714" s="944" t="s">
        <v>3901</v>
      </c>
      <c r="C714" s="919" t="s">
        <v>3902</v>
      </c>
      <c r="D714" s="919" t="s">
        <v>4109</v>
      </c>
      <c r="E714" s="920">
        <v>1400</v>
      </c>
      <c r="F714" s="919" t="s">
        <v>5168</v>
      </c>
      <c r="G714" s="919" t="s">
        <v>5169</v>
      </c>
      <c r="H714" s="919" t="s">
        <v>4109</v>
      </c>
      <c r="I714" s="919" t="s">
        <v>3686</v>
      </c>
      <c r="J714" s="919"/>
      <c r="K714" s="920"/>
      <c r="L714" s="920"/>
      <c r="M714" s="920">
        <f t="shared" si="22"/>
        <v>0</v>
      </c>
      <c r="N714" s="919">
        <v>1</v>
      </c>
      <c r="O714" s="919">
        <v>4</v>
      </c>
      <c r="P714" s="921">
        <f t="shared" si="23"/>
        <v>5600</v>
      </c>
    </row>
    <row r="715" spans="1:16" ht="20.100000000000001" customHeight="1" x14ac:dyDescent="0.25">
      <c r="A715" s="918" t="s">
        <v>470</v>
      </c>
      <c r="B715" s="944" t="s">
        <v>3901</v>
      </c>
      <c r="C715" s="919" t="s">
        <v>3902</v>
      </c>
      <c r="D715" s="919" t="s">
        <v>4109</v>
      </c>
      <c r="E715" s="920">
        <v>1400</v>
      </c>
      <c r="F715" s="919" t="s">
        <v>5170</v>
      </c>
      <c r="G715" s="919" t="s">
        <v>5171</v>
      </c>
      <c r="H715" s="919" t="s">
        <v>4109</v>
      </c>
      <c r="I715" s="919" t="s">
        <v>3686</v>
      </c>
      <c r="J715" s="919"/>
      <c r="K715" s="920"/>
      <c r="L715" s="920"/>
      <c r="M715" s="920">
        <f t="shared" si="22"/>
        <v>0</v>
      </c>
      <c r="N715" s="919">
        <v>1</v>
      </c>
      <c r="O715" s="919">
        <v>4</v>
      </c>
      <c r="P715" s="921">
        <f t="shared" si="23"/>
        <v>5600</v>
      </c>
    </row>
    <row r="716" spans="1:16" ht="20.100000000000001" customHeight="1" x14ac:dyDescent="0.25">
      <c r="A716" s="918" t="s">
        <v>470</v>
      </c>
      <c r="B716" s="944" t="s">
        <v>3901</v>
      </c>
      <c r="C716" s="919" t="s">
        <v>3902</v>
      </c>
      <c r="D716" s="919" t="s">
        <v>4657</v>
      </c>
      <c r="E716" s="920">
        <v>1150</v>
      </c>
      <c r="F716" s="919" t="s">
        <v>5172</v>
      </c>
      <c r="G716" s="919" t="s">
        <v>5173</v>
      </c>
      <c r="H716" s="919" t="s">
        <v>4657</v>
      </c>
      <c r="I716" s="919" t="s">
        <v>3686</v>
      </c>
      <c r="J716" s="919"/>
      <c r="K716" s="920"/>
      <c r="L716" s="920"/>
      <c r="M716" s="920">
        <f t="shared" si="22"/>
        <v>0</v>
      </c>
      <c r="N716" s="919">
        <v>1</v>
      </c>
      <c r="O716" s="919">
        <v>4</v>
      </c>
      <c r="P716" s="921">
        <f t="shared" si="23"/>
        <v>4600</v>
      </c>
    </row>
    <row r="717" spans="1:16" ht="20.100000000000001" customHeight="1" x14ac:dyDescent="0.25">
      <c r="A717" s="918" t="s">
        <v>470</v>
      </c>
      <c r="B717" s="944" t="s">
        <v>3901</v>
      </c>
      <c r="C717" s="919" t="s">
        <v>3902</v>
      </c>
      <c r="D717" s="919" t="s">
        <v>4657</v>
      </c>
      <c r="E717" s="920">
        <v>1150</v>
      </c>
      <c r="F717" s="919" t="s">
        <v>5174</v>
      </c>
      <c r="G717" s="919" t="s">
        <v>5175</v>
      </c>
      <c r="H717" s="919" t="s">
        <v>4657</v>
      </c>
      <c r="I717" s="919" t="s">
        <v>3686</v>
      </c>
      <c r="J717" s="919"/>
      <c r="K717" s="920"/>
      <c r="L717" s="920"/>
      <c r="M717" s="920">
        <f t="shared" si="22"/>
        <v>0</v>
      </c>
      <c r="N717" s="919">
        <v>1</v>
      </c>
      <c r="O717" s="919">
        <v>4</v>
      </c>
      <c r="P717" s="921">
        <f t="shared" si="23"/>
        <v>4600</v>
      </c>
    </row>
    <row r="718" spans="1:16" ht="20.100000000000001" customHeight="1" x14ac:dyDescent="0.25">
      <c r="A718" s="918" t="s">
        <v>470</v>
      </c>
      <c r="B718" s="944" t="s">
        <v>3901</v>
      </c>
      <c r="C718" s="919" t="s">
        <v>3902</v>
      </c>
      <c r="D718" s="919" t="s">
        <v>4657</v>
      </c>
      <c r="E718" s="920">
        <v>1150</v>
      </c>
      <c r="F718" s="919" t="s">
        <v>5176</v>
      </c>
      <c r="G718" s="919" t="s">
        <v>5177</v>
      </c>
      <c r="H718" s="919" t="s">
        <v>4657</v>
      </c>
      <c r="I718" s="919" t="s">
        <v>3686</v>
      </c>
      <c r="J718" s="919"/>
      <c r="K718" s="920"/>
      <c r="L718" s="920"/>
      <c r="M718" s="920">
        <f t="shared" si="22"/>
        <v>0</v>
      </c>
      <c r="N718" s="919">
        <v>1</v>
      </c>
      <c r="O718" s="919">
        <v>4</v>
      </c>
      <c r="P718" s="921">
        <f t="shared" si="23"/>
        <v>4600</v>
      </c>
    </row>
    <row r="719" spans="1:16" ht="20.100000000000001" customHeight="1" x14ac:dyDescent="0.25">
      <c r="A719" s="918" t="s">
        <v>470</v>
      </c>
      <c r="B719" s="944" t="s">
        <v>3901</v>
      </c>
      <c r="C719" s="919" t="s">
        <v>3902</v>
      </c>
      <c r="D719" s="919" t="s">
        <v>4657</v>
      </c>
      <c r="E719" s="920">
        <v>1150</v>
      </c>
      <c r="F719" s="919" t="s">
        <v>5178</v>
      </c>
      <c r="G719" s="919" t="s">
        <v>5179</v>
      </c>
      <c r="H719" s="919" t="s">
        <v>4657</v>
      </c>
      <c r="I719" s="919" t="s">
        <v>3686</v>
      </c>
      <c r="J719" s="919"/>
      <c r="K719" s="920"/>
      <c r="L719" s="920"/>
      <c r="M719" s="920">
        <f t="shared" si="22"/>
        <v>0</v>
      </c>
      <c r="N719" s="919">
        <v>1</v>
      </c>
      <c r="O719" s="919">
        <v>4</v>
      </c>
      <c r="P719" s="921">
        <f t="shared" si="23"/>
        <v>4600</v>
      </c>
    </row>
    <row r="720" spans="1:16" ht="20.100000000000001" customHeight="1" x14ac:dyDescent="0.25">
      <c r="A720" s="918" t="s">
        <v>470</v>
      </c>
      <c r="B720" s="944" t="s">
        <v>3901</v>
      </c>
      <c r="C720" s="919" t="s">
        <v>3902</v>
      </c>
      <c r="D720" s="919" t="s">
        <v>4657</v>
      </c>
      <c r="E720" s="920">
        <v>1150</v>
      </c>
      <c r="F720" s="919" t="s">
        <v>5180</v>
      </c>
      <c r="G720" s="919" t="s">
        <v>5181</v>
      </c>
      <c r="H720" s="919" t="s">
        <v>4657</v>
      </c>
      <c r="I720" s="919" t="s">
        <v>3686</v>
      </c>
      <c r="J720" s="919"/>
      <c r="K720" s="920"/>
      <c r="L720" s="920"/>
      <c r="M720" s="920">
        <f t="shared" si="22"/>
        <v>0</v>
      </c>
      <c r="N720" s="919">
        <v>1</v>
      </c>
      <c r="O720" s="919">
        <v>4</v>
      </c>
      <c r="P720" s="921">
        <f t="shared" si="23"/>
        <v>4600</v>
      </c>
    </row>
    <row r="721" spans="1:16" ht="20.100000000000001" customHeight="1" x14ac:dyDescent="0.25">
      <c r="A721" s="918" t="s">
        <v>470</v>
      </c>
      <c r="B721" s="944" t="s">
        <v>3901</v>
      </c>
      <c r="C721" s="919" t="s">
        <v>3902</v>
      </c>
      <c r="D721" s="919" t="s">
        <v>4657</v>
      </c>
      <c r="E721" s="920">
        <v>1150</v>
      </c>
      <c r="F721" s="919" t="s">
        <v>5182</v>
      </c>
      <c r="G721" s="919" t="s">
        <v>5183</v>
      </c>
      <c r="H721" s="919" t="s">
        <v>4657</v>
      </c>
      <c r="I721" s="919" t="s">
        <v>3686</v>
      </c>
      <c r="J721" s="919"/>
      <c r="K721" s="920"/>
      <c r="L721" s="920"/>
      <c r="M721" s="920">
        <f t="shared" si="22"/>
        <v>0</v>
      </c>
      <c r="N721" s="919">
        <v>1</v>
      </c>
      <c r="O721" s="919">
        <v>4</v>
      </c>
      <c r="P721" s="921">
        <f t="shared" si="23"/>
        <v>4600</v>
      </c>
    </row>
    <row r="722" spans="1:16" ht="20.100000000000001" customHeight="1" x14ac:dyDescent="0.25">
      <c r="A722" s="918" t="s">
        <v>470</v>
      </c>
      <c r="B722" s="944" t="s">
        <v>3901</v>
      </c>
      <c r="C722" s="919" t="s">
        <v>3902</v>
      </c>
      <c r="D722" s="919" t="s">
        <v>4657</v>
      </c>
      <c r="E722" s="920">
        <v>1150</v>
      </c>
      <c r="F722" s="919" t="s">
        <v>5184</v>
      </c>
      <c r="G722" s="919" t="s">
        <v>5185</v>
      </c>
      <c r="H722" s="919" t="s">
        <v>4657</v>
      </c>
      <c r="I722" s="919" t="s">
        <v>3686</v>
      </c>
      <c r="J722" s="919"/>
      <c r="K722" s="920"/>
      <c r="L722" s="920"/>
      <c r="M722" s="920">
        <f t="shared" si="22"/>
        <v>0</v>
      </c>
      <c r="N722" s="919">
        <v>1</v>
      </c>
      <c r="O722" s="919">
        <v>4</v>
      </c>
      <c r="P722" s="921">
        <f t="shared" si="23"/>
        <v>4600</v>
      </c>
    </row>
    <row r="723" spans="1:16" ht="20.100000000000001" customHeight="1" x14ac:dyDescent="0.25">
      <c r="A723" s="918" t="s">
        <v>470</v>
      </c>
      <c r="B723" s="944" t="s">
        <v>3901</v>
      </c>
      <c r="C723" s="919" t="s">
        <v>3902</v>
      </c>
      <c r="D723" s="919" t="s">
        <v>4657</v>
      </c>
      <c r="E723" s="920">
        <v>1150</v>
      </c>
      <c r="F723" s="919" t="s">
        <v>5186</v>
      </c>
      <c r="G723" s="919" t="s">
        <v>5187</v>
      </c>
      <c r="H723" s="919" t="s">
        <v>4657</v>
      </c>
      <c r="I723" s="919" t="s">
        <v>3686</v>
      </c>
      <c r="J723" s="919"/>
      <c r="K723" s="920"/>
      <c r="L723" s="920"/>
      <c r="M723" s="920">
        <f t="shared" si="22"/>
        <v>0</v>
      </c>
      <c r="N723" s="919">
        <v>1</v>
      </c>
      <c r="O723" s="919">
        <v>4</v>
      </c>
      <c r="P723" s="921">
        <f t="shared" si="23"/>
        <v>4600</v>
      </c>
    </row>
    <row r="724" spans="1:16" ht="20.100000000000001" customHeight="1" x14ac:dyDescent="0.25">
      <c r="A724" s="918" t="s">
        <v>470</v>
      </c>
      <c r="B724" s="944" t="s">
        <v>3901</v>
      </c>
      <c r="C724" s="919" t="s">
        <v>3902</v>
      </c>
      <c r="D724" s="919" t="s">
        <v>4657</v>
      </c>
      <c r="E724" s="920">
        <v>1150</v>
      </c>
      <c r="F724" s="919" t="s">
        <v>5188</v>
      </c>
      <c r="G724" s="919" t="s">
        <v>5189</v>
      </c>
      <c r="H724" s="919" t="s">
        <v>4657</v>
      </c>
      <c r="I724" s="919" t="s">
        <v>3686</v>
      </c>
      <c r="J724" s="919"/>
      <c r="K724" s="920"/>
      <c r="L724" s="920"/>
      <c r="M724" s="920">
        <f t="shared" si="22"/>
        <v>0</v>
      </c>
      <c r="N724" s="919">
        <v>1</v>
      </c>
      <c r="O724" s="919">
        <v>1</v>
      </c>
      <c r="P724" s="921">
        <f t="shared" si="23"/>
        <v>1150</v>
      </c>
    </row>
    <row r="725" spans="1:16" ht="20.100000000000001" customHeight="1" x14ac:dyDescent="0.25">
      <c r="A725" s="918" t="s">
        <v>470</v>
      </c>
      <c r="B725" s="944" t="s">
        <v>3901</v>
      </c>
      <c r="C725" s="919" t="s">
        <v>3902</v>
      </c>
      <c r="D725" s="919" t="s">
        <v>4657</v>
      </c>
      <c r="E725" s="920">
        <v>1150</v>
      </c>
      <c r="F725" s="919" t="s">
        <v>5190</v>
      </c>
      <c r="G725" s="919" t="s">
        <v>5191</v>
      </c>
      <c r="H725" s="919" t="s">
        <v>4657</v>
      </c>
      <c r="I725" s="919" t="s">
        <v>3686</v>
      </c>
      <c r="J725" s="919"/>
      <c r="K725" s="920"/>
      <c r="L725" s="920"/>
      <c r="M725" s="920">
        <f t="shared" si="22"/>
        <v>0</v>
      </c>
      <c r="N725" s="919">
        <v>1</v>
      </c>
      <c r="O725" s="919">
        <v>4</v>
      </c>
      <c r="P725" s="921">
        <f t="shared" si="23"/>
        <v>4600</v>
      </c>
    </row>
    <row r="726" spans="1:16" ht="20.100000000000001" customHeight="1" x14ac:dyDescent="0.25">
      <c r="A726" s="918" t="s">
        <v>470</v>
      </c>
      <c r="B726" s="944" t="s">
        <v>3901</v>
      </c>
      <c r="C726" s="919" t="s">
        <v>3902</v>
      </c>
      <c r="D726" s="919" t="s">
        <v>4657</v>
      </c>
      <c r="E726" s="920">
        <v>1150</v>
      </c>
      <c r="F726" s="919" t="s">
        <v>5192</v>
      </c>
      <c r="G726" s="919" t="s">
        <v>5193</v>
      </c>
      <c r="H726" s="919" t="s">
        <v>4657</v>
      </c>
      <c r="I726" s="919" t="s">
        <v>3686</v>
      </c>
      <c r="J726" s="919"/>
      <c r="K726" s="920"/>
      <c r="L726" s="920"/>
      <c r="M726" s="920">
        <f t="shared" si="22"/>
        <v>0</v>
      </c>
      <c r="N726" s="919">
        <v>1</v>
      </c>
      <c r="O726" s="919">
        <v>4</v>
      </c>
      <c r="P726" s="921">
        <f t="shared" si="23"/>
        <v>4600</v>
      </c>
    </row>
    <row r="727" spans="1:16" ht="20.100000000000001" customHeight="1" x14ac:dyDescent="0.25">
      <c r="A727" s="918" t="s">
        <v>470</v>
      </c>
      <c r="B727" s="944" t="s">
        <v>3901</v>
      </c>
      <c r="C727" s="919" t="s">
        <v>3902</v>
      </c>
      <c r="D727" s="919" t="s">
        <v>4657</v>
      </c>
      <c r="E727" s="920">
        <v>1150</v>
      </c>
      <c r="F727" s="919" t="s">
        <v>5194</v>
      </c>
      <c r="G727" s="919" t="s">
        <v>5195</v>
      </c>
      <c r="H727" s="919" t="s">
        <v>4657</v>
      </c>
      <c r="I727" s="919" t="s">
        <v>3686</v>
      </c>
      <c r="J727" s="919"/>
      <c r="K727" s="920"/>
      <c r="L727" s="920"/>
      <c r="M727" s="920">
        <f t="shared" si="22"/>
        <v>0</v>
      </c>
      <c r="N727" s="919">
        <v>1</v>
      </c>
      <c r="O727" s="919">
        <v>4</v>
      </c>
      <c r="P727" s="921">
        <f t="shared" si="23"/>
        <v>4600</v>
      </c>
    </row>
    <row r="728" spans="1:16" ht="20.100000000000001" customHeight="1" x14ac:dyDescent="0.25">
      <c r="A728" s="918" t="s">
        <v>470</v>
      </c>
      <c r="B728" s="944" t="s">
        <v>3901</v>
      </c>
      <c r="C728" s="919" t="s">
        <v>3902</v>
      </c>
      <c r="D728" s="919" t="s">
        <v>4657</v>
      </c>
      <c r="E728" s="920">
        <v>1150</v>
      </c>
      <c r="F728" s="919" t="s">
        <v>5196</v>
      </c>
      <c r="G728" s="919" t="s">
        <v>5197</v>
      </c>
      <c r="H728" s="919" t="s">
        <v>4657</v>
      </c>
      <c r="I728" s="919" t="s">
        <v>3686</v>
      </c>
      <c r="J728" s="919"/>
      <c r="K728" s="920"/>
      <c r="L728" s="920"/>
      <c r="M728" s="920">
        <f t="shared" si="22"/>
        <v>0</v>
      </c>
      <c r="N728" s="919">
        <v>1</v>
      </c>
      <c r="O728" s="919">
        <v>4</v>
      </c>
      <c r="P728" s="921">
        <f t="shared" si="23"/>
        <v>4600</v>
      </c>
    </row>
    <row r="729" spans="1:16" ht="20.100000000000001" customHeight="1" x14ac:dyDescent="0.25">
      <c r="A729" s="918" t="s">
        <v>470</v>
      </c>
      <c r="B729" s="944" t="s">
        <v>3901</v>
      </c>
      <c r="C729" s="919" t="s">
        <v>3902</v>
      </c>
      <c r="D729" s="919" t="s">
        <v>4657</v>
      </c>
      <c r="E729" s="920">
        <v>1150</v>
      </c>
      <c r="F729" s="919" t="s">
        <v>5198</v>
      </c>
      <c r="G729" s="919" t="s">
        <v>5199</v>
      </c>
      <c r="H729" s="919" t="s">
        <v>4657</v>
      </c>
      <c r="I729" s="919" t="s">
        <v>3686</v>
      </c>
      <c r="J729" s="919"/>
      <c r="K729" s="920"/>
      <c r="L729" s="920"/>
      <c r="M729" s="920">
        <f t="shared" si="22"/>
        <v>0</v>
      </c>
      <c r="N729" s="919">
        <v>1</v>
      </c>
      <c r="O729" s="919">
        <v>4</v>
      </c>
      <c r="P729" s="921">
        <f t="shared" si="23"/>
        <v>4600</v>
      </c>
    </row>
    <row r="730" spans="1:16" ht="20.100000000000001" customHeight="1" x14ac:dyDescent="0.25">
      <c r="A730" s="918" t="s">
        <v>470</v>
      </c>
      <c r="B730" s="944" t="s">
        <v>3901</v>
      </c>
      <c r="C730" s="919" t="s">
        <v>3902</v>
      </c>
      <c r="D730" s="919" t="s">
        <v>4657</v>
      </c>
      <c r="E730" s="920">
        <v>1150</v>
      </c>
      <c r="F730" s="919" t="s">
        <v>5200</v>
      </c>
      <c r="G730" s="919" t="s">
        <v>5201</v>
      </c>
      <c r="H730" s="919" t="s">
        <v>4657</v>
      </c>
      <c r="I730" s="919" t="s">
        <v>3686</v>
      </c>
      <c r="J730" s="919"/>
      <c r="K730" s="920"/>
      <c r="L730" s="920"/>
      <c r="M730" s="920">
        <f t="shared" si="22"/>
        <v>0</v>
      </c>
      <c r="N730" s="919">
        <v>1</v>
      </c>
      <c r="O730" s="919">
        <v>4</v>
      </c>
      <c r="P730" s="921">
        <f t="shared" si="23"/>
        <v>4600</v>
      </c>
    </row>
    <row r="731" spans="1:16" ht="20.100000000000001" customHeight="1" x14ac:dyDescent="0.25">
      <c r="A731" s="918" t="s">
        <v>470</v>
      </c>
      <c r="B731" s="944" t="s">
        <v>3901</v>
      </c>
      <c r="C731" s="919" t="s">
        <v>3902</v>
      </c>
      <c r="D731" s="919" t="s">
        <v>4657</v>
      </c>
      <c r="E731" s="920">
        <v>1150</v>
      </c>
      <c r="F731" s="919" t="s">
        <v>5202</v>
      </c>
      <c r="G731" s="919" t="s">
        <v>5203</v>
      </c>
      <c r="H731" s="919" t="s">
        <v>4657</v>
      </c>
      <c r="I731" s="919" t="s">
        <v>3686</v>
      </c>
      <c r="J731" s="919"/>
      <c r="K731" s="920"/>
      <c r="L731" s="920"/>
      <c r="M731" s="920">
        <f t="shared" si="22"/>
        <v>0</v>
      </c>
      <c r="N731" s="919">
        <v>1</v>
      </c>
      <c r="O731" s="919">
        <v>4</v>
      </c>
      <c r="P731" s="921">
        <f t="shared" si="23"/>
        <v>4600</v>
      </c>
    </row>
    <row r="732" spans="1:16" ht="20.100000000000001" customHeight="1" x14ac:dyDescent="0.25">
      <c r="A732" s="918" t="s">
        <v>470</v>
      </c>
      <c r="B732" s="944" t="s">
        <v>3901</v>
      </c>
      <c r="C732" s="919" t="s">
        <v>3902</v>
      </c>
      <c r="D732" s="919" t="s">
        <v>4502</v>
      </c>
      <c r="E732" s="920">
        <v>1150</v>
      </c>
      <c r="F732" s="919" t="s">
        <v>5204</v>
      </c>
      <c r="G732" s="919" t="s">
        <v>5205</v>
      </c>
      <c r="H732" s="919" t="s">
        <v>4502</v>
      </c>
      <c r="I732" s="919" t="s">
        <v>3686</v>
      </c>
      <c r="J732" s="919"/>
      <c r="K732" s="920"/>
      <c r="L732" s="920"/>
      <c r="M732" s="920">
        <f t="shared" si="22"/>
        <v>0</v>
      </c>
      <c r="N732" s="919">
        <v>1</v>
      </c>
      <c r="O732" s="919">
        <v>4</v>
      </c>
      <c r="P732" s="921">
        <f t="shared" si="23"/>
        <v>4600</v>
      </c>
    </row>
    <row r="733" spans="1:16" ht="20.100000000000001" customHeight="1" x14ac:dyDescent="0.25">
      <c r="A733" s="918" t="s">
        <v>470</v>
      </c>
      <c r="B733" s="944" t="s">
        <v>3901</v>
      </c>
      <c r="C733" s="919" t="s">
        <v>3902</v>
      </c>
      <c r="D733" s="919" t="s">
        <v>4502</v>
      </c>
      <c r="E733" s="920">
        <v>1150</v>
      </c>
      <c r="F733" s="919" t="s">
        <v>5206</v>
      </c>
      <c r="G733" s="919" t="s">
        <v>5207</v>
      </c>
      <c r="H733" s="919" t="s">
        <v>4502</v>
      </c>
      <c r="I733" s="919" t="s">
        <v>3686</v>
      </c>
      <c r="J733" s="919"/>
      <c r="K733" s="920"/>
      <c r="L733" s="920"/>
      <c r="M733" s="920">
        <f t="shared" si="22"/>
        <v>0</v>
      </c>
      <c r="N733" s="919">
        <v>1</v>
      </c>
      <c r="O733" s="919">
        <v>4</v>
      </c>
      <c r="P733" s="921">
        <f t="shared" si="23"/>
        <v>4600</v>
      </c>
    </row>
    <row r="734" spans="1:16" ht="20.100000000000001" customHeight="1" x14ac:dyDescent="0.25">
      <c r="A734" s="918" t="s">
        <v>470</v>
      </c>
      <c r="B734" s="944" t="s">
        <v>3901</v>
      </c>
      <c r="C734" s="919" t="s">
        <v>3902</v>
      </c>
      <c r="D734" s="919" t="s">
        <v>4502</v>
      </c>
      <c r="E734" s="920">
        <v>1150</v>
      </c>
      <c r="F734" s="919" t="s">
        <v>5208</v>
      </c>
      <c r="G734" s="919" t="s">
        <v>5209</v>
      </c>
      <c r="H734" s="919" t="s">
        <v>4502</v>
      </c>
      <c r="I734" s="919" t="s">
        <v>3686</v>
      </c>
      <c r="J734" s="919"/>
      <c r="K734" s="920"/>
      <c r="L734" s="920"/>
      <c r="M734" s="920">
        <f t="shared" si="22"/>
        <v>0</v>
      </c>
      <c r="N734" s="919">
        <v>1</v>
      </c>
      <c r="O734" s="919">
        <v>4</v>
      </c>
      <c r="P734" s="921">
        <f t="shared" si="23"/>
        <v>4600</v>
      </c>
    </row>
    <row r="735" spans="1:16" ht="20.100000000000001" customHeight="1" x14ac:dyDescent="0.25">
      <c r="A735" s="918" t="s">
        <v>470</v>
      </c>
      <c r="B735" s="944" t="s">
        <v>3901</v>
      </c>
      <c r="C735" s="919" t="s">
        <v>3902</v>
      </c>
      <c r="D735" s="919" t="s">
        <v>4502</v>
      </c>
      <c r="E735" s="920">
        <v>1150</v>
      </c>
      <c r="F735" s="919" t="s">
        <v>5210</v>
      </c>
      <c r="G735" s="919" t="s">
        <v>5211</v>
      </c>
      <c r="H735" s="919" t="s">
        <v>4502</v>
      </c>
      <c r="I735" s="919" t="s">
        <v>3686</v>
      </c>
      <c r="J735" s="919"/>
      <c r="K735" s="920"/>
      <c r="L735" s="920"/>
      <c r="M735" s="920">
        <f t="shared" si="22"/>
        <v>0</v>
      </c>
      <c r="N735" s="919">
        <v>1</v>
      </c>
      <c r="O735" s="919">
        <v>4</v>
      </c>
      <c r="P735" s="921">
        <f t="shared" si="23"/>
        <v>4600</v>
      </c>
    </row>
    <row r="736" spans="1:16" ht="20.100000000000001" customHeight="1" x14ac:dyDescent="0.25">
      <c r="A736" s="918" t="s">
        <v>470</v>
      </c>
      <c r="B736" s="944" t="s">
        <v>3901</v>
      </c>
      <c r="C736" s="919" t="s">
        <v>3902</v>
      </c>
      <c r="D736" s="919" t="s">
        <v>4502</v>
      </c>
      <c r="E736" s="920">
        <v>1150</v>
      </c>
      <c r="F736" s="919" t="s">
        <v>5212</v>
      </c>
      <c r="G736" s="919" t="s">
        <v>5213</v>
      </c>
      <c r="H736" s="919" t="s">
        <v>4502</v>
      </c>
      <c r="I736" s="919" t="s">
        <v>3686</v>
      </c>
      <c r="J736" s="919"/>
      <c r="K736" s="920"/>
      <c r="L736" s="920"/>
      <c r="M736" s="920">
        <f t="shared" si="22"/>
        <v>0</v>
      </c>
      <c r="N736" s="919">
        <v>1</v>
      </c>
      <c r="O736" s="919">
        <v>4</v>
      </c>
      <c r="P736" s="921">
        <f t="shared" si="23"/>
        <v>4600</v>
      </c>
    </row>
    <row r="737" spans="1:16" ht="20.100000000000001" customHeight="1" x14ac:dyDescent="0.25">
      <c r="A737" s="918" t="s">
        <v>470</v>
      </c>
      <c r="B737" s="944" t="s">
        <v>3901</v>
      </c>
      <c r="C737" s="919" t="s">
        <v>3902</v>
      </c>
      <c r="D737" s="919" t="s">
        <v>4502</v>
      </c>
      <c r="E737" s="920">
        <v>1150</v>
      </c>
      <c r="F737" s="919" t="s">
        <v>5214</v>
      </c>
      <c r="G737" s="919" t="s">
        <v>5215</v>
      </c>
      <c r="H737" s="919" t="s">
        <v>4502</v>
      </c>
      <c r="I737" s="919" t="s">
        <v>3686</v>
      </c>
      <c r="J737" s="919"/>
      <c r="K737" s="920"/>
      <c r="L737" s="920"/>
      <c r="M737" s="920">
        <f t="shared" si="22"/>
        <v>0</v>
      </c>
      <c r="N737" s="919">
        <v>1</v>
      </c>
      <c r="O737" s="919">
        <v>4</v>
      </c>
      <c r="P737" s="921">
        <f t="shared" si="23"/>
        <v>4600</v>
      </c>
    </row>
    <row r="738" spans="1:16" ht="20.100000000000001" customHeight="1" x14ac:dyDescent="0.25">
      <c r="A738" s="918" t="s">
        <v>470</v>
      </c>
      <c r="B738" s="944" t="s">
        <v>3901</v>
      </c>
      <c r="C738" s="919" t="s">
        <v>3902</v>
      </c>
      <c r="D738" s="919" t="s">
        <v>4502</v>
      </c>
      <c r="E738" s="920">
        <v>1150</v>
      </c>
      <c r="F738" s="919" t="s">
        <v>5216</v>
      </c>
      <c r="G738" s="919" t="s">
        <v>5217</v>
      </c>
      <c r="H738" s="919" t="s">
        <v>4502</v>
      </c>
      <c r="I738" s="919" t="s">
        <v>3686</v>
      </c>
      <c r="J738" s="919"/>
      <c r="K738" s="920"/>
      <c r="L738" s="920"/>
      <c r="M738" s="920">
        <f t="shared" si="22"/>
        <v>0</v>
      </c>
      <c r="N738" s="919">
        <v>1</v>
      </c>
      <c r="O738" s="919">
        <v>4</v>
      </c>
      <c r="P738" s="921">
        <f t="shared" si="23"/>
        <v>4600</v>
      </c>
    </row>
    <row r="739" spans="1:16" ht="20.100000000000001" customHeight="1" x14ac:dyDescent="0.25">
      <c r="A739" s="918" t="s">
        <v>470</v>
      </c>
      <c r="B739" s="944" t="s">
        <v>3901</v>
      </c>
      <c r="C739" s="919" t="s">
        <v>3902</v>
      </c>
      <c r="D739" s="919" t="s">
        <v>4502</v>
      </c>
      <c r="E739" s="920">
        <v>1150</v>
      </c>
      <c r="F739" s="919" t="s">
        <v>5218</v>
      </c>
      <c r="G739" s="919" t="s">
        <v>5219</v>
      </c>
      <c r="H739" s="919" t="s">
        <v>4502</v>
      </c>
      <c r="I739" s="919" t="s">
        <v>3686</v>
      </c>
      <c r="J739" s="919"/>
      <c r="K739" s="920"/>
      <c r="L739" s="920"/>
      <c r="M739" s="920">
        <f t="shared" si="22"/>
        <v>0</v>
      </c>
      <c r="N739" s="919">
        <v>1</v>
      </c>
      <c r="O739" s="919">
        <v>4</v>
      </c>
      <c r="P739" s="921">
        <f t="shared" si="23"/>
        <v>4600</v>
      </c>
    </row>
    <row r="740" spans="1:16" ht="20.100000000000001" customHeight="1" x14ac:dyDescent="0.25">
      <c r="A740" s="918" t="s">
        <v>470</v>
      </c>
      <c r="B740" s="944" t="s">
        <v>3901</v>
      </c>
      <c r="C740" s="919" t="s">
        <v>3902</v>
      </c>
      <c r="D740" s="919" t="s">
        <v>4502</v>
      </c>
      <c r="E740" s="920">
        <v>1150</v>
      </c>
      <c r="F740" s="919" t="s">
        <v>5220</v>
      </c>
      <c r="G740" s="919" t="s">
        <v>5221</v>
      </c>
      <c r="H740" s="919" t="s">
        <v>4502</v>
      </c>
      <c r="I740" s="919" t="s">
        <v>3686</v>
      </c>
      <c r="J740" s="919"/>
      <c r="K740" s="920"/>
      <c r="L740" s="920"/>
      <c r="M740" s="920">
        <f t="shared" si="22"/>
        <v>0</v>
      </c>
      <c r="N740" s="919">
        <v>1</v>
      </c>
      <c r="O740" s="919">
        <v>4</v>
      </c>
      <c r="P740" s="921">
        <f t="shared" si="23"/>
        <v>4600</v>
      </c>
    </row>
    <row r="741" spans="1:16" ht="20.100000000000001" customHeight="1" x14ac:dyDescent="0.25">
      <c r="A741" s="918" t="s">
        <v>470</v>
      </c>
      <c r="B741" s="944" t="s">
        <v>3901</v>
      </c>
      <c r="C741" s="919" t="s">
        <v>3902</v>
      </c>
      <c r="D741" s="919" t="s">
        <v>4502</v>
      </c>
      <c r="E741" s="920">
        <v>1150</v>
      </c>
      <c r="F741" s="919" t="s">
        <v>5222</v>
      </c>
      <c r="G741" s="919" t="s">
        <v>5223</v>
      </c>
      <c r="H741" s="919" t="s">
        <v>4502</v>
      </c>
      <c r="I741" s="919" t="s">
        <v>3686</v>
      </c>
      <c r="J741" s="919"/>
      <c r="K741" s="920"/>
      <c r="L741" s="920"/>
      <c r="M741" s="920">
        <f t="shared" si="22"/>
        <v>0</v>
      </c>
      <c r="N741" s="919">
        <v>1</v>
      </c>
      <c r="O741" s="919">
        <v>4</v>
      </c>
      <c r="P741" s="921">
        <f t="shared" si="23"/>
        <v>4600</v>
      </c>
    </row>
    <row r="742" spans="1:16" ht="20.100000000000001" customHeight="1" x14ac:dyDescent="0.25">
      <c r="A742" s="918" t="s">
        <v>470</v>
      </c>
      <c r="B742" s="944" t="s">
        <v>3901</v>
      </c>
      <c r="C742" s="919" t="s">
        <v>3902</v>
      </c>
      <c r="D742" s="919" t="s">
        <v>4502</v>
      </c>
      <c r="E742" s="920">
        <v>1150</v>
      </c>
      <c r="F742" s="919" t="s">
        <v>5224</v>
      </c>
      <c r="G742" s="919" t="s">
        <v>5225</v>
      </c>
      <c r="H742" s="919" t="s">
        <v>4502</v>
      </c>
      <c r="I742" s="919" t="s">
        <v>3686</v>
      </c>
      <c r="J742" s="919"/>
      <c r="K742" s="920"/>
      <c r="L742" s="920"/>
      <c r="M742" s="920">
        <f t="shared" si="22"/>
        <v>0</v>
      </c>
      <c r="N742" s="919">
        <v>1</v>
      </c>
      <c r="O742" s="919">
        <v>4</v>
      </c>
      <c r="P742" s="921">
        <f t="shared" si="23"/>
        <v>4600</v>
      </c>
    </row>
    <row r="743" spans="1:16" ht="20.100000000000001" customHeight="1" x14ac:dyDescent="0.25">
      <c r="A743" s="918" t="s">
        <v>470</v>
      </c>
      <c r="B743" s="944" t="s">
        <v>3901</v>
      </c>
      <c r="C743" s="919" t="s">
        <v>3902</v>
      </c>
      <c r="D743" s="919" t="s">
        <v>4502</v>
      </c>
      <c r="E743" s="920">
        <v>1150</v>
      </c>
      <c r="F743" s="919" t="s">
        <v>5226</v>
      </c>
      <c r="G743" s="919" t="s">
        <v>5227</v>
      </c>
      <c r="H743" s="919" t="s">
        <v>4502</v>
      </c>
      <c r="I743" s="919" t="s">
        <v>3686</v>
      </c>
      <c r="J743" s="919"/>
      <c r="K743" s="920"/>
      <c r="L743" s="920"/>
      <c r="M743" s="920">
        <f t="shared" si="22"/>
        <v>0</v>
      </c>
      <c r="N743" s="919">
        <v>1</v>
      </c>
      <c r="O743" s="919">
        <v>4</v>
      </c>
      <c r="P743" s="921">
        <f t="shared" si="23"/>
        <v>4600</v>
      </c>
    </row>
    <row r="744" spans="1:16" ht="20.100000000000001" customHeight="1" x14ac:dyDescent="0.25">
      <c r="A744" s="918" t="s">
        <v>470</v>
      </c>
      <c r="B744" s="944" t="s">
        <v>3901</v>
      </c>
      <c r="C744" s="919" t="s">
        <v>3902</v>
      </c>
      <c r="D744" s="919" t="s">
        <v>4502</v>
      </c>
      <c r="E744" s="920">
        <v>1150</v>
      </c>
      <c r="F744" s="919" t="s">
        <v>5228</v>
      </c>
      <c r="G744" s="919" t="s">
        <v>5229</v>
      </c>
      <c r="H744" s="919" t="s">
        <v>4502</v>
      </c>
      <c r="I744" s="919" t="s">
        <v>3686</v>
      </c>
      <c r="J744" s="919"/>
      <c r="K744" s="920"/>
      <c r="L744" s="920"/>
      <c r="M744" s="920">
        <f t="shared" si="22"/>
        <v>0</v>
      </c>
      <c r="N744" s="919">
        <v>1</v>
      </c>
      <c r="O744" s="919">
        <v>4</v>
      </c>
      <c r="P744" s="921">
        <f t="shared" si="23"/>
        <v>4600</v>
      </c>
    </row>
    <row r="745" spans="1:16" ht="20.100000000000001" customHeight="1" x14ac:dyDescent="0.25">
      <c r="A745" s="918" t="s">
        <v>470</v>
      </c>
      <c r="B745" s="944" t="s">
        <v>3901</v>
      </c>
      <c r="C745" s="919" t="s">
        <v>3902</v>
      </c>
      <c r="D745" s="919" t="s">
        <v>4502</v>
      </c>
      <c r="E745" s="920">
        <v>1150</v>
      </c>
      <c r="F745" s="919" t="s">
        <v>5230</v>
      </c>
      <c r="G745" s="919" t="s">
        <v>5231</v>
      </c>
      <c r="H745" s="919" t="s">
        <v>4502</v>
      </c>
      <c r="I745" s="919" t="s">
        <v>3686</v>
      </c>
      <c r="J745" s="919"/>
      <c r="K745" s="920"/>
      <c r="L745" s="920"/>
      <c r="M745" s="920">
        <f t="shared" si="22"/>
        <v>0</v>
      </c>
      <c r="N745" s="919">
        <v>1</v>
      </c>
      <c r="O745" s="919">
        <v>4</v>
      </c>
      <c r="P745" s="921">
        <f t="shared" si="23"/>
        <v>4600</v>
      </c>
    </row>
    <row r="746" spans="1:16" ht="20.100000000000001" customHeight="1" x14ac:dyDescent="0.25">
      <c r="A746" s="918" t="s">
        <v>470</v>
      </c>
      <c r="B746" s="944" t="s">
        <v>3901</v>
      </c>
      <c r="C746" s="919" t="s">
        <v>3902</v>
      </c>
      <c r="D746" s="919" t="s">
        <v>4502</v>
      </c>
      <c r="E746" s="920">
        <v>1150</v>
      </c>
      <c r="F746" s="919" t="s">
        <v>5232</v>
      </c>
      <c r="G746" s="919" t="s">
        <v>5233</v>
      </c>
      <c r="H746" s="919" t="s">
        <v>4502</v>
      </c>
      <c r="I746" s="919" t="s">
        <v>3686</v>
      </c>
      <c r="J746" s="919"/>
      <c r="K746" s="920"/>
      <c r="L746" s="920"/>
      <c r="M746" s="920">
        <f t="shared" si="22"/>
        <v>0</v>
      </c>
      <c r="N746" s="919">
        <v>1</v>
      </c>
      <c r="O746" s="919">
        <v>4</v>
      </c>
      <c r="P746" s="921">
        <f t="shared" si="23"/>
        <v>4600</v>
      </c>
    </row>
    <row r="747" spans="1:16" ht="20.100000000000001" customHeight="1" x14ac:dyDescent="0.25">
      <c r="A747" s="918" t="s">
        <v>470</v>
      </c>
      <c r="B747" s="944" t="s">
        <v>3901</v>
      </c>
      <c r="C747" s="919" t="s">
        <v>3902</v>
      </c>
      <c r="D747" s="919" t="s">
        <v>4502</v>
      </c>
      <c r="E747" s="920">
        <v>1150</v>
      </c>
      <c r="F747" s="919" t="s">
        <v>5234</v>
      </c>
      <c r="G747" s="919" t="s">
        <v>5235</v>
      </c>
      <c r="H747" s="919" t="s">
        <v>4502</v>
      </c>
      <c r="I747" s="919" t="s">
        <v>3686</v>
      </c>
      <c r="J747" s="919"/>
      <c r="K747" s="920"/>
      <c r="L747" s="920"/>
      <c r="M747" s="920">
        <f t="shared" si="22"/>
        <v>0</v>
      </c>
      <c r="N747" s="919">
        <v>1</v>
      </c>
      <c r="O747" s="919">
        <v>4</v>
      </c>
      <c r="P747" s="921">
        <f t="shared" si="23"/>
        <v>4600</v>
      </c>
    </row>
    <row r="748" spans="1:16" ht="20.100000000000001" customHeight="1" x14ac:dyDescent="0.25">
      <c r="A748" s="918" t="s">
        <v>470</v>
      </c>
      <c r="B748" s="944" t="s">
        <v>3901</v>
      </c>
      <c r="C748" s="919" t="s">
        <v>3902</v>
      </c>
      <c r="D748" s="919" t="s">
        <v>4502</v>
      </c>
      <c r="E748" s="920">
        <v>1150</v>
      </c>
      <c r="F748" s="919" t="s">
        <v>5236</v>
      </c>
      <c r="G748" s="919" t="s">
        <v>5237</v>
      </c>
      <c r="H748" s="919" t="s">
        <v>4502</v>
      </c>
      <c r="I748" s="919" t="s">
        <v>3686</v>
      </c>
      <c r="J748" s="919"/>
      <c r="K748" s="920"/>
      <c r="L748" s="920"/>
      <c r="M748" s="920">
        <f t="shared" si="22"/>
        <v>0</v>
      </c>
      <c r="N748" s="919">
        <v>1</v>
      </c>
      <c r="O748" s="919">
        <v>4</v>
      </c>
      <c r="P748" s="921">
        <f t="shared" si="23"/>
        <v>4600</v>
      </c>
    </row>
    <row r="749" spans="1:16" ht="20.100000000000001" customHeight="1" x14ac:dyDescent="0.25">
      <c r="A749" s="918" t="s">
        <v>470</v>
      </c>
      <c r="B749" s="944" t="s">
        <v>3901</v>
      </c>
      <c r="C749" s="919" t="s">
        <v>3902</v>
      </c>
      <c r="D749" s="919" t="s">
        <v>4502</v>
      </c>
      <c r="E749" s="920">
        <v>1150</v>
      </c>
      <c r="F749" s="919" t="s">
        <v>5238</v>
      </c>
      <c r="G749" s="919" t="s">
        <v>5239</v>
      </c>
      <c r="H749" s="919" t="s">
        <v>4502</v>
      </c>
      <c r="I749" s="919" t="s">
        <v>3686</v>
      </c>
      <c r="J749" s="919"/>
      <c r="K749" s="920"/>
      <c r="L749" s="920"/>
      <c r="M749" s="920">
        <f t="shared" si="22"/>
        <v>0</v>
      </c>
      <c r="N749" s="919">
        <v>1</v>
      </c>
      <c r="O749" s="919">
        <v>4</v>
      </c>
      <c r="P749" s="921">
        <f t="shared" si="23"/>
        <v>4600</v>
      </c>
    </row>
    <row r="750" spans="1:16" ht="20.100000000000001" customHeight="1" x14ac:dyDescent="0.25">
      <c r="A750" s="918" t="s">
        <v>470</v>
      </c>
      <c r="B750" s="944" t="s">
        <v>3901</v>
      </c>
      <c r="C750" s="919" t="s">
        <v>3902</v>
      </c>
      <c r="D750" s="919" t="s">
        <v>4502</v>
      </c>
      <c r="E750" s="920">
        <v>1150</v>
      </c>
      <c r="F750" s="919" t="s">
        <v>5240</v>
      </c>
      <c r="G750" s="919" t="s">
        <v>5241</v>
      </c>
      <c r="H750" s="919" t="s">
        <v>4502</v>
      </c>
      <c r="I750" s="919" t="s">
        <v>3686</v>
      </c>
      <c r="J750" s="919"/>
      <c r="K750" s="920"/>
      <c r="L750" s="920"/>
      <c r="M750" s="920">
        <f t="shared" si="22"/>
        <v>0</v>
      </c>
      <c r="N750" s="919">
        <v>1</v>
      </c>
      <c r="O750" s="919">
        <v>4</v>
      </c>
      <c r="P750" s="921">
        <f t="shared" si="23"/>
        <v>4600</v>
      </c>
    </row>
    <row r="751" spans="1:16" ht="20.100000000000001" customHeight="1" x14ac:dyDescent="0.25">
      <c r="A751" s="918" t="s">
        <v>470</v>
      </c>
      <c r="B751" s="944" t="s">
        <v>3901</v>
      </c>
      <c r="C751" s="919" t="s">
        <v>3902</v>
      </c>
      <c r="D751" s="919" t="s">
        <v>4502</v>
      </c>
      <c r="E751" s="920">
        <v>1150</v>
      </c>
      <c r="F751" s="919" t="s">
        <v>5242</v>
      </c>
      <c r="G751" s="919" t="s">
        <v>5243</v>
      </c>
      <c r="H751" s="919" t="s">
        <v>4502</v>
      </c>
      <c r="I751" s="919" t="s">
        <v>3686</v>
      </c>
      <c r="J751" s="919"/>
      <c r="K751" s="920"/>
      <c r="L751" s="920"/>
      <c r="M751" s="920">
        <f t="shared" si="22"/>
        <v>0</v>
      </c>
      <c r="N751" s="919">
        <v>1</v>
      </c>
      <c r="O751" s="919">
        <v>4</v>
      </c>
      <c r="P751" s="921">
        <f t="shared" si="23"/>
        <v>4600</v>
      </c>
    </row>
    <row r="752" spans="1:16" ht="20.100000000000001" customHeight="1" x14ac:dyDescent="0.25">
      <c r="A752" s="918" t="s">
        <v>470</v>
      </c>
      <c r="B752" s="944" t="s">
        <v>3901</v>
      </c>
      <c r="C752" s="919" t="s">
        <v>3902</v>
      </c>
      <c r="D752" s="919" t="s">
        <v>4502</v>
      </c>
      <c r="E752" s="920">
        <v>1150</v>
      </c>
      <c r="F752" s="919" t="s">
        <v>5244</v>
      </c>
      <c r="G752" s="919" t="s">
        <v>5245</v>
      </c>
      <c r="H752" s="919" t="s">
        <v>4502</v>
      </c>
      <c r="I752" s="919" t="s">
        <v>3686</v>
      </c>
      <c r="J752" s="919"/>
      <c r="K752" s="920"/>
      <c r="L752" s="920"/>
      <c r="M752" s="920">
        <f t="shared" si="22"/>
        <v>0</v>
      </c>
      <c r="N752" s="919">
        <v>1</v>
      </c>
      <c r="O752" s="919">
        <v>4</v>
      </c>
      <c r="P752" s="921">
        <f t="shared" si="23"/>
        <v>4600</v>
      </c>
    </row>
    <row r="753" spans="1:16" ht="20.100000000000001" customHeight="1" x14ac:dyDescent="0.25">
      <c r="A753" s="918" t="s">
        <v>470</v>
      </c>
      <c r="B753" s="944" t="s">
        <v>3901</v>
      </c>
      <c r="C753" s="919" t="s">
        <v>3902</v>
      </c>
      <c r="D753" s="919" t="s">
        <v>4502</v>
      </c>
      <c r="E753" s="920">
        <v>1150</v>
      </c>
      <c r="F753" s="919" t="s">
        <v>5246</v>
      </c>
      <c r="G753" s="919" t="s">
        <v>5247</v>
      </c>
      <c r="H753" s="919" t="s">
        <v>4502</v>
      </c>
      <c r="I753" s="919" t="s">
        <v>3686</v>
      </c>
      <c r="J753" s="919"/>
      <c r="K753" s="920"/>
      <c r="L753" s="920"/>
      <c r="M753" s="920">
        <f t="shared" si="22"/>
        <v>0</v>
      </c>
      <c r="N753" s="919">
        <v>1</v>
      </c>
      <c r="O753" s="919">
        <v>4</v>
      </c>
      <c r="P753" s="921">
        <f t="shared" si="23"/>
        <v>4600</v>
      </c>
    </row>
    <row r="754" spans="1:16" ht="20.100000000000001" customHeight="1" x14ac:dyDescent="0.25">
      <c r="A754" s="918" t="s">
        <v>470</v>
      </c>
      <c r="B754" s="944" t="s">
        <v>3901</v>
      </c>
      <c r="C754" s="919" t="s">
        <v>3902</v>
      </c>
      <c r="D754" s="919" t="s">
        <v>4502</v>
      </c>
      <c r="E754" s="920">
        <v>1150</v>
      </c>
      <c r="F754" s="919" t="s">
        <v>5248</v>
      </c>
      <c r="G754" s="919" t="s">
        <v>5249</v>
      </c>
      <c r="H754" s="919" t="s">
        <v>4502</v>
      </c>
      <c r="I754" s="919" t="s">
        <v>3686</v>
      </c>
      <c r="J754" s="919"/>
      <c r="K754" s="920"/>
      <c r="L754" s="920"/>
      <c r="M754" s="920">
        <f t="shared" si="22"/>
        <v>0</v>
      </c>
      <c r="N754" s="919">
        <v>1</v>
      </c>
      <c r="O754" s="919">
        <v>4</v>
      </c>
      <c r="P754" s="921">
        <f t="shared" si="23"/>
        <v>4600</v>
      </c>
    </row>
    <row r="755" spans="1:16" ht="20.100000000000001" customHeight="1" x14ac:dyDescent="0.25">
      <c r="A755" s="918" t="s">
        <v>470</v>
      </c>
      <c r="B755" s="944" t="s">
        <v>3901</v>
      </c>
      <c r="C755" s="919" t="s">
        <v>3902</v>
      </c>
      <c r="D755" s="919" t="s">
        <v>4502</v>
      </c>
      <c r="E755" s="920">
        <v>1150</v>
      </c>
      <c r="F755" s="919" t="s">
        <v>5250</v>
      </c>
      <c r="G755" s="919" t="s">
        <v>5251</v>
      </c>
      <c r="H755" s="919" t="s">
        <v>4502</v>
      </c>
      <c r="I755" s="919" t="s">
        <v>3686</v>
      </c>
      <c r="J755" s="919"/>
      <c r="K755" s="920"/>
      <c r="L755" s="920"/>
      <c r="M755" s="920">
        <f t="shared" si="22"/>
        <v>0</v>
      </c>
      <c r="N755" s="919">
        <v>1</v>
      </c>
      <c r="O755" s="919">
        <v>4</v>
      </c>
      <c r="P755" s="921">
        <f t="shared" si="23"/>
        <v>4600</v>
      </c>
    </row>
    <row r="756" spans="1:16" ht="20.100000000000001" customHeight="1" x14ac:dyDescent="0.25">
      <c r="A756" s="918" t="s">
        <v>470</v>
      </c>
      <c r="B756" s="944" t="s">
        <v>3901</v>
      </c>
      <c r="C756" s="919" t="s">
        <v>3902</v>
      </c>
      <c r="D756" s="919" t="s">
        <v>4502</v>
      </c>
      <c r="E756" s="920">
        <v>1150</v>
      </c>
      <c r="F756" s="919" t="s">
        <v>5252</v>
      </c>
      <c r="G756" s="919" t="s">
        <v>5253</v>
      </c>
      <c r="H756" s="919" t="s">
        <v>4502</v>
      </c>
      <c r="I756" s="919" t="s">
        <v>3686</v>
      </c>
      <c r="J756" s="919"/>
      <c r="K756" s="920"/>
      <c r="L756" s="920"/>
      <c r="M756" s="920">
        <f t="shared" si="22"/>
        <v>0</v>
      </c>
      <c r="N756" s="919">
        <v>1</v>
      </c>
      <c r="O756" s="919">
        <v>4</v>
      </c>
      <c r="P756" s="921">
        <f t="shared" si="23"/>
        <v>4600</v>
      </c>
    </row>
    <row r="757" spans="1:16" ht="20.100000000000001" customHeight="1" x14ac:dyDescent="0.25">
      <c r="A757" s="918" t="s">
        <v>470</v>
      </c>
      <c r="B757" s="944" t="s">
        <v>3901</v>
      </c>
      <c r="C757" s="919" t="s">
        <v>3902</v>
      </c>
      <c r="D757" s="919" t="s">
        <v>4502</v>
      </c>
      <c r="E757" s="920">
        <v>1150</v>
      </c>
      <c r="F757" s="919" t="s">
        <v>5254</v>
      </c>
      <c r="G757" s="919" t="s">
        <v>5255</v>
      </c>
      <c r="H757" s="919" t="s">
        <v>4502</v>
      </c>
      <c r="I757" s="919" t="s">
        <v>3686</v>
      </c>
      <c r="J757" s="919"/>
      <c r="K757" s="920"/>
      <c r="L757" s="920"/>
      <c r="M757" s="920">
        <f t="shared" si="22"/>
        <v>0</v>
      </c>
      <c r="N757" s="919">
        <v>1</v>
      </c>
      <c r="O757" s="919">
        <v>4</v>
      </c>
      <c r="P757" s="921">
        <f t="shared" si="23"/>
        <v>4600</v>
      </c>
    </row>
    <row r="758" spans="1:16" ht="20.100000000000001" customHeight="1" x14ac:dyDescent="0.25">
      <c r="A758" s="918" t="s">
        <v>470</v>
      </c>
      <c r="B758" s="944" t="s">
        <v>3901</v>
      </c>
      <c r="C758" s="919" t="s">
        <v>3902</v>
      </c>
      <c r="D758" s="919" t="s">
        <v>4502</v>
      </c>
      <c r="E758" s="920">
        <v>1150</v>
      </c>
      <c r="F758" s="919" t="s">
        <v>5256</v>
      </c>
      <c r="G758" s="919" t="s">
        <v>5257</v>
      </c>
      <c r="H758" s="919" t="s">
        <v>4502</v>
      </c>
      <c r="I758" s="919" t="s">
        <v>3686</v>
      </c>
      <c r="J758" s="919"/>
      <c r="K758" s="920"/>
      <c r="L758" s="920"/>
      <c r="M758" s="920">
        <f t="shared" si="22"/>
        <v>0</v>
      </c>
      <c r="N758" s="919">
        <v>1</v>
      </c>
      <c r="O758" s="919">
        <v>4</v>
      </c>
      <c r="P758" s="921">
        <f t="shared" si="23"/>
        <v>4600</v>
      </c>
    </row>
    <row r="759" spans="1:16" ht="20.100000000000001" customHeight="1" x14ac:dyDescent="0.25">
      <c r="A759" s="918" t="s">
        <v>470</v>
      </c>
      <c r="B759" s="944" t="s">
        <v>3901</v>
      </c>
      <c r="C759" s="919" t="s">
        <v>3902</v>
      </c>
      <c r="D759" s="919" t="s">
        <v>4502</v>
      </c>
      <c r="E759" s="920">
        <v>1150</v>
      </c>
      <c r="F759" s="919" t="s">
        <v>5258</v>
      </c>
      <c r="G759" s="919" t="s">
        <v>5259</v>
      </c>
      <c r="H759" s="919" t="s">
        <v>4502</v>
      </c>
      <c r="I759" s="919" t="s">
        <v>3686</v>
      </c>
      <c r="J759" s="919"/>
      <c r="K759" s="920"/>
      <c r="L759" s="920"/>
      <c r="M759" s="920">
        <f t="shared" si="22"/>
        <v>0</v>
      </c>
      <c r="N759" s="919">
        <v>1</v>
      </c>
      <c r="O759" s="919">
        <v>4</v>
      </c>
      <c r="P759" s="921">
        <f t="shared" si="23"/>
        <v>4600</v>
      </c>
    </row>
    <row r="760" spans="1:16" ht="20.100000000000001" customHeight="1" x14ac:dyDescent="0.25">
      <c r="A760" s="918" t="s">
        <v>470</v>
      </c>
      <c r="B760" s="944" t="s">
        <v>3901</v>
      </c>
      <c r="C760" s="919" t="s">
        <v>3902</v>
      </c>
      <c r="D760" s="919" t="s">
        <v>4502</v>
      </c>
      <c r="E760" s="920">
        <v>1150</v>
      </c>
      <c r="F760" s="919" t="s">
        <v>5260</v>
      </c>
      <c r="G760" s="919" t="s">
        <v>5261</v>
      </c>
      <c r="H760" s="919" t="s">
        <v>4502</v>
      </c>
      <c r="I760" s="919" t="s">
        <v>3686</v>
      </c>
      <c r="J760" s="919"/>
      <c r="K760" s="920"/>
      <c r="L760" s="920"/>
      <c r="M760" s="920">
        <f t="shared" si="22"/>
        <v>0</v>
      </c>
      <c r="N760" s="919">
        <v>1</v>
      </c>
      <c r="O760" s="919">
        <v>4</v>
      </c>
      <c r="P760" s="921">
        <f t="shared" si="23"/>
        <v>4600</v>
      </c>
    </row>
    <row r="761" spans="1:16" ht="20.100000000000001" customHeight="1" x14ac:dyDescent="0.25">
      <c r="A761" s="918" t="s">
        <v>470</v>
      </c>
      <c r="B761" s="944" t="s">
        <v>3901</v>
      </c>
      <c r="C761" s="919" t="s">
        <v>3902</v>
      </c>
      <c r="D761" s="919" t="s">
        <v>4502</v>
      </c>
      <c r="E761" s="920">
        <v>1150</v>
      </c>
      <c r="F761" s="919" t="s">
        <v>5262</v>
      </c>
      <c r="G761" s="919" t="s">
        <v>5263</v>
      </c>
      <c r="H761" s="919" t="s">
        <v>4502</v>
      </c>
      <c r="I761" s="919" t="s">
        <v>3686</v>
      </c>
      <c r="J761" s="919"/>
      <c r="K761" s="920"/>
      <c r="L761" s="920"/>
      <c r="M761" s="920">
        <f t="shared" si="22"/>
        <v>0</v>
      </c>
      <c r="N761" s="919">
        <v>1</v>
      </c>
      <c r="O761" s="919">
        <v>4</v>
      </c>
      <c r="P761" s="921">
        <f t="shared" si="23"/>
        <v>4600</v>
      </c>
    </row>
    <row r="762" spans="1:16" ht="20.100000000000001" customHeight="1" x14ac:dyDescent="0.25">
      <c r="A762" s="918" t="s">
        <v>470</v>
      </c>
      <c r="B762" s="944" t="s">
        <v>3901</v>
      </c>
      <c r="C762" s="919" t="s">
        <v>3902</v>
      </c>
      <c r="D762" s="919" t="s">
        <v>4502</v>
      </c>
      <c r="E762" s="920">
        <v>1150</v>
      </c>
      <c r="F762" s="919" t="s">
        <v>5264</v>
      </c>
      <c r="G762" s="919" t="s">
        <v>5265</v>
      </c>
      <c r="H762" s="919" t="s">
        <v>4502</v>
      </c>
      <c r="I762" s="919" t="s">
        <v>3686</v>
      </c>
      <c r="J762" s="919"/>
      <c r="K762" s="920"/>
      <c r="L762" s="920"/>
      <c r="M762" s="920">
        <f t="shared" si="22"/>
        <v>0</v>
      </c>
      <c r="N762" s="919">
        <v>1</v>
      </c>
      <c r="O762" s="919">
        <v>4</v>
      </c>
      <c r="P762" s="921">
        <f t="shared" si="23"/>
        <v>4600</v>
      </c>
    </row>
    <row r="763" spans="1:16" ht="20.100000000000001" customHeight="1" x14ac:dyDescent="0.25">
      <c r="A763" s="918" t="s">
        <v>470</v>
      </c>
      <c r="B763" s="944" t="s">
        <v>3901</v>
      </c>
      <c r="C763" s="919" t="s">
        <v>3902</v>
      </c>
      <c r="D763" s="919" t="s">
        <v>4502</v>
      </c>
      <c r="E763" s="920">
        <v>1150</v>
      </c>
      <c r="F763" s="919" t="s">
        <v>5266</v>
      </c>
      <c r="G763" s="919" t="s">
        <v>5267</v>
      </c>
      <c r="H763" s="919" t="s">
        <v>4502</v>
      </c>
      <c r="I763" s="919" t="s">
        <v>3686</v>
      </c>
      <c r="J763" s="919"/>
      <c r="K763" s="920"/>
      <c r="L763" s="920"/>
      <c r="M763" s="920">
        <f t="shared" si="22"/>
        <v>0</v>
      </c>
      <c r="N763" s="919">
        <v>1</v>
      </c>
      <c r="O763" s="919">
        <v>4</v>
      </c>
      <c r="P763" s="921">
        <f t="shared" si="23"/>
        <v>4600</v>
      </c>
    </row>
    <row r="764" spans="1:16" ht="20.100000000000001" customHeight="1" x14ac:dyDescent="0.25">
      <c r="A764" s="918" t="s">
        <v>470</v>
      </c>
      <c r="B764" s="944" t="s">
        <v>3901</v>
      </c>
      <c r="C764" s="919" t="s">
        <v>3902</v>
      </c>
      <c r="D764" s="919" t="s">
        <v>4502</v>
      </c>
      <c r="E764" s="920">
        <v>1150</v>
      </c>
      <c r="F764" s="919" t="s">
        <v>5268</v>
      </c>
      <c r="G764" s="919" t="s">
        <v>5269</v>
      </c>
      <c r="H764" s="919" t="s">
        <v>4502</v>
      </c>
      <c r="I764" s="919" t="s">
        <v>3686</v>
      </c>
      <c r="J764" s="919"/>
      <c r="K764" s="920"/>
      <c r="L764" s="920"/>
      <c r="M764" s="920">
        <f t="shared" si="22"/>
        <v>0</v>
      </c>
      <c r="N764" s="919">
        <v>1</v>
      </c>
      <c r="O764" s="919">
        <v>4</v>
      </c>
      <c r="P764" s="921">
        <f t="shared" si="23"/>
        <v>4600</v>
      </c>
    </row>
    <row r="765" spans="1:16" ht="20.100000000000001" customHeight="1" x14ac:dyDescent="0.25">
      <c r="A765" s="918" t="s">
        <v>470</v>
      </c>
      <c r="B765" s="944" t="s">
        <v>3901</v>
      </c>
      <c r="C765" s="919" t="s">
        <v>3902</v>
      </c>
      <c r="D765" s="919" t="s">
        <v>4502</v>
      </c>
      <c r="E765" s="920">
        <v>1150</v>
      </c>
      <c r="F765" s="919" t="s">
        <v>5270</v>
      </c>
      <c r="G765" s="919" t="s">
        <v>5271</v>
      </c>
      <c r="H765" s="919" t="s">
        <v>4502</v>
      </c>
      <c r="I765" s="919" t="s">
        <v>3686</v>
      </c>
      <c r="J765" s="919"/>
      <c r="K765" s="920"/>
      <c r="L765" s="920"/>
      <c r="M765" s="920">
        <f t="shared" si="22"/>
        <v>0</v>
      </c>
      <c r="N765" s="919">
        <v>1</v>
      </c>
      <c r="O765" s="919">
        <v>4</v>
      </c>
      <c r="P765" s="921">
        <f t="shared" si="23"/>
        <v>4600</v>
      </c>
    </row>
    <row r="766" spans="1:16" ht="20.100000000000001" customHeight="1" x14ac:dyDescent="0.25">
      <c r="A766" s="918" t="s">
        <v>470</v>
      </c>
      <c r="B766" s="944" t="s">
        <v>3901</v>
      </c>
      <c r="C766" s="919" t="s">
        <v>3902</v>
      </c>
      <c r="D766" s="919" t="s">
        <v>4502</v>
      </c>
      <c r="E766" s="920">
        <v>1150</v>
      </c>
      <c r="F766" s="919" t="s">
        <v>5272</v>
      </c>
      <c r="G766" s="919" t="s">
        <v>5273</v>
      </c>
      <c r="H766" s="919" t="s">
        <v>4502</v>
      </c>
      <c r="I766" s="919" t="s">
        <v>3686</v>
      </c>
      <c r="J766" s="919"/>
      <c r="K766" s="920"/>
      <c r="L766" s="920"/>
      <c r="M766" s="920">
        <f t="shared" si="22"/>
        <v>0</v>
      </c>
      <c r="N766" s="919">
        <v>1</v>
      </c>
      <c r="O766" s="919">
        <v>4</v>
      </c>
      <c r="P766" s="921">
        <f t="shared" si="23"/>
        <v>4600</v>
      </c>
    </row>
    <row r="767" spans="1:16" ht="20.100000000000001" customHeight="1" x14ac:dyDescent="0.25">
      <c r="A767" s="918" t="s">
        <v>470</v>
      </c>
      <c r="B767" s="944" t="s">
        <v>3901</v>
      </c>
      <c r="C767" s="919" t="s">
        <v>3902</v>
      </c>
      <c r="D767" s="919" t="s">
        <v>4502</v>
      </c>
      <c r="E767" s="920">
        <v>1150</v>
      </c>
      <c r="F767" s="919" t="s">
        <v>5274</v>
      </c>
      <c r="G767" s="919" t="s">
        <v>5275</v>
      </c>
      <c r="H767" s="919" t="s">
        <v>4502</v>
      </c>
      <c r="I767" s="919" t="s">
        <v>3686</v>
      </c>
      <c r="J767" s="919"/>
      <c r="K767" s="920"/>
      <c r="L767" s="920"/>
      <c r="M767" s="920">
        <f t="shared" si="22"/>
        <v>0</v>
      </c>
      <c r="N767" s="919">
        <v>1</v>
      </c>
      <c r="O767" s="919">
        <v>4</v>
      </c>
      <c r="P767" s="921">
        <f t="shared" si="23"/>
        <v>4600</v>
      </c>
    </row>
    <row r="768" spans="1:16" ht="20.100000000000001" customHeight="1" x14ac:dyDescent="0.25">
      <c r="A768" s="918" t="s">
        <v>470</v>
      </c>
      <c r="B768" s="944" t="s">
        <v>3901</v>
      </c>
      <c r="C768" s="919" t="s">
        <v>3902</v>
      </c>
      <c r="D768" s="919" t="s">
        <v>4502</v>
      </c>
      <c r="E768" s="920">
        <v>1150</v>
      </c>
      <c r="F768" s="919" t="s">
        <v>5276</v>
      </c>
      <c r="G768" s="919" t="s">
        <v>5277</v>
      </c>
      <c r="H768" s="919" t="s">
        <v>4502</v>
      </c>
      <c r="I768" s="919" t="s">
        <v>3686</v>
      </c>
      <c r="J768" s="919"/>
      <c r="K768" s="920"/>
      <c r="L768" s="920"/>
      <c r="M768" s="920">
        <f t="shared" si="22"/>
        <v>0</v>
      </c>
      <c r="N768" s="919">
        <v>1</v>
      </c>
      <c r="O768" s="919">
        <v>4</v>
      </c>
      <c r="P768" s="921">
        <f t="shared" si="23"/>
        <v>4600</v>
      </c>
    </row>
    <row r="769" spans="1:16" ht="20.100000000000001" customHeight="1" x14ac:dyDescent="0.25">
      <c r="A769" s="918" t="s">
        <v>470</v>
      </c>
      <c r="B769" s="944" t="s">
        <v>3901</v>
      </c>
      <c r="C769" s="919" t="s">
        <v>3902</v>
      </c>
      <c r="D769" s="919" t="s">
        <v>4502</v>
      </c>
      <c r="E769" s="920">
        <v>1150</v>
      </c>
      <c r="F769" s="919" t="s">
        <v>5278</v>
      </c>
      <c r="G769" s="919" t="s">
        <v>5279</v>
      </c>
      <c r="H769" s="919" t="s">
        <v>4502</v>
      </c>
      <c r="I769" s="919" t="s">
        <v>3686</v>
      </c>
      <c r="J769" s="919"/>
      <c r="K769" s="920"/>
      <c r="L769" s="920"/>
      <c r="M769" s="920">
        <f t="shared" si="22"/>
        <v>0</v>
      </c>
      <c r="N769" s="919">
        <v>1</v>
      </c>
      <c r="O769" s="919">
        <v>4</v>
      </c>
      <c r="P769" s="921">
        <f t="shared" si="23"/>
        <v>4600</v>
      </c>
    </row>
    <row r="770" spans="1:16" ht="20.100000000000001" customHeight="1" x14ac:dyDescent="0.25">
      <c r="A770" s="918" t="s">
        <v>470</v>
      </c>
      <c r="B770" s="944" t="s">
        <v>3901</v>
      </c>
      <c r="C770" s="919" t="s">
        <v>3902</v>
      </c>
      <c r="D770" s="919" t="s">
        <v>4502</v>
      </c>
      <c r="E770" s="920">
        <v>1150</v>
      </c>
      <c r="F770" s="919" t="s">
        <v>5280</v>
      </c>
      <c r="G770" s="919" t="s">
        <v>5281</v>
      </c>
      <c r="H770" s="919" t="s">
        <v>4502</v>
      </c>
      <c r="I770" s="919" t="s">
        <v>3686</v>
      </c>
      <c r="J770" s="919"/>
      <c r="K770" s="920"/>
      <c r="L770" s="920"/>
      <c r="M770" s="920">
        <f t="shared" si="22"/>
        <v>0</v>
      </c>
      <c r="N770" s="919">
        <v>1</v>
      </c>
      <c r="O770" s="919">
        <v>4</v>
      </c>
      <c r="P770" s="921">
        <f t="shared" si="23"/>
        <v>4600</v>
      </c>
    </row>
    <row r="771" spans="1:16" ht="20.100000000000001" customHeight="1" x14ac:dyDescent="0.25">
      <c r="A771" s="918" t="s">
        <v>470</v>
      </c>
      <c r="B771" s="944" t="s">
        <v>3901</v>
      </c>
      <c r="C771" s="919" t="s">
        <v>3902</v>
      </c>
      <c r="D771" s="919" t="s">
        <v>4502</v>
      </c>
      <c r="E771" s="920">
        <v>1150</v>
      </c>
      <c r="F771" s="919" t="s">
        <v>5282</v>
      </c>
      <c r="G771" s="919" t="s">
        <v>5283</v>
      </c>
      <c r="H771" s="919" t="s">
        <v>4502</v>
      </c>
      <c r="I771" s="919" t="s">
        <v>3686</v>
      </c>
      <c r="J771" s="919"/>
      <c r="K771" s="920"/>
      <c r="L771" s="920"/>
      <c r="M771" s="920">
        <f t="shared" si="22"/>
        <v>0</v>
      </c>
      <c r="N771" s="919">
        <v>1</v>
      </c>
      <c r="O771" s="919">
        <v>4</v>
      </c>
      <c r="P771" s="921">
        <f t="shared" si="23"/>
        <v>4600</v>
      </c>
    </row>
    <row r="772" spans="1:16" ht="20.100000000000001" customHeight="1" x14ac:dyDescent="0.25">
      <c r="A772" s="918" t="s">
        <v>470</v>
      </c>
      <c r="B772" s="944" t="s">
        <v>3901</v>
      </c>
      <c r="C772" s="919" t="s">
        <v>3902</v>
      </c>
      <c r="D772" s="919" t="s">
        <v>4502</v>
      </c>
      <c r="E772" s="920">
        <v>1150</v>
      </c>
      <c r="F772" s="919" t="s">
        <v>5284</v>
      </c>
      <c r="G772" s="919" t="s">
        <v>5285</v>
      </c>
      <c r="H772" s="919" t="s">
        <v>4502</v>
      </c>
      <c r="I772" s="919" t="s">
        <v>3686</v>
      </c>
      <c r="J772" s="919"/>
      <c r="K772" s="920"/>
      <c r="L772" s="920"/>
      <c r="M772" s="920">
        <f t="shared" si="22"/>
        <v>0</v>
      </c>
      <c r="N772" s="919">
        <v>1</v>
      </c>
      <c r="O772" s="919">
        <v>4</v>
      </c>
      <c r="P772" s="921">
        <f t="shared" si="23"/>
        <v>4600</v>
      </c>
    </row>
    <row r="773" spans="1:16" ht="20.100000000000001" customHeight="1" x14ac:dyDescent="0.25">
      <c r="A773" s="918" t="s">
        <v>470</v>
      </c>
      <c r="B773" s="944" t="s">
        <v>3901</v>
      </c>
      <c r="C773" s="919" t="s">
        <v>3902</v>
      </c>
      <c r="D773" s="919" t="s">
        <v>4502</v>
      </c>
      <c r="E773" s="920">
        <v>1150</v>
      </c>
      <c r="F773" s="919" t="s">
        <v>5286</v>
      </c>
      <c r="G773" s="919" t="s">
        <v>5287</v>
      </c>
      <c r="H773" s="919" t="s">
        <v>4502</v>
      </c>
      <c r="I773" s="919" t="s">
        <v>3686</v>
      </c>
      <c r="J773" s="919"/>
      <c r="K773" s="920"/>
      <c r="L773" s="920"/>
      <c r="M773" s="920">
        <f t="shared" si="22"/>
        <v>0</v>
      </c>
      <c r="N773" s="919">
        <v>1</v>
      </c>
      <c r="O773" s="919">
        <v>4</v>
      </c>
      <c r="P773" s="921">
        <f t="shared" si="23"/>
        <v>4600</v>
      </c>
    </row>
    <row r="774" spans="1:16" ht="20.100000000000001" customHeight="1" x14ac:dyDescent="0.25">
      <c r="A774" s="918" t="s">
        <v>470</v>
      </c>
      <c r="B774" s="944" t="s">
        <v>3901</v>
      </c>
      <c r="C774" s="919" t="s">
        <v>3902</v>
      </c>
      <c r="D774" s="919" t="s">
        <v>4502</v>
      </c>
      <c r="E774" s="920">
        <v>1150</v>
      </c>
      <c r="F774" s="919" t="s">
        <v>5288</v>
      </c>
      <c r="G774" s="919" t="s">
        <v>5289</v>
      </c>
      <c r="H774" s="919" t="s">
        <v>4502</v>
      </c>
      <c r="I774" s="919" t="s">
        <v>3686</v>
      </c>
      <c r="J774" s="919"/>
      <c r="K774" s="920"/>
      <c r="L774" s="920"/>
      <c r="M774" s="920">
        <f t="shared" ref="M774:M837" si="24">E774*L774</f>
        <v>0</v>
      </c>
      <c r="N774" s="919">
        <v>1</v>
      </c>
      <c r="O774" s="919">
        <v>4</v>
      </c>
      <c r="P774" s="921">
        <f t="shared" ref="P774:P837" si="25">E774*O774</f>
        <v>4600</v>
      </c>
    </row>
    <row r="775" spans="1:16" ht="20.100000000000001" customHeight="1" x14ac:dyDescent="0.25">
      <c r="A775" s="918" t="s">
        <v>470</v>
      </c>
      <c r="B775" s="944" t="s">
        <v>3901</v>
      </c>
      <c r="C775" s="919" t="s">
        <v>3902</v>
      </c>
      <c r="D775" s="919" t="s">
        <v>4502</v>
      </c>
      <c r="E775" s="920">
        <v>1150</v>
      </c>
      <c r="F775" s="919" t="s">
        <v>5290</v>
      </c>
      <c r="G775" s="919" t="s">
        <v>5291</v>
      </c>
      <c r="H775" s="919" t="s">
        <v>4502</v>
      </c>
      <c r="I775" s="919" t="s">
        <v>3686</v>
      </c>
      <c r="J775" s="919"/>
      <c r="K775" s="920"/>
      <c r="L775" s="920"/>
      <c r="M775" s="920">
        <f t="shared" si="24"/>
        <v>0</v>
      </c>
      <c r="N775" s="919">
        <v>1</v>
      </c>
      <c r="O775" s="919">
        <v>4</v>
      </c>
      <c r="P775" s="921">
        <f t="shared" si="25"/>
        <v>4600</v>
      </c>
    </row>
    <row r="776" spans="1:16" ht="20.100000000000001" customHeight="1" x14ac:dyDescent="0.25">
      <c r="A776" s="918" t="s">
        <v>470</v>
      </c>
      <c r="B776" s="944" t="s">
        <v>3901</v>
      </c>
      <c r="C776" s="919" t="s">
        <v>3902</v>
      </c>
      <c r="D776" s="919" t="s">
        <v>4502</v>
      </c>
      <c r="E776" s="920">
        <v>1150</v>
      </c>
      <c r="F776" s="919" t="s">
        <v>5292</v>
      </c>
      <c r="G776" s="919" t="s">
        <v>5293</v>
      </c>
      <c r="H776" s="919" t="s">
        <v>4502</v>
      </c>
      <c r="I776" s="919" t="s">
        <v>3686</v>
      </c>
      <c r="J776" s="919"/>
      <c r="K776" s="920"/>
      <c r="L776" s="920"/>
      <c r="M776" s="920">
        <f t="shared" si="24"/>
        <v>0</v>
      </c>
      <c r="N776" s="919">
        <v>1</v>
      </c>
      <c r="O776" s="919">
        <v>4</v>
      </c>
      <c r="P776" s="921">
        <f t="shared" si="25"/>
        <v>4600</v>
      </c>
    </row>
    <row r="777" spans="1:16" ht="20.100000000000001" customHeight="1" x14ac:dyDescent="0.25">
      <c r="A777" s="918" t="s">
        <v>470</v>
      </c>
      <c r="B777" s="944" t="s">
        <v>3901</v>
      </c>
      <c r="C777" s="919" t="s">
        <v>3902</v>
      </c>
      <c r="D777" s="919" t="s">
        <v>4502</v>
      </c>
      <c r="E777" s="920">
        <v>1150</v>
      </c>
      <c r="F777" s="919" t="s">
        <v>5294</v>
      </c>
      <c r="G777" s="919" t="s">
        <v>5295</v>
      </c>
      <c r="H777" s="919" t="s">
        <v>4502</v>
      </c>
      <c r="I777" s="919" t="s">
        <v>3686</v>
      </c>
      <c r="J777" s="919"/>
      <c r="K777" s="920"/>
      <c r="L777" s="920"/>
      <c r="M777" s="920">
        <f t="shared" si="24"/>
        <v>0</v>
      </c>
      <c r="N777" s="919">
        <v>1</v>
      </c>
      <c r="O777" s="919">
        <v>4</v>
      </c>
      <c r="P777" s="921">
        <f t="shared" si="25"/>
        <v>4600</v>
      </c>
    </row>
    <row r="778" spans="1:16" ht="20.100000000000001" customHeight="1" x14ac:dyDescent="0.25">
      <c r="A778" s="918" t="s">
        <v>470</v>
      </c>
      <c r="B778" s="944" t="s">
        <v>3901</v>
      </c>
      <c r="C778" s="919" t="s">
        <v>3902</v>
      </c>
      <c r="D778" s="919" t="s">
        <v>4502</v>
      </c>
      <c r="E778" s="920">
        <v>1150</v>
      </c>
      <c r="F778" s="919" t="s">
        <v>5296</v>
      </c>
      <c r="G778" s="919" t="s">
        <v>5297</v>
      </c>
      <c r="H778" s="919" t="s">
        <v>4502</v>
      </c>
      <c r="I778" s="919" t="s">
        <v>3686</v>
      </c>
      <c r="J778" s="919"/>
      <c r="K778" s="920"/>
      <c r="L778" s="920"/>
      <c r="M778" s="920">
        <f t="shared" si="24"/>
        <v>0</v>
      </c>
      <c r="N778" s="919">
        <v>1</v>
      </c>
      <c r="O778" s="919">
        <v>4</v>
      </c>
      <c r="P778" s="921">
        <f t="shared" si="25"/>
        <v>4600</v>
      </c>
    </row>
    <row r="779" spans="1:16" ht="20.100000000000001" customHeight="1" x14ac:dyDescent="0.25">
      <c r="A779" s="918" t="s">
        <v>470</v>
      </c>
      <c r="B779" s="944" t="s">
        <v>3901</v>
      </c>
      <c r="C779" s="919" t="s">
        <v>3902</v>
      </c>
      <c r="D779" s="919" t="s">
        <v>4502</v>
      </c>
      <c r="E779" s="920">
        <v>1150</v>
      </c>
      <c r="F779" s="919" t="s">
        <v>5298</v>
      </c>
      <c r="G779" s="919" t="s">
        <v>5299</v>
      </c>
      <c r="H779" s="919" t="s">
        <v>4502</v>
      </c>
      <c r="I779" s="919" t="s">
        <v>3686</v>
      </c>
      <c r="J779" s="919"/>
      <c r="K779" s="920"/>
      <c r="L779" s="920"/>
      <c r="M779" s="920">
        <f t="shared" si="24"/>
        <v>0</v>
      </c>
      <c r="N779" s="919">
        <v>1</v>
      </c>
      <c r="O779" s="919">
        <v>4</v>
      </c>
      <c r="P779" s="921">
        <f t="shared" si="25"/>
        <v>4600</v>
      </c>
    </row>
    <row r="780" spans="1:16" ht="20.100000000000001" customHeight="1" x14ac:dyDescent="0.25">
      <c r="A780" s="918" t="s">
        <v>470</v>
      </c>
      <c r="B780" s="944" t="s">
        <v>3901</v>
      </c>
      <c r="C780" s="919" t="s">
        <v>3902</v>
      </c>
      <c r="D780" s="919" t="s">
        <v>4502</v>
      </c>
      <c r="E780" s="920">
        <v>1150</v>
      </c>
      <c r="F780" s="919" t="s">
        <v>5300</v>
      </c>
      <c r="G780" s="919" t="s">
        <v>5301</v>
      </c>
      <c r="H780" s="919" t="s">
        <v>4502</v>
      </c>
      <c r="I780" s="919" t="s">
        <v>3686</v>
      </c>
      <c r="J780" s="919"/>
      <c r="K780" s="920"/>
      <c r="L780" s="920"/>
      <c r="M780" s="920">
        <f t="shared" si="24"/>
        <v>0</v>
      </c>
      <c r="N780" s="919">
        <v>1</v>
      </c>
      <c r="O780" s="919">
        <v>1</v>
      </c>
      <c r="P780" s="921">
        <f t="shared" si="25"/>
        <v>1150</v>
      </c>
    </row>
    <row r="781" spans="1:16" ht="20.100000000000001" customHeight="1" x14ac:dyDescent="0.25">
      <c r="A781" s="918" t="s">
        <v>470</v>
      </c>
      <c r="B781" s="944" t="s">
        <v>3901</v>
      </c>
      <c r="C781" s="919" t="s">
        <v>3902</v>
      </c>
      <c r="D781" s="919" t="s">
        <v>4502</v>
      </c>
      <c r="E781" s="920">
        <v>1150</v>
      </c>
      <c r="F781" s="919" t="s">
        <v>5302</v>
      </c>
      <c r="G781" s="919" t="s">
        <v>5303</v>
      </c>
      <c r="H781" s="919" t="s">
        <v>4502</v>
      </c>
      <c r="I781" s="919" t="s">
        <v>3686</v>
      </c>
      <c r="J781" s="919"/>
      <c r="K781" s="920"/>
      <c r="L781" s="920"/>
      <c r="M781" s="920">
        <f t="shared" si="24"/>
        <v>0</v>
      </c>
      <c r="N781" s="919">
        <v>1</v>
      </c>
      <c r="O781" s="919">
        <v>4</v>
      </c>
      <c r="P781" s="921">
        <f t="shared" si="25"/>
        <v>4600</v>
      </c>
    </row>
    <row r="782" spans="1:16" ht="20.100000000000001" customHeight="1" x14ac:dyDescent="0.25">
      <c r="A782" s="918" t="s">
        <v>470</v>
      </c>
      <c r="B782" s="944" t="s">
        <v>3901</v>
      </c>
      <c r="C782" s="919" t="s">
        <v>3902</v>
      </c>
      <c r="D782" s="919" t="s">
        <v>4502</v>
      </c>
      <c r="E782" s="920">
        <v>1150</v>
      </c>
      <c r="F782" s="919" t="s">
        <v>5304</v>
      </c>
      <c r="G782" s="919" t="s">
        <v>5305</v>
      </c>
      <c r="H782" s="919" t="s">
        <v>4502</v>
      </c>
      <c r="I782" s="919" t="s">
        <v>3686</v>
      </c>
      <c r="J782" s="919"/>
      <c r="K782" s="920"/>
      <c r="L782" s="920"/>
      <c r="M782" s="920">
        <f t="shared" si="24"/>
        <v>0</v>
      </c>
      <c r="N782" s="919">
        <v>1</v>
      </c>
      <c r="O782" s="919">
        <v>4</v>
      </c>
      <c r="P782" s="921">
        <f t="shared" si="25"/>
        <v>4600</v>
      </c>
    </row>
    <row r="783" spans="1:16" ht="20.100000000000001" customHeight="1" x14ac:dyDescent="0.25">
      <c r="A783" s="918" t="s">
        <v>470</v>
      </c>
      <c r="B783" s="944" t="s">
        <v>3901</v>
      </c>
      <c r="C783" s="919" t="s">
        <v>3902</v>
      </c>
      <c r="D783" s="919" t="s">
        <v>4502</v>
      </c>
      <c r="E783" s="920">
        <v>1150</v>
      </c>
      <c r="F783" s="919" t="s">
        <v>5306</v>
      </c>
      <c r="G783" s="919" t="s">
        <v>5307</v>
      </c>
      <c r="H783" s="919" t="s">
        <v>4502</v>
      </c>
      <c r="I783" s="919" t="s">
        <v>3686</v>
      </c>
      <c r="J783" s="919"/>
      <c r="K783" s="920"/>
      <c r="L783" s="920"/>
      <c r="M783" s="920">
        <f t="shared" si="24"/>
        <v>0</v>
      </c>
      <c r="N783" s="919">
        <v>1</v>
      </c>
      <c r="O783" s="919">
        <v>4</v>
      </c>
      <c r="P783" s="921">
        <f t="shared" si="25"/>
        <v>4600</v>
      </c>
    </row>
    <row r="784" spans="1:16" ht="20.100000000000001" customHeight="1" x14ac:dyDescent="0.25">
      <c r="A784" s="918" t="s">
        <v>470</v>
      </c>
      <c r="B784" s="944" t="s">
        <v>3901</v>
      </c>
      <c r="C784" s="919" t="s">
        <v>3902</v>
      </c>
      <c r="D784" s="919" t="s">
        <v>4502</v>
      </c>
      <c r="E784" s="920">
        <v>1150</v>
      </c>
      <c r="F784" s="919" t="s">
        <v>5308</v>
      </c>
      <c r="G784" s="919" t="s">
        <v>5309</v>
      </c>
      <c r="H784" s="919" t="s">
        <v>4502</v>
      </c>
      <c r="I784" s="919" t="s">
        <v>3686</v>
      </c>
      <c r="J784" s="919"/>
      <c r="K784" s="920"/>
      <c r="L784" s="920"/>
      <c r="M784" s="920">
        <f t="shared" si="24"/>
        <v>0</v>
      </c>
      <c r="N784" s="919">
        <v>1</v>
      </c>
      <c r="O784" s="919">
        <v>4</v>
      </c>
      <c r="P784" s="921">
        <f t="shared" si="25"/>
        <v>4600</v>
      </c>
    </row>
    <row r="785" spans="1:16" ht="20.100000000000001" customHeight="1" x14ac:dyDescent="0.25">
      <c r="A785" s="918" t="s">
        <v>470</v>
      </c>
      <c r="B785" s="944" t="s">
        <v>3901</v>
      </c>
      <c r="C785" s="919" t="s">
        <v>3902</v>
      </c>
      <c r="D785" s="919" t="s">
        <v>4502</v>
      </c>
      <c r="E785" s="920">
        <v>1150</v>
      </c>
      <c r="F785" s="919" t="s">
        <v>5310</v>
      </c>
      <c r="G785" s="919" t="s">
        <v>5311</v>
      </c>
      <c r="H785" s="919" t="s">
        <v>4502</v>
      </c>
      <c r="I785" s="919" t="s">
        <v>3686</v>
      </c>
      <c r="J785" s="919"/>
      <c r="K785" s="920"/>
      <c r="L785" s="920"/>
      <c r="M785" s="920">
        <f t="shared" si="24"/>
        <v>0</v>
      </c>
      <c r="N785" s="919">
        <v>1</v>
      </c>
      <c r="O785" s="919">
        <v>4</v>
      </c>
      <c r="P785" s="921">
        <f t="shared" si="25"/>
        <v>4600</v>
      </c>
    </row>
    <row r="786" spans="1:16" ht="20.100000000000001" customHeight="1" x14ac:dyDescent="0.25">
      <c r="A786" s="918" t="s">
        <v>470</v>
      </c>
      <c r="B786" s="944" t="s">
        <v>3901</v>
      </c>
      <c r="C786" s="919" t="s">
        <v>3902</v>
      </c>
      <c r="D786" s="919" t="s">
        <v>4502</v>
      </c>
      <c r="E786" s="920">
        <v>1150</v>
      </c>
      <c r="F786" s="919" t="s">
        <v>5312</v>
      </c>
      <c r="G786" s="919" t="s">
        <v>5313</v>
      </c>
      <c r="H786" s="919" t="s">
        <v>4502</v>
      </c>
      <c r="I786" s="919" t="s">
        <v>3686</v>
      </c>
      <c r="J786" s="919"/>
      <c r="K786" s="920"/>
      <c r="L786" s="920"/>
      <c r="M786" s="920">
        <f t="shared" si="24"/>
        <v>0</v>
      </c>
      <c r="N786" s="919">
        <v>1</v>
      </c>
      <c r="O786" s="919">
        <v>4</v>
      </c>
      <c r="P786" s="921">
        <f t="shared" si="25"/>
        <v>4600</v>
      </c>
    </row>
    <row r="787" spans="1:16" ht="20.100000000000001" customHeight="1" x14ac:dyDescent="0.25">
      <c r="A787" s="918" t="s">
        <v>470</v>
      </c>
      <c r="B787" s="944" t="s">
        <v>3901</v>
      </c>
      <c r="C787" s="919" t="s">
        <v>3902</v>
      </c>
      <c r="D787" s="919" t="s">
        <v>4502</v>
      </c>
      <c r="E787" s="920">
        <v>1150</v>
      </c>
      <c r="F787" s="919" t="s">
        <v>5314</v>
      </c>
      <c r="G787" s="919" t="s">
        <v>5315</v>
      </c>
      <c r="H787" s="919" t="s">
        <v>4502</v>
      </c>
      <c r="I787" s="919" t="s">
        <v>3686</v>
      </c>
      <c r="J787" s="919"/>
      <c r="K787" s="920"/>
      <c r="L787" s="920"/>
      <c r="M787" s="920">
        <f t="shared" si="24"/>
        <v>0</v>
      </c>
      <c r="N787" s="919">
        <v>1</v>
      </c>
      <c r="O787" s="919">
        <v>4</v>
      </c>
      <c r="P787" s="921">
        <f t="shared" si="25"/>
        <v>4600</v>
      </c>
    </row>
    <row r="788" spans="1:16" ht="20.100000000000001" customHeight="1" x14ac:dyDescent="0.25">
      <c r="A788" s="918" t="s">
        <v>470</v>
      </c>
      <c r="B788" s="944" t="s">
        <v>3901</v>
      </c>
      <c r="C788" s="919" t="s">
        <v>3902</v>
      </c>
      <c r="D788" s="919" t="s">
        <v>4502</v>
      </c>
      <c r="E788" s="920">
        <v>1150</v>
      </c>
      <c r="F788" s="919" t="s">
        <v>5316</v>
      </c>
      <c r="G788" s="919" t="s">
        <v>5317</v>
      </c>
      <c r="H788" s="919" t="s">
        <v>4502</v>
      </c>
      <c r="I788" s="919" t="s">
        <v>3686</v>
      </c>
      <c r="J788" s="919"/>
      <c r="K788" s="920"/>
      <c r="L788" s="920"/>
      <c r="M788" s="920">
        <f t="shared" si="24"/>
        <v>0</v>
      </c>
      <c r="N788" s="919">
        <v>1</v>
      </c>
      <c r="O788" s="919">
        <v>4</v>
      </c>
      <c r="P788" s="921">
        <f t="shared" si="25"/>
        <v>4600</v>
      </c>
    </row>
    <row r="789" spans="1:16" ht="20.100000000000001" customHeight="1" x14ac:dyDescent="0.25">
      <c r="A789" s="918" t="s">
        <v>470</v>
      </c>
      <c r="B789" s="944" t="s">
        <v>3901</v>
      </c>
      <c r="C789" s="919" t="s">
        <v>3902</v>
      </c>
      <c r="D789" s="919" t="s">
        <v>4502</v>
      </c>
      <c r="E789" s="920">
        <v>1150</v>
      </c>
      <c r="F789" s="919" t="s">
        <v>5318</v>
      </c>
      <c r="G789" s="919" t="s">
        <v>5319</v>
      </c>
      <c r="H789" s="919" t="s">
        <v>4502</v>
      </c>
      <c r="I789" s="919" t="s">
        <v>3686</v>
      </c>
      <c r="J789" s="919"/>
      <c r="K789" s="920"/>
      <c r="L789" s="920"/>
      <c r="M789" s="920">
        <f t="shared" si="24"/>
        <v>0</v>
      </c>
      <c r="N789" s="919">
        <v>1</v>
      </c>
      <c r="O789" s="919">
        <v>4</v>
      </c>
      <c r="P789" s="921">
        <f t="shared" si="25"/>
        <v>4600</v>
      </c>
    </row>
    <row r="790" spans="1:16" ht="20.100000000000001" customHeight="1" x14ac:dyDescent="0.25">
      <c r="A790" s="918" t="s">
        <v>470</v>
      </c>
      <c r="B790" s="944" t="s">
        <v>3901</v>
      </c>
      <c r="C790" s="919" t="s">
        <v>3902</v>
      </c>
      <c r="D790" s="919" t="s">
        <v>4502</v>
      </c>
      <c r="E790" s="920">
        <v>1150</v>
      </c>
      <c r="F790" s="919" t="s">
        <v>5320</v>
      </c>
      <c r="G790" s="919" t="s">
        <v>5321</v>
      </c>
      <c r="H790" s="919" t="s">
        <v>4502</v>
      </c>
      <c r="I790" s="919" t="s">
        <v>3686</v>
      </c>
      <c r="J790" s="919"/>
      <c r="K790" s="920"/>
      <c r="L790" s="920"/>
      <c r="M790" s="920">
        <f t="shared" si="24"/>
        <v>0</v>
      </c>
      <c r="N790" s="919">
        <v>1</v>
      </c>
      <c r="O790" s="919">
        <v>4</v>
      </c>
      <c r="P790" s="921">
        <f t="shared" si="25"/>
        <v>4600</v>
      </c>
    </row>
    <row r="791" spans="1:16" ht="20.100000000000001" customHeight="1" x14ac:dyDescent="0.25">
      <c r="A791" s="918" t="s">
        <v>470</v>
      </c>
      <c r="B791" s="944" t="s">
        <v>3901</v>
      </c>
      <c r="C791" s="919" t="s">
        <v>3902</v>
      </c>
      <c r="D791" s="919" t="s">
        <v>4502</v>
      </c>
      <c r="E791" s="920">
        <v>1150</v>
      </c>
      <c r="F791" s="919" t="s">
        <v>5322</v>
      </c>
      <c r="G791" s="919" t="s">
        <v>5323</v>
      </c>
      <c r="H791" s="919" t="s">
        <v>4502</v>
      </c>
      <c r="I791" s="919" t="s">
        <v>3686</v>
      </c>
      <c r="J791" s="919"/>
      <c r="K791" s="920"/>
      <c r="L791" s="920"/>
      <c r="M791" s="920">
        <f t="shared" si="24"/>
        <v>0</v>
      </c>
      <c r="N791" s="919">
        <v>1</v>
      </c>
      <c r="O791" s="919">
        <v>4</v>
      </c>
      <c r="P791" s="921">
        <f t="shared" si="25"/>
        <v>4600</v>
      </c>
    </row>
    <row r="792" spans="1:16" ht="20.100000000000001" customHeight="1" x14ac:dyDescent="0.25">
      <c r="A792" s="918" t="s">
        <v>470</v>
      </c>
      <c r="B792" s="944" t="s">
        <v>3901</v>
      </c>
      <c r="C792" s="919" t="s">
        <v>3902</v>
      </c>
      <c r="D792" s="919" t="s">
        <v>4502</v>
      </c>
      <c r="E792" s="920">
        <v>1150</v>
      </c>
      <c r="F792" s="919" t="s">
        <v>5324</v>
      </c>
      <c r="G792" s="919" t="s">
        <v>5325</v>
      </c>
      <c r="H792" s="919" t="s">
        <v>4502</v>
      </c>
      <c r="I792" s="919" t="s">
        <v>3686</v>
      </c>
      <c r="J792" s="919"/>
      <c r="K792" s="920"/>
      <c r="L792" s="920"/>
      <c r="M792" s="920">
        <f t="shared" si="24"/>
        <v>0</v>
      </c>
      <c r="N792" s="919">
        <v>1</v>
      </c>
      <c r="O792" s="919">
        <v>4</v>
      </c>
      <c r="P792" s="921">
        <f t="shared" si="25"/>
        <v>4600</v>
      </c>
    </row>
    <row r="793" spans="1:16" ht="20.100000000000001" customHeight="1" x14ac:dyDescent="0.25">
      <c r="A793" s="918" t="s">
        <v>470</v>
      </c>
      <c r="B793" s="944" t="s">
        <v>3901</v>
      </c>
      <c r="C793" s="919" t="s">
        <v>3902</v>
      </c>
      <c r="D793" s="919" t="s">
        <v>4502</v>
      </c>
      <c r="E793" s="920">
        <v>1150</v>
      </c>
      <c r="F793" s="919" t="s">
        <v>5326</v>
      </c>
      <c r="G793" s="919" t="s">
        <v>5327</v>
      </c>
      <c r="H793" s="919" t="s">
        <v>4502</v>
      </c>
      <c r="I793" s="919" t="s">
        <v>3686</v>
      </c>
      <c r="J793" s="919"/>
      <c r="K793" s="920"/>
      <c r="L793" s="920"/>
      <c r="M793" s="920">
        <f t="shared" si="24"/>
        <v>0</v>
      </c>
      <c r="N793" s="919">
        <v>1</v>
      </c>
      <c r="O793" s="919">
        <v>4</v>
      </c>
      <c r="P793" s="921">
        <f t="shared" si="25"/>
        <v>4600</v>
      </c>
    </row>
    <row r="794" spans="1:16" ht="20.100000000000001" customHeight="1" x14ac:dyDescent="0.25">
      <c r="A794" s="918" t="s">
        <v>470</v>
      </c>
      <c r="B794" s="944" t="s">
        <v>3901</v>
      </c>
      <c r="C794" s="919" t="s">
        <v>3902</v>
      </c>
      <c r="D794" s="919" t="s">
        <v>4502</v>
      </c>
      <c r="E794" s="920">
        <v>1150</v>
      </c>
      <c r="F794" s="919" t="s">
        <v>5328</v>
      </c>
      <c r="G794" s="919" t="s">
        <v>5329</v>
      </c>
      <c r="H794" s="919" t="s">
        <v>4502</v>
      </c>
      <c r="I794" s="919" t="s">
        <v>3686</v>
      </c>
      <c r="J794" s="919"/>
      <c r="K794" s="920"/>
      <c r="L794" s="920"/>
      <c r="M794" s="920">
        <f t="shared" si="24"/>
        <v>0</v>
      </c>
      <c r="N794" s="919">
        <v>1</v>
      </c>
      <c r="O794" s="919">
        <v>4</v>
      </c>
      <c r="P794" s="921">
        <f t="shared" si="25"/>
        <v>4600</v>
      </c>
    </row>
    <row r="795" spans="1:16" ht="20.100000000000001" customHeight="1" x14ac:dyDescent="0.25">
      <c r="A795" s="918" t="s">
        <v>470</v>
      </c>
      <c r="B795" s="944" t="s">
        <v>3901</v>
      </c>
      <c r="C795" s="919" t="s">
        <v>3902</v>
      </c>
      <c r="D795" s="919" t="s">
        <v>4502</v>
      </c>
      <c r="E795" s="920">
        <v>1150</v>
      </c>
      <c r="F795" s="919" t="s">
        <v>5330</v>
      </c>
      <c r="G795" s="919" t="s">
        <v>5331</v>
      </c>
      <c r="H795" s="919" t="s">
        <v>4502</v>
      </c>
      <c r="I795" s="919" t="s">
        <v>3686</v>
      </c>
      <c r="J795" s="919"/>
      <c r="K795" s="920"/>
      <c r="L795" s="920"/>
      <c r="M795" s="920">
        <f t="shared" si="24"/>
        <v>0</v>
      </c>
      <c r="N795" s="919">
        <v>1</v>
      </c>
      <c r="O795" s="919">
        <v>4</v>
      </c>
      <c r="P795" s="921">
        <f t="shared" si="25"/>
        <v>4600</v>
      </c>
    </row>
    <row r="796" spans="1:16" ht="20.100000000000001" customHeight="1" x14ac:dyDescent="0.25">
      <c r="A796" s="918" t="s">
        <v>470</v>
      </c>
      <c r="B796" s="944" t="s">
        <v>3901</v>
      </c>
      <c r="C796" s="919" t="s">
        <v>3902</v>
      </c>
      <c r="D796" s="919" t="s">
        <v>4502</v>
      </c>
      <c r="E796" s="920">
        <v>1150</v>
      </c>
      <c r="F796" s="919" t="s">
        <v>5332</v>
      </c>
      <c r="G796" s="919" t="s">
        <v>5333</v>
      </c>
      <c r="H796" s="919" t="s">
        <v>4502</v>
      </c>
      <c r="I796" s="919" t="s">
        <v>3686</v>
      </c>
      <c r="J796" s="919"/>
      <c r="K796" s="920"/>
      <c r="L796" s="920"/>
      <c r="M796" s="920">
        <f t="shared" si="24"/>
        <v>0</v>
      </c>
      <c r="N796" s="919">
        <v>1</v>
      </c>
      <c r="O796" s="919">
        <v>4</v>
      </c>
      <c r="P796" s="921">
        <f t="shared" si="25"/>
        <v>4600</v>
      </c>
    </row>
    <row r="797" spans="1:16" ht="20.100000000000001" customHeight="1" x14ac:dyDescent="0.25">
      <c r="A797" s="918" t="s">
        <v>470</v>
      </c>
      <c r="B797" s="944" t="s">
        <v>3901</v>
      </c>
      <c r="C797" s="919" t="s">
        <v>3902</v>
      </c>
      <c r="D797" s="919" t="s">
        <v>4502</v>
      </c>
      <c r="E797" s="920">
        <v>1150</v>
      </c>
      <c r="F797" s="919" t="s">
        <v>5334</v>
      </c>
      <c r="G797" s="919" t="s">
        <v>5335</v>
      </c>
      <c r="H797" s="919" t="s">
        <v>4502</v>
      </c>
      <c r="I797" s="919" t="s">
        <v>3686</v>
      </c>
      <c r="J797" s="919"/>
      <c r="K797" s="920"/>
      <c r="L797" s="920"/>
      <c r="M797" s="920">
        <f t="shared" si="24"/>
        <v>0</v>
      </c>
      <c r="N797" s="919">
        <v>1</v>
      </c>
      <c r="O797" s="919">
        <v>4</v>
      </c>
      <c r="P797" s="921">
        <f t="shared" si="25"/>
        <v>4600</v>
      </c>
    </row>
    <row r="798" spans="1:16" ht="20.100000000000001" customHeight="1" x14ac:dyDescent="0.25">
      <c r="A798" s="918" t="s">
        <v>470</v>
      </c>
      <c r="B798" s="944" t="s">
        <v>3901</v>
      </c>
      <c r="C798" s="919" t="s">
        <v>3902</v>
      </c>
      <c r="D798" s="919" t="s">
        <v>4502</v>
      </c>
      <c r="E798" s="920">
        <v>1150</v>
      </c>
      <c r="F798" s="919" t="s">
        <v>5336</v>
      </c>
      <c r="G798" s="919" t="s">
        <v>5337</v>
      </c>
      <c r="H798" s="919" t="s">
        <v>4502</v>
      </c>
      <c r="I798" s="919" t="s">
        <v>3686</v>
      </c>
      <c r="J798" s="919"/>
      <c r="K798" s="920"/>
      <c r="L798" s="920"/>
      <c r="M798" s="920">
        <f t="shared" si="24"/>
        <v>0</v>
      </c>
      <c r="N798" s="919">
        <v>1</v>
      </c>
      <c r="O798" s="919">
        <v>4</v>
      </c>
      <c r="P798" s="921">
        <f t="shared" si="25"/>
        <v>4600</v>
      </c>
    </row>
    <row r="799" spans="1:16" ht="20.100000000000001" customHeight="1" x14ac:dyDescent="0.25">
      <c r="A799" s="918" t="s">
        <v>470</v>
      </c>
      <c r="B799" s="944" t="s">
        <v>3901</v>
      </c>
      <c r="C799" s="919" t="s">
        <v>3902</v>
      </c>
      <c r="D799" s="919" t="s">
        <v>4502</v>
      </c>
      <c r="E799" s="920">
        <v>1150</v>
      </c>
      <c r="F799" s="919" t="s">
        <v>5338</v>
      </c>
      <c r="G799" s="919" t="s">
        <v>5339</v>
      </c>
      <c r="H799" s="919" t="s">
        <v>4502</v>
      </c>
      <c r="I799" s="919" t="s">
        <v>3686</v>
      </c>
      <c r="J799" s="919"/>
      <c r="K799" s="920"/>
      <c r="L799" s="920"/>
      <c r="M799" s="920">
        <f t="shared" si="24"/>
        <v>0</v>
      </c>
      <c r="N799" s="919">
        <v>1</v>
      </c>
      <c r="O799" s="919">
        <v>4</v>
      </c>
      <c r="P799" s="921">
        <f t="shared" si="25"/>
        <v>4600</v>
      </c>
    </row>
    <row r="800" spans="1:16" ht="20.100000000000001" customHeight="1" x14ac:dyDescent="0.25">
      <c r="A800" s="918" t="s">
        <v>470</v>
      </c>
      <c r="B800" s="944" t="s">
        <v>3901</v>
      </c>
      <c r="C800" s="919" t="s">
        <v>3902</v>
      </c>
      <c r="D800" s="919" t="s">
        <v>4502</v>
      </c>
      <c r="E800" s="920">
        <v>1150</v>
      </c>
      <c r="F800" s="919" t="s">
        <v>5340</v>
      </c>
      <c r="G800" s="919" t="s">
        <v>5341</v>
      </c>
      <c r="H800" s="919" t="s">
        <v>4502</v>
      </c>
      <c r="I800" s="919" t="s">
        <v>3686</v>
      </c>
      <c r="J800" s="919"/>
      <c r="K800" s="920"/>
      <c r="L800" s="920"/>
      <c r="M800" s="920">
        <f t="shared" si="24"/>
        <v>0</v>
      </c>
      <c r="N800" s="919">
        <v>1</v>
      </c>
      <c r="O800" s="919">
        <v>4</v>
      </c>
      <c r="P800" s="921">
        <f t="shared" si="25"/>
        <v>4600</v>
      </c>
    </row>
    <row r="801" spans="1:16" ht="20.100000000000001" customHeight="1" x14ac:dyDescent="0.25">
      <c r="A801" s="918" t="s">
        <v>470</v>
      </c>
      <c r="B801" s="944" t="s">
        <v>3901</v>
      </c>
      <c r="C801" s="919" t="s">
        <v>3902</v>
      </c>
      <c r="D801" s="919" t="s">
        <v>4502</v>
      </c>
      <c r="E801" s="920">
        <v>1150</v>
      </c>
      <c r="F801" s="919" t="s">
        <v>5342</v>
      </c>
      <c r="G801" s="919" t="s">
        <v>5343</v>
      </c>
      <c r="H801" s="919" t="s">
        <v>4502</v>
      </c>
      <c r="I801" s="919" t="s">
        <v>3686</v>
      </c>
      <c r="J801" s="919"/>
      <c r="K801" s="920"/>
      <c r="L801" s="920"/>
      <c r="M801" s="920">
        <f t="shared" si="24"/>
        <v>0</v>
      </c>
      <c r="N801" s="919">
        <v>1</v>
      </c>
      <c r="O801" s="919">
        <v>4</v>
      </c>
      <c r="P801" s="921">
        <f t="shared" si="25"/>
        <v>4600</v>
      </c>
    </row>
    <row r="802" spans="1:16" ht="20.100000000000001" customHeight="1" x14ac:dyDescent="0.25">
      <c r="A802" s="918" t="s">
        <v>470</v>
      </c>
      <c r="B802" s="944" t="s">
        <v>3901</v>
      </c>
      <c r="C802" s="919" t="s">
        <v>3902</v>
      </c>
      <c r="D802" s="919" t="s">
        <v>4502</v>
      </c>
      <c r="E802" s="920">
        <v>1150</v>
      </c>
      <c r="F802" s="919" t="s">
        <v>5344</v>
      </c>
      <c r="G802" s="919" t="s">
        <v>5345</v>
      </c>
      <c r="H802" s="919" t="s">
        <v>4502</v>
      </c>
      <c r="I802" s="919" t="s">
        <v>3686</v>
      </c>
      <c r="J802" s="919"/>
      <c r="K802" s="920"/>
      <c r="L802" s="920"/>
      <c r="M802" s="920">
        <f t="shared" si="24"/>
        <v>0</v>
      </c>
      <c r="N802" s="919">
        <v>1</v>
      </c>
      <c r="O802" s="919">
        <v>4</v>
      </c>
      <c r="P802" s="921">
        <f t="shared" si="25"/>
        <v>4600</v>
      </c>
    </row>
    <row r="803" spans="1:16" ht="20.100000000000001" customHeight="1" x14ac:dyDescent="0.25">
      <c r="A803" s="918" t="s">
        <v>470</v>
      </c>
      <c r="B803" s="944" t="s">
        <v>3901</v>
      </c>
      <c r="C803" s="919" t="s">
        <v>3902</v>
      </c>
      <c r="D803" s="919" t="s">
        <v>4502</v>
      </c>
      <c r="E803" s="920">
        <v>1150</v>
      </c>
      <c r="F803" s="919" t="s">
        <v>5346</v>
      </c>
      <c r="G803" s="919" t="s">
        <v>5347</v>
      </c>
      <c r="H803" s="919" t="s">
        <v>4502</v>
      </c>
      <c r="I803" s="919" t="s">
        <v>3686</v>
      </c>
      <c r="J803" s="919"/>
      <c r="K803" s="920"/>
      <c r="L803" s="920"/>
      <c r="M803" s="920">
        <f t="shared" si="24"/>
        <v>0</v>
      </c>
      <c r="N803" s="919">
        <v>1</v>
      </c>
      <c r="O803" s="919">
        <v>4</v>
      </c>
      <c r="P803" s="921">
        <f t="shared" si="25"/>
        <v>4600</v>
      </c>
    </row>
    <row r="804" spans="1:16" ht="20.100000000000001" customHeight="1" x14ac:dyDescent="0.25">
      <c r="A804" s="918" t="s">
        <v>470</v>
      </c>
      <c r="B804" s="944" t="s">
        <v>3901</v>
      </c>
      <c r="C804" s="919" t="s">
        <v>3902</v>
      </c>
      <c r="D804" s="919" t="s">
        <v>4502</v>
      </c>
      <c r="E804" s="920">
        <v>1150</v>
      </c>
      <c r="F804" s="919" t="s">
        <v>5348</v>
      </c>
      <c r="G804" s="919" t="s">
        <v>5349</v>
      </c>
      <c r="H804" s="919" t="s">
        <v>4502</v>
      </c>
      <c r="I804" s="919" t="s">
        <v>3686</v>
      </c>
      <c r="J804" s="919"/>
      <c r="K804" s="920"/>
      <c r="L804" s="920"/>
      <c r="M804" s="920">
        <f t="shared" si="24"/>
        <v>0</v>
      </c>
      <c r="N804" s="919">
        <v>1</v>
      </c>
      <c r="O804" s="919">
        <v>4</v>
      </c>
      <c r="P804" s="921">
        <f t="shared" si="25"/>
        <v>4600</v>
      </c>
    </row>
    <row r="805" spans="1:16" ht="20.100000000000001" customHeight="1" x14ac:dyDescent="0.25">
      <c r="A805" s="918" t="s">
        <v>470</v>
      </c>
      <c r="B805" s="944" t="s">
        <v>3901</v>
      </c>
      <c r="C805" s="919" t="s">
        <v>3902</v>
      </c>
      <c r="D805" s="919" t="s">
        <v>4502</v>
      </c>
      <c r="E805" s="920">
        <v>1150</v>
      </c>
      <c r="F805" s="919" t="s">
        <v>5350</v>
      </c>
      <c r="G805" s="919" t="s">
        <v>5351</v>
      </c>
      <c r="H805" s="919" t="s">
        <v>4502</v>
      </c>
      <c r="I805" s="919" t="s">
        <v>3686</v>
      </c>
      <c r="J805" s="919"/>
      <c r="K805" s="920"/>
      <c r="L805" s="920"/>
      <c r="M805" s="920">
        <f t="shared" si="24"/>
        <v>0</v>
      </c>
      <c r="N805" s="919">
        <v>1</v>
      </c>
      <c r="O805" s="919">
        <v>4</v>
      </c>
      <c r="P805" s="921">
        <f t="shared" si="25"/>
        <v>4600</v>
      </c>
    </row>
    <row r="806" spans="1:16" ht="20.100000000000001" customHeight="1" x14ac:dyDescent="0.25">
      <c r="A806" s="918" t="s">
        <v>470</v>
      </c>
      <c r="B806" s="944" t="s">
        <v>3901</v>
      </c>
      <c r="C806" s="919" t="s">
        <v>3902</v>
      </c>
      <c r="D806" s="919" t="s">
        <v>4502</v>
      </c>
      <c r="E806" s="920">
        <v>1150</v>
      </c>
      <c r="F806" s="919" t="s">
        <v>5352</v>
      </c>
      <c r="G806" s="919" t="s">
        <v>5353</v>
      </c>
      <c r="H806" s="919" t="s">
        <v>4502</v>
      </c>
      <c r="I806" s="919" t="s">
        <v>3686</v>
      </c>
      <c r="J806" s="919"/>
      <c r="K806" s="920"/>
      <c r="L806" s="920"/>
      <c r="M806" s="920">
        <f t="shared" si="24"/>
        <v>0</v>
      </c>
      <c r="N806" s="919">
        <v>1</v>
      </c>
      <c r="O806" s="919">
        <v>3</v>
      </c>
      <c r="P806" s="921">
        <f t="shared" si="25"/>
        <v>3450</v>
      </c>
    </row>
    <row r="807" spans="1:16" ht="20.100000000000001" customHeight="1" x14ac:dyDescent="0.25">
      <c r="A807" s="918" t="s">
        <v>470</v>
      </c>
      <c r="B807" s="944" t="s">
        <v>3901</v>
      </c>
      <c r="C807" s="919" t="s">
        <v>3902</v>
      </c>
      <c r="D807" s="919" t="s">
        <v>4502</v>
      </c>
      <c r="E807" s="920">
        <v>1150</v>
      </c>
      <c r="F807" s="919" t="s">
        <v>5354</v>
      </c>
      <c r="G807" s="919" t="s">
        <v>5355</v>
      </c>
      <c r="H807" s="919" t="s">
        <v>4502</v>
      </c>
      <c r="I807" s="919" t="s">
        <v>3686</v>
      </c>
      <c r="J807" s="919"/>
      <c r="K807" s="920"/>
      <c r="L807" s="920"/>
      <c r="M807" s="920">
        <f t="shared" si="24"/>
        <v>0</v>
      </c>
      <c r="N807" s="919">
        <v>1</v>
      </c>
      <c r="O807" s="919">
        <v>3</v>
      </c>
      <c r="P807" s="921">
        <f t="shared" si="25"/>
        <v>3450</v>
      </c>
    </row>
    <row r="808" spans="1:16" ht="20.100000000000001" customHeight="1" x14ac:dyDescent="0.25">
      <c r="A808" s="918" t="s">
        <v>470</v>
      </c>
      <c r="B808" s="944" t="s">
        <v>3901</v>
      </c>
      <c r="C808" s="919" t="s">
        <v>3902</v>
      </c>
      <c r="D808" s="919" t="s">
        <v>4502</v>
      </c>
      <c r="E808" s="920">
        <v>1150</v>
      </c>
      <c r="F808" s="919" t="s">
        <v>5356</v>
      </c>
      <c r="G808" s="919" t="s">
        <v>5357</v>
      </c>
      <c r="H808" s="919" t="s">
        <v>4502</v>
      </c>
      <c r="I808" s="919" t="s">
        <v>3686</v>
      </c>
      <c r="J808" s="919"/>
      <c r="K808" s="920"/>
      <c r="L808" s="920"/>
      <c r="M808" s="920">
        <f t="shared" si="24"/>
        <v>0</v>
      </c>
      <c r="N808" s="919">
        <v>1</v>
      </c>
      <c r="O808" s="919">
        <v>3</v>
      </c>
      <c r="P808" s="921">
        <f t="shared" si="25"/>
        <v>3450</v>
      </c>
    </row>
    <row r="809" spans="1:16" ht="20.100000000000001" customHeight="1" x14ac:dyDescent="0.25">
      <c r="A809" s="918" t="s">
        <v>470</v>
      </c>
      <c r="B809" s="944" t="s">
        <v>3901</v>
      </c>
      <c r="C809" s="919" t="s">
        <v>3902</v>
      </c>
      <c r="D809" s="919" t="s">
        <v>4502</v>
      </c>
      <c r="E809" s="920">
        <v>1150</v>
      </c>
      <c r="F809" s="919" t="s">
        <v>5358</v>
      </c>
      <c r="G809" s="919" t="s">
        <v>5359</v>
      </c>
      <c r="H809" s="919" t="s">
        <v>4502</v>
      </c>
      <c r="I809" s="919" t="s">
        <v>3686</v>
      </c>
      <c r="J809" s="919"/>
      <c r="K809" s="920"/>
      <c r="L809" s="920"/>
      <c r="M809" s="920">
        <f t="shared" si="24"/>
        <v>0</v>
      </c>
      <c r="N809" s="919">
        <v>1</v>
      </c>
      <c r="O809" s="919">
        <v>3</v>
      </c>
      <c r="P809" s="921">
        <f t="shared" si="25"/>
        <v>3450</v>
      </c>
    </row>
    <row r="810" spans="1:16" ht="20.100000000000001" customHeight="1" x14ac:dyDescent="0.25">
      <c r="A810" s="918" t="s">
        <v>470</v>
      </c>
      <c r="B810" s="944" t="s">
        <v>3901</v>
      </c>
      <c r="C810" s="919" t="s">
        <v>3902</v>
      </c>
      <c r="D810" s="919" t="s">
        <v>4502</v>
      </c>
      <c r="E810" s="920">
        <v>1150</v>
      </c>
      <c r="F810" s="919" t="s">
        <v>4041</v>
      </c>
      <c r="G810" s="919" t="s">
        <v>4042</v>
      </c>
      <c r="H810" s="919" t="s">
        <v>4502</v>
      </c>
      <c r="I810" s="919" t="s">
        <v>3686</v>
      </c>
      <c r="J810" s="919"/>
      <c r="K810" s="920">
        <v>1</v>
      </c>
      <c r="L810" s="920">
        <v>12</v>
      </c>
      <c r="M810" s="920">
        <f t="shared" si="24"/>
        <v>13800</v>
      </c>
      <c r="N810" s="919"/>
      <c r="O810" s="919"/>
      <c r="P810" s="921">
        <f t="shared" si="25"/>
        <v>0</v>
      </c>
    </row>
    <row r="811" spans="1:16" ht="20.100000000000001" customHeight="1" x14ac:dyDescent="0.25">
      <c r="A811" s="918" t="s">
        <v>470</v>
      </c>
      <c r="B811" s="944" t="s">
        <v>3901</v>
      </c>
      <c r="C811" s="919" t="s">
        <v>3902</v>
      </c>
      <c r="D811" s="919" t="s">
        <v>4502</v>
      </c>
      <c r="E811" s="920">
        <v>1150</v>
      </c>
      <c r="F811" s="919" t="s">
        <v>5360</v>
      </c>
      <c r="G811" s="919" t="s">
        <v>5361</v>
      </c>
      <c r="H811" s="919" t="s">
        <v>4502</v>
      </c>
      <c r="I811" s="919" t="s">
        <v>3686</v>
      </c>
      <c r="J811" s="919"/>
      <c r="K811" s="920"/>
      <c r="L811" s="920"/>
      <c r="M811" s="920">
        <f t="shared" si="24"/>
        <v>0</v>
      </c>
      <c r="N811" s="919">
        <v>1</v>
      </c>
      <c r="O811" s="919">
        <v>1</v>
      </c>
      <c r="P811" s="921">
        <f t="shared" si="25"/>
        <v>1150</v>
      </c>
    </row>
    <row r="812" spans="1:16" ht="20.100000000000001" customHeight="1" x14ac:dyDescent="0.25">
      <c r="A812" s="918" t="s">
        <v>470</v>
      </c>
      <c r="B812" s="944" t="s">
        <v>3901</v>
      </c>
      <c r="C812" s="919" t="s">
        <v>3902</v>
      </c>
      <c r="D812" s="919" t="s">
        <v>4502</v>
      </c>
      <c r="E812" s="920">
        <v>1150</v>
      </c>
      <c r="F812" s="919" t="s">
        <v>5362</v>
      </c>
      <c r="G812" s="919" t="s">
        <v>5363</v>
      </c>
      <c r="H812" s="919" t="s">
        <v>4502</v>
      </c>
      <c r="I812" s="919" t="s">
        <v>3686</v>
      </c>
      <c r="J812" s="919"/>
      <c r="K812" s="920"/>
      <c r="L812" s="920"/>
      <c r="M812" s="920">
        <f t="shared" si="24"/>
        <v>0</v>
      </c>
      <c r="N812" s="919">
        <v>1</v>
      </c>
      <c r="O812" s="919">
        <v>3</v>
      </c>
      <c r="P812" s="921">
        <f t="shared" si="25"/>
        <v>3450</v>
      </c>
    </row>
    <row r="813" spans="1:16" ht="20.100000000000001" customHeight="1" x14ac:dyDescent="0.25">
      <c r="A813" s="918" t="s">
        <v>470</v>
      </c>
      <c r="B813" s="944" t="s">
        <v>3901</v>
      </c>
      <c r="C813" s="919" t="s">
        <v>3902</v>
      </c>
      <c r="D813" s="919" t="s">
        <v>4777</v>
      </c>
      <c r="E813" s="920">
        <v>2000</v>
      </c>
      <c r="F813" s="919" t="s">
        <v>5364</v>
      </c>
      <c r="G813" s="919" t="s">
        <v>5365</v>
      </c>
      <c r="H813" s="919" t="s">
        <v>4777</v>
      </c>
      <c r="I813" s="919" t="s">
        <v>3679</v>
      </c>
      <c r="J813" s="919"/>
      <c r="K813" s="920"/>
      <c r="L813" s="920"/>
      <c r="M813" s="920">
        <f t="shared" si="24"/>
        <v>0</v>
      </c>
      <c r="N813" s="919">
        <v>1</v>
      </c>
      <c r="O813" s="919">
        <v>4</v>
      </c>
      <c r="P813" s="921">
        <f t="shared" si="25"/>
        <v>8000</v>
      </c>
    </row>
    <row r="814" spans="1:16" ht="20.100000000000001" customHeight="1" x14ac:dyDescent="0.25">
      <c r="A814" s="918" t="s">
        <v>470</v>
      </c>
      <c r="B814" s="944" t="s">
        <v>3901</v>
      </c>
      <c r="C814" s="919" t="s">
        <v>3902</v>
      </c>
      <c r="D814" s="919" t="s">
        <v>4774</v>
      </c>
      <c r="E814" s="920">
        <v>2000</v>
      </c>
      <c r="F814" s="919" t="s">
        <v>5366</v>
      </c>
      <c r="G814" s="919" t="s">
        <v>5367</v>
      </c>
      <c r="H814" s="919" t="s">
        <v>4774</v>
      </c>
      <c r="I814" s="919" t="s">
        <v>3679</v>
      </c>
      <c r="J814" s="919"/>
      <c r="K814" s="920"/>
      <c r="L814" s="920"/>
      <c r="M814" s="920">
        <f t="shared" si="24"/>
        <v>0</v>
      </c>
      <c r="N814" s="919">
        <v>1</v>
      </c>
      <c r="O814" s="919">
        <v>4</v>
      </c>
      <c r="P814" s="921">
        <f t="shared" si="25"/>
        <v>8000</v>
      </c>
    </row>
    <row r="815" spans="1:16" ht="20.100000000000001" customHeight="1" x14ac:dyDescent="0.25">
      <c r="A815" s="918" t="s">
        <v>470</v>
      </c>
      <c r="B815" s="944" t="s">
        <v>3901</v>
      </c>
      <c r="C815" s="919" t="s">
        <v>3902</v>
      </c>
      <c r="D815" s="919" t="s">
        <v>4777</v>
      </c>
      <c r="E815" s="920">
        <v>2000</v>
      </c>
      <c r="F815" s="919" t="s">
        <v>5368</v>
      </c>
      <c r="G815" s="919" t="s">
        <v>5369</v>
      </c>
      <c r="H815" s="919" t="s">
        <v>4777</v>
      </c>
      <c r="I815" s="919" t="s">
        <v>3679</v>
      </c>
      <c r="J815" s="919"/>
      <c r="K815" s="920"/>
      <c r="L815" s="920"/>
      <c r="M815" s="920">
        <f t="shared" si="24"/>
        <v>0</v>
      </c>
      <c r="N815" s="919">
        <v>1</v>
      </c>
      <c r="O815" s="919">
        <v>1</v>
      </c>
      <c r="P815" s="921">
        <f t="shared" si="25"/>
        <v>2000</v>
      </c>
    </row>
    <row r="816" spans="1:16" ht="20.100000000000001" customHeight="1" x14ac:dyDescent="0.25">
      <c r="A816" s="918" t="s">
        <v>470</v>
      </c>
      <c r="B816" s="944" t="s">
        <v>3901</v>
      </c>
      <c r="C816" s="919" t="s">
        <v>3902</v>
      </c>
      <c r="D816" s="919" t="s">
        <v>4777</v>
      </c>
      <c r="E816" s="920">
        <v>2000</v>
      </c>
      <c r="F816" s="919" t="s">
        <v>5370</v>
      </c>
      <c r="G816" s="919" t="s">
        <v>5371</v>
      </c>
      <c r="H816" s="919" t="s">
        <v>4777</v>
      </c>
      <c r="I816" s="919" t="s">
        <v>3679</v>
      </c>
      <c r="J816" s="919"/>
      <c r="K816" s="920"/>
      <c r="L816" s="920"/>
      <c r="M816" s="920">
        <f t="shared" si="24"/>
        <v>0</v>
      </c>
      <c r="N816" s="919">
        <v>1</v>
      </c>
      <c r="O816" s="919">
        <v>4</v>
      </c>
      <c r="P816" s="921">
        <f t="shared" si="25"/>
        <v>8000</v>
      </c>
    </row>
    <row r="817" spans="1:16" ht="20.100000000000001" customHeight="1" x14ac:dyDescent="0.25">
      <c r="A817" s="918" t="s">
        <v>470</v>
      </c>
      <c r="B817" s="944" t="s">
        <v>3901</v>
      </c>
      <c r="C817" s="919" t="s">
        <v>3902</v>
      </c>
      <c r="D817" s="919" t="s">
        <v>4777</v>
      </c>
      <c r="E817" s="920">
        <v>2000</v>
      </c>
      <c r="F817" s="919" t="s">
        <v>5372</v>
      </c>
      <c r="G817" s="919" t="s">
        <v>5373</v>
      </c>
      <c r="H817" s="919" t="s">
        <v>4777</v>
      </c>
      <c r="I817" s="919" t="s">
        <v>3679</v>
      </c>
      <c r="J817" s="919"/>
      <c r="K817" s="920"/>
      <c r="L817" s="920"/>
      <c r="M817" s="920">
        <f t="shared" si="24"/>
        <v>0</v>
      </c>
      <c r="N817" s="919">
        <v>1</v>
      </c>
      <c r="O817" s="919">
        <v>4</v>
      </c>
      <c r="P817" s="921">
        <f t="shared" si="25"/>
        <v>8000</v>
      </c>
    </row>
    <row r="818" spans="1:16" ht="20.100000000000001" customHeight="1" x14ac:dyDescent="0.25">
      <c r="A818" s="918" t="s">
        <v>470</v>
      </c>
      <c r="B818" s="944" t="s">
        <v>3901</v>
      </c>
      <c r="C818" s="919" t="s">
        <v>3902</v>
      </c>
      <c r="D818" s="919" t="s">
        <v>4774</v>
      </c>
      <c r="E818" s="920">
        <v>2000</v>
      </c>
      <c r="F818" s="919" t="s">
        <v>5374</v>
      </c>
      <c r="G818" s="919" t="s">
        <v>5375</v>
      </c>
      <c r="H818" s="919" t="s">
        <v>4774</v>
      </c>
      <c r="I818" s="919" t="s">
        <v>3679</v>
      </c>
      <c r="J818" s="919"/>
      <c r="K818" s="920"/>
      <c r="L818" s="920"/>
      <c r="M818" s="920">
        <f t="shared" si="24"/>
        <v>0</v>
      </c>
      <c r="N818" s="919">
        <v>1</v>
      </c>
      <c r="O818" s="919">
        <v>4</v>
      </c>
      <c r="P818" s="921">
        <f t="shared" si="25"/>
        <v>8000</v>
      </c>
    </row>
    <row r="819" spans="1:16" ht="20.100000000000001" customHeight="1" x14ac:dyDescent="0.25">
      <c r="A819" s="918" t="s">
        <v>470</v>
      </c>
      <c r="B819" s="944" t="s">
        <v>3901</v>
      </c>
      <c r="C819" s="919" t="s">
        <v>3902</v>
      </c>
      <c r="D819" s="919" t="s">
        <v>4774</v>
      </c>
      <c r="E819" s="920">
        <v>2000</v>
      </c>
      <c r="F819" s="919" t="s">
        <v>5376</v>
      </c>
      <c r="G819" s="919" t="s">
        <v>5377</v>
      </c>
      <c r="H819" s="919" t="s">
        <v>4774</v>
      </c>
      <c r="I819" s="919" t="s">
        <v>3679</v>
      </c>
      <c r="J819" s="919"/>
      <c r="K819" s="920"/>
      <c r="L819" s="920"/>
      <c r="M819" s="920">
        <f t="shared" si="24"/>
        <v>0</v>
      </c>
      <c r="N819" s="919">
        <v>1</v>
      </c>
      <c r="O819" s="919">
        <v>4</v>
      </c>
      <c r="P819" s="921">
        <f t="shared" si="25"/>
        <v>8000</v>
      </c>
    </row>
    <row r="820" spans="1:16" ht="20.100000000000001" customHeight="1" x14ac:dyDescent="0.25">
      <c r="A820" s="918" t="s">
        <v>470</v>
      </c>
      <c r="B820" s="944" t="s">
        <v>3901</v>
      </c>
      <c r="C820" s="919" t="s">
        <v>3902</v>
      </c>
      <c r="D820" s="919" t="s">
        <v>4777</v>
      </c>
      <c r="E820" s="920">
        <v>2000</v>
      </c>
      <c r="F820" s="919" t="s">
        <v>5378</v>
      </c>
      <c r="G820" s="919" t="s">
        <v>5379</v>
      </c>
      <c r="H820" s="919" t="s">
        <v>4777</v>
      </c>
      <c r="I820" s="919" t="s">
        <v>3679</v>
      </c>
      <c r="J820" s="919"/>
      <c r="K820" s="920"/>
      <c r="L820" s="920"/>
      <c r="M820" s="920">
        <f t="shared" si="24"/>
        <v>0</v>
      </c>
      <c r="N820" s="919">
        <v>1</v>
      </c>
      <c r="O820" s="919">
        <v>4</v>
      </c>
      <c r="P820" s="921">
        <f t="shared" si="25"/>
        <v>8000</v>
      </c>
    </row>
    <row r="821" spans="1:16" ht="20.100000000000001" customHeight="1" x14ac:dyDescent="0.25">
      <c r="A821" s="918" t="s">
        <v>470</v>
      </c>
      <c r="B821" s="944" t="s">
        <v>3901</v>
      </c>
      <c r="C821" s="919" t="s">
        <v>3902</v>
      </c>
      <c r="D821" s="919" t="s">
        <v>4774</v>
      </c>
      <c r="E821" s="920">
        <v>2000</v>
      </c>
      <c r="F821" s="919" t="s">
        <v>5380</v>
      </c>
      <c r="G821" s="919" t="s">
        <v>5381</v>
      </c>
      <c r="H821" s="919" t="s">
        <v>4774</v>
      </c>
      <c r="I821" s="919" t="s">
        <v>3679</v>
      </c>
      <c r="J821" s="919"/>
      <c r="K821" s="920"/>
      <c r="L821" s="920"/>
      <c r="M821" s="920">
        <f t="shared" si="24"/>
        <v>0</v>
      </c>
      <c r="N821" s="919">
        <v>1</v>
      </c>
      <c r="O821" s="919">
        <v>4</v>
      </c>
      <c r="P821" s="921">
        <f t="shared" si="25"/>
        <v>8000</v>
      </c>
    </row>
    <row r="822" spans="1:16" ht="20.100000000000001" customHeight="1" x14ac:dyDescent="0.25">
      <c r="A822" s="918" t="s">
        <v>470</v>
      </c>
      <c r="B822" s="944" t="s">
        <v>3901</v>
      </c>
      <c r="C822" s="919" t="s">
        <v>3902</v>
      </c>
      <c r="D822" s="919" t="s">
        <v>4777</v>
      </c>
      <c r="E822" s="920">
        <v>2000</v>
      </c>
      <c r="F822" s="919" t="s">
        <v>5382</v>
      </c>
      <c r="G822" s="919" t="s">
        <v>5383</v>
      </c>
      <c r="H822" s="919" t="s">
        <v>4777</v>
      </c>
      <c r="I822" s="919" t="s">
        <v>3679</v>
      </c>
      <c r="J822" s="919"/>
      <c r="K822" s="920"/>
      <c r="L822" s="920"/>
      <c r="M822" s="920">
        <f t="shared" si="24"/>
        <v>0</v>
      </c>
      <c r="N822" s="919">
        <v>1</v>
      </c>
      <c r="O822" s="919">
        <v>4</v>
      </c>
      <c r="P822" s="921">
        <f t="shared" si="25"/>
        <v>8000</v>
      </c>
    </row>
    <row r="823" spans="1:16" ht="20.100000000000001" customHeight="1" x14ac:dyDescent="0.25">
      <c r="A823" s="918" t="s">
        <v>470</v>
      </c>
      <c r="B823" s="944" t="s">
        <v>3901</v>
      </c>
      <c r="C823" s="919" t="s">
        <v>3902</v>
      </c>
      <c r="D823" s="919" t="s">
        <v>4777</v>
      </c>
      <c r="E823" s="920">
        <v>2000</v>
      </c>
      <c r="F823" s="919" t="s">
        <v>5384</v>
      </c>
      <c r="G823" s="919" t="s">
        <v>5385</v>
      </c>
      <c r="H823" s="919" t="s">
        <v>4777</v>
      </c>
      <c r="I823" s="919" t="s">
        <v>3679</v>
      </c>
      <c r="J823" s="919"/>
      <c r="K823" s="920"/>
      <c r="L823" s="920"/>
      <c r="M823" s="920">
        <f t="shared" si="24"/>
        <v>0</v>
      </c>
      <c r="N823" s="919">
        <v>1</v>
      </c>
      <c r="O823" s="919">
        <v>4</v>
      </c>
      <c r="P823" s="921">
        <f t="shared" si="25"/>
        <v>8000</v>
      </c>
    </row>
    <row r="824" spans="1:16" ht="20.100000000000001" customHeight="1" x14ac:dyDescent="0.25">
      <c r="A824" s="918" t="s">
        <v>470</v>
      </c>
      <c r="B824" s="944" t="s">
        <v>3901</v>
      </c>
      <c r="C824" s="919" t="s">
        <v>3902</v>
      </c>
      <c r="D824" s="919" t="s">
        <v>4777</v>
      </c>
      <c r="E824" s="920">
        <v>2000</v>
      </c>
      <c r="F824" s="919" t="s">
        <v>5386</v>
      </c>
      <c r="G824" s="919" t="s">
        <v>5387</v>
      </c>
      <c r="H824" s="919" t="s">
        <v>4777</v>
      </c>
      <c r="I824" s="919" t="s">
        <v>3679</v>
      </c>
      <c r="J824" s="919"/>
      <c r="K824" s="920"/>
      <c r="L824" s="920"/>
      <c r="M824" s="920">
        <f t="shared" si="24"/>
        <v>0</v>
      </c>
      <c r="N824" s="919">
        <v>1</v>
      </c>
      <c r="O824" s="919">
        <v>4</v>
      </c>
      <c r="P824" s="921">
        <f t="shared" si="25"/>
        <v>8000</v>
      </c>
    </row>
    <row r="825" spans="1:16" ht="20.100000000000001" customHeight="1" x14ac:dyDescent="0.25">
      <c r="A825" s="918" t="s">
        <v>470</v>
      </c>
      <c r="B825" s="944" t="s">
        <v>3901</v>
      </c>
      <c r="C825" s="919" t="s">
        <v>3902</v>
      </c>
      <c r="D825" s="919" t="s">
        <v>4774</v>
      </c>
      <c r="E825" s="920">
        <v>2000</v>
      </c>
      <c r="F825" s="919" t="s">
        <v>5388</v>
      </c>
      <c r="G825" s="919" t="s">
        <v>5389</v>
      </c>
      <c r="H825" s="919" t="s">
        <v>4774</v>
      </c>
      <c r="I825" s="919" t="s">
        <v>3679</v>
      </c>
      <c r="J825" s="919"/>
      <c r="K825" s="920"/>
      <c r="L825" s="920"/>
      <c r="M825" s="920">
        <f t="shared" si="24"/>
        <v>0</v>
      </c>
      <c r="N825" s="919">
        <v>1</v>
      </c>
      <c r="O825" s="919">
        <v>4</v>
      </c>
      <c r="P825" s="921">
        <f t="shared" si="25"/>
        <v>8000</v>
      </c>
    </row>
    <row r="826" spans="1:16" ht="20.100000000000001" customHeight="1" x14ac:dyDescent="0.25">
      <c r="A826" s="918" t="s">
        <v>470</v>
      </c>
      <c r="B826" s="944" t="s">
        <v>3901</v>
      </c>
      <c r="C826" s="919" t="s">
        <v>3902</v>
      </c>
      <c r="D826" s="919" t="s">
        <v>4777</v>
      </c>
      <c r="E826" s="920">
        <v>2000</v>
      </c>
      <c r="F826" s="919" t="s">
        <v>5390</v>
      </c>
      <c r="G826" s="919" t="s">
        <v>5391</v>
      </c>
      <c r="H826" s="919" t="s">
        <v>4777</v>
      </c>
      <c r="I826" s="919" t="s">
        <v>3679</v>
      </c>
      <c r="J826" s="919"/>
      <c r="K826" s="920"/>
      <c r="L826" s="920"/>
      <c r="M826" s="920">
        <f t="shared" si="24"/>
        <v>0</v>
      </c>
      <c r="N826" s="919">
        <v>1</v>
      </c>
      <c r="O826" s="919">
        <v>4</v>
      </c>
      <c r="P826" s="921">
        <f t="shared" si="25"/>
        <v>8000</v>
      </c>
    </row>
    <row r="827" spans="1:16" ht="20.100000000000001" customHeight="1" x14ac:dyDescent="0.25">
      <c r="A827" s="918" t="s">
        <v>470</v>
      </c>
      <c r="B827" s="944" t="s">
        <v>3901</v>
      </c>
      <c r="C827" s="919" t="s">
        <v>3902</v>
      </c>
      <c r="D827" s="919" t="s">
        <v>4777</v>
      </c>
      <c r="E827" s="920">
        <v>2000</v>
      </c>
      <c r="F827" s="919" t="s">
        <v>5392</v>
      </c>
      <c r="G827" s="919" t="s">
        <v>5393</v>
      </c>
      <c r="H827" s="919" t="s">
        <v>4777</v>
      </c>
      <c r="I827" s="919" t="s">
        <v>3679</v>
      </c>
      <c r="J827" s="919"/>
      <c r="K827" s="920"/>
      <c r="L827" s="920"/>
      <c r="M827" s="920">
        <f t="shared" si="24"/>
        <v>0</v>
      </c>
      <c r="N827" s="919">
        <v>1</v>
      </c>
      <c r="O827" s="919">
        <v>4</v>
      </c>
      <c r="P827" s="921">
        <f t="shared" si="25"/>
        <v>8000</v>
      </c>
    </row>
    <row r="828" spans="1:16" ht="20.100000000000001" customHeight="1" x14ac:dyDescent="0.25">
      <c r="A828" s="918" t="s">
        <v>470</v>
      </c>
      <c r="B828" s="944" t="s">
        <v>3901</v>
      </c>
      <c r="C828" s="919" t="s">
        <v>3902</v>
      </c>
      <c r="D828" s="919" t="s">
        <v>4777</v>
      </c>
      <c r="E828" s="920">
        <v>2000</v>
      </c>
      <c r="F828" s="919" t="s">
        <v>5394</v>
      </c>
      <c r="G828" s="919" t="s">
        <v>5395</v>
      </c>
      <c r="H828" s="919" t="s">
        <v>4777</v>
      </c>
      <c r="I828" s="919" t="s">
        <v>3679</v>
      </c>
      <c r="J828" s="919"/>
      <c r="K828" s="920"/>
      <c r="L828" s="920"/>
      <c r="M828" s="920">
        <f t="shared" si="24"/>
        <v>0</v>
      </c>
      <c r="N828" s="919">
        <v>1</v>
      </c>
      <c r="O828" s="919">
        <v>4</v>
      </c>
      <c r="P828" s="921">
        <f t="shared" si="25"/>
        <v>8000</v>
      </c>
    </row>
    <row r="829" spans="1:16" ht="20.100000000000001" customHeight="1" x14ac:dyDescent="0.25">
      <c r="A829" s="918" t="s">
        <v>470</v>
      </c>
      <c r="B829" s="944" t="s">
        <v>3901</v>
      </c>
      <c r="C829" s="919" t="s">
        <v>3902</v>
      </c>
      <c r="D829" s="919" t="s">
        <v>4774</v>
      </c>
      <c r="E829" s="920">
        <v>2000</v>
      </c>
      <c r="F829" s="919" t="s">
        <v>5396</v>
      </c>
      <c r="G829" s="919" t="s">
        <v>5397</v>
      </c>
      <c r="H829" s="919" t="s">
        <v>4774</v>
      </c>
      <c r="I829" s="919" t="s">
        <v>3679</v>
      </c>
      <c r="J829" s="919"/>
      <c r="K829" s="920"/>
      <c r="L829" s="920"/>
      <c r="M829" s="920">
        <f t="shared" si="24"/>
        <v>0</v>
      </c>
      <c r="N829" s="919">
        <v>1</v>
      </c>
      <c r="O829" s="919">
        <v>4</v>
      </c>
      <c r="P829" s="921">
        <f t="shared" si="25"/>
        <v>8000</v>
      </c>
    </row>
    <row r="830" spans="1:16" ht="20.100000000000001" customHeight="1" x14ac:dyDescent="0.25">
      <c r="A830" s="918" t="s">
        <v>470</v>
      </c>
      <c r="B830" s="944" t="s">
        <v>3901</v>
      </c>
      <c r="C830" s="919" t="s">
        <v>3902</v>
      </c>
      <c r="D830" s="919" t="s">
        <v>4774</v>
      </c>
      <c r="E830" s="920">
        <v>2000</v>
      </c>
      <c r="F830" s="919" t="s">
        <v>5398</v>
      </c>
      <c r="G830" s="919" t="s">
        <v>5399</v>
      </c>
      <c r="H830" s="919" t="s">
        <v>4774</v>
      </c>
      <c r="I830" s="919" t="s">
        <v>3679</v>
      </c>
      <c r="J830" s="919"/>
      <c r="K830" s="920"/>
      <c r="L830" s="920"/>
      <c r="M830" s="920">
        <f t="shared" si="24"/>
        <v>0</v>
      </c>
      <c r="N830" s="919">
        <v>1</v>
      </c>
      <c r="O830" s="919">
        <v>4</v>
      </c>
      <c r="P830" s="921">
        <f t="shared" si="25"/>
        <v>8000</v>
      </c>
    </row>
    <row r="831" spans="1:16" ht="20.100000000000001" customHeight="1" x14ac:dyDescent="0.25">
      <c r="A831" s="918" t="s">
        <v>470</v>
      </c>
      <c r="B831" s="944" t="s">
        <v>3901</v>
      </c>
      <c r="C831" s="919" t="s">
        <v>3902</v>
      </c>
      <c r="D831" s="919" t="s">
        <v>4777</v>
      </c>
      <c r="E831" s="920">
        <v>2000</v>
      </c>
      <c r="F831" s="919" t="s">
        <v>5400</v>
      </c>
      <c r="G831" s="919" t="s">
        <v>5401</v>
      </c>
      <c r="H831" s="919" t="s">
        <v>4777</v>
      </c>
      <c r="I831" s="919" t="s">
        <v>3679</v>
      </c>
      <c r="J831" s="919"/>
      <c r="K831" s="920"/>
      <c r="L831" s="920"/>
      <c r="M831" s="920">
        <f t="shared" si="24"/>
        <v>0</v>
      </c>
      <c r="N831" s="919">
        <v>1</v>
      </c>
      <c r="O831" s="919">
        <v>1</v>
      </c>
      <c r="P831" s="921">
        <f t="shared" si="25"/>
        <v>2000</v>
      </c>
    </row>
    <row r="832" spans="1:16" ht="20.100000000000001" customHeight="1" x14ac:dyDescent="0.25">
      <c r="A832" s="918" t="s">
        <v>470</v>
      </c>
      <c r="B832" s="944" t="s">
        <v>3901</v>
      </c>
      <c r="C832" s="919" t="s">
        <v>3902</v>
      </c>
      <c r="D832" s="919" t="s">
        <v>4777</v>
      </c>
      <c r="E832" s="920">
        <v>2000</v>
      </c>
      <c r="F832" s="919" t="s">
        <v>5402</v>
      </c>
      <c r="G832" s="919" t="s">
        <v>5403</v>
      </c>
      <c r="H832" s="919" t="s">
        <v>4777</v>
      </c>
      <c r="I832" s="919" t="s">
        <v>3679</v>
      </c>
      <c r="J832" s="919"/>
      <c r="K832" s="920"/>
      <c r="L832" s="920"/>
      <c r="M832" s="920">
        <f t="shared" si="24"/>
        <v>0</v>
      </c>
      <c r="N832" s="919">
        <v>1</v>
      </c>
      <c r="O832" s="919">
        <v>4</v>
      </c>
      <c r="P832" s="921">
        <f t="shared" si="25"/>
        <v>8000</v>
      </c>
    </row>
    <row r="833" spans="1:16" ht="20.100000000000001" customHeight="1" x14ac:dyDescent="0.25">
      <c r="A833" s="918" t="s">
        <v>470</v>
      </c>
      <c r="B833" s="944" t="s">
        <v>3901</v>
      </c>
      <c r="C833" s="919" t="s">
        <v>3902</v>
      </c>
      <c r="D833" s="919" t="s">
        <v>4777</v>
      </c>
      <c r="E833" s="920">
        <v>2000</v>
      </c>
      <c r="F833" s="919" t="s">
        <v>5404</v>
      </c>
      <c r="G833" s="919" t="s">
        <v>5405</v>
      </c>
      <c r="H833" s="919" t="s">
        <v>4777</v>
      </c>
      <c r="I833" s="919" t="s">
        <v>3679</v>
      </c>
      <c r="J833" s="919"/>
      <c r="K833" s="920"/>
      <c r="L833" s="920"/>
      <c r="M833" s="920">
        <f t="shared" si="24"/>
        <v>0</v>
      </c>
      <c r="N833" s="919">
        <v>1</v>
      </c>
      <c r="O833" s="919">
        <v>4</v>
      </c>
      <c r="P833" s="921">
        <f t="shared" si="25"/>
        <v>8000</v>
      </c>
    </row>
    <row r="834" spans="1:16" ht="20.100000000000001" customHeight="1" x14ac:dyDescent="0.25">
      <c r="A834" s="918" t="s">
        <v>470</v>
      </c>
      <c r="B834" s="944" t="s">
        <v>3901</v>
      </c>
      <c r="C834" s="919" t="s">
        <v>3902</v>
      </c>
      <c r="D834" s="919" t="s">
        <v>4777</v>
      </c>
      <c r="E834" s="920">
        <v>2000</v>
      </c>
      <c r="F834" s="919" t="s">
        <v>5406</v>
      </c>
      <c r="G834" s="919" t="s">
        <v>5407</v>
      </c>
      <c r="H834" s="919" t="s">
        <v>4777</v>
      </c>
      <c r="I834" s="919" t="s">
        <v>3679</v>
      </c>
      <c r="J834" s="919"/>
      <c r="K834" s="920"/>
      <c r="L834" s="920"/>
      <c r="M834" s="920">
        <f t="shared" si="24"/>
        <v>0</v>
      </c>
      <c r="N834" s="919">
        <v>1</v>
      </c>
      <c r="O834" s="919">
        <v>4</v>
      </c>
      <c r="P834" s="921">
        <f t="shared" si="25"/>
        <v>8000</v>
      </c>
    </row>
    <row r="835" spans="1:16" ht="20.100000000000001" customHeight="1" x14ac:dyDescent="0.25">
      <c r="A835" s="918" t="s">
        <v>470</v>
      </c>
      <c r="B835" s="944" t="s">
        <v>3901</v>
      </c>
      <c r="C835" s="919" t="s">
        <v>3902</v>
      </c>
      <c r="D835" s="919" t="s">
        <v>4777</v>
      </c>
      <c r="E835" s="920">
        <v>2000</v>
      </c>
      <c r="F835" s="919" t="s">
        <v>5408</v>
      </c>
      <c r="G835" s="919" t="s">
        <v>5409</v>
      </c>
      <c r="H835" s="919" t="s">
        <v>4777</v>
      </c>
      <c r="I835" s="919" t="s">
        <v>3679</v>
      </c>
      <c r="J835" s="919"/>
      <c r="K835" s="920"/>
      <c r="L835" s="920"/>
      <c r="M835" s="920">
        <f t="shared" si="24"/>
        <v>0</v>
      </c>
      <c r="N835" s="919">
        <v>1</v>
      </c>
      <c r="O835" s="919">
        <v>4</v>
      </c>
      <c r="P835" s="921">
        <f t="shared" si="25"/>
        <v>8000</v>
      </c>
    </row>
    <row r="836" spans="1:16" ht="20.100000000000001" customHeight="1" x14ac:dyDescent="0.25">
      <c r="A836" s="918" t="s">
        <v>470</v>
      </c>
      <c r="B836" s="944" t="s">
        <v>3901</v>
      </c>
      <c r="C836" s="919" t="s">
        <v>3902</v>
      </c>
      <c r="D836" s="919" t="s">
        <v>4777</v>
      </c>
      <c r="E836" s="920">
        <v>2000</v>
      </c>
      <c r="F836" s="919" t="s">
        <v>5410</v>
      </c>
      <c r="G836" s="919" t="s">
        <v>5411</v>
      </c>
      <c r="H836" s="919" t="s">
        <v>4777</v>
      </c>
      <c r="I836" s="919" t="s">
        <v>3679</v>
      </c>
      <c r="J836" s="919"/>
      <c r="K836" s="920"/>
      <c r="L836" s="920"/>
      <c r="M836" s="920">
        <f t="shared" si="24"/>
        <v>0</v>
      </c>
      <c r="N836" s="919">
        <v>1</v>
      </c>
      <c r="O836" s="919">
        <v>4</v>
      </c>
      <c r="P836" s="921">
        <f t="shared" si="25"/>
        <v>8000</v>
      </c>
    </row>
    <row r="837" spans="1:16" ht="20.100000000000001" customHeight="1" x14ac:dyDescent="0.25">
      <c r="A837" s="918" t="s">
        <v>470</v>
      </c>
      <c r="B837" s="944" t="s">
        <v>3901</v>
      </c>
      <c r="C837" s="919" t="s">
        <v>3902</v>
      </c>
      <c r="D837" s="919" t="s">
        <v>4777</v>
      </c>
      <c r="E837" s="920">
        <v>2000</v>
      </c>
      <c r="F837" s="919" t="s">
        <v>5412</v>
      </c>
      <c r="G837" s="919" t="s">
        <v>5413</v>
      </c>
      <c r="H837" s="919" t="s">
        <v>4777</v>
      </c>
      <c r="I837" s="919" t="s">
        <v>3679</v>
      </c>
      <c r="J837" s="919"/>
      <c r="K837" s="920"/>
      <c r="L837" s="920"/>
      <c r="M837" s="920">
        <f t="shared" si="24"/>
        <v>0</v>
      </c>
      <c r="N837" s="919">
        <v>1</v>
      </c>
      <c r="O837" s="919">
        <v>4</v>
      </c>
      <c r="P837" s="921">
        <f t="shared" si="25"/>
        <v>8000</v>
      </c>
    </row>
    <row r="838" spans="1:16" ht="20.100000000000001" customHeight="1" x14ac:dyDescent="0.25">
      <c r="A838" s="918" t="s">
        <v>470</v>
      </c>
      <c r="B838" s="944" t="s">
        <v>3901</v>
      </c>
      <c r="C838" s="919" t="s">
        <v>3902</v>
      </c>
      <c r="D838" s="919" t="s">
        <v>4777</v>
      </c>
      <c r="E838" s="920">
        <v>2000</v>
      </c>
      <c r="F838" s="919" t="s">
        <v>5414</v>
      </c>
      <c r="G838" s="919" t="s">
        <v>5415</v>
      </c>
      <c r="H838" s="919" t="s">
        <v>4777</v>
      </c>
      <c r="I838" s="919" t="s">
        <v>3679</v>
      </c>
      <c r="J838" s="919"/>
      <c r="K838" s="920"/>
      <c r="L838" s="920"/>
      <c r="M838" s="920">
        <f t="shared" ref="M838:M901" si="26">E838*L838</f>
        <v>0</v>
      </c>
      <c r="N838" s="919">
        <v>1</v>
      </c>
      <c r="O838" s="919">
        <v>3</v>
      </c>
      <c r="P838" s="921">
        <f t="shared" ref="P838:P901" si="27">E838*O838</f>
        <v>6000</v>
      </c>
    </row>
    <row r="839" spans="1:16" ht="20.100000000000001" customHeight="1" x14ac:dyDescent="0.25">
      <c r="A839" s="918" t="s">
        <v>470</v>
      </c>
      <c r="B839" s="944" t="s">
        <v>3901</v>
      </c>
      <c r="C839" s="919" t="s">
        <v>3902</v>
      </c>
      <c r="D839" s="919" t="s">
        <v>4777</v>
      </c>
      <c r="E839" s="920">
        <v>2000</v>
      </c>
      <c r="F839" s="919" t="s">
        <v>5416</v>
      </c>
      <c r="G839" s="919" t="s">
        <v>5417</v>
      </c>
      <c r="H839" s="919" t="s">
        <v>4777</v>
      </c>
      <c r="I839" s="919" t="s">
        <v>3679</v>
      </c>
      <c r="J839" s="919"/>
      <c r="K839" s="920"/>
      <c r="L839" s="920"/>
      <c r="M839" s="920">
        <f t="shared" si="26"/>
        <v>0</v>
      </c>
      <c r="N839" s="919">
        <v>1</v>
      </c>
      <c r="O839" s="919">
        <v>3</v>
      </c>
      <c r="P839" s="921">
        <f t="shared" si="27"/>
        <v>6000</v>
      </c>
    </row>
    <row r="840" spans="1:16" ht="20.100000000000001" customHeight="1" x14ac:dyDescent="0.25">
      <c r="A840" s="918" t="s">
        <v>470</v>
      </c>
      <c r="B840" s="944" t="s">
        <v>3901</v>
      </c>
      <c r="C840" s="919" t="s">
        <v>3902</v>
      </c>
      <c r="D840" s="919" t="s">
        <v>4812</v>
      </c>
      <c r="E840" s="920">
        <v>2000</v>
      </c>
      <c r="F840" s="919" t="s">
        <v>5418</v>
      </c>
      <c r="G840" s="919" t="s">
        <v>5419</v>
      </c>
      <c r="H840" s="919" t="s">
        <v>4812</v>
      </c>
      <c r="I840" s="919" t="s">
        <v>3679</v>
      </c>
      <c r="J840" s="919"/>
      <c r="K840" s="920"/>
      <c r="L840" s="920"/>
      <c r="M840" s="920">
        <f t="shared" si="26"/>
        <v>0</v>
      </c>
      <c r="N840" s="919">
        <v>1</v>
      </c>
      <c r="O840" s="919">
        <v>4</v>
      </c>
      <c r="P840" s="921">
        <f t="shared" si="27"/>
        <v>8000</v>
      </c>
    </row>
    <row r="841" spans="1:16" ht="20.100000000000001" customHeight="1" x14ac:dyDescent="0.25">
      <c r="A841" s="918" t="s">
        <v>470</v>
      </c>
      <c r="B841" s="944" t="s">
        <v>3901</v>
      </c>
      <c r="C841" s="919" t="s">
        <v>3902</v>
      </c>
      <c r="D841" s="919" t="s">
        <v>4812</v>
      </c>
      <c r="E841" s="920">
        <v>2000</v>
      </c>
      <c r="F841" s="919" t="s">
        <v>5420</v>
      </c>
      <c r="G841" s="919" t="s">
        <v>5421</v>
      </c>
      <c r="H841" s="919" t="s">
        <v>4812</v>
      </c>
      <c r="I841" s="919" t="s">
        <v>3679</v>
      </c>
      <c r="J841" s="919"/>
      <c r="K841" s="920"/>
      <c r="L841" s="920"/>
      <c r="M841" s="920">
        <f t="shared" si="26"/>
        <v>0</v>
      </c>
      <c r="N841" s="919">
        <v>1</v>
      </c>
      <c r="O841" s="919">
        <v>4</v>
      </c>
      <c r="P841" s="921">
        <f t="shared" si="27"/>
        <v>8000</v>
      </c>
    </row>
    <row r="842" spans="1:16" ht="20.100000000000001" customHeight="1" x14ac:dyDescent="0.25">
      <c r="A842" s="918" t="s">
        <v>470</v>
      </c>
      <c r="B842" s="944" t="s">
        <v>3901</v>
      </c>
      <c r="C842" s="919" t="s">
        <v>3902</v>
      </c>
      <c r="D842" s="919" t="s">
        <v>4347</v>
      </c>
      <c r="E842" s="920">
        <v>3000</v>
      </c>
      <c r="F842" s="919" t="s">
        <v>5422</v>
      </c>
      <c r="G842" s="919" t="s">
        <v>5423</v>
      </c>
      <c r="H842" s="919" t="s">
        <v>4347</v>
      </c>
      <c r="I842" s="919" t="s">
        <v>3679</v>
      </c>
      <c r="J842" s="919"/>
      <c r="K842" s="920"/>
      <c r="L842" s="920"/>
      <c r="M842" s="920">
        <f t="shared" si="26"/>
        <v>0</v>
      </c>
      <c r="N842" s="919">
        <v>1</v>
      </c>
      <c r="O842" s="919">
        <v>3</v>
      </c>
      <c r="P842" s="921">
        <f t="shared" si="27"/>
        <v>9000</v>
      </c>
    </row>
    <row r="843" spans="1:16" ht="20.100000000000001" customHeight="1" x14ac:dyDescent="0.25">
      <c r="A843" s="918" t="s">
        <v>470</v>
      </c>
      <c r="B843" s="944" t="s">
        <v>3901</v>
      </c>
      <c r="C843" s="919" t="s">
        <v>3902</v>
      </c>
      <c r="D843" s="919" t="s">
        <v>4820</v>
      </c>
      <c r="E843" s="920">
        <v>2600</v>
      </c>
      <c r="F843" s="919" t="s">
        <v>5424</v>
      </c>
      <c r="G843" s="919" t="s">
        <v>5425</v>
      </c>
      <c r="H843" s="919" t="s">
        <v>4820</v>
      </c>
      <c r="I843" s="919" t="s">
        <v>3679</v>
      </c>
      <c r="J843" s="919"/>
      <c r="K843" s="920"/>
      <c r="L843" s="920"/>
      <c r="M843" s="920">
        <f t="shared" si="26"/>
        <v>0</v>
      </c>
      <c r="N843" s="919">
        <v>1</v>
      </c>
      <c r="O843" s="919">
        <v>4</v>
      </c>
      <c r="P843" s="921">
        <f t="shared" si="27"/>
        <v>10400</v>
      </c>
    </row>
    <row r="844" spans="1:16" ht="20.100000000000001" customHeight="1" x14ac:dyDescent="0.25">
      <c r="A844" s="918" t="s">
        <v>470</v>
      </c>
      <c r="B844" s="944" t="s">
        <v>3901</v>
      </c>
      <c r="C844" s="919" t="s">
        <v>3902</v>
      </c>
      <c r="D844" s="919" t="s">
        <v>4823</v>
      </c>
      <c r="E844" s="920">
        <v>2600</v>
      </c>
      <c r="F844" s="919" t="s">
        <v>5426</v>
      </c>
      <c r="G844" s="919" t="s">
        <v>5427</v>
      </c>
      <c r="H844" s="919" t="s">
        <v>4823</v>
      </c>
      <c r="I844" s="919" t="s">
        <v>3679</v>
      </c>
      <c r="J844" s="919"/>
      <c r="K844" s="920"/>
      <c r="L844" s="920"/>
      <c r="M844" s="920">
        <f t="shared" si="26"/>
        <v>0</v>
      </c>
      <c r="N844" s="919">
        <v>1</v>
      </c>
      <c r="O844" s="919">
        <v>4</v>
      </c>
      <c r="P844" s="921">
        <f t="shared" si="27"/>
        <v>10400</v>
      </c>
    </row>
    <row r="845" spans="1:16" ht="20.100000000000001" customHeight="1" x14ac:dyDescent="0.25">
      <c r="A845" s="918" t="s">
        <v>470</v>
      </c>
      <c r="B845" s="944" t="s">
        <v>3901</v>
      </c>
      <c r="C845" s="919" t="s">
        <v>3902</v>
      </c>
      <c r="D845" s="919" t="s">
        <v>4851</v>
      </c>
      <c r="E845" s="920">
        <v>3700</v>
      </c>
      <c r="F845" s="919" t="s">
        <v>5428</v>
      </c>
      <c r="G845" s="919" t="s">
        <v>5429</v>
      </c>
      <c r="H845" s="919" t="s">
        <v>4851</v>
      </c>
      <c r="I845" s="919" t="s">
        <v>3679</v>
      </c>
      <c r="J845" s="919"/>
      <c r="K845" s="920"/>
      <c r="L845" s="920"/>
      <c r="M845" s="920">
        <f t="shared" si="26"/>
        <v>0</v>
      </c>
      <c r="N845" s="919">
        <v>1</v>
      </c>
      <c r="O845" s="919">
        <v>4</v>
      </c>
      <c r="P845" s="921">
        <f t="shared" si="27"/>
        <v>14800</v>
      </c>
    </row>
    <row r="846" spans="1:16" ht="20.100000000000001" customHeight="1" x14ac:dyDescent="0.25">
      <c r="A846" s="918" t="s">
        <v>470</v>
      </c>
      <c r="B846" s="944" t="s">
        <v>3901</v>
      </c>
      <c r="C846" s="919" t="s">
        <v>3902</v>
      </c>
      <c r="D846" s="919" t="s">
        <v>4858</v>
      </c>
      <c r="E846" s="920">
        <v>3700</v>
      </c>
      <c r="F846" s="919" t="s">
        <v>5430</v>
      </c>
      <c r="G846" s="919" t="s">
        <v>5431</v>
      </c>
      <c r="H846" s="919" t="s">
        <v>4858</v>
      </c>
      <c r="I846" s="919" t="s">
        <v>3679</v>
      </c>
      <c r="J846" s="919"/>
      <c r="K846" s="920"/>
      <c r="L846" s="920"/>
      <c r="M846" s="920">
        <f t="shared" si="26"/>
        <v>0</v>
      </c>
      <c r="N846" s="919">
        <v>1</v>
      </c>
      <c r="O846" s="919">
        <v>4</v>
      </c>
      <c r="P846" s="921">
        <f t="shared" si="27"/>
        <v>14800</v>
      </c>
    </row>
    <row r="847" spans="1:16" ht="20.100000000000001" customHeight="1" x14ac:dyDescent="0.25">
      <c r="A847" s="918" t="s">
        <v>471</v>
      </c>
      <c r="B847" s="944" t="s">
        <v>3901</v>
      </c>
      <c r="C847" s="919" t="s">
        <v>3902</v>
      </c>
      <c r="D847" s="919" t="s">
        <v>4128</v>
      </c>
      <c r="E847" s="920">
        <v>1800</v>
      </c>
      <c r="F847" s="919" t="s">
        <v>5432</v>
      </c>
      <c r="G847" s="919" t="s">
        <v>5433</v>
      </c>
      <c r="H847" s="919" t="s">
        <v>4128</v>
      </c>
      <c r="I847" s="919" t="s">
        <v>3679</v>
      </c>
      <c r="J847" s="919"/>
      <c r="K847" s="920"/>
      <c r="L847" s="920"/>
      <c r="M847" s="920">
        <f t="shared" si="26"/>
        <v>0</v>
      </c>
      <c r="N847" s="919">
        <v>1</v>
      </c>
      <c r="O847" s="919">
        <v>1</v>
      </c>
      <c r="P847" s="921">
        <f t="shared" si="27"/>
        <v>1800</v>
      </c>
    </row>
    <row r="848" spans="1:16" ht="20.100000000000001" customHeight="1" x14ac:dyDescent="0.25">
      <c r="A848" s="918" t="s">
        <v>471</v>
      </c>
      <c r="B848" s="944" t="s">
        <v>3901</v>
      </c>
      <c r="C848" s="919" t="s">
        <v>3902</v>
      </c>
      <c r="D848" s="919" t="s">
        <v>4476</v>
      </c>
      <c r="E848" s="920">
        <v>1800</v>
      </c>
      <c r="F848" s="919" t="s">
        <v>5434</v>
      </c>
      <c r="G848" s="919" t="s">
        <v>5435</v>
      </c>
      <c r="H848" s="919" t="s">
        <v>4476</v>
      </c>
      <c r="I848" s="919" t="s">
        <v>3679</v>
      </c>
      <c r="J848" s="919"/>
      <c r="K848" s="920">
        <v>1</v>
      </c>
      <c r="L848" s="920">
        <v>12</v>
      </c>
      <c r="M848" s="920">
        <f t="shared" si="26"/>
        <v>21600</v>
      </c>
      <c r="N848" s="919"/>
      <c r="O848" s="919"/>
      <c r="P848" s="921">
        <f t="shared" si="27"/>
        <v>0</v>
      </c>
    </row>
    <row r="849" spans="1:16" ht="20.100000000000001" customHeight="1" x14ac:dyDescent="0.25">
      <c r="A849" s="918" t="s">
        <v>471</v>
      </c>
      <c r="B849" s="944" t="s">
        <v>3901</v>
      </c>
      <c r="C849" s="919" t="s">
        <v>3902</v>
      </c>
      <c r="D849" s="919" t="s">
        <v>4109</v>
      </c>
      <c r="E849" s="920">
        <v>1700</v>
      </c>
      <c r="F849" s="919" t="s">
        <v>5436</v>
      </c>
      <c r="G849" s="919" t="s">
        <v>5437</v>
      </c>
      <c r="H849" s="919" t="s">
        <v>4109</v>
      </c>
      <c r="I849" s="919" t="s">
        <v>3686</v>
      </c>
      <c r="J849" s="919"/>
      <c r="K849" s="920">
        <v>1</v>
      </c>
      <c r="L849" s="920">
        <v>12</v>
      </c>
      <c r="M849" s="920">
        <f t="shared" si="26"/>
        <v>20400</v>
      </c>
      <c r="N849" s="919"/>
      <c r="O849" s="919"/>
      <c r="P849" s="921">
        <f t="shared" si="27"/>
        <v>0</v>
      </c>
    </row>
    <row r="850" spans="1:16" ht="20.100000000000001" customHeight="1" x14ac:dyDescent="0.25">
      <c r="A850" s="918" t="s">
        <v>471</v>
      </c>
      <c r="B850" s="944" t="s">
        <v>3901</v>
      </c>
      <c r="C850" s="919" t="s">
        <v>3902</v>
      </c>
      <c r="D850" s="919" t="s">
        <v>4266</v>
      </c>
      <c r="E850" s="920">
        <v>1350</v>
      </c>
      <c r="F850" s="919" t="s">
        <v>5438</v>
      </c>
      <c r="G850" s="919" t="s">
        <v>5439</v>
      </c>
      <c r="H850" s="919" t="s">
        <v>4266</v>
      </c>
      <c r="I850" s="919" t="s">
        <v>3693</v>
      </c>
      <c r="J850" s="919"/>
      <c r="K850" s="920"/>
      <c r="L850" s="920"/>
      <c r="M850" s="920">
        <f t="shared" si="26"/>
        <v>0</v>
      </c>
      <c r="N850" s="919">
        <v>1</v>
      </c>
      <c r="O850" s="919">
        <v>1</v>
      </c>
      <c r="P850" s="921">
        <f t="shared" si="27"/>
        <v>1350</v>
      </c>
    </row>
    <row r="851" spans="1:16" ht="20.100000000000001" customHeight="1" x14ac:dyDescent="0.25">
      <c r="A851" s="918" t="s">
        <v>471</v>
      </c>
      <c r="B851" s="944" t="s">
        <v>3901</v>
      </c>
      <c r="C851" s="919" t="s">
        <v>3902</v>
      </c>
      <c r="D851" s="919" t="s">
        <v>4250</v>
      </c>
      <c r="E851" s="920">
        <v>3500</v>
      </c>
      <c r="F851" s="919" t="s">
        <v>5440</v>
      </c>
      <c r="G851" s="919" t="s">
        <v>5441</v>
      </c>
      <c r="H851" s="919" t="s">
        <v>4250</v>
      </c>
      <c r="I851" s="919" t="s">
        <v>3679</v>
      </c>
      <c r="J851" s="919"/>
      <c r="K851" s="920"/>
      <c r="L851" s="920"/>
      <c r="M851" s="920">
        <f t="shared" si="26"/>
        <v>0</v>
      </c>
      <c r="N851" s="919">
        <v>1</v>
      </c>
      <c r="O851" s="919">
        <v>3</v>
      </c>
      <c r="P851" s="921">
        <f t="shared" si="27"/>
        <v>10500</v>
      </c>
    </row>
    <row r="852" spans="1:16" ht="20.100000000000001" customHeight="1" x14ac:dyDescent="0.25">
      <c r="A852" s="918" t="s">
        <v>471</v>
      </c>
      <c r="B852" s="944" t="s">
        <v>3901</v>
      </c>
      <c r="C852" s="919" t="s">
        <v>3902</v>
      </c>
      <c r="D852" s="919" t="s">
        <v>4382</v>
      </c>
      <c r="E852" s="920">
        <v>2500</v>
      </c>
      <c r="F852" s="919" t="s">
        <v>5442</v>
      </c>
      <c r="G852" s="919" t="s">
        <v>5443</v>
      </c>
      <c r="H852" s="919" t="s">
        <v>4382</v>
      </c>
      <c r="I852" s="919" t="s">
        <v>3679</v>
      </c>
      <c r="J852" s="919"/>
      <c r="K852" s="920"/>
      <c r="L852" s="920"/>
      <c r="M852" s="920">
        <f t="shared" si="26"/>
        <v>0</v>
      </c>
      <c r="N852" s="919">
        <v>1</v>
      </c>
      <c r="O852" s="919">
        <v>1</v>
      </c>
      <c r="P852" s="921">
        <f t="shared" si="27"/>
        <v>2500</v>
      </c>
    </row>
    <row r="853" spans="1:16" ht="20.100000000000001" customHeight="1" x14ac:dyDescent="0.25">
      <c r="A853" s="918" t="s">
        <v>471</v>
      </c>
      <c r="B853" s="944" t="s">
        <v>3901</v>
      </c>
      <c r="C853" s="919" t="s">
        <v>3902</v>
      </c>
      <c r="D853" s="919" t="s">
        <v>4492</v>
      </c>
      <c r="E853" s="920">
        <v>2800</v>
      </c>
      <c r="F853" s="919" t="s">
        <v>5444</v>
      </c>
      <c r="G853" s="919" t="s">
        <v>5445</v>
      </c>
      <c r="H853" s="919" t="s">
        <v>4492</v>
      </c>
      <c r="I853" s="919" t="s">
        <v>3679</v>
      </c>
      <c r="J853" s="919"/>
      <c r="K853" s="920"/>
      <c r="L853" s="920"/>
      <c r="M853" s="920">
        <f t="shared" si="26"/>
        <v>0</v>
      </c>
      <c r="N853" s="919">
        <v>1</v>
      </c>
      <c r="O853" s="919">
        <v>3</v>
      </c>
      <c r="P853" s="921">
        <f t="shared" si="27"/>
        <v>8400</v>
      </c>
    </row>
    <row r="854" spans="1:16" ht="20.100000000000001" customHeight="1" x14ac:dyDescent="0.25">
      <c r="A854" s="918" t="s">
        <v>471</v>
      </c>
      <c r="B854" s="944" t="s">
        <v>3901</v>
      </c>
      <c r="C854" s="919" t="s">
        <v>3902</v>
      </c>
      <c r="D854" s="919" t="s">
        <v>4492</v>
      </c>
      <c r="E854" s="920">
        <v>2800</v>
      </c>
      <c r="F854" s="919" t="s">
        <v>4041</v>
      </c>
      <c r="G854" s="919" t="s">
        <v>4042</v>
      </c>
      <c r="H854" s="919" t="s">
        <v>4492</v>
      </c>
      <c r="I854" s="919" t="s">
        <v>3679</v>
      </c>
      <c r="J854" s="919"/>
      <c r="K854" s="920">
        <v>1</v>
      </c>
      <c r="L854" s="920">
        <v>12</v>
      </c>
      <c r="M854" s="920">
        <f t="shared" si="26"/>
        <v>33600</v>
      </c>
      <c r="N854" s="919"/>
      <c r="O854" s="919"/>
      <c r="P854" s="921">
        <f t="shared" si="27"/>
        <v>0</v>
      </c>
    </row>
    <row r="855" spans="1:16" ht="20.100000000000001" customHeight="1" x14ac:dyDescent="0.25">
      <c r="A855" s="918" t="s">
        <v>471</v>
      </c>
      <c r="B855" s="944" t="s">
        <v>3901</v>
      </c>
      <c r="C855" s="919" t="s">
        <v>3902</v>
      </c>
      <c r="D855" s="919" t="s">
        <v>4492</v>
      </c>
      <c r="E855" s="920">
        <v>2800</v>
      </c>
      <c r="F855" s="919" t="s">
        <v>5446</v>
      </c>
      <c r="G855" s="919" t="s">
        <v>5447</v>
      </c>
      <c r="H855" s="919" t="s">
        <v>4492</v>
      </c>
      <c r="I855" s="919" t="s">
        <v>3679</v>
      </c>
      <c r="J855" s="919"/>
      <c r="K855" s="920"/>
      <c r="L855" s="920"/>
      <c r="M855" s="920">
        <f t="shared" si="26"/>
        <v>0</v>
      </c>
      <c r="N855" s="919">
        <v>1</v>
      </c>
      <c r="O855" s="919">
        <v>4</v>
      </c>
      <c r="P855" s="921">
        <f t="shared" si="27"/>
        <v>11200</v>
      </c>
    </row>
    <row r="856" spans="1:16" ht="20.100000000000001" customHeight="1" x14ac:dyDescent="0.25">
      <c r="A856" s="918" t="s">
        <v>471</v>
      </c>
      <c r="B856" s="944" t="s">
        <v>3901</v>
      </c>
      <c r="C856" s="919" t="s">
        <v>3902</v>
      </c>
      <c r="D856" s="919" t="s">
        <v>5448</v>
      </c>
      <c r="E856" s="920">
        <v>4500</v>
      </c>
      <c r="F856" s="919" t="s">
        <v>5449</v>
      </c>
      <c r="G856" s="919" t="s">
        <v>5450</v>
      </c>
      <c r="H856" s="919" t="s">
        <v>5448</v>
      </c>
      <c r="I856" s="919" t="s">
        <v>3679</v>
      </c>
      <c r="J856" s="919"/>
      <c r="K856" s="920"/>
      <c r="L856" s="920"/>
      <c r="M856" s="920">
        <f t="shared" si="26"/>
        <v>0</v>
      </c>
      <c r="N856" s="919">
        <v>1</v>
      </c>
      <c r="O856" s="919">
        <v>5</v>
      </c>
      <c r="P856" s="921">
        <f t="shared" si="27"/>
        <v>22500</v>
      </c>
    </row>
    <row r="857" spans="1:16" ht="20.100000000000001" customHeight="1" x14ac:dyDescent="0.25">
      <c r="A857" s="918" t="s">
        <v>471</v>
      </c>
      <c r="B857" s="944" t="s">
        <v>3901</v>
      </c>
      <c r="C857" s="919" t="s">
        <v>3902</v>
      </c>
      <c r="D857" s="919" t="s">
        <v>5448</v>
      </c>
      <c r="E857" s="920">
        <v>4500</v>
      </c>
      <c r="F857" s="919" t="s">
        <v>5451</v>
      </c>
      <c r="G857" s="919" t="s">
        <v>5452</v>
      </c>
      <c r="H857" s="919" t="s">
        <v>5448</v>
      </c>
      <c r="I857" s="919" t="s">
        <v>3679</v>
      </c>
      <c r="J857" s="919"/>
      <c r="K857" s="920"/>
      <c r="L857" s="920"/>
      <c r="M857" s="920">
        <f t="shared" si="26"/>
        <v>0</v>
      </c>
      <c r="N857" s="919">
        <v>1</v>
      </c>
      <c r="O857" s="919">
        <v>5</v>
      </c>
      <c r="P857" s="921">
        <f t="shared" si="27"/>
        <v>22500</v>
      </c>
    </row>
    <row r="858" spans="1:16" ht="20.100000000000001" customHeight="1" x14ac:dyDescent="0.25">
      <c r="A858" s="918" t="s">
        <v>471</v>
      </c>
      <c r="B858" s="944" t="s">
        <v>3901</v>
      </c>
      <c r="C858" s="919" t="s">
        <v>3902</v>
      </c>
      <c r="D858" s="919" t="s">
        <v>5448</v>
      </c>
      <c r="E858" s="920">
        <v>4500</v>
      </c>
      <c r="F858" s="919" t="s">
        <v>5453</v>
      </c>
      <c r="G858" s="919" t="s">
        <v>5454</v>
      </c>
      <c r="H858" s="919" t="s">
        <v>5448</v>
      </c>
      <c r="I858" s="919" t="s">
        <v>3679</v>
      </c>
      <c r="J858" s="919"/>
      <c r="K858" s="920"/>
      <c r="L858" s="920"/>
      <c r="M858" s="920">
        <f t="shared" si="26"/>
        <v>0</v>
      </c>
      <c r="N858" s="919">
        <v>1</v>
      </c>
      <c r="O858" s="919">
        <v>5</v>
      </c>
      <c r="P858" s="921">
        <f t="shared" si="27"/>
        <v>22500</v>
      </c>
    </row>
    <row r="859" spans="1:16" ht="20.100000000000001" customHeight="1" x14ac:dyDescent="0.25">
      <c r="A859" s="918" t="s">
        <v>471</v>
      </c>
      <c r="B859" s="944" t="s">
        <v>3901</v>
      </c>
      <c r="C859" s="919" t="s">
        <v>3902</v>
      </c>
      <c r="D859" s="919" t="s">
        <v>5448</v>
      </c>
      <c r="E859" s="920">
        <v>4500</v>
      </c>
      <c r="F859" s="919" t="s">
        <v>5455</v>
      </c>
      <c r="G859" s="919" t="s">
        <v>5456</v>
      </c>
      <c r="H859" s="919" t="s">
        <v>5448</v>
      </c>
      <c r="I859" s="919" t="s">
        <v>3679</v>
      </c>
      <c r="J859" s="919"/>
      <c r="K859" s="920"/>
      <c r="L859" s="920"/>
      <c r="M859" s="920">
        <f t="shared" si="26"/>
        <v>0</v>
      </c>
      <c r="N859" s="919">
        <v>1</v>
      </c>
      <c r="O859" s="919">
        <v>5</v>
      </c>
      <c r="P859" s="921">
        <f t="shared" si="27"/>
        <v>22500</v>
      </c>
    </row>
    <row r="860" spans="1:16" ht="20.100000000000001" customHeight="1" x14ac:dyDescent="0.25">
      <c r="A860" s="918" t="s">
        <v>471</v>
      </c>
      <c r="B860" s="944" t="s">
        <v>3901</v>
      </c>
      <c r="C860" s="919" t="s">
        <v>3902</v>
      </c>
      <c r="D860" s="919" t="s">
        <v>5448</v>
      </c>
      <c r="E860" s="920">
        <v>4500</v>
      </c>
      <c r="F860" s="919" t="s">
        <v>5457</v>
      </c>
      <c r="G860" s="919" t="s">
        <v>5458</v>
      </c>
      <c r="H860" s="919" t="s">
        <v>5448</v>
      </c>
      <c r="I860" s="919" t="s">
        <v>3679</v>
      </c>
      <c r="J860" s="919"/>
      <c r="K860" s="920"/>
      <c r="L860" s="920"/>
      <c r="M860" s="920">
        <f t="shared" si="26"/>
        <v>0</v>
      </c>
      <c r="N860" s="919">
        <v>1</v>
      </c>
      <c r="O860" s="919">
        <v>3</v>
      </c>
      <c r="P860" s="921">
        <f t="shared" si="27"/>
        <v>13500</v>
      </c>
    </row>
    <row r="861" spans="1:16" ht="20.100000000000001" customHeight="1" x14ac:dyDescent="0.25">
      <c r="A861" s="918" t="s">
        <v>471</v>
      </c>
      <c r="B861" s="944" t="s">
        <v>3901</v>
      </c>
      <c r="C861" s="919" t="s">
        <v>3902</v>
      </c>
      <c r="D861" s="919" t="s">
        <v>4774</v>
      </c>
      <c r="E861" s="920">
        <v>2000</v>
      </c>
      <c r="F861" s="919" t="s">
        <v>5459</v>
      </c>
      <c r="G861" s="919" t="s">
        <v>5460</v>
      </c>
      <c r="H861" s="919" t="s">
        <v>4774</v>
      </c>
      <c r="I861" s="919" t="s">
        <v>3679</v>
      </c>
      <c r="J861" s="919"/>
      <c r="K861" s="920"/>
      <c r="L861" s="920"/>
      <c r="M861" s="920">
        <f t="shared" si="26"/>
        <v>0</v>
      </c>
      <c r="N861" s="919">
        <v>1</v>
      </c>
      <c r="O861" s="919">
        <v>5</v>
      </c>
      <c r="P861" s="921">
        <f t="shared" si="27"/>
        <v>10000</v>
      </c>
    </row>
    <row r="862" spans="1:16" ht="20.100000000000001" customHeight="1" x14ac:dyDescent="0.25">
      <c r="A862" s="918" t="s">
        <v>471</v>
      </c>
      <c r="B862" s="944" t="s">
        <v>3901</v>
      </c>
      <c r="C862" s="919" t="s">
        <v>3902</v>
      </c>
      <c r="D862" s="919" t="s">
        <v>4774</v>
      </c>
      <c r="E862" s="920">
        <v>2000</v>
      </c>
      <c r="F862" s="919" t="s">
        <v>5461</v>
      </c>
      <c r="G862" s="919" t="s">
        <v>5462</v>
      </c>
      <c r="H862" s="919" t="s">
        <v>4774</v>
      </c>
      <c r="I862" s="919" t="s">
        <v>3679</v>
      </c>
      <c r="J862" s="919"/>
      <c r="K862" s="920"/>
      <c r="L862" s="920"/>
      <c r="M862" s="920">
        <f t="shared" si="26"/>
        <v>0</v>
      </c>
      <c r="N862" s="919">
        <v>1</v>
      </c>
      <c r="O862" s="919">
        <v>5</v>
      </c>
      <c r="P862" s="921">
        <f t="shared" si="27"/>
        <v>10000</v>
      </c>
    </row>
    <row r="863" spans="1:16" ht="20.100000000000001" customHeight="1" x14ac:dyDescent="0.25">
      <c r="A863" s="918" t="s">
        <v>471</v>
      </c>
      <c r="B863" s="944" t="s">
        <v>3901</v>
      </c>
      <c r="C863" s="919" t="s">
        <v>3902</v>
      </c>
      <c r="D863" s="919" t="s">
        <v>4774</v>
      </c>
      <c r="E863" s="920">
        <v>2000</v>
      </c>
      <c r="F863" s="919" t="s">
        <v>4041</v>
      </c>
      <c r="G863" s="919" t="s">
        <v>4042</v>
      </c>
      <c r="H863" s="919" t="s">
        <v>4774</v>
      </c>
      <c r="I863" s="919" t="s">
        <v>3679</v>
      </c>
      <c r="J863" s="919"/>
      <c r="K863" s="920">
        <v>1</v>
      </c>
      <c r="L863" s="920">
        <v>12</v>
      </c>
      <c r="M863" s="920">
        <f t="shared" si="26"/>
        <v>24000</v>
      </c>
      <c r="N863" s="919"/>
      <c r="O863" s="919"/>
      <c r="P863" s="921">
        <f t="shared" si="27"/>
        <v>0</v>
      </c>
    </row>
    <row r="864" spans="1:16" ht="20.100000000000001" customHeight="1" x14ac:dyDescent="0.25">
      <c r="A864" s="918" t="s">
        <v>471</v>
      </c>
      <c r="B864" s="944" t="s">
        <v>3901</v>
      </c>
      <c r="C864" s="919" t="s">
        <v>3902</v>
      </c>
      <c r="D864" s="919" t="s">
        <v>4774</v>
      </c>
      <c r="E864" s="920">
        <v>2000</v>
      </c>
      <c r="F864" s="919" t="s">
        <v>5463</v>
      </c>
      <c r="G864" s="919" t="s">
        <v>5464</v>
      </c>
      <c r="H864" s="919" t="s">
        <v>4774</v>
      </c>
      <c r="I864" s="919" t="s">
        <v>3679</v>
      </c>
      <c r="J864" s="919"/>
      <c r="K864" s="920"/>
      <c r="L864" s="920"/>
      <c r="M864" s="920">
        <f t="shared" si="26"/>
        <v>0</v>
      </c>
      <c r="N864" s="919">
        <v>1</v>
      </c>
      <c r="O864" s="919">
        <v>5</v>
      </c>
      <c r="P864" s="921">
        <f t="shared" si="27"/>
        <v>10000</v>
      </c>
    </row>
    <row r="865" spans="1:16" ht="20.100000000000001" customHeight="1" x14ac:dyDescent="0.25">
      <c r="A865" s="918" t="s">
        <v>471</v>
      </c>
      <c r="B865" s="944" t="s">
        <v>3901</v>
      </c>
      <c r="C865" s="919" t="s">
        <v>3902</v>
      </c>
      <c r="D865" s="919" t="s">
        <v>4774</v>
      </c>
      <c r="E865" s="920">
        <v>2000</v>
      </c>
      <c r="F865" s="919" t="s">
        <v>5465</v>
      </c>
      <c r="G865" s="919" t="s">
        <v>5466</v>
      </c>
      <c r="H865" s="919" t="s">
        <v>4774</v>
      </c>
      <c r="I865" s="919" t="s">
        <v>3679</v>
      </c>
      <c r="J865" s="919"/>
      <c r="K865" s="920"/>
      <c r="L865" s="920"/>
      <c r="M865" s="920">
        <f t="shared" si="26"/>
        <v>0</v>
      </c>
      <c r="N865" s="919">
        <v>1</v>
      </c>
      <c r="O865" s="919">
        <v>5</v>
      </c>
      <c r="P865" s="921">
        <f t="shared" si="27"/>
        <v>10000</v>
      </c>
    </row>
    <row r="866" spans="1:16" ht="20.100000000000001" customHeight="1" x14ac:dyDescent="0.25">
      <c r="A866" s="918" t="s">
        <v>471</v>
      </c>
      <c r="B866" s="944" t="s">
        <v>3901</v>
      </c>
      <c r="C866" s="919" t="s">
        <v>3902</v>
      </c>
      <c r="D866" s="919" t="s">
        <v>4499</v>
      </c>
      <c r="E866" s="920">
        <v>2500</v>
      </c>
      <c r="F866" s="919" t="s">
        <v>5467</v>
      </c>
      <c r="G866" s="919" t="s">
        <v>5468</v>
      </c>
      <c r="H866" s="919" t="s">
        <v>4499</v>
      </c>
      <c r="I866" s="919" t="s">
        <v>3679</v>
      </c>
      <c r="J866" s="919"/>
      <c r="K866" s="920"/>
      <c r="L866" s="920"/>
      <c r="M866" s="920">
        <f t="shared" si="26"/>
        <v>0</v>
      </c>
      <c r="N866" s="919">
        <v>1</v>
      </c>
      <c r="O866" s="919">
        <v>3</v>
      </c>
      <c r="P866" s="921">
        <f t="shared" si="27"/>
        <v>7500</v>
      </c>
    </row>
    <row r="867" spans="1:16" ht="20.100000000000001" customHeight="1" x14ac:dyDescent="0.25">
      <c r="A867" s="918" t="s">
        <v>471</v>
      </c>
      <c r="B867" s="944" t="s">
        <v>3901</v>
      </c>
      <c r="C867" s="919" t="s">
        <v>3902</v>
      </c>
      <c r="D867" s="919" t="s">
        <v>4881</v>
      </c>
      <c r="E867" s="920">
        <v>3200</v>
      </c>
      <c r="F867" s="919" t="s">
        <v>5469</v>
      </c>
      <c r="G867" s="919" t="s">
        <v>5470</v>
      </c>
      <c r="H867" s="919" t="s">
        <v>4881</v>
      </c>
      <c r="I867" s="919" t="s">
        <v>3679</v>
      </c>
      <c r="J867" s="919"/>
      <c r="K867" s="920"/>
      <c r="L867" s="920"/>
      <c r="M867" s="920">
        <f t="shared" si="26"/>
        <v>0</v>
      </c>
      <c r="N867" s="919">
        <v>1</v>
      </c>
      <c r="O867" s="919">
        <v>5</v>
      </c>
      <c r="P867" s="921">
        <f t="shared" si="27"/>
        <v>16000</v>
      </c>
    </row>
    <row r="868" spans="1:16" ht="20.100000000000001" customHeight="1" x14ac:dyDescent="0.25">
      <c r="A868" s="918" t="s">
        <v>471</v>
      </c>
      <c r="B868" s="944" t="s">
        <v>3901</v>
      </c>
      <c r="C868" s="919" t="s">
        <v>3902</v>
      </c>
      <c r="D868" s="919" t="s">
        <v>4881</v>
      </c>
      <c r="E868" s="920">
        <v>3200</v>
      </c>
      <c r="F868" s="919" t="s">
        <v>5471</v>
      </c>
      <c r="G868" s="919" t="s">
        <v>5472</v>
      </c>
      <c r="H868" s="919" t="s">
        <v>4881</v>
      </c>
      <c r="I868" s="919" t="s">
        <v>3679</v>
      </c>
      <c r="J868" s="919"/>
      <c r="K868" s="920"/>
      <c r="L868" s="920"/>
      <c r="M868" s="920">
        <f t="shared" si="26"/>
        <v>0</v>
      </c>
      <c r="N868" s="919">
        <v>1</v>
      </c>
      <c r="O868" s="919">
        <v>5</v>
      </c>
      <c r="P868" s="921">
        <f t="shared" si="27"/>
        <v>16000</v>
      </c>
    </row>
    <row r="869" spans="1:16" ht="20.100000000000001" customHeight="1" x14ac:dyDescent="0.25">
      <c r="A869" s="918" t="s">
        <v>471</v>
      </c>
      <c r="B869" s="944" t="s">
        <v>3901</v>
      </c>
      <c r="C869" s="919" t="s">
        <v>3902</v>
      </c>
      <c r="D869" s="919" t="s">
        <v>4881</v>
      </c>
      <c r="E869" s="920">
        <v>3200</v>
      </c>
      <c r="F869" s="919" t="s">
        <v>5473</v>
      </c>
      <c r="G869" s="919" t="s">
        <v>5474</v>
      </c>
      <c r="H869" s="919" t="s">
        <v>4881</v>
      </c>
      <c r="I869" s="919" t="s">
        <v>3679</v>
      </c>
      <c r="J869" s="919"/>
      <c r="K869" s="920"/>
      <c r="L869" s="920"/>
      <c r="M869" s="920">
        <f t="shared" si="26"/>
        <v>0</v>
      </c>
      <c r="N869" s="919">
        <v>1</v>
      </c>
      <c r="O869" s="919">
        <v>5</v>
      </c>
      <c r="P869" s="921">
        <f t="shared" si="27"/>
        <v>16000</v>
      </c>
    </row>
    <row r="870" spans="1:16" ht="20.100000000000001" customHeight="1" x14ac:dyDescent="0.25">
      <c r="A870" s="918" t="s">
        <v>471</v>
      </c>
      <c r="B870" s="944" t="s">
        <v>3901</v>
      </c>
      <c r="C870" s="919" t="s">
        <v>3902</v>
      </c>
      <c r="D870" s="919" t="s">
        <v>4881</v>
      </c>
      <c r="E870" s="920">
        <v>3200</v>
      </c>
      <c r="F870" s="919" t="s">
        <v>5475</v>
      </c>
      <c r="G870" s="919" t="s">
        <v>5476</v>
      </c>
      <c r="H870" s="919" t="s">
        <v>4881</v>
      </c>
      <c r="I870" s="919" t="s">
        <v>3679</v>
      </c>
      <c r="J870" s="919"/>
      <c r="K870" s="920"/>
      <c r="L870" s="920"/>
      <c r="M870" s="920">
        <f t="shared" si="26"/>
        <v>0</v>
      </c>
      <c r="N870" s="919">
        <v>1</v>
      </c>
      <c r="O870" s="919">
        <v>5</v>
      </c>
      <c r="P870" s="921">
        <f t="shared" si="27"/>
        <v>16000</v>
      </c>
    </row>
    <row r="871" spans="1:16" ht="20.100000000000001" customHeight="1" x14ac:dyDescent="0.25">
      <c r="A871" s="918" t="s">
        <v>471</v>
      </c>
      <c r="B871" s="944" t="s">
        <v>3901</v>
      </c>
      <c r="C871" s="919" t="s">
        <v>3902</v>
      </c>
      <c r="D871" s="919" t="s">
        <v>4881</v>
      </c>
      <c r="E871" s="920">
        <v>3200</v>
      </c>
      <c r="F871" s="919" t="s">
        <v>5477</v>
      </c>
      <c r="G871" s="919" t="s">
        <v>5478</v>
      </c>
      <c r="H871" s="919" t="s">
        <v>4881</v>
      </c>
      <c r="I871" s="919" t="s">
        <v>3679</v>
      </c>
      <c r="J871" s="919"/>
      <c r="K871" s="920"/>
      <c r="L871" s="920"/>
      <c r="M871" s="920">
        <f t="shared" si="26"/>
        <v>0</v>
      </c>
      <c r="N871" s="919">
        <v>1</v>
      </c>
      <c r="O871" s="919">
        <v>5</v>
      </c>
      <c r="P871" s="921">
        <f t="shared" si="27"/>
        <v>16000</v>
      </c>
    </row>
    <row r="872" spans="1:16" ht="20.100000000000001" customHeight="1" x14ac:dyDescent="0.25">
      <c r="A872" s="918" t="s">
        <v>471</v>
      </c>
      <c r="B872" s="944" t="s">
        <v>3901</v>
      </c>
      <c r="C872" s="919" t="s">
        <v>3902</v>
      </c>
      <c r="D872" s="919" t="s">
        <v>4881</v>
      </c>
      <c r="E872" s="920">
        <v>3200</v>
      </c>
      <c r="F872" s="919" t="s">
        <v>5479</v>
      </c>
      <c r="G872" s="919" t="s">
        <v>5480</v>
      </c>
      <c r="H872" s="919" t="s">
        <v>4881</v>
      </c>
      <c r="I872" s="919" t="s">
        <v>3679</v>
      </c>
      <c r="J872" s="919"/>
      <c r="K872" s="920"/>
      <c r="L872" s="920"/>
      <c r="M872" s="920">
        <f t="shared" si="26"/>
        <v>0</v>
      </c>
      <c r="N872" s="919">
        <v>1</v>
      </c>
      <c r="O872" s="919">
        <v>5</v>
      </c>
      <c r="P872" s="921">
        <f t="shared" si="27"/>
        <v>16000</v>
      </c>
    </row>
    <row r="873" spans="1:16" ht="20.100000000000001" customHeight="1" x14ac:dyDescent="0.25">
      <c r="A873" s="918" t="s">
        <v>471</v>
      </c>
      <c r="B873" s="944" t="s">
        <v>3901</v>
      </c>
      <c r="C873" s="919" t="s">
        <v>3902</v>
      </c>
      <c r="D873" s="919" t="s">
        <v>4881</v>
      </c>
      <c r="E873" s="920">
        <v>3200</v>
      </c>
      <c r="F873" s="919" t="s">
        <v>5481</v>
      </c>
      <c r="G873" s="919" t="s">
        <v>5482</v>
      </c>
      <c r="H873" s="919" t="s">
        <v>4881</v>
      </c>
      <c r="I873" s="919" t="s">
        <v>3679</v>
      </c>
      <c r="J873" s="919"/>
      <c r="K873" s="920"/>
      <c r="L873" s="920"/>
      <c r="M873" s="920">
        <f t="shared" si="26"/>
        <v>0</v>
      </c>
      <c r="N873" s="919">
        <v>1</v>
      </c>
      <c r="O873" s="919">
        <v>5</v>
      </c>
      <c r="P873" s="921">
        <f t="shared" si="27"/>
        <v>16000</v>
      </c>
    </row>
    <row r="874" spans="1:16" ht="20.100000000000001" customHeight="1" x14ac:dyDescent="0.25">
      <c r="A874" s="918" t="s">
        <v>471</v>
      </c>
      <c r="B874" s="944" t="s">
        <v>3901</v>
      </c>
      <c r="C874" s="919" t="s">
        <v>3902</v>
      </c>
      <c r="D874" s="919" t="s">
        <v>4881</v>
      </c>
      <c r="E874" s="920">
        <v>3200</v>
      </c>
      <c r="F874" s="919" t="s">
        <v>5483</v>
      </c>
      <c r="G874" s="919" t="s">
        <v>5484</v>
      </c>
      <c r="H874" s="919" t="s">
        <v>4881</v>
      </c>
      <c r="I874" s="919" t="s">
        <v>3679</v>
      </c>
      <c r="J874" s="919"/>
      <c r="K874" s="920"/>
      <c r="L874" s="920"/>
      <c r="M874" s="920">
        <f t="shared" si="26"/>
        <v>0</v>
      </c>
      <c r="N874" s="919">
        <v>1</v>
      </c>
      <c r="O874" s="919">
        <v>4</v>
      </c>
      <c r="P874" s="921">
        <f t="shared" si="27"/>
        <v>12800</v>
      </c>
    </row>
    <row r="875" spans="1:16" ht="20.100000000000001" customHeight="1" x14ac:dyDescent="0.25">
      <c r="A875" s="918" t="s">
        <v>471</v>
      </c>
      <c r="B875" s="944" t="s">
        <v>3901</v>
      </c>
      <c r="C875" s="919" t="s">
        <v>3902</v>
      </c>
      <c r="D875" s="919" t="s">
        <v>4881</v>
      </c>
      <c r="E875" s="920">
        <v>3200</v>
      </c>
      <c r="F875" s="919" t="s">
        <v>5485</v>
      </c>
      <c r="G875" s="919" t="s">
        <v>1956</v>
      </c>
      <c r="H875" s="919" t="s">
        <v>4881</v>
      </c>
      <c r="I875" s="919" t="s">
        <v>3679</v>
      </c>
      <c r="J875" s="919"/>
      <c r="K875" s="920"/>
      <c r="L875" s="920"/>
      <c r="M875" s="920">
        <f t="shared" si="26"/>
        <v>0</v>
      </c>
      <c r="N875" s="919">
        <v>1</v>
      </c>
      <c r="O875" s="919">
        <v>3</v>
      </c>
      <c r="P875" s="921">
        <f t="shared" si="27"/>
        <v>9600</v>
      </c>
    </row>
    <row r="876" spans="1:16" ht="20.100000000000001" customHeight="1" x14ac:dyDescent="0.25">
      <c r="A876" s="918" t="s">
        <v>471</v>
      </c>
      <c r="B876" s="944" t="s">
        <v>3901</v>
      </c>
      <c r="C876" s="919" t="s">
        <v>3902</v>
      </c>
      <c r="D876" s="919" t="s">
        <v>4886</v>
      </c>
      <c r="E876" s="920">
        <v>2300</v>
      </c>
      <c r="F876" s="919" t="s">
        <v>5486</v>
      </c>
      <c r="G876" s="919" t="s">
        <v>5487</v>
      </c>
      <c r="H876" s="919" t="s">
        <v>4886</v>
      </c>
      <c r="I876" s="919" t="s">
        <v>3679</v>
      </c>
      <c r="J876" s="919"/>
      <c r="K876" s="920"/>
      <c r="L876" s="920"/>
      <c r="M876" s="920">
        <f t="shared" si="26"/>
        <v>0</v>
      </c>
      <c r="N876" s="919">
        <v>1</v>
      </c>
      <c r="O876" s="919">
        <v>3</v>
      </c>
      <c r="P876" s="921">
        <f t="shared" si="27"/>
        <v>6900</v>
      </c>
    </row>
    <row r="877" spans="1:16" ht="20.100000000000001" customHeight="1" x14ac:dyDescent="0.25">
      <c r="A877" s="918" t="s">
        <v>471</v>
      </c>
      <c r="B877" s="944" t="s">
        <v>3901</v>
      </c>
      <c r="C877" s="919" t="s">
        <v>3902</v>
      </c>
      <c r="D877" s="919" t="s">
        <v>4886</v>
      </c>
      <c r="E877" s="920">
        <v>2300</v>
      </c>
      <c r="F877" s="919" t="s">
        <v>5488</v>
      </c>
      <c r="G877" s="919" t="s">
        <v>5489</v>
      </c>
      <c r="H877" s="919" t="s">
        <v>4886</v>
      </c>
      <c r="I877" s="919" t="s">
        <v>3679</v>
      </c>
      <c r="J877" s="919"/>
      <c r="K877" s="920"/>
      <c r="L877" s="920"/>
      <c r="M877" s="920">
        <f t="shared" si="26"/>
        <v>0</v>
      </c>
      <c r="N877" s="919">
        <v>1</v>
      </c>
      <c r="O877" s="919">
        <v>3</v>
      </c>
      <c r="P877" s="921">
        <f t="shared" si="27"/>
        <v>6900</v>
      </c>
    </row>
    <row r="878" spans="1:16" ht="20.100000000000001" customHeight="1" x14ac:dyDescent="0.25">
      <c r="A878" s="918" t="s">
        <v>471</v>
      </c>
      <c r="B878" s="944" t="s">
        <v>3901</v>
      </c>
      <c r="C878" s="919" t="s">
        <v>3902</v>
      </c>
      <c r="D878" s="919" t="s">
        <v>4886</v>
      </c>
      <c r="E878" s="920">
        <v>2300</v>
      </c>
      <c r="F878" s="919" t="s">
        <v>5490</v>
      </c>
      <c r="G878" s="919" t="s">
        <v>5491</v>
      </c>
      <c r="H878" s="919" t="s">
        <v>4886</v>
      </c>
      <c r="I878" s="919" t="s">
        <v>3679</v>
      </c>
      <c r="J878" s="919"/>
      <c r="K878" s="920"/>
      <c r="L878" s="920"/>
      <c r="M878" s="920">
        <f t="shared" si="26"/>
        <v>0</v>
      </c>
      <c r="N878" s="919">
        <v>1</v>
      </c>
      <c r="O878" s="919">
        <v>3</v>
      </c>
      <c r="P878" s="921">
        <f t="shared" si="27"/>
        <v>6900</v>
      </c>
    </row>
    <row r="879" spans="1:16" ht="20.100000000000001" customHeight="1" x14ac:dyDescent="0.25">
      <c r="A879" s="918" t="s">
        <v>471</v>
      </c>
      <c r="B879" s="944" t="s">
        <v>3901</v>
      </c>
      <c r="C879" s="919" t="s">
        <v>3902</v>
      </c>
      <c r="D879" s="919" t="s">
        <v>4886</v>
      </c>
      <c r="E879" s="920">
        <v>2300</v>
      </c>
      <c r="F879" s="919" t="s">
        <v>5492</v>
      </c>
      <c r="G879" s="919" t="s">
        <v>5493</v>
      </c>
      <c r="H879" s="919" t="s">
        <v>4886</v>
      </c>
      <c r="I879" s="919" t="s">
        <v>3679</v>
      </c>
      <c r="J879" s="919"/>
      <c r="K879" s="920"/>
      <c r="L879" s="920"/>
      <c r="M879" s="920">
        <f t="shared" si="26"/>
        <v>0</v>
      </c>
      <c r="N879" s="919">
        <v>1</v>
      </c>
      <c r="O879" s="919">
        <v>1</v>
      </c>
      <c r="P879" s="921">
        <f t="shared" si="27"/>
        <v>2300</v>
      </c>
    </row>
    <row r="880" spans="1:16" ht="20.100000000000001" customHeight="1" x14ac:dyDescent="0.25">
      <c r="A880" s="918" t="s">
        <v>471</v>
      </c>
      <c r="B880" s="944" t="s">
        <v>3901</v>
      </c>
      <c r="C880" s="919" t="s">
        <v>3902</v>
      </c>
      <c r="D880" s="919" t="s">
        <v>4886</v>
      </c>
      <c r="E880" s="920">
        <v>2300</v>
      </c>
      <c r="F880" s="919" t="s">
        <v>5494</v>
      </c>
      <c r="G880" s="919" t="s">
        <v>5495</v>
      </c>
      <c r="H880" s="919" t="s">
        <v>4886</v>
      </c>
      <c r="I880" s="919" t="s">
        <v>3679</v>
      </c>
      <c r="J880" s="919"/>
      <c r="K880" s="920"/>
      <c r="L880" s="920"/>
      <c r="M880" s="920">
        <f t="shared" si="26"/>
        <v>0</v>
      </c>
      <c r="N880" s="919">
        <v>1</v>
      </c>
      <c r="O880" s="919">
        <v>1</v>
      </c>
      <c r="P880" s="921">
        <f t="shared" si="27"/>
        <v>2300</v>
      </c>
    </row>
    <row r="881" spans="1:16" ht="20.100000000000001" customHeight="1" x14ac:dyDescent="0.25">
      <c r="A881" s="918" t="s">
        <v>471</v>
      </c>
      <c r="B881" s="944" t="s">
        <v>3901</v>
      </c>
      <c r="C881" s="919" t="s">
        <v>3902</v>
      </c>
      <c r="D881" s="919" t="s">
        <v>4886</v>
      </c>
      <c r="E881" s="920">
        <v>2300</v>
      </c>
      <c r="F881" s="919" t="s">
        <v>5496</v>
      </c>
      <c r="G881" s="919" t="s">
        <v>5497</v>
      </c>
      <c r="H881" s="919" t="s">
        <v>4886</v>
      </c>
      <c r="I881" s="919" t="s">
        <v>3679</v>
      </c>
      <c r="J881" s="919"/>
      <c r="K881" s="920"/>
      <c r="L881" s="920"/>
      <c r="M881" s="920">
        <f t="shared" si="26"/>
        <v>0</v>
      </c>
      <c r="N881" s="919">
        <v>1</v>
      </c>
      <c r="O881" s="919">
        <v>1</v>
      </c>
      <c r="P881" s="921">
        <f t="shared" si="27"/>
        <v>2300</v>
      </c>
    </row>
    <row r="882" spans="1:16" ht="20.100000000000001" customHeight="1" x14ac:dyDescent="0.25">
      <c r="A882" s="918" t="s">
        <v>471</v>
      </c>
      <c r="B882" s="944" t="s">
        <v>3901</v>
      </c>
      <c r="C882" s="919" t="s">
        <v>3902</v>
      </c>
      <c r="D882" s="919" t="s">
        <v>4886</v>
      </c>
      <c r="E882" s="920">
        <v>2300</v>
      </c>
      <c r="F882" s="919" t="s">
        <v>4041</v>
      </c>
      <c r="G882" s="919" t="s">
        <v>4042</v>
      </c>
      <c r="H882" s="919" t="s">
        <v>4886</v>
      </c>
      <c r="I882" s="919" t="s">
        <v>3679</v>
      </c>
      <c r="J882" s="919"/>
      <c r="K882" s="920">
        <v>1</v>
      </c>
      <c r="L882" s="920">
        <v>12</v>
      </c>
      <c r="M882" s="920">
        <f t="shared" si="26"/>
        <v>27600</v>
      </c>
      <c r="N882" s="919"/>
      <c r="O882" s="919"/>
      <c r="P882" s="921">
        <f t="shared" si="27"/>
        <v>0</v>
      </c>
    </row>
    <row r="883" spans="1:16" ht="20.100000000000001" customHeight="1" x14ac:dyDescent="0.25">
      <c r="A883" s="918" t="s">
        <v>471</v>
      </c>
      <c r="B883" s="944" t="s">
        <v>3901</v>
      </c>
      <c r="C883" s="919" t="s">
        <v>3902</v>
      </c>
      <c r="D883" s="919" t="s">
        <v>4886</v>
      </c>
      <c r="E883" s="920">
        <v>2300</v>
      </c>
      <c r="F883" s="919" t="s">
        <v>5498</v>
      </c>
      <c r="G883" s="919" t="s">
        <v>5499</v>
      </c>
      <c r="H883" s="919" t="s">
        <v>4886</v>
      </c>
      <c r="I883" s="919" t="s">
        <v>3679</v>
      </c>
      <c r="J883" s="919"/>
      <c r="K883" s="920"/>
      <c r="L883" s="920"/>
      <c r="M883" s="920">
        <f t="shared" si="26"/>
        <v>0</v>
      </c>
      <c r="N883" s="919">
        <v>1</v>
      </c>
      <c r="O883" s="919">
        <v>1</v>
      </c>
      <c r="P883" s="921">
        <f t="shared" si="27"/>
        <v>2300</v>
      </c>
    </row>
    <row r="884" spans="1:16" ht="20.100000000000001" customHeight="1" x14ac:dyDescent="0.25">
      <c r="A884" s="918" t="s">
        <v>471</v>
      </c>
      <c r="B884" s="944" t="s">
        <v>3901</v>
      </c>
      <c r="C884" s="919" t="s">
        <v>3902</v>
      </c>
      <c r="D884" s="919" t="s">
        <v>4886</v>
      </c>
      <c r="E884" s="920">
        <v>2300</v>
      </c>
      <c r="F884" s="919" t="s">
        <v>5500</v>
      </c>
      <c r="G884" s="919" t="s">
        <v>5501</v>
      </c>
      <c r="H884" s="919" t="s">
        <v>4886</v>
      </c>
      <c r="I884" s="919" t="s">
        <v>3679</v>
      </c>
      <c r="J884" s="919"/>
      <c r="K884" s="920"/>
      <c r="L884" s="920"/>
      <c r="M884" s="920">
        <f t="shared" si="26"/>
        <v>0</v>
      </c>
      <c r="N884" s="919">
        <v>1</v>
      </c>
      <c r="O884" s="919">
        <v>1</v>
      </c>
      <c r="P884" s="921">
        <f t="shared" si="27"/>
        <v>2300</v>
      </c>
    </row>
    <row r="885" spans="1:16" ht="20.100000000000001" customHeight="1" x14ac:dyDescent="0.25">
      <c r="A885" s="918" t="s">
        <v>471</v>
      </c>
      <c r="B885" s="944" t="s">
        <v>3901</v>
      </c>
      <c r="C885" s="919" t="s">
        <v>3902</v>
      </c>
      <c r="D885" s="919" t="s">
        <v>4657</v>
      </c>
      <c r="E885" s="920">
        <v>1150</v>
      </c>
      <c r="F885" s="919" t="s">
        <v>5502</v>
      </c>
      <c r="G885" s="919" t="s">
        <v>5503</v>
      </c>
      <c r="H885" s="919" t="s">
        <v>4657</v>
      </c>
      <c r="I885" s="919" t="s">
        <v>3686</v>
      </c>
      <c r="J885" s="919"/>
      <c r="K885" s="920"/>
      <c r="L885" s="920"/>
      <c r="M885" s="920">
        <f t="shared" si="26"/>
        <v>0</v>
      </c>
      <c r="N885" s="919">
        <v>1</v>
      </c>
      <c r="O885" s="919">
        <v>5</v>
      </c>
      <c r="P885" s="921">
        <f t="shared" si="27"/>
        <v>5750</v>
      </c>
    </row>
    <row r="886" spans="1:16" ht="20.100000000000001" customHeight="1" x14ac:dyDescent="0.25">
      <c r="A886" s="918" t="s">
        <v>471</v>
      </c>
      <c r="B886" s="944" t="s">
        <v>3901</v>
      </c>
      <c r="C886" s="919" t="s">
        <v>3902</v>
      </c>
      <c r="D886" s="919" t="s">
        <v>4657</v>
      </c>
      <c r="E886" s="920">
        <v>1150</v>
      </c>
      <c r="F886" s="919" t="s">
        <v>5504</v>
      </c>
      <c r="G886" s="919" t="s">
        <v>5505</v>
      </c>
      <c r="H886" s="919" t="s">
        <v>4657</v>
      </c>
      <c r="I886" s="919" t="s">
        <v>3686</v>
      </c>
      <c r="J886" s="919"/>
      <c r="K886" s="920"/>
      <c r="L886" s="920"/>
      <c r="M886" s="920">
        <f t="shared" si="26"/>
        <v>0</v>
      </c>
      <c r="N886" s="919">
        <v>1</v>
      </c>
      <c r="O886" s="919">
        <v>5</v>
      </c>
      <c r="P886" s="921">
        <f t="shared" si="27"/>
        <v>5750</v>
      </c>
    </row>
    <row r="887" spans="1:16" ht="20.100000000000001" customHeight="1" x14ac:dyDescent="0.25">
      <c r="A887" s="918" t="s">
        <v>471</v>
      </c>
      <c r="B887" s="944" t="s">
        <v>3901</v>
      </c>
      <c r="C887" s="919" t="s">
        <v>3902</v>
      </c>
      <c r="D887" s="919" t="s">
        <v>4657</v>
      </c>
      <c r="E887" s="920">
        <v>1150</v>
      </c>
      <c r="F887" s="919" t="s">
        <v>5506</v>
      </c>
      <c r="G887" s="919" t="s">
        <v>5507</v>
      </c>
      <c r="H887" s="919" t="s">
        <v>4657</v>
      </c>
      <c r="I887" s="919" t="s">
        <v>3686</v>
      </c>
      <c r="J887" s="919"/>
      <c r="K887" s="920"/>
      <c r="L887" s="920"/>
      <c r="M887" s="920">
        <f t="shared" si="26"/>
        <v>0</v>
      </c>
      <c r="N887" s="919">
        <v>1</v>
      </c>
      <c r="O887" s="919">
        <v>5</v>
      </c>
      <c r="P887" s="921">
        <f t="shared" si="27"/>
        <v>5750</v>
      </c>
    </row>
    <row r="888" spans="1:16" ht="20.100000000000001" customHeight="1" x14ac:dyDescent="0.25">
      <c r="A888" s="918" t="s">
        <v>471</v>
      </c>
      <c r="B888" s="944" t="s">
        <v>3901</v>
      </c>
      <c r="C888" s="919" t="s">
        <v>3902</v>
      </c>
      <c r="D888" s="919" t="s">
        <v>4657</v>
      </c>
      <c r="E888" s="920">
        <v>1150</v>
      </c>
      <c r="F888" s="919" t="s">
        <v>5508</v>
      </c>
      <c r="G888" s="919" t="s">
        <v>5509</v>
      </c>
      <c r="H888" s="919" t="s">
        <v>4657</v>
      </c>
      <c r="I888" s="919" t="s">
        <v>3686</v>
      </c>
      <c r="J888" s="919"/>
      <c r="K888" s="920"/>
      <c r="L888" s="920"/>
      <c r="M888" s="920">
        <f t="shared" si="26"/>
        <v>0</v>
      </c>
      <c r="N888" s="919">
        <v>1</v>
      </c>
      <c r="O888" s="919">
        <v>5</v>
      </c>
      <c r="P888" s="921">
        <f t="shared" si="27"/>
        <v>5750</v>
      </c>
    </row>
    <row r="889" spans="1:16" ht="20.100000000000001" customHeight="1" x14ac:dyDescent="0.25">
      <c r="A889" s="918" t="s">
        <v>471</v>
      </c>
      <c r="B889" s="944" t="s">
        <v>3901</v>
      </c>
      <c r="C889" s="919" t="s">
        <v>3902</v>
      </c>
      <c r="D889" s="919" t="s">
        <v>4657</v>
      </c>
      <c r="E889" s="920">
        <v>1150</v>
      </c>
      <c r="F889" s="919" t="s">
        <v>4041</v>
      </c>
      <c r="G889" s="919" t="s">
        <v>4042</v>
      </c>
      <c r="H889" s="919" t="s">
        <v>4657</v>
      </c>
      <c r="I889" s="919" t="s">
        <v>3686</v>
      </c>
      <c r="J889" s="919"/>
      <c r="K889" s="920">
        <v>1</v>
      </c>
      <c r="L889" s="920">
        <v>12</v>
      </c>
      <c r="M889" s="920">
        <f t="shared" si="26"/>
        <v>13800</v>
      </c>
      <c r="N889" s="919"/>
      <c r="O889" s="919"/>
      <c r="P889" s="921">
        <f t="shared" si="27"/>
        <v>0</v>
      </c>
    </row>
    <row r="890" spans="1:16" ht="20.100000000000001" customHeight="1" x14ac:dyDescent="0.25">
      <c r="A890" s="918" t="s">
        <v>471</v>
      </c>
      <c r="B890" s="944" t="s">
        <v>3901</v>
      </c>
      <c r="C890" s="919" t="s">
        <v>3902</v>
      </c>
      <c r="D890" s="919" t="s">
        <v>4657</v>
      </c>
      <c r="E890" s="920">
        <v>1150</v>
      </c>
      <c r="F890" s="919" t="s">
        <v>5510</v>
      </c>
      <c r="G890" s="919" t="s">
        <v>5511</v>
      </c>
      <c r="H890" s="919" t="s">
        <v>4657</v>
      </c>
      <c r="I890" s="919" t="s">
        <v>3686</v>
      </c>
      <c r="J890" s="919"/>
      <c r="K890" s="920"/>
      <c r="L890" s="920"/>
      <c r="M890" s="920">
        <f t="shared" si="26"/>
        <v>0</v>
      </c>
      <c r="N890" s="919">
        <v>1</v>
      </c>
      <c r="O890" s="919">
        <v>5</v>
      </c>
      <c r="P890" s="921">
        <f t="shared" si="27"/>
        <v>5750</v>
      </c>
    </row>
    <row r="891" spans="1:16" ht="20.100000000000001" customHeight="1" x14ac:dyDescent="0.25">
      <c r="A891" s="918" t="s">
        <v>471</v>
      </c>
      <c r="B891" s="944" t="s">
        <v>3901</v>
      </c>
      <c r="C891" s="919" t="s">
        <v>3902</v>
      </c>
      <c r="D891" s="919" t="s">
        <v>4657</v>
      </c>
      <c r="E891" s="920">
        <v>1150</v>
      </c>
      <c r="F891" s="919" t="s">
        <v>5512</v>
      </c>
      <c r="G891" s="919" t="s">
        <v>5513</v>
      </c>
      <c r="H891" s="919" t="s">
        <v>4657</v>
      </c>
      <c r="I891" s="919" t="s">
        <v>3686</v>
      </c>
      <c r="J891" s="919"/>
      <c r="K891" s="920"/>
      <c r="L891" s="920"/>
      <c r="M891" s="920">
        <f t="shared" si="26"/>
        <v>0</v>
      </c>
      <c r="N891" s="919">
        <v>1</v>
      </c>
      <c r="O891" s="919">
        <v>5</v>
      </c>
      <c r="P891" s="921">
        <f t="shared" si="27"/>
        <v>5750</v>
      </c>
    </row>
    <row r="892" spans="1:16" ht="20.100000000000001" customHeight="1" x14ac:dyDescent="0.25">
      <c r="A892" s="918" t="s">
        <v>471</v>
      </c>
      <c r="B892" s="944" t="s">
        <v>3901</v>
      </c>
      <c r="C892" s="919" t="s">
        <v>3902</v>
      </c>
      <c r="D892" s="919" t="s">
        <v>4657</v>
      </c>
      <c r="E892" s="920">
        <v>1150</v>
      </c>
      <c r="F892" s="919" t="s">
        <v>5514</v>
      </c>
      <c r="G892" s="919" t="s">
        <v>5515</v>
      </c>
      <c r="H892" s="919" t="s">
        <v>4657</v>
      </c>
      <c r="I892" s="919" t="s">
        <v>3686</v>
      </c>
      <c r="J892" s="919"/>
      <c r="K892" s="920"/>
      <c r="L892" s="920"/>
      <c r="M892" s="920">
        <f t="shared" si="26"/>
        <v>0</v>
      </c>
      <c r="N892" s="919">
        <v>1</v>
      </c>
      <c r="O892" s="919">
        <v>3</v>
      </c>
      <c r="P892" s="921">
        <f t="shared" si="27"/>
        <v>3450</v>
      </c>
    </row>
    <row r="893" spans="1:16" ht="20.100000000000001" customHeight="1" x14ac:dyDescent="0.25">
      <c r="A893" s="918" t="s">
        <v>471</v>
      </c>
      <c r="B893" s="944" t="s">
        <v>3901</v>
      </c>
      <c r="C893" s="919" t="s">
        <v>3902</v>
      </c>
      <c r="D893" s="919" t="s">
        <v>4657</v>
      </c>
      <c r="E893" s="920">
        <v>1150</v>
      </c>
      <c r="F893" s="919" t="s">
        <v>5516</v>
      </c>
      <c r="G893" s="919" t="s">
        <v>5517</v>
      </c>
      <c r="H893" s="919" t="s">
        <v>4657</v>
      </c>
      <c r="I893" s="919" t="s">
        <v>3686</v>
      </c>
      <c r="J893" s="919"/>
      <c r="K893" s="920"/>
      <c r="L893" s="920"/>
      <c r="M893" s="920">
        <f t="shared" si="26"/>
        <v>0</v>
      </c>
      <c r="N893" s="919">
        <v>1</v>
      </c>
      <c r="O893" s="919">
        <v>3</v>
      </c>
      <c r="P893" s="921">
        <f t="shared" si="27"/>
        <v>3450</v>
      </c>
    </row>
    <row r="894" spans="1:16" ht="20.100000000000001" customHeight="1" x14ac:dyDescent="0.25">
      <c r="A894" s="918" t="s">
        <v>471</v>
      </c>
      <c r="B894" s="944" t="s">
        <v>3901</v>
      </c>
      <c r="C894" s="919" t="s">
        <v>3902</v>
      </c>
      <c r="D894" s="919" t="s">
        <v>4895</v>
      </c>
      <c r="E894" s="920">
        <v>1150</v>
      </c>
      <c r="F894" s="919" t="s">
        <v>4041</v>
      </c>
      <c r="G894" s="919" t="s">
        <v>4042</v>
      </c>
      <c r="H894" s="919" t="s">
        <v>4895</v>
      </c>
      <c r="I894" s="919" t="s">
        <v>3693</v>
      </c>
      <c r="J894" s="919"/>
      <c r="K894" s="920">
        <v>1</v>
      </c>
      <c r="L894" s="920">
        <v>12</v>
      </c>
      <c r="M894" s="920">
        <f t="shared" si="26"/>
        <v>13800</v>
      </c>
      <c r="N894" s="919"/>
      <c r="O894" s="919"/>
      <c r="P894" s="921">
        <f t="shared" si="27"/>
        <v>0</v>
      </c>
    </row>
    <row r="895" spans="1:16" ht="20.100000000000001" customHeight="1" x14ac:dyDescent="0.25">
      <c r="A895" s="918" t="s">
        <v>471</v>
      </c>
      <c r="B895" s="944" t="s">
        <v>3901</v>
      </c>
      <c r="C895" s="919" t="s">
        <v>3902</v>
      </c>
      <c r="D895" s="919" t="s">
        <v>4895</v>
      </c>
      <c r="E895" s="920">
        <v>1150</v>
      </c>
      <c r="F895" s="919" t="s">
        <v>4041</v>
      </c>
      <c r="G895" s="919" t="s">
        <v>4042</v>
      </c>
      <c r="H895" s="919" t="s">
        <v>4895</v>
      </c>
      <c r="I895" s="919" t="s">
        <v>3693</v>
      </c>
      <c r="J895" s="919"/>
      <c r="K895" s="920">
        <v>1</v>
      </c>
      <c r="L895" s="920">
        <v>12</v>
      </c>
      <c r="M895" s="920">
        <f t="shared" si="26"/>
        <v>13800</v>
      </c>
      <c r="N895" s="919"/>
      <c r="O895" s="919"/>
      <c r="P895" s="921">
        <f t="shared" si="27"/>
        <v>0</v>
      </c>
    </row>
    <row r="896" spans="1:16" ht="20.100000000000001" customHeight="1" x14ac:dyDescent="0.25">
      <c r="A896" s="918" t="s">
        <v>471</v>
      </c>
      <c r="B896" s="944" t="s">
        <v>3901</v>
      </c>
      <c r="C896" s="919" t="s">
        <v>3902</v>
      </c>
      <c r="D896" s="919" t="s">
        <v>4895</v>
      </c>
      <c r="E896" s="920">
        <v>1150</v>
      </c>
      <c r="F896" s="919" t="s">
        <v>4041</v>
      </c>
      <c r="G896" s="919" t="s">
        <v>4042</v>
      </c>
      <c r="H896" s="919" t="s">
        <v>4895</v>
      </c>
      <c r="I896" s="919" t="s">
        <v>3693</v>
      </c>
      <c r="J896" s="919"/>
      <c r="K896" s="920">
        <v>1</v>
      </c>
      <c r="L896" s="920">
        <v>12</v>
      </c>
      <c r="M896" s="920">
        <f t="shared" si="26"/>
        <v>13800</v>
      </c>
      <c r="N896" s="919"/>
      <c r="O896" s="919"/>
      <c r="P896" s="921">
        <f t="shared" si="27"/>
        <v>0</v>
      </c>
    </row>
    <row r="897" spans="1:16" ht="20.100000000000001" customHeight="1" x14ac:dyDescent="0.25">
      <c r="A897" s="918" t="s">
        <v>471</v>
      </c>
      <c r="B897" s="944" t="s">
        <v>3901</v>
      </c>
      <c r="C897" s="919" t="s">
        <v>3902</v>
      </c>
      <c r="D897" s="919" t="s">
        <v>4895</v>
      </c>
      <c r="E897" s="920">
        <v>1150</v>
      </c>
      <c r="F897" s="919" t="s">
        <v>5518</v>
      </c>
      <c r="G897" s="919" t="s">
        <v>5519</v>
      </c>
      <c r="H897" s="919" t="s">
        <v>4895</v>
      </c>
      <c r="I897" s="919" t="s">
        <v>3693</v>
      </c>
      <c r="J897" s="919"/>
      <c r="K897" s="920"/>
      <c r="L897" s="920"/>
      <c r="M897" s="920">
        <f t="shared" si="26"/>
        <v>0</v>
      </c>
      <c r="N897" s="919">
        <v>1</v>
      </c>
      <c r="O897" s="919">
        <v>3</v>
      </c>
      <c r="P897" s="921">
        <f t="shared" si="27"/>
        <v>3450</v>
      </c>
    </row>
    <row r="898" spans="1:16" ht="20.100000000000001" customHeight="1" x14ac:dyDescent="0.25">
      <c r="A898" s="918" t="s">
        <v>471</v>
      </c>
      <c r="B898" s="944" t="s">
        <v>3901</v>
      </c>
      <c r="C898" s="919" t="s">
        <v>3902</v>
      </c>
      <c r="D898" s="919" t="s">
        <v>4895</v>
      </c>
      <c r="E898" s="920">
        <v>1150</v>
      </c>
      <c r="F898" s="919" t="s">
        <v>4041</v>
      </c>
      <c r="G898" s="919" t="s">
        <v>4042</v>
      </c>
      <c r="H898" s="919" t="s">
        <v>4895</v>
      </c>
      <c r="I898" s="919" t="s">
        <v>3693</v>
      </c>
      <c r="J898" s="919"/>
      <c r="K898" s="920">
        <v>1</v>
      </c>
      <c r="L898" s="920">
        <v>12</v>
      </c>
      <c r="M898" s="920">
        <f t="shared" si="26"/>
        <v>13800</v>
      </c>
      <c r="N898" s="919"/>
      <c r="O898" s="919"/>
      <c r="P898" s="921">
        <f t="shared" si="27"/>
        <v>0</v>
      </c>
    </row>
    <row r="899" spans="1:16" ht="20.100000000000001" customHeight="1" x14ac:dyDescent="0.25">
      <c r="A899" s="918" t="s">
        <v>471</v>
      </c>
      <c r="B899" s="944" t="s">
        <v>3901</v>
      </c>
      <c r="C899" s="919" t="s">
        <v>3902</v>
      </c>
      <c r="D899" s="919" t="s">
        <v>4895</v>
      </c>
      <c r="E899" s="920">
        <v>1150</v>
      </c>
      <c r="F899" s="919" t="s">
        <v>4041</v>
      </c>
      <c r="G899" s="919" t="s">
        <v>4042</v>
      </c>
      <c r="H899" s="919" t="s">
        <v>4895</v>
      </c>
      <c r="I899" s="919" t="s">
        <v>3693</v>
      </c>
      <c r="J899" s="919"/>
      <c r="K899" s="920">
        <v>1</v>
      </c>
      <c r="L899" s="920">
        <v>12</v>
      </c>
      <c r="M899" s="920">
        <f t="shared" si="26"/>
        <v>13800</v>
      </c>
      <c r="N899" s="919"/>
      <c r="O899" s="919"/>
      <c r="P899" s="921">
        <f t="shared" si="27"/>
        <v>0</v>
      </c>
    </row>
    <row r="900" spans="1:16" ht="20.100000000000001" customHeight="1" x14ac:dyDescent="0.25">
      <c r="A900" s="918" t="s">
        <v>471</v>
      </c>
      <c r="B900" s="944" t="s">
        <v>3901</v>
      </c>
      <c r="C900" s="919" t="s">
        <v>3902</v>
      </c>
      <c r="D900" s="919" t="s">
        <v>4895</v>
      </c>
      <c r="E900" s="920">
        <v>1150</v>
      </c>
      <c r="F900" s="919" t="s">
        <v>4041</v>
      </c>
      <c r="G900" s="919" t="s">
        <v>4042</v>
      </c>
      <c r="H900" s="919" t="s">
        <v>4895</v>
      </c>
      <c r="I900" s="919" t="s">
        <v>3693</v>
      </c>
      <c r="J900" s="919"/>
      <c r="K900" s="920">
        <v>1</v>
      </c>
      <c r="L900" s="920">
        <v>12</v>
      </c>
      <c r="M900" s="920">
        <f t="shared" si="26"/>
        <v>13800</v>
      </c>
      <c r="N900" s="919"/>
      <c r="O900" s="919"/>
      <c r="P900" s="921">
        <f t="shared" si="27"/>
        <v>0</v>
      </c>
    </row>
    <row r="901" spans="1:16" ht="20.100000000000001" customHeight="1" x14ac:dyDescent="0.25">
      <c r="A901" s="918" t="s">
        <v>471</v>
      </c>
      <c r="B901" s="944" t="s">
        <v>3901</v>
      </c>
      <c r="C901" s="919" t="s">
        <v>3902</v>
      </c>
      <c r="D901" s="919" t="s">
        <v>4895</v>
      </c>
      <c r="E901" s="920">
        <v>1150</v>
      </c>
      <c r="F901" s="919" t="s">
        <v>4041</v>
      </c>
      <c r="G901" s="919" t="s">
        <v>4042</v>
      </c>
      <c r="H901" s="919" t="s">
        <v>4895</v>
      </c>
      <c r="I901" s="919" t="s">
        <v>3693</v>
      </c>
      <c r="J901" s="919"/>
      <c r="K901" s="920">
        <v>1</v>
      </c>
      <c r="L901" s="920">
        <v>12</v>
      </c>
      <c r="M901" s="920">
        <f t="shared" si="26"/>
        <v>13800</v>
      </c>
      <c r="N901" s="919"/>
      <c r="O901" s="919"/>
      <c r="P901" s="921">
        <f t="shared" si="27"/>
        <v>0</v>
      </c>
    </row>
    <row r="902" spans="1:16" ht="20.100000000000001" customHeight="1" x14ac:dyDescent="0.25">
      <c r="A902" s="918" t="s">
        <v>471</v>
      </c>
      <c r="B902" s="944" t="s">
        <v>3901</v>
      </c>
      <c r="C902" s="919" t="s">
        <v>3902</v>
      </c>
      <c r="D902" s="919" t="s">
        <v>4895</v>
      </c>
      <c r="E902" s="920">
        <v>1150</v>
      </c>
      <c r="F902" s="919" t="s">
        <v>4041</v>
      </c>
      <c r="G902" s="919" t="s">
        <v>4042</v>
      </c>
      <c r="H902" s="919" t="s">
        <v>4895</v>
      </c>
      <c r="I902" s="919" t="s">
        <v>3693</v>
      </c>
      <c r="J902" s="919"/>
      <c r="K902" s="920">
        <v>1</v>
      </c>
      <c r="L902" s="920">
        <v>12</v>
      </c>
      <c r="M902" s="920">
        <f t="shared" ref="M902:M965" si="28">E902*L902</f>
        <v>13800</v>
      </c>
      <c r="N902" s="919"/>
      <c r="O902" s="919"/>
      <c r="P902" s="921">
        <f t="shared" ref="P902:P965" si="29">E902*O902</f>
        <v>0</v>
      </c>
    </row>
    <row r="903" spans="1:16" ht="20.100000000000001" customHeight="1" x14ac:dyDescent="0.25">
      <c r="A903" s="918" t="s">
        <v>471</v>
      </c>
      <c r="B903" s="944" t="s">
        <v>3901</v>
      </c>
      <c r="C903" s="919" t="s">
        <v>3902</v>
      </c>
      <c r="D903" s="919" t="s">
        <v>4895</v>
      </c>
      <c r="E903" s="920">
        <v>1150</v>
      </c>
      <c r="F903" s="919" t="s">
        <v>4041</v>
      </c>
      <c r="G903" s="919" t="s">
        <v>4042</v>
      </c>
      <c r="H903" s="919" t="s">
        <v>4895</v>
      </c>
      <c r="I903" s="919" t="s">
        <v>3693</v>
      </c>
      <c r="J903" s="919"/>
      <c r="K903" s="920">
        <v>1</v>
      </c>
      <c r="L903" s="920">
        <v>12</v>
      </c>
      <c r="M903" s="920">
        <f t="shared" si="28"/>
        <v>13800</v>
      </c>
      <c r="N903" s="919"/>
      <c r="O903" s="919"/>
      <c r="P903" s="921">
        <f t="shared" si="29"/>
        <v>0</v>
      </c>
    </row>
    <row r="904" spans="1:16" ht="20.100000000000001" customHeight="1" x14ac:dyDescent="0.25">
      <c r="A904" s="918" t="s">
        <v>471</v>
      </c>
      <c r="B904" s="944" t="s">
        <v>3901</v>
      </c>
      <c r="C904" s="919" t="s">
        <v>3902</v>
      </c>
      <c r="D904" s="919" t="s">
        <v>4895</v>
      </c>
      <c r="E904" s="920">
        <v>1150</v>
      </c>
      <c r="F904" s="919" t="s">
        <v>4041</v>
      </c>
      <c r="G904" s="919" t="s">
        <v>4042</v>
      </c>
      <c r="H904" s="919" t="s">
        <v>4895</v>
      </c>
      <c r="I904" s="919" t="s">
        <v>3693</v>
      </c>
      <c r="J904" s="919"/>
      <c r="K904" s="920">
        <v>1</v>
      </c>
      <c r="L904" s="920">
        <v>12</v>
      </c>
      <c r="M904" s="920">
        <f t="shared" si="28"/>
        <v>13800</v>
      </c>
      <c r="N904" s="919"/>
      <c r="O904" s="919"/>
      <c r="P904" s="921">
        <f t="shared" si="29"/>
        <v>0</v>
      </c>
    </row>
    <row r="905" spans="1:16" ht="20.100000000000001" customHeight="1" x14ac:dyDescent="0.25">
      <c r="A905" s="918" t="s">
        <v>471</v>
      </c>
      <c r="B905" s="944" t="s">
        <v>3901</v>
      </c>
      <c r="C905" s="919" t="s">
        <v>3902</v>
      </c>
      <c r="D905" s="919" t="s">
        <v>4895</v>
      </c>
      <c r="E905" s="920">
        <v>1150</v>
      </c>
      <c r="F905" s="919" t="s">
        <v>4041</v>
      </c>
      <c r="G905" s="919" t="s">
        <v>4042</v>
      </c>
      <c r="H905" s="919" t="s">
        <v>4895</v>
      </c>
      <c r="I905" s="919" t="s">
        <v>3693</v>
      </c>
      <c r="J905" s="919"/>
      <c r="K905" s="920">
        <v>1</v>
      </c>
      <c r="L905" s="920">
        <v>12</v>
      </c>
      <c r="M905" s="920">
        <f t="shared" si="28"/>
        <v>13800</v>
      </c>
      <c r="N905" s="919"/>
      <c r="O905" s="919"/>
      <c r="P905" s="921">
        <f t="shared" si="29"/>
        <v>0</v>
      </c>
    </row>
    <row r="906" spans="1:16" ht="20.100000000000001" customHeight="1" x14ac:dyDescent="0.25">
      <c r="A906" s="918" t="s">
        <v>471</v>
      </c>
      <c r="B906" s="944" t="s">
        <v>3901</v>
      </c>
      <c r="C906" s="919" t="s">
        <v>3902</v>
      </c>
      <c r="D906" s="919" t="s">
        <v>4895</v>
      </c>
      <c r="E906" s="920">
        <v>1150</v>
      </c>
      <c r="F906" s="919" t="s">
        <v>4041</v>
      </c>
      <c r="G906" s="919" t="s">
        <v>4042</v>
      </c>
      <c r="H906" s="919" t="s">
        <v>4895</v>
      </c>
      <c r="I906" s="919" t="s">
        <v>3693</v>
      </c>
      <c r="J906" s="919"/>
      <c r="K906" s="920">
        <v>1</v>
      </c>
      <c r="L906" s="920">
        <v>12</v>
      </c>
      <c r="M906" s="920">
        <f t="shared" si="28"/>
        <v>13800</v>
      </c>
      <c r="N906" s="919"/>
      <c r="O906" s="919"/>
      <c r="P906" s="921">
        <f t="shared" si="29"/>
        <v>0</v>
      </c>
    </row>
    <row r="907" spans="1:16" ht="20.100000000000001" customHeight="1" x14ac:dyDescent="0.25">
      <c r="A907" s="918" t="s">
        <v>471</v>
      </c>
      <c r="B907" s="944" t="s">
        <v>3901</v>
      </c>
      <c r="C907" s="919" t="s">
        <v>3902</v>
      </c>
      <c r="D907" s="919" t="s">
        <v>4895</v>
      </c>
      <c r="E907" s="920">
        <v>1150</v>
      </c>
      <c r="F907" s="919" t="s">
        <v>4041</v>
      </c>
      <c r="G907" s="919" t="s">
        <v>4042</v>
      </c>
      <c r="H907" s="919" t="s">
        <v>4895</v>
      </c>
      <c r="I907" s="919" t="s">
        <v>3693</v>
      </c>
      <c r="J907" s="919"/>
      <c r="K907" s="920">
        <v>1</v>
      </c>
      <c r="L907" s="920">
        <v>12</v>
      </c>
      <c r="M907" s="920">
        <f t="shared" si="28"/>
        <v>13800</v>
      </c>
      <c r="N907" s="919"/>
      <c r="O907" s="919"/>
      <c r="P907" s="921">
        <f t="shared" si="29"/>
        <v>0</v>
      </c>
    </row>
    <row r="908" spans="1:16" ht="20.100000000000001" customHeight="1" x14ac:dyDescent="0.25">
      <c r="A908" s="918" t="s">
        <v>471</v>
      </c>
      <c r="B908" s="944" t="s">
        <v>3901</v>
      </c>
      <c r="C908" s="919" t="s">
        <v>3902</v>
      </c>
      <c r="D908" s="919" t="s">
        <v>4895</v>
      </c>
      <c r="E908" s="920">
        <v>1150</v>
      </c>
      <c r="F908" s="919" t="s">
        <v>4041</v>
      </c>
      <c r="G908" s="919" t="s">
        <v>4042</v>
      </c>
      <c r="H908" s="919" t="s">
        <v>4895</v>
      </c>
      <c r="I908" s="919" t="s">
        <v>3693</v>
      </c>
      <c r="J908" s="919"/>
      <c r="K908" s="920">
        <v>1</v>
      </c>
      <c r="L908" s="920">
        <v>12</v>
      </c>
      <c r="M908" s="920">
        <f t="shared" si="28"/>
        <v>13800</v>
      </c>
      <c r="N908" s="919"/>
      <c r="O908" s="919"/>
      <c r="P908" s="921">
        <f t="shared" si="29"/>
        <v>0</v>
      </c>
    </row>
    <row r="909" spans="1:16" ht="20.100000000000001" customHeight="1" x14ac:dyDescent="0.25">
      <c r="A909" s="918" t="s">
        <v>471</v>
      </c>
      <c r="B909" s="944" t="s">
        <v>3901</v>
      </c>
      <c r="C909" s="919" t="s">
        <v>3902</v>
      </c>
      <c r="D909" s="919" t="s">
        <v>4895</v>
      </c>
      <c r="E909" s="920">
        <v>1150</v>
      </c>
      <c r="F909" s="919" t="s">
        <v>4041</v>
      </c>
      <c r="G909" s="919" t="s">
        <v>4042</v>
      </c>
      <c r="H909" s="919" t="s">
        <v>4895</v>
      </c>
      <c r="I909" s="919" t="s">
        <v>3693</v>
      </c>
      <c r="J909" s="919"/>
      <c r="K909" s="920">
        <v>1</v>
      </c>
      <c r="L909" s="920">
        <v>12</v>
      </c>
      <c r="M909" s="920">
        <f t="shared" si="28"/>
        <v>13800</v>
      </c>
      <c r="N909" s="919"/>
      <c r="O909" s="919"/>
      <c r="P909" s="921">
        <f t="shared" si="29"/>
        <v>0</v>
      </c>
    </row>
    <row r="910" spans="1:16" ht="20.100000000000001" customHeight="1" x14ac:dyDescent="0.25">
      <c r="A910" s="918" t="s">
        <v>471</v>
      </c>
      <c r="B910" s="944" t="s">
        <v>3901</v>
      </c>
      <c r="C910" s="919" t="s">
        <v>3902</v>
      </c>
      <c r="D910" s="919" t="s">
        <v>4895</v>
      </c>
      <c r="E910" s="920">
        <v>1150</v>
      </c>
      <c r="F910" s="919" t="s">
        <v>4041</v>
      </c>
      <c r="G910" s="919" t="s">
        <v>4042</v>
      </c>
      <c r="H910" s="919" t="s">
        <v>4895</v>
      </c>
      <c r="I910" s="919" t="s">
        <v>3693</v>
      </c>
      <c r="J910" s="919"/>
      <c r="K910" s="920">
        <v>1</v>
      </c>
      <c r="L910" s="920">
        <v>12</v>
      </c>
      <c r="M910" s="920">
        <f t="shared" si="28"/>
        <v>13800</v>
      </c>
      <c r="N910" s="919"/>
      <c r="O910" s="919"/>
      <c r="P910" s="921">
        <f t="shared" si="29"/>
        <v>0</v>
      </c>
    </row>
    <row r="911" spans="1:16" ht="20.100000000000001" customHeight="1" x14ac:dyDescent="0.25">
      <c r="A911" s="918" t="s">
        <v>471</v>
      </c>
      <c r="B911" s="944" t="s">
        <v>3901</v>
      </c>
      <c r="C911" s="919" t="s">
        <v>3902</v>
      </c>
      <c r="D911" s="919" t="s">
        <v>4895</v>
      </c>
      <c r="E911" s="920">
        <v>1150</v>
      </c>
      <c r="F911" s="919" t="s">
        <v>4041</v>
      </c>
      <c r="G911" s="919" t="s">
        <v>4042</v>
      </c>
      <c r="H911" s="919" t="s">
        <v>4895</v>
      </c>
      <c r="I911" s="919" t="s">
        <v>3693</v>
      </c>
      <c r="J911" s="919"/>
      <c r="K911" s="920">
        <v>1</v>
      </c>
      <c r="L911" s="920">
        <v>12</v>
      </c>
      <c r="M911" s="920">
        <f t="shared" si="28"/>
        <v>13800</v>
      </c>
      <c r="N911" s="919"/>
      <c r="O911" s="919"/>
      <c r="P911" s="921">
        <f t="shared" si="29"/>
        <v>0</v>
      </c>
    </row>
    <row r="912" spans="1:16" ht="20.100000000000001" customHeight="1" x14ac:dyDescent="0.25">
      <c r="A912" s="918" t="s">
        <v>471</v>
      </c>
      <c r="B912" s="944" t="s">
        <v>3901</v>
      </c>
      <c r="C912" s="919" t="s">
        <v>3902</v>
      </c>
      <c r="D912" s="919" t="s">
        <v>4895</v>
      </c>
      <c r="E912" s="920">
        <v>1150</v>
      </c>
      <c r="F912" s="919" t="s">
        <v>4041</v>
      </c>
      <c r="G912" s="919" t="s">
        <v>4042</v>
      </c>
      <c r="H912" s="919" t="s">
        <v>4895</v>
      </c>
      <c r="I912" s="919" t="s">
        <v>3693</v>
      </c>
      <c r="J912" s="919"/>
      <c r="K912" s="920">
        <v>1</v>
      </c>
      <c r="L912" s="920">
        <v>12</v>
      </c>
      <c r="M912" s="920">
        <f t="shared" si="28"/>
        <v>13800</v>
      </c>
      <c r="N912" s="919"/>
      <c r="O912" s="919"/>
      <c r="P912" s="921">
        <f t="shared" si="29"/>
        <v>0</v>
      </c>
    </row>
    <row r="913" spans="1:16" ht="20.100000000000001" customHeight="1" x14ac:dyDescent="0.25">
      <c r="A913" s="918" t="s">
        <v>471</v>
      </c>
      <c r="B913" s="944" t="s">
        <v>3901</v>
      </c>
      <c r="C913" s="919" t="s">
        <v>3902</v>
      </c>
      <c r="D913" s="919" t="s">
        <v>4895</v>
      </c>
      <c r="E913" s="920">
        <v>1150</v>
      </c>
      <c r="F913" s="919" t="s">
        <v>4041</v>
      </c>
      <c r="G913" s="919" t="s">
        <v>4062</v>
      </c>
      <c r="H913" s="919" t="s">
        <v>4895</v>
      </c>
      <c r="I913" s="919" t="s">
        <v>3693</v>
      </c>
      <c r="J913" s="919"/>
      <c r="K913" s="920">
        <v>1</v>
      </c>
      <c r="L913" s="920">
        <v>12</v>
      </c>
      <c r="M913" s="920">
        <f t="shared" si="28"/>
        <v>13800</v>
      </c>
      <c r="N913" s="919"/>
      <c r="O913" s="919"/>
      <c r="P913" s="921">
        <f t="shared" si="29"/>
        <v>0</v>
      </c>
    </row>
    <row r="914" spans="1:16" ht="20.100000000000001" customHeight="1" x14ac:dyDescent="0.25">
      <c r="A914" s="918" t="s">
        <v>471</v>
      </c>
      <c r="B914" s="944" t="s">
        <v>3901</v>
      </c>
      <c r="C914" s="919" t="s">
        <v>3902</v>
      </c>
      <c r="D914" s="919" t="s">
        <v>4895</v>
      </c>
      <c r="E914" s="920">
        <v>1150</v>
      </c>
      <c r="F914" s="919" t="s">
        <v>4041</v>
      </c>
      <c r="G914" s="919" t="s">
        <v>4062</v>
      </c>
      <c r="H914" s="919" t="s">
        <v>4895</v>
      </c>
      <c r="I914" s="919" t="s">
        <v>3693</v>
      </c>
      <c r="J914" s="919"/>
      <c r="K914" s="920">
        <v>1</v>
      </c>
      <c r="L914" s="920">
        <v>12</v>
      </c>
      <c r="M914" s="920">
        <f t="shared" si="28"/>
        <v>13800</v>
      </c>
      <c r="N914" s="919"/>
      <c r="O914" s="919"/>
      <c r="P914" s="921">
        <f t="shared" si="29"/>
        <v>0</v>
      </c>
    </row>
    <row r="915" spans="1:16" ht="20.100000000000001" customHeight="1" x14ac:dyDescent="0.25">
      <c r="A915" s="918" t="s">
        <v>471</v>
      </c>
      <c r="B915" s="944" t="s">
        <v>3901</v>
      </c>
      <c r="C915" s="919" t="s">
        <v>3902</v>
      </c>
      <c r="D915" s="919" t="s">
        <v>5520</v>
      </c>
      <c r="E915" s="920">
        <v>2500</v>
      </c>
      <c r="F915" s="919" t="s">
        <v>5521</v>
      </c>
      <c r="G915" s="919" t="s">
        <v>5522</v>
      </c>
      <c r="H915" s="919" t="s">
        <v>5520</v>
      </c>
      <c r="I915" s="919" t="s">
        <v>3679</v>
      </c>
      <c r="J915" s="919"/>
      <c r="K915" s="920"/>
      <c r="L915" s="920"/>
      <c r="M915" s="920">
        <f t="shared" si="28"/>
        <v>0</v>
      </c>
      <c r="N915" s="919">
        <v>1</v>
      </c>
      <c r="O915" s="919">
        <v>3</v>
      </c>
      <c r="P915" s="921">
        <f t="shared" si="29"/>
        <v>7500</v>
      </c>
    </row>
    <row r="916" spans="1:16" ht="20.100000000000001" customHeight="1" x14ac:dyDescent="0.25">
      <c r="A916" s="918" t="s">
        <v>471</v>
      </c>
      <c r="B916" s="944" t="s">
        <v>3901</v>
      </c>
      <c r="C916" s="919" t="s">
        <v>3902</v>
      </c>
      <c r="D916" s="919" t="s">
        <v>5520</v>
      </c>
      <c r="E916" s="920">
        <v>2500</v>
      </c>
      <c r="F916" s="919" t="s">
        <v>5523</v>
      </c>
      <c r="G916" s="919" t="s">
        <v>5524</v>
      </c>
      <c r="H916" s="919" t="s">
        <v>5520</v>
      </c>
      <c r="I916" s="919" t="s">
        <v>3679</v>
      </c>
      <c r="J916" s="919"/>
      <c r="K916" s="920"/>
      <c r="L916" s="920"/>
      <c r="M916" s="920">
        <f t="shared" si="28"/>
        <v>0</v>
      </c>
      <c r="N916" s="919">
        <v>1</v>
      </c>
      <c r="O916" s="919">
        <v>3</v>
      </c>
      <c r="P916" s="921">
        <f t="shared" si="29"/>
        <v>7500</v>
      </c>
    </row>
    <row r="917" spans="1:16" ht="20.100000000000001" customHeight="1" x14ac:dyDescent="0.25">
      <c r="A917" s="918" t="s">
        <v>471</v>
      </c>
      <c r="B917" s="944" t="s">
        <v>3901</v>
      </c>
      <c r="C917" s="919" t="s">
        <v>3902</v>
      </c>
      <c r="D917" s="919" t="s">
        <v>5520</v>
      </c>
      <c r="E917" s="920">
        <v>2500</v>
      </c>
      <c r="F917" s="919" t="s">
        <v>5525</v>
      </c>
      <c r="G917" s="919" t="s">
        <v>5526</v>
      </c>
      <c r="H917" s="919" t="s">
        <v>5520</v>
      </c>
      <c r="I917" s="919" t="s">
        <v>3679</v>
      </c>
      <c r="J917" s="919"/>
      <c r="K917" s="920"/>
      <c r="L917" s="920"/>
      <c r="M917" s="920">
        <f t="shared" si="28"/>
        <v>0</v>
      </c>
      <c r="N917" s="919">
        <v>1</v>
      </c>
      <c r="O917" s="919">
        <v>3</v>
      </c>
      <c r="P917" s="921">
        <f t="shared" si="29"/>
        <v>7500</v>
      </c>
    </row>
    <row r="918" spans="1:16" ht="20.100000000000001" customHeight="1" x14ac:dyDescent="0.25">
      <c r="A918" s="918" t="s">
        <v>471</v>
      </c>
      <c r="B918" s="944" t="s">
        <v>3901</v>
      </c>
      <c r="C918" s="919" t="s">
        <v>3902</v>
      </c>
      <c r="D918" s="919" t="s">
        <v>5520</v>
      </c>
      <c r="E918" s="920">
        <v>2500</v>
      </c>
      <c r="F918" s="919" t="s">
        <v>5527</v>
      </c>
      <c r="G918" s="919" t="s">
        <v>5528</v>
      </c>
      <c r="H918" s="919" t="s">
        <v>5520</v>
      </c>
      <c r="I918" s="919" t="s">
        <v>3679</v>
      </c>
      <c r="J918" s="919"/>
      <c r="K918" s="920"/>
      <c r="L918" s="920"/>
      <c r="M918" s="920">
        <f t="shared" si="28"/>
        <v>0</v>
      </c>
      <c r="N918" s="919">
        <v>1</v>
      </c>
      <c r="O918" s="919">
        <v>1</v>
      </c>
      <c r="P918" s="921">
        <f t="shared" si="29"/>
        <v>2500</v>
      </c>
    </row>
    <row r="919" spans="1:16" ht="20.100000000000001" customHeight="1" x14ac:dyDescent="0.25">
      <c r="A919" s="918" t="s">
        <v>471</v>
      </c>
      <c r="B919" s="944" t="s">
        <v>3901</v>
      </c>
      <c r="C919" s="919" t="s">
        <v>3902</v>
      </c>
      <c r="D919" s="919" t="s">
        <v>4253</v>
      </c>
      <c r="E919" s="920">
        <v>1600</v>
      </c>
      <c r="F919" s="919" t="s">
        <v>5529</v>
      </c>
      <c r="G919" s="919" t="s">
        <v>5530</v>
      </c>
      <c r="H919" s="919" t="s">
        <v>4253</v>
      </c>
      <c r="I919" s="919" t="s">
        <v>3679</v>
      </c>
      <c r="J919" s="919"/>
      <c r="K919" s="920"/>
      <c r="L919" s="920"/>
      <c r="M919" s="920">
        <f t="shared" si="28"/>
        <v>0</v>
      </c>
      <c r="N919" s="919">
        <v>1</v>
      </c>
      <c r="O919" s="919">
        <v>3</v>
      </c>
      <c r="P919" s="921">
        <f t="shared" si="29"/>
        <v>4800</v>
      </c>
    </row>
    <row r="920" spans="1:16" ht="20.100000000000001" customHeight="1" x14ac:dyDescent="0.25">
      <c r="A920" s="918" t="s">
        <v>471</v>
      </c>
      <c r="B920" s="944" t="s">
        <v>3901</v>
      </c>
      <c r="C920" s="919" t="s">
        <v>3902</v>
      </c>
      <c r="D920" s="919" t="s">
        <v>4253</v>
      </c>
      <c r="E920" s="920">
        <v>1600</v>
      </c>
      <c r="F920" s="919" t="s">
        <v>5531</v>
      </c>
      <c r="G920" s="919" t="s">
        <v>5532</v>
      </c>
      <c r="H920" s="919" t="s">
        <v>4253</v>
      </c>
      <c r="I920" s="919" t="s">
        <v>3679</v>
      </c>
      <c r="J920" s="919"/>
      <c r="K920" s="920"/>
      <c r="L920" s="920"/>
      <c r="M920" s="920">
        <f t="shared" si="28"/>
        <v>0</v>
      </c>
      <c r="N920" s="919">
        <v>1</v>
      </c>
      <c r="O920" s="919">
        <v>1</v>
      </c>
      <c r="P920" s="921">
        <f t="shared" si="29"/>
        <v>1600</v>
      </c>
    </row>
    <row r="921" spans="1:16" ht="20.100000000000001" customHeight="1" x14ac:dyDescent="0.25">
      <c r="A921" s="918" t="s">
        <v>471</v>
      </c>
      <c r="B921" s="944" t="s">
        <v>3901</v>
      </c>
      <c r="C921" s="919" t="s">
        <v>3902</v>
      </c>
      <c r="D921" s="919" t="s">
        <v>5533</v>
      </c>
      <c r="E921" s="920">
        <v>1600</v>
      </c>
      <c r="F921" s="919" t="s">
        <v>5534</v>
      </c>
      <c r="G921" s="919" t="s">
        <v>5535</v>
      </c>
      <c r="H921" s="919" t="s">
        <v>5533</v>
      </c>
      <c r="I921" s="919" t="s">
        <v>3679</v>
      </c>
      <c r="J921" s="919"/>
      <c r="K921" s="920"/>
      <c r="L921" s="920"/>
      <c r="M921" s="920">
        <f t="shared" si="28"/>
        <v>0</v>
      </c>
      <c r="N921" s="919">
        <v>1</v>
      </c>
      <c r="O921" s="919">
        <v>1</v>
      </c>
      <c r="P921" s="921">
        <f t="shared" si="29"/>
        <v>1600</v>
      </c>
    </row>
    <row r="922" spans="1:16" ht="20.100000000000001" customHeight="1" x14ac:dyDescent="0.25">
      <c r="A922" s="918" t="s">
        <v>471</v>
      </c>
      <c r="B922" s="944" t="s">
        <v>3901</v>
      </c>
      <c r="C922" s="919" t="s">
        <v>3902</v>
      </c>
      <c r="D922" s="919" t="s">
        <v>5533</v>
      </c>
      <c r="E922" s="920">
        <v>1600</v>
      </c>
      <c r="F922" s="919" t="s">
        <v>5536</v>
      </c>
      <c r="G922" s="919" t="s">
        <v>5537</v>
      </c>
      <c r="H922" s="919" t="s">
        <v>5533</v>
      </c>
      <c r="I922" s="919" t="s">
        <v>3679</v>
      </c>
      <c r="J922" s="919"/>
      <c r="K922" s="920"/>
      <c r="L922" s="920"/>
      <c r="M922" s="920">
        <f t="shared" si="28"/>
        <v>0</v>
      </c>
      <c r="N922" s="919">
        <v>1</v>
      </c>
      <c r="O922" s="919">
        <v>1</v>
      </c>
      <c r="P922" s="921">
        <f t="shared" si="29"/>
        <v>1600</v>
      </c>
    </row>
    <row r="923" spans="1:16" ht="20.100000000000001" customHeight="1" x14ac:dyDescent="0.25">
      <c r="A923" s="918" t="s">
        <v>471</v>
      </c>
      <c r="B923" s="944" t="s">
        <v>3901</v>
      </c>
      <c r="C923" s="919" t="s">
        <v>3902</v>
      </c>
      <c r="D923" s="919" t="s">
        <v>5538</v>
      </c>
      <c r="E923" s="920">
        <v>1600</v>
      </c>
      <c r="F923" s="919" t="s">
        <v>5539</v>
      </c>
      <c r="G923" s="919" t="s">
        <v>5540</v>
      </c>
      <c r="H923" s="919" t="s">
        <v>5538</v>
      </c>
      <c r="I923" s="919" t="s">
        <v>3679</v>
      </c>
      <c r="J923" s="919"/>
      <c r="K923" s="920"/>
      <c r="L923" s="920"/>
      <c r="M923" s="920">
        <f t="shared" si="28"/>
        <v>0</v>
      </c>
      <c r="N923" s="919">
        <v>1</v>
      </c>
      <c r="O923" s="919">
        <v>1</v>
      </c>
      <c r="P923" s="921">
        <f t="shared" si="29"/>
        <v>1600</v>
      </c>
    </row>
    <row r="924" spans="1:16" ht="20.100000000000001" customHeight="1" x14ac:dyDescent="0.25">
      <c r="A924" s="918" t="s">
        <v>471</v>
      </c>
      <c r="B924" s="944" t="s">
        <v>3901</v>
      </c>
      <c r="C924" s="919" t="s">
        <v>3902</v>
      </c>
      <c r="D924" s="919" t="s">
        <v>5538</v>
      </c>
      <c r="E924" s="920">
        <v>1600</v>
      </c>
      <c r="F924" s="919" t="s">
        <v>5541</v>
      </c>
      <c r="G924" s="919" t="s">
        <v>5542</v>
      </c>
      <c r="H924" s="919" t="s">
        <v>5538</v>
      </c>
      <c r="I924" s="919" t="s">
        <v>3679</v>
      </c>
      <c r="J924" s="919"/>
      <c r="K924" s="920"/>
      <c r="L924" s="920"/>
      <c r="M924" s="920">
        <f t="shared" si="28"/>
        <v>0</v>
      </c>
      <c r="N924" s="919">
        <v>1</v>
      </c>
      <c r="O924" s="919">
        <v>1</v>
      </c>
      <c r="P924" s="921">
        <f t="shared" si="29"/>
        <v>1600</v>
      </c>
    </row>
    <row r="925" spans="1:16" ht="20.100000000000001" customHeight="1" x14ac:dyDescent="0.25">
      <c r="A925" s="918" t="s">
        <v>471</v>
      </c>
      <c r="B925" s="944" t="s">
        <v>3901</v>
      </c>
      <c r="C925" s="919" t="s">
        <v>3902</v>
      </c>
      <c r="D925" s="919" t="s">
        <v>4886</v>
      </c>
      <c r="E925" s="920">
        <v>1700</v>
      </c>
      <c r="F925" s="919" t="s">
        <v>5543</v>
      </c>
      <c r="G925" s="919" t="s">
        <v>5544</v>
      </c>
      <c r="H925" s="919" t="s">
        <v>4886</v>
      </c>
      <c r="I925" s="919" t="s">
        <v>3679</v>
      </c>
      <c r="J925" s="919"/>
      <c r="K925" s="920"/>
      <c r="L925" s="920"/>
      <c r="M925" s="920">
        <f t="shared" si="28"/>
        <v>0</v>
      </c>
      <c r="N925" s="919">
        <v>1</v>
      </c>
      <c r="O925" s="919">
        <v>4</v>
      </c>
      <c r="P925" s="921">
        <f t="shared" si="29"/>
        <v>6800</v>
      </c>
    </row>
    <row r="926" spans="1:16" ht="20.100000000000001" customHeight="1" x14ac:dyDescent="0.25">
      <c r="A926" s="918" t="s">
        <v>471</v>
      </c>
      <c r="B926" s="944" t="s">
        <v>3901</v>
      </c>
      <c r="C926" s="919" t="s">
        <v>3902</v>
      </c>
      <c r="D926" s="919" t="s">
        <v>4886</v>
      </c>
      <c r="E926" s="920">
        <v>1700</v>
      </c>
      <c r="F926" s="919" t="s">
        <v>5545</v>
      </c>
      <c r="G926" s="919" t="s">
        <v>5546</v>
      </c>
      <c r="H926" s="919" t="s">
        <v>4886</v>
      </c>
      <c r="I926" s="919" t="s">
        <v>3679</v>
      </c>
      <c r="J926" s="919"/>
      <c r="K926" s="920"/>
      <c r="L926" s="920"/>
      <c r="M926" s="920">
        <f t="shared" si="28"/>
        <v>0</v>
      </c>
      <c r="N926" s="919">
        <v>1</v>
      </c>
      <c r="O926" s="919">
        <v>3</v>
      </c>
      <c r="P926" s="921">
        <f t="shared" si="29"/>
        <v>5100</v>
      </c>
    </row>
    <row r="927" spans="1:16" ht="20.100000000000001" customHeight="1" x14ac:dyDescent="0.25">
      <c r="A927" s="918" t="s">
        <v>471</v>
      </c>
      <c r="B927" s="944" t="s">
        <v>3901</v>
      </c>
      <c r="C927" s="919" t="s">
        <v>3902</v>
      </c>
      <c r="D927" s="919" t="s">
        <v>4886</v>
      </c>
      <c r="E927" s="920">
        <v>1700</v>
      </c>
      <c r="F927" s="919" t="s">
        <v>5547</v>
      </c>
      <c r="G927" s="919" t="s">
        <v>5548</v>
      </c>
      <c r="H927" s="919" t="s">
        <v>4886</v>
      </c>
      <c r="I927" s="919" t="s">
        <v>3679</v>
      </c>
      <c r="J927" s="919"/>
      <c r="K927" s="920"/>
      <c r="L927" s="920"/>
      <c r="M927" s="920">
        <f t="shared" si="28"/>
        <v>0</v>
      </c>
      <c r="N927" s="919">
        <v>1</v>
      </c>
      <c r="O927" s="919">
        <v>3</v>
      </c>
      <c r="P927" s="921">
        <f t="shared" si="29"/>
        <v>5100</v>
      </c>
    </row>
    <row r="928" spans="1:16" ht="20.100000000000001" customHeight="1" x14ac:dyDescent="0.25">
      <c r="A928" s="918" t="s">
        <v>471</v>
      </c>
      <c r="B928" s="944" t="s">
        <v>3901</v>
      </c>
      <c r="C928" s="919" t="s">
        <v>3902</v>
      </c>
      <c r="D928" s="919" t="s">
        <v>4886</v>
      </c>
      <c r="E928" s="920">
        <v>1700</v>
      </c>
      <c r="F928" s="919" t="s">
        <v>4041</v>
      </c>
      <c r="G928" s="919" t="s">
        <v>4042</v>
      </c>
      <c r="H928" s="919" t="s">
        <v>4886</v>
      </c>
      <c r="I928" s="919" t="s">
        <v>3679</v>
      </c>
      <c r="J928" s="919"/>
      <c r="K928" s="920">
        <v>1</v>
      </c>
      <c r="L928" s="920">
        <v>12</v>
      </c>
      <c r="M928" s="920">
        <f t="shared" si="28"/>
        <v>20400</v>
      </c>
      <c r="N928" s="919"/>
      <c r="O928" s="919"/>
      <c r="P928" s="921">
        <f t="shared" si="29"/>
        <v>0</v>
      </c>
    </row>
    <row r="929" spans="1:16" ht="20.100000000000001" customHeight="1" x14ac:dyDescent="0.25">
      <c r="A929" s="918" t="s">
        <v>471</v>
      </c>
      <c r="B929" s="944" t="s">
        <v>3901</v>
      </c>
      <c r="C929" s="919" t="s">
        <v>3902</v>
      </c>
      <c r="D929" s="919" t="s">
        <v>4886</v>
      </c>
      <c r="E929" s="920">
        <v>1700</v>
      </c>
      <c r="F929" s="919" t="s">
        <v>5549</v>
      </c>
      <c r="G929" s="919" t="s">
        <v>5550</v>
      </c>
      <c r="H929" s="919" t="s">
        <v>4886</v>
      </c>
      <c r="I929" s="919" t="s">
        <v>3679</v>
      </c>
      <c r="J929" s="919"/>
      <c r="K929" s="920"/>
      <c r="L929" s="920"/>
      <c r="M929" s="920">
        <f t="shared" si="28"/>
        <v>0</v>
      </c>
      <c r="N929" s="919">
        <v>1</v>
      </c>
      <c r="O929" s="919">
        <v>3</v>
      </c>
      <c r="P929" s="921">
        <f t="shared" si="29"/>
        <v>5100</v>
      </c>
    </row>
    <row r="930" spans="1:16" ht="20.100000000000001" customHeight="1" x14ac:dyDescent="0.25">
      <c r="A930" s="918" t="s">
        <v>471</v>
      </c>
      <c r="B930" s="944" t="s">
        <v>3901</v>
      </c>
      <c r="C930" s="919" t="s">
        <v>3902</v>
      </c>
      <c r="D930" s="919" t="s">
        <v>4886</v>
      </c>
      <c r="E930" s="920">
        <v>1700</v>
      </c>
      <c r="F930" s="919" t="s">
        <v>4041</v>
      </c>
      <c r="G930" s="919" t="s">
        <v>4042</v>
      </c>
      <c r="H930" s="919" t="s">
        <v>4886</v>
      </c>
      <c r="I930" s="919" t="s">
        <v>3679</v>
      </c>
      <c r="J930" s="919"/>
      <c r="K930" s="920">
        <v>1</v>
      </c>
      <c r="L930" s="920">
        <v>12</v>
      </c>
      <c r="M930" s="920">
        <f t="shared" si="28"/>
        <v>20400</v>
      </c>
      <c r="N930" s="919"/>
      <c r="O930" s="919"/>
      <c r="P930" s="921">
        <f t="shared" si="29"/>
        <v>0</v>
      </c>
    </row>
    <row r="931" spans="1:16" ht="20.100000000000001" customHeight="1" x14ac:dyDescent="0.25">
      <c r="A931" s="918" t="s">
        <v>471</v>
      </c>
      <c r="B931" s="944" t="s">
        <v>3901</v>
      </c>
      <c r="C931" s="919" t="s">
        <v>3902</v>
      </c>
      <c r="D931" s="919" t="s">
        <v>4886</v>
      </c>
      <c r="E931" s="920">
        <v>1700</v>
      </c>
      <c r="F931" s="919" t="s">
        <v>4041</v>
      </c>
      <c r="G931" s="919" t="s">
        <v>4042</v>
      </c>
      <c r="H931" s="919" t="s">
        <v>4886</v>
      </c>
      <c r="I931" s="919" t="s">
        <v>3679</v>
      </c>
      <c r="J931" s="919"/>
      <c r="K931" s="920">
        <v>1</v>
      </c>
      <c r="L931" s="920">
        <v>12</v>
      </c>
      <c r="M931" s="920">
        <f t="shared" si="28"/>
        <v>20400</v>
      </c>
      <c r="N931" s="919"/>
      <c r="O931" s="919"/>
      <c r="P931" s="921">
        <f t="shared" si="29"/>
        <v>0</v>
      </c>
    </row>
    <row r="932" spans="1:16" ht="20.100000000000001" customHeight="1" x14ac:dyDescent="0.25">
      <c r="A932" s="918" t="s">
        <v>471</v>
      </c>
      <c r="B932" s="944" t="s">
        <v>3901</v>
      </c>
      <c r="C932" s="919" t="s">
        <v>3902</v>
      </c>
      <c r="D932" s="919" t="s">
        <v>4886</v>
      </c>
      <c r="E932" s="920">
        <v>1700</v>
      </c>
      <c r="F932" s="919" t="s">
        <v>4041</v>
      </c>
      <c r="G932" s="919" t="s">
        <v>4042</v>
      </c>
      <c r="H932" s="919" t="s">
        <v>4886</v>
      </c>
      <c r="I932" s="919" t="s">
        <v>3679</v>
      </c>
      <c r="J932" s="919"/>
      <c r="K932" s="920">
        <v>1</v>
      </c>
      <c r="L932" s="920">
        <v>12</v>
      </c>
      <c r="M932" s="920">
        <f t="shared" si="28"/>
        <v>20400</v>
      </c>
      <c r="N932" s="919"/>
      <c r="O932" s="919"/>
      <c r="P932" s="921">
        <f t="shared" si="29"/>
        <v>0</v>
      </c>
    </row>
    <row r="933" spans="1:16" ht="20.100000000000001" customHeight="1" x14ac:dyDescent="0.25">
      <c r="A933" s="918" t="s">
        <v>471</v>
      </c>
      <c r="B933" s="944" t="s">
        <v>3901</v>
      </c>
      <c r="C933" s="919" t="s">
        <v>3902</v>
      </c>
      <c r="D933" s="919" t="s">
        <v>4886</v>
      </c>
      <c r="E933" s="920">
        <v>1700</v>
      </c>
      <c r="F933" s="919" t="s">
        <v>5551</v>
      </c>
      <c r="G933" s="919" t="s">
        <v>5552</v>
      </c>
      <c r="H933" s="919" t="s">
        <v>4886</v>
      </c>
      <c r="I933" s="919" t="s">
        <v>3679</v>
      </c>
      <c r="J933" s="919"/>
      <c r="K933" s="920"/>
      <c r="L933" s="920"/>
      <c r="M933" s="920">
        <f t="shared" si="28"/>
        <v>0</v>
      </c>
      <c r="N933" s="919">
        <v>1</v>
      </c>
      <c r="O933" s="919">
        <v>3</v>
      </c>
      <c r="P933" s="921">
        <f t="shared" si="29"/>
        <v>5100</v>
      </c>
    </row>
    <row r="934" spans="1:16" ht="20.100000000000001" customHeight="1" x14ac:dyDescent="0.25">
      <c r="A934" s="918" t="s">
        <v>471</v>
      </c>
      <c r="B934" s="944" t="s">
        <v>3901</v>
      </c>
      <c r="C934" s="919" t="s">
        <v>3902</v>
      </c>
      <c r="D934" s="919" t="s">
        <v>4886</v>
      </c>
      <c r="E934" s="920">
        <v>1700</v>
      </c>
      <c r="F934" s="919" t="s">
        <v>5553</v>
      </c>
      <c r="G934" s="919" t="s">
        <v>5554</v>
      </c>
      <c r="H934" s="919" t="s">
        <v>4886</v>
      </c>
      <c r="I934" s="919" t="s">
        <v>3679</v>
      </c>
      <c r="J934" s="919"/>
      <c r="K934" s="920"/>
      <c r="L934" s="920"/>
      <c r="M934" s="920">
        <f t="shared" si="28"/>
        <v>0</v>
      </c>
      <c r="N934" s="919">
        <v>1</v>
      </c>
      <c r="O934" s="919">
        <v>3</v>
      </c>
      <c r="P934" s="921">
        <f t="shared" si="29"/>
        <v>5100</v>
      </c>
    </row>
    <row r="935" spans="1:16" ht="20.100000000000001" customHeight="1" x14ac:dyDescent="0.25">
      <c r="A935" s="918" t="s">
        <v>471</v>
      </c>
      <c r="B935" s="944" t="s">
        <v>3901</v>
      </c>
      <c r="C935" s="919" t="s">
        <v>3902</v>
      </c>
      <c r="D935" s="919" t="s">
        <v>4886</v>
      </c>
      <c r="E935" s="920">
        <v>1700</v>
      </c>
      <c r="F935" s="919" t="s">
        <v>5555</v>
      </c>
      <c r="G935" s="919" t="s">
        <v>5556</v>
      </c>
      <c r="H935" s="919" t="s">
        <v>4886</v>
      </c>
      <c r="I935" s="919" t="s">
        <v>3679</v>
      </c>
      <c r="J935" s="919"/>
      <c r="K935" s="920"/>
      <c r="L935" s="920"/>
      <c r="M935" s="920">
        <f t="shared" si="28"/>
        <v>0</v>
      </c>
      <c r="N935" s="919">
        <v>1</v>
      </c>
      <c r="O935" s="919">
        <v>3</v>
      </c>
      <c r="P935" s="921">
        <f t="shared" si="29"/>
        <v>5100</v>
      </c>
    </row>
    <row r="936" spans="1:16" ht="20.100000000000001" customHeight="1" x14ac:dyDescent="0.25">
      <c r="A936" s="918" t="s">
        <v>471</v>
      </c>
      <c r="B936" s="944" t="s">
        <v>3901</v>
      </c>
      <c r="C936" s="919" t="s">
        <v>3902</v>
      </c>
      <c r="D936" s="919" t="s">
        <v>4886</v>
      </c>
      <c r="E936" s="920">
        <v>1700</v>
      </c>
      <c r="F936" s="919" t="s">
        <v>4041</v>
      </c>
      <c r="G936" s="919" t="s">
        <v>4042</v>
      </c>
      <c r="H936" s="919" t="s">
        <v>4886</v>
      </c>
      <c r="I936" s="919" t="s">
        <v>3679</v>
      </c>
      <c r="J936" s="919"/>
      <c r="K936" s="920">
        <v>1</v>
      </c>
      <c r="L936" s="920">
        <v>12</v>
      </c>
      <c r="M936" s="920">
        <f t="shared" si="28"/>
        <v>20400</v>
      </c>
      <c r="N936" s="919"/>
      <c r="O936" s="919"/>
      <c r="P936" s="921">
        <f t="shared" si="29"/>
        <v>0</v>
      </c>
    </row>
    <row r="937" spans="1:16" ht="20.100000000000001" customHeight="1" x14ac:dyDescent="0.25">
      <c r="A937" s="918" t="s">
        <v>471</v>
      </c>
      <c r="B937" s="944" t="s">
        <v>3901</v>
      </c>
      <c r="C937" s="919" t="s">
        <v>3902</v>
      </c>
      <c r="D937" s="919" t="s">
        <v>4886</v>
      </c>
      <c r="E937" s="920">
        <v>1700</v>
      </c>
      <c r="F937" s="919" t="s">
        <v>4041</v>
      </c>
      <c r="G937" s="919" t="s">
        <v>4042</v>
      </c>
      <c r="H937" s="919" t="s">
        <v>4886</v>
      </c>
      <c r="I937" s="919" t="s">
        <v>3679</v>
      </c>
      <c r="J937" s="919"/>
      <c r="K937" s="920">
        <v>1</v>
      </c>
      <c r="L937" s="920">
        <v>12</v>
      </c>
      <c r="M937" s="920">
        <f t="shared" si="28"/>
        <v>20400</v>
      </c>
      <c r="N937" s="919"/>
      <c r="O937" s="919"/>
      <c r="P937" s="921">
        <f t="shared" si="29"/>
        <v>0</v>
      </c>
    </row>
    <row r="938" spans="1:16" ht="20.100000000000001" customHeight="1" x14ac:dyDescent="0.25">
      <c r="A938" s="918" t="s">
        <v>471</v>
      </c>
      <c r="B938" s="944" t="s">
        <v>3901</v>
      </c>
      <c r="C938" s="919" t="s">
        <v>3902</v>
      </c>
      <c r="D938" s="919" t="s">
        <v>4886</v>
      </c>
      <c r="E938" s="920">
        <v>1700</v>
      </c>
      <c r="F938" s="919" t="s">
        <v>4041</v>
      </c>
      <c r="G938" s="919" t="s">
        <v>4042</v>
      </c>
      <c r="H938" s="919" t="s">
        <v>4886</v>
      </c>
      <c r="I938" s="919" t="s">
        <v>3679</v>
      </c>
      <c r="J938" s="919"/>
      <c r="K938" s="920">
        <v>1</v>
      </c>
      <c r="L938" s="920">
        <v>12</v>
      </c>
      <c r="M938" s="920">
        <f t="shared" si="28"/>
        <v>20400</v>
      </c>
      <c r="N938" s="919"/>
      <c r="O938" s="919"/>
      <c r="P938" s="921">
        <f t="shared" si="29"/>
        <v>0</v>
      </c>
    </row>
    <row r="939" spans="1:16" ht="20.100000000000001" customHeight="1" x14ac:dyDescent="0.25">
      <c r="A939" s="918" t="s">
        <v>471</v>
      </c>
      <c r="B939" s="944" t="s">
        <v>3901</v>
      </c>
      <c r="C939" s="919" t="s">
        <v>3902</v>
      </c>
      <c r="D939" s="919" t="s">
        <v>4886</v>
      </c>
      <c r="E939" s="920">
        <v>1700</v>
      </c>
      <c r="F939" s="919" t="s">
        <v>4041</v>
      </c>
      <c r="G939" s="919" t="s">
        <v>4042</v>
      </c>
      <c r="H939" s="919" t="s">
        <v>4886</v>
      </c>
      <c r="I939" s="919" t="s">
        <v>3679</v>
      </c>
      <c r="J939" s="919"/>
      <c r="K939" s="920">
        <v>1</v>
      </c>
      <c r="L939" s="920">
        <v>12</v>
      </c>
      <c r="M939" s="920">
        <f t="shared" si="28"/>
        <v>20400</v>
      </c>
      <c r="N939" s="919"/>
      <c r="O939" s="919"/>
      <c r="P939" s="921">
        <f t="shared" si="29"/>
        <v>0</v>
      </c>
    </row>
    <row r="940" spans="1:16" ht="20.100000000000001" customHeight="1" x14ac:dyDescent="0.25">
      <c r="A940" s="918" t="s">
        <v>471</v>
      </c>
      <c r="B940" s="944" t="s">
        <v>3901</v>
      </c>
      <c r="C940" s="919" t="s">
        <v>3902</v>
      </c>
      <c r="D940" s="919" t="s">
        <v>4886</v>
      </c>
      <c r="E940" s="920">
        <v>1700</v>
      </c>
      <c r="F940" s="919" t="s">
        <v>5557</v>
      </c>
      <c r="G940" s="919" t="s">
        <v>5558</v>
      </c>
      <c r="H940" s="919" t="s">
        <v>4886</v>
      </c>
      <c r="I940" s="919" t="s">
        <v>3679</v>
      </c>
      <c r="J940" s="919"/>
      <c r="K940" s="920"/>
      <c r="L940" s="920"/>
      <c r="M940" s="920">
        <f t="shared" si="28"/>
        <v>0</v>
      </c>
      <c r="N940" s="919">
        <v>1</v>
      </c>
      <c r="O940" s="919">
        <v>1</v>
      </c>
      <c r="P940" s="921">
        <f t="shared" si="29"/>
        <v>1700</v>
      </c>
    </row>
    <row r="941" spans="1:16" ht="20.100000000000001" customHeight="1" x14ac:dyDescent="0.25">
      <c r="A941" s="918" t="s">
        <v>471</v>
      </c>
      <c r="B941" s="944" t="s">
        <v>3901</v>
      </c>
      <c r="C941" s="919" t="s">
        <v>3902</v>
      </c>
      <c r="D941" s="919" t="s">
        <v>4886</v>
      </c>
      <c r="E941" s="920">
        <v>1700</v>
      </c>
      <c r="F941" s="919" t="s">
        <v>5559</v>
      </c>
      <c r="G941" s="919" t="s">
        <v>5560</v>
      </c>
      <c r="H941" s="919" t="s">
        <v>4886</v>
      </c>
      <c r="I941" s="919" t="s">
        <v>3679</v>
      </c>
      <c r="J941" s="919"/>
      <c r="K941" s="920"/>
      <c r="L941" s="920"/>
      <c r="M941" s="920">
        <f t="shared" si="28"/>
        <v>0</v>
      </c>
      <c r="N941" s="919">
        <v>1</v>
      </c>
      <c r="O941" s="919">
        <v>1</v>
      </c>
      <c r="P941" s="921">
        <f t="shared" si="29"/>
        <v>1700</v>
      </c>
    </row>
    <row r="942" spans="1:16" ht="20.100000000000001" customHeight="1" x14ac:dyDescent="0.25">
      <c r="A942" s="918" t="s">
        <v>471</v>
      </c>
      <c r="B942" s="944" t="s">
        <v>3901</v>
      </c>
      <c r="C942" s="919" t="s">
        <v>3902</v>
      </c>
      <c r="D942" s="919" t="s">
        <v>4886</v>
      </c>
      <c r="E942" s="920">
        <v>1700</v>
      </c>
      <c r="F942" s="919" t="s">
        <v>5561</v>
      </c>
      <c r="G942" s="919" t="s">
        <v>5562</v>
      </c>
      <c r="H942" s="919" t="s">
        <v>4886</v>
      </c>
      <c r="I942" s="919" t="s">
        <v>3679</v>
      </c>
      <c r="J942" s="919"/>
      <c r="K942" s="920"/>
      <c r="L942" s="920"/>
      <c r="M942" s="920">
        <f t="shared" si="28"/>
        <v>0</v>
      </c>
      <c r="N942" s="919">
        <v>1</v>
      </c>
      <c r="O942" s="919">
        <v>1</v>
      </c>
      <c r="P942" s="921">
        <f t="shared" si="29"/>
        <v>1700</v>
      </c>
    </row>
    <row r="943" spans="1:16" ht="20.100000000000001" customHeight="1" x14ac:dyDescent="0.25">
      <c r="A943" s="918" t="s">
        <v>471</v>
      </c>
      <c r="B943" s="944" t="s">
        <v>3901</v>
      </c>
      <c r="C943" s="919" t="s">
        <v>3902</v>
      </c>
      <c r="D943" s="919" t="s">
        <v>4895</v>
      </c>
      <c r="E943" s="920">
        <v>1150</v>
      </c>
      <c r="F943" s="919" t="s">
        <v>5563</v>
      </c>
      <c r="G943" s="919" t="s">
        <v>5564</v>
      </c>
      <c r="H943" s="919" t="s">
        <v>4895</v>
      </c>
      <c r="I943" s="919" t="s">
        <v>3693</v>
      </c>
      <c r="J943" s="919"/>
      <c r="K943" s="920"/>
      <c r="L943" s="920"/>
      <c r="M943" s="920">
        <f t="shared" si="28"/>
        <v>0</v>
      </c>
      <c r="N943" s="919">
        <v>1</v>
      </c>
      <c r="O943" s="919">
        <v>1</v>
      </c>
      <c r="P943" s="921">
        <f t="shared" si="29"/>
        <v>1150</v>
      </c>
    </row>
    <row r="944" spans="1:16" ht="20.100000000000001" customHeight="1" x14ac:dyDescent="0.25">
      <c r="A944" s="918" t="s">
        <v>471</v>
      </c>
      <c r="B944" s="944" t="s">
        <v>3901</v>
      </c>
      <c r="C944" s="919" t="s">
        <v>3902</v>
      </c>
      <c r="D944" s="919" t="s">
        <v>4895</v>
      </c>
      <c r="E944" s="920">
        <v>1150</v>
      </c>
      <c r="F944" s="919" t="s">
        <v>4041</v>
      </c>
      <c r="G944" s="919" t="s">
        <v>4042</v>
      </c>
      <c r="H944" s="919" t="s">
        <v>4895</v>
      </c>
      <c r="I944" s="919" t="s">
        <v>3693</v>
      </c>
      <c r="J944" s="919"/>
      <c r="K944" s="920">
        <v>1</v>
      </c>
      <c r="L944" s="920">
        <v>12</v>
      </c>
      <c r="M944" s="920">
        <f t="shared" si="28"/>
        <v>13800</v>
      </c>
      <c r="N944" s="919"/>
      <c r="O944" s="919"/>
      <c r="P944" s="921">
        <f t="shared" si="29"/>
        <v>0</v>
      </c>
    </row>
    <row r="945" spans="1:16" ht="20.100000000000001" customHeight="1" x14ac:dyDescent="0.25">
      <c r="A945" s="918" t="s">
        <v>471</v>
      </c>
      <c r="B945" s="944" t="s">
        <v>3901</v>
      </c>
      <c r="C945" s="919" t="s">
        <v>3902</v>
      </c>
      <c r="D945" s="919" t="s">
        <v>4895</v>
      </c>
      <c r="E945" s="920">
        <v>1150</v>
      </c>
      <c r="F945" s="919" t="s">
        <v>5565</v>
      </c>
      <c r="G945" s="919" t="s">
        <v>5566</v>
      </c>
      <c r="H945" s="919" t="s">
        <v>4895</v>
      </c>
      <c r="I945" s="919" t="s">
        <v>3693</v>
      </c>
      <c r="J945" s="919"/>
      <c r="K945" s="920"/>
      <c r="L945" s="920"/>
      <c r="M945" s="920">
        <f t="shared" si="28"/>
        <v>0</v>
      </c>
      <c r="N945" s="919">
        <v>1</v>
      </c>
      <c r="O945" s="919">
        <v>1</v>
      </c>
      <c r="P945" s="921">
        <f t="shared" si="29"/>
        <v>1150</v>
      </c>
    </row>
    <row r="946" spans="1:16" ht="20.100000000000001" customHeight="1" x14ac:dyDescent="0.25">
      <c r="A946" s="918" t="s">
        <v>471</v>
      </c>
      <c r="B946" s="944" t="s">
        <v>3901</v>
      </c>
      <c r="C946" s="919" t="s">
        <v>3902</v>
      </c>
      <c r="D946" s="919" t="s">
        <v>4895</v>
      </c>
      <c r="E946" s="920">
        <v>1150</v>
      </c>
      <c r="F946" s="919" t="s">
        <v>4041</v>
      </c>
      <c r="G946" s="919" t="s">
        <v>4042</v>
      </c>
      <c r="H946" s="919" t="s">
        <v>4895</v>
      </c>
      <c r="I946" s="919" t="s">
        <v>3693</v>
      </c>
      <c r="J946" s="919"/>
      <c r="K946" s="920">
        <v>1</v>
      </c>
      <c r="L946" s="920">
        <v>12</v>
      </c>
      <c r="M946" s="920">
        <f t="shared" si="28"/>
        <v>13800</v>
      </c>
      <c r="N946" s="919"/>
      <c r="O946" s="919"/>
      <c r="P946" s="921">
        <f t="shared" si="29"/>
        <v>0</v>
      </c>
    </row>
    <row r="947" spans="1:16" ht="20.100000000000001" customHeight="1" x14ac:dyDescent="0.25">
      <c r="A947" s="918" t="s">
        <v>471</v>
      </c>
      <c r="B947" s="944" t="s">
        <v>3901</v>
      </c>
      <c r="C947" s="919" t="s">
        <v>3902</v>
      </c>
      <c r="D947" s="919" t="s">
        <v>5567</v>
      </c>
      <c r="E947" s="920">
        <v>1150</v>
      </c>
      <c r="F947" s="919" t="s">
        <v>5568</v>
      </c>
      <c r="G947" s="919" t="s">
        <v>5569</v>
      </c>
      <c r="H947" s="919" t="s">
        <v>5567</v>
      </c>
      <c r="I947" s="919" t="s">
        <v>3693</v>
      </c>
      <c r="J947" s="919"/>
      <c r="K947" s="920"/>
      <c r="L947" s="920"/>
      <c r="M947" s="920">
        <f t="shared" si="28"/>
        <v>0</v>
      </c>
      <c r="N947" s="919">
        <v>1</v>
      </c>
      <c r="O947" s="919">
        <v>3</v>
      </c>
      <c r="P947" s="921">
        <f t="shared" si="29"/>
        <v>3450</v>
      </c>
    </row>
    <row r="948" spans="1:16" ht="20.100000000000001" customHeight="1" x14ac:dyDescent="0.25">
      <c r="A948" s="918" t="s">
        <v>471</v>
      </c>
      <c r="B948" s="944" t="s">
        <v>3901</v>
      </c>
      <c r="C948" s="919" t="s">
        <v>3902</v>
      </c>
      <c r="D948" s="919" t="s">
        <v>5570</v>
      </c>
      <c r="E948" s="920">
        <v>1150</v>
      </c>
      <c r="F948" s="919" t="s">
        <v>5571</v>
      </c>
      <c r="G948" s="919" t="s">
        <v>5572</v>
      </c>
      <c r="H948" s="919" t="s">
        <v>5570</v>
      </c>
      <c r="I948" s="919" t="s">
        <v>3693</v>
      </c>
      <c r="J948" s="919"/>
      <c r="K948" s="920"/>
      <c r="L948" s="920"/>
      <c r="M948" s="920">
        <f t="shared" si="28"/>
        <v>0</v>
      </c>
      <c r="N948" s="919">
        <v>1</v>
      </c>
      <c r="O948" s="919">
        <v>3</v>
      </c>
      <c r="P948" s="921">
        <f t="shared" si="29"/>
        <v>3450</v>
      </c>
    </row>
    <row r="949" spans="1:16" ht="20.100000000000001" customHeight="1" x14ac:dyDescent="0.25">
      <c r="A949" s="918" t="s">
        <v>471</v>
      </c>
      <c r="B949" s="944" t="s">
        <v>3901</v>
      </c>
      <c r="C949" s="919" t="s">
        <v>3902</v>
      </c>
      <c r="D949" s="919" t="s">
        <v>5570</v>
      </c>
      <c r="E949" s="920">
        <v>1150</v>
      </c>
      <c r="F949" s="919" t="s">
        <v>5573</v>
      </c>
      <c r="G949" s="919" t="s">
        <v>5574</v>
      </c>
      <c r="H949" s="919" t="s">
        <v>5570</v>
      </c>
      <c r="I949" s="919" t="s">
        <v>3693</v>
      </c>
      <c r="J949" s="919"/>
      <c r="K949" s="920"/>
      <c r="L949" s="920"/>
      <c r="M949" s="920">
        <f t="shared" si="28"/>
        <v>0</v>
      </c>
      <c r="N949" s="919">
        <v>1</v>
      </c>
      <c r="O949" s="919">
        <v>3</v>
      </c>
      <c r="P949" s="921">
        <f t="shared" si="29"/>
        <v>3450</v>
      </c>
    </row>
    <row r="950" spans="1:16" ht="20.100000000000001" customHeight="1" x14ac:dyDescent="0.25">
      <c r="A950" s="918" t="s">
        <v>471</v>
      </c>
      <c r="B950" s="944" t="s">
        <v>3901</v>
      </c>
      <c r="C950" s="919" t="s">
        <v>3902</v>
      </c>
      <c r="D950" s="919" t="s">
        <v>5570</v>
      </c>
      <c r="E950" s="920">
        <v>1150</v>
      </c>
      <c r="F950" s="919" t="s">
        <v>5575</v>
      </c>
      <c r="G950" s="919" t="s">
        <v>5576</v>
      </c>
      <c r="H950" s="919" t="s">
        <v>5570</v>
      </c>
      <c r="I950" s="919" t="s">
        <v>3693</v>
      </c>
      <c r="J950" s="919"/>
      <c r="K950" s="920"/>
      <c r="L950" s="920"/>
      <c r="M950" s="920">
        <f t="shared" si="28"/>
        <v>0</v>
      </c>
      <c r="N950" s="919">
        <v>1</v>
      </c>
      <c r="O950" s="919">
        <v>3</v>
      </c>
      <c r="P950" s="921">
        <f t="shared" si="29"/>
        <v>3450</v>
      </c>
    </row>
    <row r="951" spans="1:16" ht="20.100000000000001" customHeight="1" x14ac:dyDescent="0.25">
      <c r="A951" s="918" t="s">
        <v>471</v>
      </c>
      <c r="B951" s="944" t="s">
        <v>3901</v>
      </c>
      <c r="C951" s="919" t="s">
        <v>3902</v>
      </c>
      <c r="D951" s="919" t="s">
        <v>4886</v>
      </c>
      <c r="E951" s="920">
        <v>2300</v>
      </c>
      <c r="F951" s="919" t="s">
        <v>5577</v>
      </c>
      <c r="G951" s="919" t="s">
        <v>5578</v>
      </c>
      <c r="H951" s="919" t="s">
        <v>4886</v>
      </c>
      <c r="I951" s="919" t="s">
        <v>3679</v>
      </c>
      <c r="J951" s="919"/>
      <c r="K951" s="920"/>
      <c r="L951" s="920"/>
      <c r="M951" s="920">
        <f t="shared" si="28"/>
        <v>0</v>
      </c>
      <c r="N951" s="919">
        <v>1</v>
      </c>
      <c r="O951" s="919">
        <v>1</v>
      </c>
      <c r="P951" s="921">
        <f t="shared" si="29"/>
        <v>2300</v>
      </c>
    </row>
    <row r="952" spans="1:16" ht="20.100000000000001" customHeight="1" x14ac:dyDescent="0.25">
      <c r="A952" s="918" t="s">
        <v>471</v>
      </c>
      <c r="B952" s="944" t="s">
        <v>3901</v>
      </c>
      <c r="C952" s="919" t="s">
        <v>3902</v>
      </c>
      <c r="D952" s="919" t="s">
        <v>4886</v>
      </c>
      <c r="E952" s="920">
        <v>2300</v>
      </c>
      <c r="F952" s="919" t="s">
        <v>5579</v>
      </c>
      <c r="G952" s="919" t="s">
        <v>5580</v>
      </c>
      <c r="H952" s="919" t="s">
        <v>4886</v>
      </c>
      <c r="I952" s="919" t="s">
        <v>3679</v>
      </c>
      <c r="J952" s="919"/>
      <c r="K952" s="920"/>
      <c r="L952" s="920"/>
      <c r="M952" s="920">
        <f t="shared" si="28"/>
        <v>0</v>
      </c>
      <c r="N952" s="919">
        <v>1</v>
      </c>
      <c r="O952" s="919">
        <v>1</v>
      </c>
      <c r="P952" s="921">
        <f t="shared" si="29"/>
        <v>2300</v>
      </c>
    </row>
    <row r="953" spans="1:16" ht="20.100000000000001" customHeight="1" x14ac:dyDescent="0.25">
      <c r="A953" s="918" t="s">
        <v>471</v>
      </c>
      <c r="B953" s="944" t="s">
        <v>3901</v>
      </c>
      <c r="C953" s="919" t="s">
        <v>3902</v>
      </c>
      <c r="D953" s="919" t="s">
        <v>4886</v>
      </c>
      <c r="E953" s="920">
        <v>2300</v>
      </c>
      <c r="F953" s="919" t="s">
        <v>5581</v>
      </c>
      <c r="G953" s="919" t="s">
        <v>5582</v>
      </c>
      <c r="H953" s="919" t="s">
        <v>4886</v>
      </c>
      <c r="I953" s="919" t="s">
        <v>3679</v>
      </c>
      <c r="J953" s="919"/>
      <c r="K953" s="920"/>
      <c r="L953" s="920"/>
      <c r="M953" s="920">
        <f t="shared" si="28"/>
        <v>0</v>
      </c>
      <c r="N953" s="919">
        <v>1</v>
      </c>
      <c r="O953" s="919">
        <v>1</v>
      </c>
      <c r="P953" s="921">
        <f t="shared" si="29"/>
        <v>2300</v>
      </c>
    </row>
    <row r="954" spans="1:16" ht="20.100000000000001" customHeight="1" x14ac:dyDescent="0.25">
      <c r="A954" s="918" t="s">
        <v>471</v>
      </c>
      <c r="B954" s="944" t="s">
        <v>3901</v>
      </c>
      <c r="C954" s="919" t="s">
        <v>3902</v>
      </c>
      <c r="D954" s="919" t="s">
        <v>4886</v>
      </c>
      <c r="E954" s="920">
        <v>2300</v>
      </c>
      <c r="F954" s="919" t="s">
        <v>5583</v>
      </c>
      <c r="G954" s="919" t="s">
        <v>5584</v>
      </c>
      <c r="H954" s="919" t="s">
        <v>4886</v>
      </c>
      <c r="I954" s="919" t="s">
        <v>3679</v>
      </c>
      <c r="J954" s="919"/>
      <c r="K954" s="920"/>
      <c r="L954" s="920"/>
      <c r="M954" s="920">
        <f t="shared" si="28"/>
        <v>0</v>
      </c>
      <c r="N954" s="919">
        <v>1</v>
      </c>
      <c r="O954" s="919">
        <v>1</v>
      </c>
      <c r="P954" s="921">
        <f t="shared" si="29"/>
        <v>2300</v>
      </c>
    </row>
    <row r="955" spans="1:16" ht="20.100000000000001" customHeight="1" x14ac:dyDescent="0.25">
      <c r="A955" s="918" t="s">
        <v>471</v>
      </c>
      <c r="B955" s="944" t="s">
        <v>3901</v>
      </c>
      <c r="C955" s="919" t="s">
        <v>3902</v>
      </c>
      <c r="D955" s="919" t="s">
        <v>4502</v>
      </c>
      <c r="E955" s="920">
        <v>1150</v>
      </c>
      <c r="F955" s="919" t="s">
        <v>5585</v>
      </c>
      <c r="G955" s="919" t="s">
        <v>5586</v>
      </c>
      <c r="H955" s="919" t="s">
        <v>4502</v>
      </c>
      <c r="I955" s="919" t="s">
        <v>3686</v>
      </c>
      <c r="J955" s="919"/>
      <c r="K955" s="920"/>
      <c r="L955" s="920"/>
      <c r="M955" s="920">
        <f t="shared" si="28"/>
        <v>0</v>
      </c>
      <c r="N955" s="919">
        <v>1</v>
      </c>
      <c r="O955" s="919">
        <v>6</v>
      </c>
      <c r="P955" s="921">
        <f t="shared" si="29"/>
        <v>6900</v>
      </c>
    </row>
    <row r="956" spans="1:16" ht="20.100000000000001" customHeight="1" x14ac:dyDescent="0.25">
      <c r="A956" s="918" t="s">
        <v>471</v>
      </c>
      <c r="B956" s="944" t="s">
        <v>3901</v>
      </c>
      <c r="C956" s="919" t="s">
        <v>3902</v>
      </c>
      <c r="D956" s="919" t="s">
        <v>4502</v>
      </c>
      <c r="E956" s="920">
        <v>1150</v>
      </c>
      <c r="F956" s="919" t="s">
        <v>5587</v>
      </c>
      <c r="G956" s="919" t="s">
        <v>5588</v>
      </c>
      <c r="H956" s="919" t="s">
        <v>4502</v>
      </c>
      <c r="I956" s="919" t="s">
        <v>3686</v>
      </c>
      <c r="J956" s="919"/>
      <c r="K956" s="920"/>
      <c r="L956" s="920"/>
      <c r="M956" s="920">
        <f t="shared" si="28"/>
        <v>0</v>
      </c>
      <c r="N956" s="919">
        <v>1</v>
      </c>
      <c r="O956" s="919">
        <v>6</v>
      </c>
      <c r="P956" s="921">
        <f t="shared" si="29"/>
        <v>6900</v>
      </c>
    </row>
    <row r="957" spans="1:16" ht="20.100000000000001" customHeight="1" x14ac:dyDescent="0.25">
      <c r="A957" s="918" t="s">
        <v>471</v>
      </c>
      <c r="B957" s="944" t="s">
        <v>3901</v>
      </c>
      <c r="C957" s="919" t="s">
        <v>3902</v>
      </c>
      <c r="D957" s="919" t="s">
        <v>4502</v>
      </c>
      <c r="E957" s="920">
        <v>1150</v>
      </c>
      <c r="F957" s="919" t="s">
        <v>5589</v>
      </c>
      <c r="G957" s="919" t="s">
        <v>5590</v>
      </c>
      <c r="H957" s="919" t="s">
        <v>4502</v>
      </c>
      <c r="I957" s="919" t="s">
        <v>3686</v>
      </c>
      <c r="J957" s="919"/>
      <c r="K957" s="920"/>
      <c r="L957" s="920"/>
      <c r="M957" s="920">
        <f t="shared" si="28"/>
        <v>0</v>
      </c>
      <c r="N957" s="919">
        <v>1</v>
      </c>
      <c r="O957" s="919">
        <v>6</v>
      </c>
      <c r="P957" s="921">
        <f t="shared" si="29"/>
        <v>6900</v>
      </c>
    </row>
    <row r="958" spans="1:16" ht="20.100000000000001" customHeight="1" x14ac:dyDescent="0.25">
      <c r="A958" s="918" t="s">
        <v>471</v>
      </c>
      <c r="B958" s="944" t="s">
        <v>3901</v>
      </c>
      <c r="C958" s="919" t="s">
        <v>3902</v>
      </c>
      <c r="D958" s="919" t="s">
        <v>4502</v>
      </c>
      <c r="E958" s="920">
        <v>1150</v>
      </c>
      <c r="F958" s="919" t="s">
        <v>5591</v>
      </c>
      <c r="G958" s="919" t="s">
        <v>5592</v>
      </c>
      <c r="H958" s="919" t="s">
        <v>4502</v>
      </c>
      <c r="I958" s="919" t="s">
        <v>3686</v>
      </c>
      <c r="J958" s="919"/>
      <c r="K958" s="920"/>
      <c r="L958" s="920"/>
      <c r="M958" s="920">
        <f t="shared" si="28"/>
        <v>0</v>
      </c>
      <c r="N958" s="919">
        <v>1</v>
      </c>
      <c r="O958" s="919">
        <v>5</v>
      </c>
      <c r="P958" s="921">
        <f t="shared" si="29"/>
        <v>5750</v>
      </c>
    </row>
    <row r="959" spans="1:16" ht="20.100000000000001" customHeight="1" x14ac:dyDescent="0.25">
      <c r="A959" s="918" t="s">
        <v>471</v>
      </c>
      <c r="B959" s="944" t="s">
        <v>3901</v>
      </c>
      <c r="C959" s="919" t="s">
        <v>3902</v>
      </c>
      <c r="D959" s="919" t="s">
        <v>4502</v>
      </c>
      <c r="E959" s="920">
        <v>1150</v>
      </c>
      <c r="F959" s="919" t="s">
        <v>5593</v>
      </c>
      <c r="G959" s="919" t="s">
        <v>5594</v>
      </c>
      <c r="H959" s="919" t="s">
        <v>4502</v>
      </c>
      <c r="I959" s="919" t="s">
        <v>3686</v>
      </c>
      <c r="J959" s="919"/>
      <c r="K959" s="920"/>
      <c r="L959" s="920"/>
      <c r="M959" s="920">
        <f t="shared" si="28"/>
        <v>0</v>
      </c>
      <c r="N959" s="919">
        <v>1</v>
      </c>
      <c r="O959" s="919">
        <v>5</v>
      </c>
      <c r="P959" s="921">
        <f t="shared" si="29"/>
        <v>5750</v>
      </c>
    </row>
    <row r="960" spans="1:16" ht="20.100000000000001" customHeight="1" x14ac:dyDescent="0.25">
      <c r="A960" s="918" t="s">
        <v>471</v>
      </c>
      <c r="B960" s="944" t="s">
        <v>3901</v>
      </c>
      <c r="C960" s="919" t="s">
        <v>3902</v>
      </c>
      <c r="D960" s="919" t="s">
        <v>4502</v>
      </c>
      <c r="E960" s="920">
        <v>1150</v>
      </c>
      <c r="F960" s="919" t="s">
        <v>5595</v>
      </c>
      <c r="G960" s="919" t="s">
        <v>5596</v>
      </c>
      <c r="H960" s="919" t="s">
        <v>4502</v>
      </c>
      <c r="I960" s="919" t="s">
        <v>3686</v>
      </c>
      <c r="J960" s="919"/>
      <c r="K960" s="920"/>
      <c r="L960" s="920"/>
      <c r="M960" s="920">
        <f t="shared" si="28"/>
        <v>0</v>
      </c>
      <c r="N960" s="919">
        <v>1</v>
      </c>
      <c r="O960" s="919">
        <v>5</v>
      </c>
      <c r="P960" s="921">
        <f t="shared" si="29"/>
        <v>5750</v>
      </c>
    </row>
    <row r="961" spans="1:16" ht="20.100000000000001" customHeight="1" x14ac:dyDescent="0.25">
      <c r="A961" s="918" t="s">
        <v>471</v>
      </c>
      <c r="B961" s="944" t="s">
        <v>3901</v>
      </c>
      <c r="C961" s="919" t="s">
        <v>3902</v>
      </c>
      <c r="D961" s="919" t="s">
        <v>4502</v>
      </c>
      <c r="E961" s="920">
        <v>1150</v>
      </c>
      <c r="F961" s="919" t="s">
        <v>5597</v>
      </c>
      <c r="G961" s="919" t="s">
        <v>5598</v>
      </c>
      <c r="H961" s="919" t="s">
        <v>4502</v>
      </c>
      <c r="I961" s="919" t="s">
        <v>3686</v>
      </c>
      <c r="J961" s="919"/>
      <c r="K961" s="920"/>
      <c r="L961" s="920"/>
      <c r="M961" s="920">
        <f t="shared" si="28"/>
        <v>0</v>
      </c>
      <c r="N961" s="919">
        <v>1</v>
      </c>
      <c r="O961" s="919">
        <v>5</v>
      </c>
      <c r="P961" s="921">
        <f t="shared" si="29"/>
        <v>5750</v>
      </c>
    </row>
    <row r="962" spans="1:16" ht="20.100000000000001" customHeight="1" x14ac:dyDescent="0.25">
      <c r="A962" s="918" t="s">
        <v>471</v>
      </c>
      <c r="B962" s="944" t="s">
        <v>3901</v>
      </c>
      <c r="C962" s="919" t="s">
        <v>3902</v>
      </c>
      <c r="D962" s="919" t="s">
        <v>4502</v>
      </c>
      <c r="E962" s="920">
        <v>1150</v>
      </c>
      <c r="F962" s="919" t="s">
        <v>5599</v>
      </c>
      <c r="G962" s="919" t="s">
        <v>5600</v>
      </c>
      <c r="H962" s="919" t="s">
        <v>4502</v>
      </c>
      <c r="I962" s="919" t="s">
        <v>3686</v>
      </c>
      <c r="J962" s="919"/>
      <c r="K962" s="920"/>
      <c r="L962" s="920"/>
      <c r="M962" s="920">
        <f t="shared" si="28"/>
        <v>0</v>
      </c>
      <c r="N962" s="919">
        <v>1</v>
      </c>
      <c r="O962" s="919">
        <v>5</v>
      </c>
      <c r="P962" s="921">
        <f t="shared" si="29"/>
        <v>5750</v>
      </c>
    </row>
    <row r="963" spans="1:16" ht="20.100000000000001" customHeight="1" x14ac:dyDescent="0.25">
      <c r="A963" s="918" t="s">
        <v>471</v>
      </c>
      <c r="B963" s="944" t="s">
        <v>3901</v>
      </c>
      <c r="C963" s="919" t="s">
        <v>3902</v>
      </c>
      <c r="D963" s="919" t="s">
        <v>4502</v>
      </c>
      <c r="E963" s="920">
        <v>1150</v>
      </c>
      <c r="F963" s="919" t="s">
        <v>5601</v>
      </c>
      <c r="G963" s="919" t="s">
        <v>5602</v>
      </c>
      <c r="H963" s="919" t="s">
        <v>4502</v>
      </c>
      <c r="I963" s="919" t="s">
        <v>3686</v>
      </c>
      <c r="J963" s="919"/>
      <c r="K963" s="920"/>
      <c r="L963" s="920"/>
      <c r="M963" s="920">
        <f t="shared" si="28"/>
        <v>0</v>
      </c>
      <c r="N963" s="919">
        <v>1</v>
      </c>
      <c r="O963" s="919">
        <v>5</v>
      </c>
      <c r="P963" s="921">
        <f t="shared" si="29"/>
        <v>5750</v>
      </c>
    </row>
    <row r="964" spans="1:16" ht="20.100000000000001" customHeight="1" x14ac:dyDescent="0.25">
      <c r="A964" s="918" t="s">
        <v>471</v>
      </c>
      <c r="B964" s="944" t="s">
        <v>3901</v>
      </c>
      <c r="C964" s="919" t="s">
        <v>3902</v>
      </c>
      <c r="D964" s="919" t="s">
        <v>4502</v>
      </c>
      <c r="E964" s="920">
        <v>1150</v>
      </c>
      <c r="F964" s="919" t="s">
        <v>5603</v>
      </c>
      <c r="G964" s="919" t="s">
        <v>5604</v>
      </c>
      <c r="H964" s="919" t="s">
        <v>4502</v>
      </c>
      <c r="I964" s="919" t="s">
        <v>3686</v>
      </c>
      <c r="J964" s="919"/>
      <c r="K964" s="920"/>
      <c r="L964" s="920"/>
      <c r="M964" s="920">
        <f t="shared" si="28"/>
        <v>0</v>
      </c>
      <c r="N964" s="919">
        <v>1</v>
      </c>
      <c r="O964" s="919">
        <v>5</v>
      </c>
      <c r="P964" s="921">
        <f t="shared" si="29"/>
        <v>5750</v>
      </c>
    </row>
    <row r="965" spans="1:16" ht="20.100000000000001" customHeight="1" x14ac:dyDescent="0.25">
      <c r="A965" s="918" t="s">
        <v>471</v>
      </c>
      <c r="B965" s="944" t="s">
        <v>3901</v>
      </c>
      <c r="C965" s="919" t="s">
        <v>3902</v>
      </c>
      <c r="D965" s="919" t="s">
        <v>4502</v>
      </c>
      <c r="E965" s="920">
        <v>1150</v>
      </c>
      <c r="F965" s="919" t="s">
        <v>5605</v>
      </c>
      <c r="G965" s="919" t="s">
        <v>5606</v>
      </c>
      <c r="H965" s="919" t="s">
        <v>4502</v>
      </c>
      <c r="I965" s="919" t="s">
        <v>3686</v>
      </c>
      <c r="J965" s="919"/>
      <c r="K965" s="920"/>
      <c r="L965" s="920"/>
      <c r="M965" s="920">
        <f t="shared" si="28"/>
        <v>0</v>
      </c>
      <c r="N965" s="919">
        <v>1</v>
      </c>
      <c r="O965" s="919">
        <v>5</v>
      </c>
      <c r="P965" s="921">
        <f t="shared" si="29"/>
        <v>5750</v>
      </c>
    </row>
    <row r="966" spans="1:16" ht="20.100000000000001" customHeight="1" x14ac:dyDescent="0.25">
      <c r="A966" s="918" t="s">
        <v>471</v>
      </c>
      <c r="B966" s="944" t="s">
        <v>3901</v>
      </c>
      <c r="C966" s="919" t="s">
        <v>3902</v>
      </c>
      <c r="D966" s="919" t="s">
        <v>4502</v>
      </c>
      <c r="E966" s="920">
        <v>1150</v>
      </c>
      <c r="F966" s="919" t="s">
        <v>5607</v>
      </c>
      <c r="G966" s="919" t="s">
        <v>5608</v>
      </c>
      <c r="H966" s="919" t="s">
        <v>4502</v>
      </c>
      <c r="I966" s="919" t="s">
        <v>3686</v>
      </c>
      <c r="J966" s="919"/>
      <c r="K966" s="920"/>
      <c r="L966" s="920"/>
      <c r="M966" s="920">
        <f t="shared" ref="M966:M1029" si="30">E966*L966</f>
        <v>0</v>
      </c>
      <c r="N966" s="919">
        <v>1</v>
      </c>
      <c r="O966" s="919">
        <v>5</v>
      </c>
      <c r="P966" s="921">
        <f t="shared" ref="P966:P1029" si="31">E966*O966</f>
        <v>5750</v>
      </c>
    </row>
    <row r="967" spans="1:16" ht="20.100000000000001" customHeight="1" x14ac:dyDescent="0.25">
      <c r="A967" s="918" t="s">
        <v>471</v>
      </c>
      <c r="B967" s="944" t="s">
        <v>3901</v>
      </c>
      <c r="C967" s="919" t="s">
        <v>3902</v>
      </c>
      <c r="D967" s="919" t="s">
        <v>4502</v>
      </c>
      <c r="E967" s="920">
        <v>1150</v>
      </c>
      <c r="F967" s="919" t="s">
        <v>5609</v>
      </c>
      <c r="G967" s="919" t="s">
        <v>5610</v>
      </c>
      <c r="H967" s="919" t="s">
        <v>4502</v>
      </c>
      <c r="I967" s="919" t="s">
        <v>3686</v>
      </c>
      <c r="J967" s="919"/>
      <c r="K967" s="920"/>
      <c r="L967" s="920"/>
      <c r="M967" s="920">
        <f t="shared" si="30"/>
        <v>0</v>
      </c>
      <c r="N967" s="919">
        <v>1</v>
      </c>
      <c r="O967" s="919">
        <v>5</v>
      </c>
      <c r="P967" s="921">
        <f t="shared" si="31"/>
        <v>5750</v>
      </c>
    </row>
    <row r="968" spans="1:16" ht="20.100000000000001" customHeight="1" x14ac:dyDescent="0.25">
      <c r="A968" s="918" t="s">
        <v>471</v>
      </c>
      <c r="B968" s="944" t="s">
        <v>3901</v>
      </c>
      <c r="C968" s="919" t="s">
        <v>3902</v>
      </c>
      <c r="D968" s="919" t="s">
        <v>4502</v>
      </c>
      <c r="E968" s="920">
        <v>1150</v>
      </c>
      <c r="F968" s="919" t="s">
        <v>5611</v>
      </c>
      <c r="G968" s="919" t="s">
        <v>5612</v>
      </c>
      <c r="H968" s="919" t="s">
        <v>4502</v>
      </c>
      <c r="I968" s="919" t="s">
        <v>3686</v>
      </c>
      <c r="J968" s="919"/>
      <c r="K968" s="920"/>
      <c r="L968" s="920"/>
      <c r="M968" s="920">
        <f t="shared" si="30"/>
        <v>0</v>
      </c>
      <c r="N968" s="919">
        <v>1</v>
      </c>
      <c r="O968" s="919">
        <v>5</v>
      </c>
      <c r="P968" s="921">
        <f t="shared" si="31"/>
        <v>5750</v>
      </c>
    </row>
    <row r="969" spans="1:16" ht="20.100000000000001" customHeight="1" x14ac:dyDescent="0.25">
      <c r="A969" s="918" t="s">
        <v>471</v>
      </c>
      <c r="B969" s="944" t="s">
        <v>3901</v>
      </c>
      <c r="C969" s="919" t="s">
        <v>3902</v>
      </c>
      <c r="D969" s="919" t="s">
        <v>4502</v>
      </c>
      <c r="E969" s="920">
        <v>1150</v>
      </c>
      <c r="F969" s="919" t="s">
        <v>5613</v>
      </c>
      <c r="G969" s="919" t="s">
        <v>5614</v>
      </c>
      <c r="H969" s="919" t="s">
        <v>4502</v>
      </c>
      <c r="I969" s="919" t="s">
        <v>3686</v>
      </c>
      <c r="J969" s="919"/>
      <c r="K969" s="920"/>
      <c r="L969" s="920"/>
      <c r="M969" s="920">
        <f t="shared" si="30"/>
        <v>0</v>
      </c>
      <c r="N969" s="919">
        <v>1</v>
      </c>
      <c r="O969" s="919">
        <v>5</v>
      </c>
      <c r="P969" s="921">
        <f t="shared" si="31"/>
        <v>5750</v>
      </c>
    </row>
    <row r="970" spans="1:16" ht="20.100000000000001" customHeight="1" x14ac:dyDescent="0.25">
      <c r="A970" s="918" t="s">
        <v>471</v>
      </c>
      <c r="B970" s="944" t="s">
        <v>3901</v>
      </c>
      <c r="C970" s="919" t="s">
        <v>3902</v>
      </c>
      <c r="D970" s="919" t="s">
        <v>4502</v>
      </c>
      <c r="E970" s="920">
        <v>1150</v>
      </c>
      <c r="F970" s="919" t="s">
        <v>5615</v>
      </c>
      <c r="G970" s="919" t="s">
        <v>5616</v>
      </c>
      <c r="H970" s="919" t="s">
        <v>4502</v>
      </c>
      <c r="I970" s="919" t="s">
        <v>3686</v>
      </c>
      <c r="J970" s="919"/>
      <c r="K970" s="920"/>
      <c r="L970" s="920"/>
      <c r="M970" s="920">
        <f t="shared" si="30"/>
        <v>0</v>
      </c>
      <c r="N970" s="919">
        <v>1</v>
      </c>
      <c r="O970" s="919">
        <v>5</v>
      </c>
      <c r="P970" s="921">
        <f t="shared" si="31"/>
        <v>5750</v>
      </c>
    </row>
    <row r="971" spans="1:16" ht="20.100000000000001" customHeight="1" x14ac:dyDescent="0.25">
      <c r="A971" s="918" t="s">
        <v>471</v>
      </c>
      <c r="B971" s="944" t="s">
        <v>3901</v>
      </c>
      <c r="C971" s="919" t="s">
        <v>3902</v>
      </c>
      <c r="D971" s="919" t="s">
        <v>4502</v>
      </c>
      <c r="E971" s="920">
        <v>1150</v>
      </c>
      <c r="F971" s="919" t="s">
        <v>5617</v>
      </c>
      <c r="G971" s="919" t="s">
        <v>5618</v>
      </c>
      <c r="H971" s="919" t="s">
        <v>4502</v>
      </c>
      <c r="I971" s="919" t="s">
        <v>3686</v>
      </c>
      <c r="J971" s="919"/>
      <c r="K971" s="920"/>
      <c r="L971" s="920"/>
      <c r="M971" s="920">
        <f t="shared" si="30"/>
        <v>0</v>
      </c>
      <c r="N971" s="919">
        <v>1</v>
      </c>
      <c r="O971" s="919">
        <v>5</v>
      </c>
      <c r="P971" s="921">
        <f t="shared" si="31"/>
        <v>5750</v>
      </c>
    </row>
    <row r="972" spans="1:16" ht="20.100000000000001" customHeight="1" x14ac:dyDescent="0.25">
      <c r="A972" s="918" t="s">
        <v>471</v>
      </c>
      <c r="B972" s="944" t="s">
        <v>3901</v>
      </c>
      <c r="C972" s="919" t="s">
        <v>3902</v>
      </c>
      <c r="D972" s="919" t="s">
        <v>4531</v>
      </c>
      <c r="E972" s="920">
        <v>1800</v>
      </c>
      <c r="F972" s="919" t="s">
        <v>5619</v>
      </c>
      <c r="G972" s="919" t="s">
        <v>5620</v>
      </c>
      <c r="H972" s="919" t="s">
        <v>4531</v>
      </c>
      <c r="I972" s="919" t="s">
        <v>3679</v>
      </c>
      <c r="J972" s="919"/>
      <c r="K972" s="920"/>
      <c r="L972" s="920"/>
      <c r="M972" s="920">
        <f t="shared" si="30"/>
        <v>0</v>
      </c>
      <c r="N972" s="919">
        <v>1</v>
      </c>
      <c r="O972" s="919">
        <v>4</v>
      </c>
      <c r="P972" s="921">
        <f t="shared" si="31"/>
        <v>7200</v>
      </c>
    </row>
    <row r="973" spans="1:16" ht="20.100000000000001" customHeight="1" x14ac:dyDescent="0.25">
      <c r="A973" s="918" t="s">
        <v>471</v>
      </c>
      <c r="B973" s="944" t="s">
        <v>3901</v>
      </c>
      <c r="C973" s="919" t="s">
        <v>3902</v>
      </c>
      <c r="D973" s="919" t="s">
        <v>4531</v>
      </c>
      <c r="E973" s="920">
        <v>1800</v>
      </c>
      <c r="F973" s="919" t="s">
        <v>5621</v>
      </c>
      <c r="G973" s="919" t="s">
        <v>5622</v>
      </c>
      <c r="H973" s="919" t="s">
        <v>4531</v>
      </c>
      <c r="I973" s="919" t="s">
        <v>3679</v>
      </c>
      <c r="J973" s="919"/>
      <c r="K973" s="920"/>
      <c r="L973" s="920"/>
      <c r="M973" s="920">
        <f t="shared" si="30"/>
        <v>0</v>
      </c>
      <c r="N973" s="919">
        <v>1</v>
      </c>
      <c r="O973" s="919">
        <v>4</v>
      </c>
      <c r="P973" s="921">
        <f t="shared" si="31"/>
        <v>7200</v>
      </c>
    </row>
    <row r="974" spans="1:16" ht="20.100000000000001" customHeight="1" x14ac:dyDescent="0.25">
      <c r="A974" s="918" t="s">
        <v>471</v>
      </c>
      <c r="B974" s="944" t="s">
        <v>3901</v>
      </c>
      <c r="C974" s="919" t="s">
        <v>3902</v>
      </c>
      <c r="D974" s="919" t="s">
        <v>4531</v>
      </c>
      <c r="E974" s="920">
        <v>1800</v>
      </c>
      <c r="F974" s="919" t="s">
        <v>5623</v>
      </c>
      <c r="G974" s="919" t="s">
        <v>5624</v>
      </c>
      <c r="H974" s="919" t="s">
        <v>4531</v>
      </c>
      <c r="I974" s="919" t="s">
        <v>3679</v>
      </c>
      <c r="J974" s="919"/>
      <c r="K974" s="920"/>
      <c r="L974" s="920"/>
      <c r="M974" s="920">
        <f t="shared" si="30"/>
        <v>0</v>
      </c>
      <c r="N974" s="919">
        <v>1</v>
      </c>
      <c r="O974" s="919">
        <v>4</v>
      </c>
      <c r="P974" s="921">
        <f t="shared" si="31"/>
        <v>7200</v>
      </c>
    </row>
    <row r="975" spans="1:16" ht="20.100000000000001" customHeight="1" x14ac:dyDescent="0.25">
      <c r="A975" s="918" t="s">
        <v>471</v>
      </c>
      <c r="B975" s="944" t="s">
        <v>3901</v>
      </c>
      <c r="C975" s="919" t="s">
        <v>3902</v>
      </c>
      <c r="D975" s="919" t="s">
        <v>4531</v>
      </c>
      <c r="E975" s="920">
        <v>1800</v>
      </c>
      <c r="F975" s="919" t="s">
        <v>5625</v>
      </c>
      <c r="G975" s="919" t="s">
        <v>5626</v>
      </c>
      <c r="H975" s="919" t="s">
        <v>4531</v>
      </c>
      <c r="I975" s="919" t="s">
        <v>3679</v>
      </c>
      <c r="J975" s="919"/>
      <c r="K975" s="920"/>
      <c r="L975" s="920"/>
      <c r="M975" s="920">
        <f t="shared" si="30"/>
        <v>0</v>
      </c>
      <c r="N975" s="919">
        <v>1</v>
      </c>
      <c r="O975" s="919">
        <v>4</v>
      </c>
      <c r="P975" s="921">
        <f t="shared" si="31"/>
        <v>7200</v>
      </c>
    </row>
    <row r="976" spans="1:16" ht="20.100000000000001" customHeight="1" x14ac:dyDescent="0.25">
      <c r="A976" s="918" t="s">
        <v>471</v>
      </c>
      <c r="B976" s="944" t="s">
        <v>3901</v>
      </c>
      <c r="C976" s="919" t="s">
        <v>3902</v>
      </c>
      <c r="D976" s="919" t="s">
        <v>4531</v>
      </c>
      <c r="E976" s="920">
        <v>1800</v>
      </c>
      <c r="F976" s="919" t="s">
        <v>5627</v>
      </c>
      <c r="G976" s="919" t="s">
        <v>5628</v>
      </c>
      <c r="H976" s="919" t="s">
        <v>4531</v>
      </c>
      <c r="I976" s="919" t="s">
        <v>3679</v>
      </c>
      <c r="J976" s="919"/>
      <c r="K976" s="920"/>
      <c r="L976" s="920"/>
      <c r="M976" s="920">
        <f t="shared" si="30"/>
        <v>0</v>
      </c>
      <c r="N976" s="919">
        <v>1</v>
      </c>
      <c r="O976" s="919">
        <v>4</v>
      </c>
      <c r="P976" s="921">
        <f t="shared" si="31"/>
        <v>7200</v>
      </c>
    </row>
    <row r="977" spans="1:16" ht="20.100000000000001" customHeight="1" x14ac:dyDescent="0.25">
      <c r="A977" s="918" t="s">
        <v>471</v>
      </c>
      <c r="B977" s="944" t="s">
        <v>3901</v>
      </c>
      <c r="C977" s="919" t="s">
        <v>3902</v>
      </c>
      <c r="D977" s="919" t="s">
        <v>4531</v>
      </c>
      <c r="E977" s="920">
        <v>1800</v>
      </c>
      <c r="F977" s="919" t="s">
        <v>5629</v>
      </c>
      <c r="G977" s="919" t="s">
        <v>5630</v>
      </c>
      <c r="H977" s="919" t="s">
        <v>4531</v>
      </c>
      <c r="I977" s="919" t="s">
        <v>3679</v>
      </c>
      <c r="J977" s="919"/>
      <c r="K977" s="920"/>
      <c r="L977" s="920"/>
      <c r="M977" s="920">
        <f t="shared" si="30"/>
        <v>0</v>
      </c>
      <c r="N977" s="919">
        <v>1</v>
      </c>
      <c r="O977" s="919">
        <v>4</v>
      </c>
      <c r="P977" s="921">
        <f t="shared" si="31"/>
        <v>7200</v>
      </c>
    </row>
    <row r="978" spans="1:16" ht="20.100000000000001" customHeight="1" x14ac:dyDescent="0.25">
      <c r="A978" s="918" t="s">
        <v>471</v>
      </c>
      <c r="B978" s="944" t="s">
        <v>3901</v>
      </c>
      <c r="C978" s="919" t="s">
        <v>3902</v>
      </c>
      <c r="D978" s="919" t="s">
        <v>4531</v>
      </c>
      <c r="E978" s="920">
        <v>1800</v>
      </c>
      <c r="F978" s="919" t="s">
        <v>5631</v>
      </c>
      <c r="G978" s="919" t="s">
        <v>5632</v>
      </c>
      <c r="H978" s="919" t="s">
        <v>4531</v>
      </c>
      <c r="I978" s="919" t="s">
        <v>3679</v>
      </c>
      <c r="J978" s="919"/>
      <c r="K978" s="920"/>
      <c r="L978" s="920"/>
      <c r="M978" s="920">
        <f t="shared" si="30"/>
        <v>0</v>
      </c>
      <c r="N978" s="919">
        <v>1</v>
      </c>
      <c r="O978" s="919">
        <v>4</v>
      </c>
      <c r="P978" s="921">
        <f t="shared" si="31"/>
        <v>7200</v>
      </c>
    </row>
    <row r="979" spans="1:16" ht="20.100000000000001" customHeight="1" x14ac:dyDescent="0.25">
      <c r="A979" s="918" t="s">
        <v>471</v>
      </c>
      <c r="B979" s="944" t="s">
        <v>3901</v>
      </c>
      <c r="C979" s="919" t="s">
        <v>3902</v>
      </c>
      <c r="D979" s="919" t="s">
        <v>4531</v>
      </c>
      <c r="E979" s="920">
        <v>1800</v>
      </c>
      <c r="F979" s="919" t="s">
        <v>5633</v>
      </c>
      <c r="G979" s="919" t="s">
        <v>5634</v>
      </c>
      <c r="H979" s="919" t="s">
        <v>4531</v>
      </c>
      <c r="I979" s="919" t="s">
        <v>3679</v>
      </c>
      <c r="J979" s="919"/>
      <c r="K979" s="920"/>
      <c r="L979" s="920"/>
      <c r="M979" s="920">
        <f t="shared" si="30"/>
        <v>0</v>
      </c>
      <c r="N979" s="919">
        <v>1</v>
      </c>
      <c r="O979" s="919">
        <v>4</v>
      </c>
      <c r="P979" s="921">
        <f t="shared" si="31"/>
        <v>7200</v>
      </c>
    </row>
    <row r="980" spans="1:16" ht="20.100000000000001" customHeight="1" x14ac:dyDescent="0.25">
      <c r="A980" s="918" t="s">
        <v>471</v>
      </c>
      <c r="B980" s="944" t="s">
        <v>3901</v>
      </c>
      <c r="C980" s="919" t="s">
        <v>3902</v>
      </c>
      <c r="D980" s="919" t="s">
        <v>4531</v>
      </c>
      <c r="E980" s="920">
        <v>1800</v>
      </c>
      <c r="F980" s="919" t="s">
        <v>5635</v>
      </c>
      <c r="G980" s="919" t="s">
        <v>5636</v>
      </c>
      <c r="H980" s="919" t="s">
        <v>4531</v>
      </c>
      <c r="I980" s="919" t="s">
        <v>3679</v>
      </c>
      <c r="J980" s="919"/>
      <c r="K980" s="920"/>
      <c r="L980" s="920"/>
      <c r="M980" s="920">
        <f t="shared" si="30"/>
        <v>0</v>
      </c>
      <c r="N980" s="919">
        <v>1</v>
      </c>
      <c r="O980" s="919">
        <v>4</v>
      </c>
      <c r="P980" s="921">
        <f t="shared" si="31"/>
        <v>7200</v>
      </c>
    </row>
    <row r="981" spans="1:16" ht="20.100000000000001" customHeight="1" x14ac:dyDescent="0.25">
      <c r="A981" s="918" t="s">
        <v>471</v>
      </c>
      <c r="B981" s="944" t="s">
        <v>3901</v>
      </c>
      <c r="C981" s="919" t="s">
        <v>3902</v>
      </c>
      <c r="D981" s="919" t="s">
        <v>4531</v>
      </c>
      <c r="E981" s="920">
        <v>1800</v>
      </c>
      <c r="F981" s="919" t="s">
        <v>5637</v>
      </c>
      <c r="G981" s="919" t="s">
        <v>5638</v>
      </c>
      <c r="H981" s="919" t="s">
        <v>4531</v>
      </c>
      <c r="I981" s="919" t="s">
        <v>3679</v>
      </c>
      <c r="J981" s="919"/>
      <c r="K981" s="920"/>
      <c r="L981" s="920"/>
      <c r="M981" s="920">
        <f t="shared" si="30"/>
        <v>0</v>
      </c>
      <c r="N981" s="919">
        <v>1</v>
      </c>
      <c r="O981" s="919">
        <v>4</v>
      </c>
      <c r="P981" s="921">
        <f t="shared" si="31"/>
        <v>7200</v>
      </c>
    </row>
    <row r="982" spans="1:16" ht="20.100000000000001" customHeight="1" x14ac:dyDescent="0.25">
      <c r="A982" s="918" t="s">
        <v>471</v>
      </c>
      <c r="B982" s="944" t="s">
        <v>3901</v>
      </c>
      <c r="C982" s="919" t="s">
        <v>3902</v>
      </c>
      <c r="D982" s="919" t="s">
        <v>4531</v>
      </c>
      <c r="E982" s="920">
        <v>1800</v>
      </c>
      <c r="F982" s="919" t="s">
        <v>5639</v>
      </c>
      <c r="G982" s="919" t="s">
        <v>5640</v>
      </c>
      <c r="H982" s="919" t="s">
        <v>4531</v>
      </c>
      <c r="I982" s="919" t="s">
        <v>3679</v>
      </c>
      <c r="J982" s="919"/>
      <c r="K982" s="920"/>
      <c r="L982" s="920"/>
      <c r="M982" s="920">
        <f t="shared" si="30"/>
        <v>0</v>
      </c>
      <c r="N982" s="919">
        <v>1</v>
      </c>
      <c r="O982" s="919">
        <v>4</v>
      </c>
      <c r="P982" s="921">
        <f t="shared" si="31"/>
        <v>7200</v>
      </c>
    </row>
    <row r="983" spans="1:16" ht="20.100000000000001" customHeight="1" x14ac:dyDescent="0.25">
      <c r="A983" s="918" t="s">
        <v>471</v>
      </c>
      <c r="B983" s="944" t="s">
        <v>3901</v>
      </c>
      <c r="C983" s="919" t="s">
        <v>3902</v>
      </c>
      <c r="D983" s="919" t="s">
        <v>4531</v>
      </c>
      <c r="E983" s="920">
        <v>1800</v>
      </c>
      <c r="F983" s="919" t="s">
        <v>5641</v>
      </c>
      <c r="G983" s="919" t="s">
        <v>5642</v>
      </c>
      <c r="H983" s="919" t="s">
        <v>4531</v>
      </c>
      <c r="I983" s="919" t="s">
        <v>3679</v>
      </c>
      <c r="J983" s="919"/>
      <c r="K983" s="920"/>
      <c r="L983" s="920"/>
      <c r="M983" s="920">
        <f t="shared" si="30"/>
        <v>0</v>
      </c>
      <c r="N983" s="919">
        <v>1</v>
      </c>
      <c r="O983" s="919">
        <v>4</v>
      </c>
      <c r="P983" s="921">
        <f t="shared" si="31"/>
        <v>7200</v>
      </c>
    </row>
    <row r="984" spans="1:16" ht="20.100000000000001" customHeight="1" x14ac:dyDescent="0.25">
      <c r="A984" s="918" t="s">
        <v>471</v>
      </c>
      <c r="B984" s="944" t="s">
        <v>3901</v>
      </c>
      <c r="C984" s="919" t="s">
        <v>3902</v>
      </c>
      <c r="D984" s="919" t="s">
        <v>4531</v>
      </c>
      <c r="E984" s="920">
        <v>1800</v>
      </c>
      <c r="F984" s="919" t="s">
        <v>5643</v>
      </c>
      <c r="G984" s="919" t="s">
        <v>5644</v>
      </c>
      <c r="H984" s="919" t="s">
        <v>4531</v>
      </c>
      <c r="I984" s="919" t="s">
        <v>3679</v>
      </c>
      <c r="J984" s="919"/>
      <c r="K984" s="920"/>
      <c r="L984" s="920"/>
      <c r="M984" s="920">
        <f t="shared" si="30"/>
        <v>0</v>
      </c>
      <c r="N984" s="919">
        <v>1</v>
      </c>
      <c r="O984" s="919">
        <v>4</v>
      </c>
      <c r="P984" s="921">
        <f t="shared" si="31"/>
        <v>7200</v>
      </c>
    </row>
    <row r="985" spans="1:16" ht="20.100000000000001" customHeight="1" x14ac:dyDescent="0.25">
      <c r="A985" s="918" t="s">
        <v>471</v>
      </c>
      <c r="B985" s="944" t="s">
        <v>3901</v>
      </c>
      <c r="C985" s="919" t="s">
        <v>3902</v>
      </c>
      <c r="D985" s="919" t="s">
        <v>4531</v>
      </c>
      <c r="E985" s="920">
        <v>1800</v>
      </c>
      <c r="F985" s="919" t="s">
        <v>5645</v>
      </c>
      <c r="G985" s="919" t="s">
        <v>5646</v>
      </c>
      <c r="H985" s="919" t="s">
        <v>4531</v>
      </c>
      <c r="I985" s="919" t="s">
        <v>3679</v>
      </c>
      <c r="J985" s="919"/>
      <c r="K985" s="920"/>
      <c r="L985" s="920"/>
      <c r="M985" s="920">
        <f t="shared" si="30"/>
        <v>0</v>
      </c>
      <c r="N985" s="919">
        <v>1</v>
      </c>
      <c r="O985" s="919">
        <v>3</v>
      </c>
      <c r="P985" s="921">
        <f t="shared" si="31"/>
        <v>5400</v>
      </c>
    </row>
    <row r="986" spans="1:16" ht="20.100000000000001" customHeight="1" x14ac:dyDescent="0.25">
      <c r="A986" s="918" t="s">
        <v>471</v>
      </c>
      <c r="B986" s="944" t="s">
        <v>3901</v>
      </c>
      <c r="C986" s="919" t="s">
        <v>3902</v>
      </c>
      <c r="D986" s="919" t="s">
        <v>4531</v>
      </c>
      <c r="E986" s="920">
        <v>1800</v>
      </c>
      <c r="F986" s="919" t="s">
        <v>5647</v>
      </c>
      <c r="G986" s="919" t="s">
        <v>5648</v>
      </c>
      <c r="H986" s="919" t="s">
        <v>4531</v>
      </c>
      <c r="I986" s="919" t="s">
        <v>3679</v>
      </c>
      <c r="J986" s="919"/>
      <c r="K986" s="920"/>
      <c r="L986" s="920"/>
      <c r="M986" s="920">
        <f t="shared" si="30"/>
        <v>0</v>
      </c>
      <c r="N986" s="919">
        <v>1</v>
      </c>
      <c r="O986" s="919">
        <v>3</v>
      </c>
      <c r="P986" s="921">
        <f t="shared" si="31"/>
        <v>5400</v>
      </c>
    </row>
    <row r="987" spans="1:16" ht="20.100000000000001" customHeight="1" x14ac:dyDescent="0.25">
      <c r="A987" s="918" t="s">
        <v>471</v>
      </c>
      <c r="B987" s="944" t="s">
        <v>3901</v>
      </c>
      <c r="C987" s="919" t="s">
        <v>3902</v>
      </c>
      <c r="D987" s="919" t="s">
        <v>4531</v>
      </c>
      <c r="E987" s="920">
        <v>1800</v>
      </c>
      <c r="F987" s="919" t="s">
        <v>5649</v>
      </c>
      <c r="G987" s="919" t="s">
        <v>5650</v>
      </c>
      <c r="H987" s="919" t="s">
        <v>4531</v>
      </c>
      <c r="I987" s="919" t="s">
        <v>3679</v>
      </c>
      <c r="J987" s="919"/>
      <c r="K987" s="920"/>
      <c r="L987" s="920"/>
      <c r="M987" s="920">
        <f t="shared" si="30"/>
        <v>0</v>
      </c>
      <c r="N987" s="919">
        <v>1</v>
      </c>
      <c r="O987" s="919">
        <v>3</v>
      </c>
      <c r="P987" s="921">
        <f t="shared" si="31"/>
        <v>5400</v>
      </c>
    </row>
    <row r="988" spans="1:16" ht="20.100000000000001" customHeight="1" x14ac:dyDescent="0.25">
      <c r="A988" s="918" t="s">
        <v>471</v>
      </c>
      <c r="B988" s="944" t="s">
        <v>3901</v>
      </c>
      <c r="C988" s="919" t="s">
        <v>3902</v>
      </c>
      <c r="D988" s="919" t="s">
        <v>4531</v>
      </c>
      <c r="E988" s="920">
        <v>1800</v>
      </c>
      <c r="F988" s="919" t="s">
        <v>5651</v>
      </c>
      <c r="G988" s="919" t="s">
        <v>5652</v>
      </c>
      <c r="H988" s="919" t="s">
        <v>4531</v>
      </c>
      <c r="I988" s="919" t="s">
        <v>3679</v>
      </c>
      <c r="J988" s="919"/>
      <c r="K988" s="920"/>
      <c r="L988" s="920"/>
      <c r="M988" s="920">
        <f t="shared" si="30"/>
        <v>0</v>
      </c>
      <c r="N988" s="919">
        <v>1</v>
      </c>
      <c r="O988" s="919">
        <v>3</v>
      </c>
      <c r="P988" s="921">
        <f t="shared" si="31"/>
        <v>5400</v>
      </c>
    </row>
    <row r="989" spans="1:16" ht="20.100000000000001" customHeight="1" x14ac:dyDescent="0.25">
      <c r="A989" s="918" t="s">
        <v>471</v>
      </c>
      <c r="B989" s="944" t="s">
        <v>3901</v>
      </c>
      <c r="C989" s="919" t="s">
        <v>3902</v>
      </c>
      <c r="D989" s="919" t="s">
        <v>4531</v>
      </c>
      <c r="E989" s="920">
        <v>1800</v>
      </c>
      <c r="F989" s="919" t="s">
        <v>5653</v>
      </c>
      <c r="G989" s="919" t="s">
        <v>5654</v>
      </c>
      <c r="H989" s="919" t="s">
        <v>4531</v>
      </c>
      <c r="I989" s="919" t="s">
        <v>3679</v>
      </c>
      <c r="J989" s="919"/>
      <c r="K989" s="920"/>
      <c r="L989" s="920"/>
      <c r="M989" s="920">
        <f t="shared" si="30"/>
        <v>0</v>
      </c>
      <c r="N989" s="919">
        <v>1</v>
      </c>
      <c r="O989" s="919">
        <v>3</v>
      </c>
      <c r="P989" s="921">
        <f t="shared" si="31"/>
        <v>5400</v>
      </c>
    </row>
    <row r="990" spans="1:16" ht="20.100000000000001" customHeight="1" x14ac:dyDescent="0.25">
      <c r="A990" s="918" t="s">
        <v>471</v>
      </c>
      <c r="B990" s="944" t="s">
        <v>3901</v>
      </c>
      <c r="C990" s="919" t="s">
        <v>3902</v>
      </c>
      <c r="D990" s="919" t="s">
        <v>4531</v>
      </c>
      <c r="E990" s="920">
        <v>1800</v>
      </c>
      <c r="F990" s="919" t="s">
        <v>5655</v>
      </c>
      <c r="G990" s="919" t="s">
        <v>5656</v>
      </c>
      <c r="H990" s="919" t="s">
        <v>4531</v>
      </c>
      <c r="I990" s="919" t="s">
        <v>3679</v>
      </c>
      <c r="J990" s="919"/>
      <c r="K990" s="920"/>
      <c r="L990" s="920"/>
      <c r="M990" s="920">
        <f t="shared" si="30"/>
        <v>0</v>
      </c>
      <c r="N990" s="919">
        <v>1</v>
      </c>
      <c r="O990" s="919">
        <v>3</v>
      </c>
      <c r="P990" s="921">
        <f t="shared" si="31"/>
        <v>5400</v>
      </c>
    </row>
    <row r="991" spans="1:16" ht="20.100000000000001" customHeight="1" x14ac:dyDescent="0.25">
      <c r="A991" s="918" t="s">
        <v>471</v>
      </c>
      <c r="B991" s="944" t="s">
        <v>3901</v>
      </c>
      <c r="C991" s="919" t="s">
        <v>3902</v>
      </c>
      <c r="D991" s="919" t="s">
        <v>4531</v>
      </c>
      <c r="E991" s="920">
        <v>1800</v>
      </c>
      <c r="F991" s="919" t="s">
        <v>5657</v>
      </c>
      <c r="G991" s="919" t="s">
        <v>5658</v>
      </c>
      <c r="H991" s="919" t="s">
        <v>4531</v>
      </c>
      <c r="I991" s="919" t="s">
        <v>3679</v>
      </c>
      <c r="J991" s="919"/>
      <c r="K991" s="920"/>
      <c r="L991" s="920"/>
      <c r="M991" s="920">
        <f t="shared" si="30"/>
        <v>0</v>
      </c>
      <c r="N991" s="919">
        <v>1</v>
      </c>
      <c r="O991" s="919">
        <v>3</v>
      </c>
      <c r="P991" s="921">
        <f t="shared" si="31"/>
        <v>5400</v>
      </c>
    </row>
    <row r="992" spans="1:16" ht="20.100000000000001" customHeight="1" x14ac:dyDescent="0.25">
      <c r="A992" s="918" t="s">
        <v>471</v>
      </c>
      <c r="B992" s="944" t="s">
        <v>3901</v>
      </c>
      <c r="C992" s="919" t="s">
        <v>3902</v>
      </c>
      <c r="D992" s="919" t="s">
        <v>4531</v>
      </c>
      <c r="E992" s="920">
        <v>1800</v>
      </c>
      <c r="F992" s="919" t="s">
        <v>5659</v>
      </c>
      <c r="G992" s="919" t="s">
        <v>5660</v>
      </c>
      <c r="H992" s="919" t="s">
        <v>4531</v>
      </c>
      <c r="I992" s="919" t="s">
        <v>3679</v>
      </c>
      <c r="J992" s="919"/>
      <c r="K992" s="920"/>
      <c r="L992" s="920"/>
      <c r="M992" s="920">
        <f t="shared" si="30"/>
        <v>0</v>
      </c>
      <c r="N992" s="919">
        <v>1</v>
      </c>
      <c r="O992" s="919">
        <v>3</v>
      </c>
      <c r="P992" s="921">
        <f t="shared" si="31"/>
        <v>5400</v>
      </c>
    </row>
    <row r="993" spans="1:16" ht="20.100000000000001" customHeight="1" x14ac:dyDescent="0.25">
      <c r="A993" s="918" t="s">
        <v>471</v>
      </c>
      <c r="B993" s="944" t="s">
        <v>3901</v>
      </c>
      <c r="C993" s="919" t="s">
        <v>3902</v>
      </c>
      <c r="D993" s="919" t="s">
        <v>4531</v>
      </c>
      <c r="E993" s="920">
        <v>1800</v>
      </c>
      <c r="F993" s="919" t="s">
        <v>4041</v>
      </c>
      <c r="G993" s="919" t="s">
        <v>4042</v>
      </c>
      <c r="H993" s="919" t="s">
        <v>4531</v>
      </c>
      <c r="I993" s="919" t="s">
        <v>3679</v>
      </c>
      <c r="J993" s="919"/>
      <c r="K993" s="920">
        <v>1</v>
      </c>
      <c r="L993" s="920">
        <v>12</v>
      </c>
      <c r="M993" s="920">
        <f t="shared" si="30"/>
        <v>21600</v>
      </c>
      <c r="N993" s="919"/>
      <c r="O993" s="919"/>
      <c r="P993" s="921">
        <f t="shared" si="31"/>
        <v>0</v>
      </c>
    </row>
    <row r="994" spans="1:16" ht="20.100000000000001" customHeight="1" x14ac:dyDescent="0.25">
      <c r="A994" s="918" t="s">
        <v>471</v>
      </c>
      <c r="B994" s="944" t="s">
        <v>3901</v>
      </c>
      <c r="C994" s="919" t="s">
        <v>3902</v>
      </c>
      <c r="D994" s="919" t="s">
        <v>4382</v>
      </c>
      <c r="E994" s="920">
        <v>2500</v>
      </c>
      <c r="F994" s="919" t="s">
        <v>5661</v>
      </c>
      <c r="G994" s="919" t="s">
        <v>5662</v>
      </c>
      <c r="H994" s="919" t="s">
        <v>4382</v>
      </c>
      <c r="I994" s="919" t="s">
        <v>3679</v>
      </c>
      <c r="J994" s="919"/>
      <c r="K994" s="920"/>
      <c r="L994" s="920"/>
      <c r="M994" s="920">
        <f t="shared" si="30"/>
        <v>0</v>
      </c>
      <c r="N994" s="919">
        <v>1</v>
      </c>
      <c r="O994" s="919">
        <v>4</v>
      </c>
      <c r="P994" s="921">
        <f t="shared" si="31"/>
        <v>10000</v>
      </c>
    </row>
    <row r="995" spans="1:16" ht="20.100000000000001" customHeight="1" x14ac:dyDescent="0.25">
      <c r="A995" s="918" t="s">
        <v>471</v>
      </c>
      <c r="B995" s="944" t="s">
        <v>3901</v>
      </c>
      <c r="C995" s="919" t="s">
        <v>3902</v>
      </c>
      <c r="D995" s="919" t="s">
        <v>4382</v>
      </c>
      <c r="E995" s="920">
        <v>2500</v>
      </c>
      <c r="F995" s="919" t="s">
        <v>5663</v>
      </c>
      <c r="G995" s="919" t="s">
        <v>5664</v>
      </c>
      <c r="H995" s="919" t="s">
        <v>4382</v>
      </c>
      <c r="I995" s="919" t="s">
        <v>3679</v>
      </c>
      <c r="J995" s="919"/>
      <c r="K995" s="920"/>
      <c r="L995" s="920"/>
      <c r="M995" s="920">
        <f t="shared" si="30"/>
        <v>0</v>
      </c>
      <c r="N995" s="919">
        <v>1</v>
      </c>
      <c r="O995" s="919">
        <v>4</v>
      </c>
      <c r="P995" s="921">
        <f t="shared" si="31"/>
        <v>10000</v>
      </c>
    </row>
    <row r="996" spans="1:16" ht="20.100000000000001" customHeight="1" x14ac:dyDescent="0.25">
      <c r="A996" s="918" t="s">
        <v>471</v>
      </c>
      <c r="B996" s="944" t="s">
        <v>3901</v>
      </c>
      <c r="C996" s="919" t="s">
        <v>3902</v>
      </c>
      <c r="D996" s="919" t="s">
        <v>4382</v>
      </c>
      <c r="E996" s="920">
        <v>2500</v>
      </c>
      <c r="F996" s="919" t="s">
        <v>4041</v>
      </c>
      <c r="G996" s="919" t="s">
        <v>4042</v>
      </c>
      <c r="H996" s="919" t="s">
        <v>4382</v>
      </c>
      <c r="I996" s="919" t="s">
        <v>3679</v>
      </c>
      <c r="J996" s="919"/>
      <c r="K996" s="920">
        <v>1</v>
      </c>
      <c r="L996" s="920">
        <v>12</v>
      </c>
      <c r="M996" s="920">
        <f t="shared" si="30"/>
        <v>30000</v>
      </c>
      <c r="N996" s="919"/>
      <c r="O996" s="919"/>
      <c r="P996" s="921">
        <f t="shared" si="31"/>
        <v>0</v>
      </c>
    </row>
    <row r="997" spans="1:16" ht="20.100000000000001" customHeight="1" x14ac:dyDescent="0.25">
      <c r="A997" s="918" t="s">
        <v>471</v>
      </c>
      <c r="B997" s="944" t="s">
        <v>3901</v>
      </c>
      <c r="C997" s="919" t="s">
        <v>3902</v>
      </c>
      <c r="D997" s="919" t="s">
        <v>4382</v>
      </c>
      <c r="E997" s="920">
        <v>2500</v>
      </c>
      <c r="F997" s="919" t="s">
        <v>5665</v>
      </c>
      <c r="G997" s="919" t="s">
        <v>5666</v>
      </c>
      <c r="H997" s="919" t="s">
        <v>4382</v>
      </c>
      <c r="I997" s="919" t="s">
        <v>3679</v>
      </c>
      <c r="J997" s="919"/>
      <c r="K997" s="920"/>
      <c r="L997" s="920"/>
      <c r="M997" s="920">
        <f t="shared" si="30"/>
        <v>0</v>
      </c>
      <c r="N997" s="919">
        <v>1</v>
      </c>
      <c r="O997" s="919">
        <v>4</v>
      </c>
      <c r="P997" s="921">
        <f t="shared" si="31"/>
        <v>10000</v>
      </c>
    </row>
    <row r="998" spans="1:16" ht="20.100000000000001" customHeight="1" x14ac:dyDescent="0.25">
      <c r="A998" s="918" t="s">
        <v>471</v>
      </c>
      <c r="B998" s="944" t="s">
        <v>3901</v>
      </c>
      <c r="C998" s="919" t="s">
        <v>3902</v>
      </c>
      <c r="D998" s="919" t="s">
        <v>4382</v>
      </c>
      <c r="E998" s="920">
        <v>2500</v>
      </c>
      <c r="F998" s="919" t="s">
        <v>5667</v>
      </c>
      <c r="G998" s="919" t="s">
        <v>5668</v>
      </c>
      <c r="H998" s="919" t="s">
        <v>4382</v>
      </c>
      <c r="I998" s="919" t="s">
        <v>3679</v>
      </c>
      <c r="J998" s="919"/>
      <c r="K998" s="920"/>
      <c r="L998" s="920"/>
      <c r="M998" s="920">
        <f t="shared" si="30"/>
        <v>0</v>
      </c>
      <c r="N998" s="919">
        <v>1</v>
      </c>
      <c r="O998" s="919">
        <v>4</v>
      </c>
      <c r="P998" s="921">
        <f t="shared" si="31"/>
        <v>10000</v>
      </c>
    </row>
    <row r="999" spans="1:16" ht="20.100000000000001" customHeight="1" x14ac:dyDescent="0.25">
      <c r="A999" s="918" t="s">
        <v>471</v>
      </c>
      <c r="B999" s="944" t="s">
        <v>3901</v>
      </c>
      <c r="C999" s="919" t="s">
        <v>3902</v>
      </c>
      <c r="D999" s="919" t="s">
        <v>4382</v>
      </c>
      <c r="E999" s="920">
        <v>2500</v>
      </c>
      <c r="F999" s="919" t="s">
        <v>5669</v>
      </c>
      <c r="G999" s="919" t="s">
        <v>5670</v>
      </c>
      <c r="H999" s="919" t="s">
        <v>4382</v>
      </c>
      <c r="I999" s="919" t="s">
        <v>3679</v>
      </c>
      <c r="J999" s="919"/>
      <c r="K999" s="920"/>
      <c r="L999" s="920"/>
      <c r="M999" s="920">
        <f t="shared" si="30"/>
        <v>0</v>
      </c>
      <c r="N999" s="919">
        <v>1</v>
      </c>
      <c r="O999" s="919">
        <v>3</v>
      </c>
      <c r="P999" s="921">
        <f t="shared" si="31"/>
        <v>7500</v>
      </c>
    </row>
    <row r="1000" spans="1:16" ht="20.100000000000001" customHeight="1" x14ac:dyDescent="0.25">
      <c r="A1000" s="918" t="s">
        <v>471</v>
      </c>
      <c r="B1000" s="944" t="s">
        <v>3901</v>
      </c>
      <c r="C1000" s="919" t="s">
        <v>3902</v>
      </c>
      <c r="D1000" s="919" t="s">
        <v>4382</v>
      </c>
      <c r="E1000" s="920">
        <v>2500</v>
      </c>
      <c r="F1000" s="919" t="s">
        <v>5671</v>
      </c>
      <c r="G1000" s="919" t="s">
        <v>5672</v>
      </c>
      <c r="H1000" s="919" t="s">
        <v>4382</v>
      </c>
      <c r="I1000" s="919" t="s">
        <v>3679</v>
      </c>
      <c r="J1000" s="919"/>
      <c r="K1000" s="920"/>
      <c r="L1000" s="920"/>
      <c r="M1000" s="920">
        <f t="shared" si="30"/>
        <v>0</v>
      </c>
      <c r="N1000" s="919">
        <v>1</v>
      </c>
      <c r="O1000" s="919">
        <v>3</v>
      </c>
      <c r="P1000" s="921">
        <f t="shared" si="31"/>
        <v>7500</v>
      </c>
    </row>
    <row r="1001" spans="1:16" ht="20.100000000000001" customHeight="1" x14ac:dyDescent="0.25">
      <c r="A1001" s="918" t="s">
        <v>471</v>
      </c>
      <c r="B1001" s="944" t="s">
        <v>3901</v>
      </c>
      <c r="C1001" s="919" t="s">
        <v>3902</v>
      </c>
      <c r="D1001" s="919" t="s">
        <v>4382</v>
      </c>
      <c r="E1001" s="920">
        <v>2500</v>
      </c>
      <c r="F1001" s="919" t="s">
        <v>5673</v>
      </c>
      <c r="G1001" s="919" t="s">
        <v>5674</v>
      </c>
      <c r="H1001" s="919" t="s">
        <v>4382</v>
      </c>
      <c r="I1001" s="919" t="s">
        <v>3679</v>
      </c>
      <c r="J1001" s="919"/>
      <c r="K1001" s="920"/>
      <c r="L1001" s="920"/>
      <c r="M1001" s="920">
        <f t="shared" si="30"/>
        <v>0</v>
      </c>
      <c r="N1001" s="919">
        <v>1</v>
      </c>
      <c r="O1001" s="919">
        <v>3</v>
      </c>
      <c r="P1001" s="921">
        <f t="shared" si="31"/>
        <v>7500</v>
      </c>
    </row>
    <row r="1002" spans="1:16" ht="20.100000000000001" customHeight="1" x14ac:dyDescent="0.25">
      <c r="A1002" s="918" t="s">
        <v>471</v>
      </c>
      <c r="B1002" s="944" t="s">
        <v>3901</v>
      </c>
      <c r="C1002" s="919" t="s">
        <v>3902</v>
      </c>
      <c r="D1002" s="919" t="s">
        <v>4382</v>
      </c>
      <c r="E1002" s="920">
        <v>2500</v>
      </c>
      <c r="F1002" s="919" t="s">
        <v>5675</v>
      </c>
      <c r="G1002" s="919" t="s">
        <v>5676</v>
      </c>
      <c r="H1002" s="919" t="s">
        <v>4382</v>
      </c>
      <c r="I1002" s="919" t="s">
        <v>3679</v>
      </c>
      <c r="J1002" s="919"/>
      <c r="K1002" s="920"/>
      <c r="L1002" s="920"/>
      <c r="M1002" s="920">
        <f t="shared" si="30"/>
        <v>0</v>
      </c>
      <c r="N1002" s="919">
        <v>1</v>
      </c>
      <c r="O1002" s="919">
        <v>3</v>
      </c>
      <c r="P1002" s="921">
        <f t="shared" si="31"/>
        <v>7500</v>
      </c>
    </row>
    <row r="1003" spans="1:16" ht="20.100000000000001" customHeight="1" x14ac:dyDescent="0.25">
      <c r="A1003" s="918" t="s">
        <v>471</v>
      </c>
      <c r="B1003" s="944" t="s">
        <v>3901</v>
      </c>
      <c r="C1003" s="919" t="s">
        <v>3902</v>
      </c>
      <c r="D1003" s="919" t="s">
        <v>4382</v>
      </c>
      <c r="E1003" s="920">
        <v>2500</v>
      </c>
      <c r="F1003" s="919" t="s">
        <v>5677</v>
      </c>
      <c r="G1003" s="919" t="s">
        <v>5678</v>
      </c>
      <c r="H1003" s="919" t="s">
        <v>4382</v>
      </c>
      <c r="I1003" s="919" t="s">
        <v>3679</v>
      </c>
      <c r="J1003" s="919"/>
      <c r="K1003" s="920"/>
      <c r="L1003" s="920"/>
      <c r="M1003" s="920">
        <f t="shared" si="30"/>
        <v>0</v>
      </c>
      <c r="N1003" s="919">
        <v>1</v>
      </c>
      <c r="O1003" s="919">
        <v>3</v>
      </c>
      <c r="P1003" s="921">
        <f t="shared" si="31"/>
        <v>7500</v>
      </c>
    </row>
    <row r="1004" spans="1:16" ht="20.100000000000001" customHeight="1" x14ac:dyDescent="0.25">
      <c r="A1004" s="918" t="s">
        <v>471</v>
      </c>
      <c r="B1004" s="944" t="s">
        <v>3901</v>
      </c>
      <c r="C1004" s="919" t="s">
        <v>3902</v>
      </c>
      <c r="D1004" s="919" t="s">
        <v>4382</v>
      </c>
      <c r="E1004" s="920">
        <v>2500</v>
      </c>
      <c r="F1004" s="919" t="s">
        <v>5679</v>
      </c>
      <c r="G1004" s="919" t="s">
        <v>5680</v>
      </c>
      <c r="H1004" s="919" t="s">
        <v>4382</v>
      </c>
      <c r="I1004" s="919" t="s">
        <v>3679</v>
      </c>
      <c r="J1004" s="919"/>
      <c r="K1004" s="920"/>
      <c r="L1004" s="920"/>
      <c r="M1004" s="920">
        <f t="shared" si="30"/>
        <v>0</v>
      </c>
      <c r="N1004" s="919">
        <v>1</v>
      </c>
      <c r="O1004" s="919">
        <v>1</v>
      </c>
      <c r="P1004" s="921">
        <f t="shared" si="31"/>
        <v>2500</v>
      </c>
    </row>
    <row r="1005" spans="1:16" ht="20.100000000000001" customHeight="1" x14ac:dyDescent="0.25">
      <c r="A1005" s="918" t="s">
        <v>471</v>
      </c>
      <c r="B1005" s="944" t="s">
        <v>3901</v>
      </c>
      <c r="C1005" s="919" t="s">
        <v>3902</v>
      </c>
      <c r="D1005" s="919" t="s">
        <v>4382</v>
      </c>
      <c r="E1005" s="920">
        <v>2500</v>
      </c>
      <c r="F1005" s="919" t="s">
        <v>5681</v>
      </c>
      <c r="G1005" s="919" t="s">
        <v>5682</v>
      </c>
      <c r="H1005" s="919" t="s">
        <v>4382</v>
      </c>
      <c r="I1005" s="919" t="s">
        <v>3679</v>
      </c>
      <c r="J1005" s="919"/>
      <c r="K1005" s="920"/>
      <c r="L1005" s="920"/>
      <c r="M1005" s="920">
        <f t="shared" si="30"/>
        <v>0</v>
      </c>
      <c r="N1005" s="919">
        <v>1</v>
      </c>
      <c r="O1005" s="919">
        <v>1</v>
      </c>
      <c r="P1005" s="921">
        <f t="shared" si="31"/>
        <v>2500</v>
      </c>
    </row>
    <row r="1006" spans="1:16" ht="20.100000000000001" customHeight="1" x14ac:dyDescent="0.25">
      <c r="A1006" s="918" t="s">
        <v>471</v>
      </c>
      <c r="B1006" s="944" t="s">
        <v>3901</v>
      </c>
      <c r="C1006" s="919" t="s">
        <v>3902</v>
      </c>
      <c r="D1006" s="919" t="s">
        <v>4382</v>
      </c>
      <c r="E1006" s="920">
        <v>2500</v>
      </c>
      <c r="F1006" s="919" t="s">
        <v>5683</v>
      </c>
      <c r="G1006" s="919" t="s">
        <v>5684</v>
      </c>
      <c r="H1006" s="919" t="s">
        <v>4382</v>
      </c>
      <c r="I1006" s="919" t="s">
        <v>3679</v>
      </c>
      <c r="J1006" s="919"/>
      <c r="K1006" s="920"/>
      <c r="L1006" s="920"/>
      <c r="M1006" s="920">
        <f t="shared" si="30"/>
        <v>0</v>
      </c>
      <c r="N1006" s="919">
        <v>1</v>
      </c>
      <c r="O1006" s="919">
        <v>1</v>
      </c>
      <c r="P1006" s="921">
        <f t="shared" si="31"/>
        <v>2500</v>
      </c>
    </row>
    <row r="1007" spans="1:16" ht="20.100000000000001" customHeight="1" x14ac:dyDescent="0.25">
      <c r="A1007" s="918" t="s">
        <v>471</v>
      </c>
      <c r="B1007" s="944" t="s">
        <v>3901</v>
      </c>
      <c r="C1007" s="919" t="s">
        <v>3902</v>
      </c>
      <c r="D1007" s="919" t="s">
        <v>4382</v>
      </c>
      <c r="E1007" s="920">
        <v>2500</v>
      </c>
      <c r="F1007" s="919" t="s">
        <v>5685</v>
      </c>
      <c r="G1007" s="919" t="s">
        <v>5686</v>
      </c>
      <c r="H1007" s="919" t="s">
        <v>4382</v>
      </c>
      <c r="I1007" s="919" t="s">
        <v>3679</v>
      </c>
      <c r="J1007" s="919"/>
      <c r="K1007" s="920"/>
      <c r="L1007" s="920"/>
      <c r="M1007" s="920">
        <f t="shared" si="30"/>
        <v>0</v>
      </c>
      <c r="N1007" s="919">
        <v>1</v>
      </c>
      <c r="O1007" s="919">
        <v>1</v>
      </c>
      <c r="P1007" s="921">
        <f t="shared" si="31"/>
        <v>2500</v>
      </c>
    </row>
    <row r="1008" spans="1:16" ht="20.100000000000001" customHeight="1" x14ac:dyDescent="0.25">
      <c r="A1008" s="918" t="s">
        <v>471</v>
      </c>
      <c r="B1008" s="944" t="s">
        <v>3901</v>
      </c>
      <c r="C1008" s="919" t="s">
        <v>3902</v>
      </c>
      <c r="D1008" s="919" t="s">
        <v>4382</v>
      </c>
      <c r="E1008" s="920">
        <v>2500</v>
      </c>
      <c r="F1008" s="919" t="s">
        <v>5687</v>
      </c>
      <c r="G1008" s="919" t="s">
        <v>5688</v>
      </c>
      <c r="H1008" s="919" t="s">
        <v>4382</v>
      </c>
      <c r="I1008" s="919" t="s">
        <v>3679</v>
      </c>
      <c r="J1008" s="919"/>
      <c r="K1008" s="920"/>
      <c r="L1008" s="920"/>
      <c r="M1008" s="920">
        <f t="shared" si="30"/>
        <v>0</v>
      </c>
      <c r="N1008" s="919">
        <v>1</v>
      </c>
      <c r="O1008" s="919">
        <v>1</v>
      </c>
      <c r="P1008" s="921">
        <f t="shared" si="31"/>
        <v>2500</v>
      </c>
    </row>
    <row r="1009" spans="1:16" ht="20.100000000000001" customHeight="1" x14ac:dyDescent="0.25">
      <c r="A1009" s="918" t="s">
        <v>471</v>
      </c>
      <c r="B1009" s="944" t="s">
        <v>3901</v>
      </c>
      <c r="C1009" s="919" t="s">
        <v>3902</v>
      </c>
      <c r="D1009" s="919" t="s">
        <v>4382</v>
      </c>
      <c r="E1009" s="920">
        <v>2500</v>
      </c>
      <c r="F1009" s="919" t="s">
        <v>5689</v>
      </c>
      <c r="G1009" s="919" t="s">
        <v>5690</v>
      </c>
      <c r="H1009" s="919" t="s">
        <v>4382</v>
      </c>
      <c r="I1009" s="919" t="s">
        <v>3679</v>
      </c>
      <c r="J1009" s="919"/>
      <c r="K1009" s="920"/>
      <c r="L1009" s="920"/>
      <c r="M1009" s="920">
        <f t="shared" si="30"/>
        <v>0</v>
      </c>
      <c r="N1009" s="919">
        <v>1</v>
      </c>
      <c r="O1009" s="919">
        <v>1</v>
      </c>
      <c r="P1009" s="921">
        <f t="shared" si="31"/>
        <v>2500</v>
      </c>
    </row>
    <row r="1010" spans="1:16" ht="20.100000000000001" customHeight="1" x14ac:dyDescent="0.25">
      <c r="A1010" s="918" t="s">
        <v>471</v>
      </c>
      <c r="B1010" s="944" t="s">
        <v>3901</v>
      </c>
      <c r="C1010" s="919" t="s">
        <v>3902</v>
      </c>
      <c r="D1010" s="919" t="s">
        <v>4382</v>
      </c>
      <c r="E1010" s="920">
        <v>2500</v>
      </c>
      <c r="F1010" s="919" t="s">
        <v>5691</v>
      </c>
      <c r="G1010" s="919" t="s">
        <v>5692</v>
      </c>
      <c r="H1010" s="919" t="s">
        <v>4382</v>
      </c>
      <c r="I1010" s="919" t="s">
        <v>3679</v>
      </c>
      <c r="J1010" s="919"/>
      <c r="K1010" s="920"/>
      <c r="L1010" s="920"/>
      <c r="M1010" s="920">
        <f t="shared" si="30"/>
        <v>0</v>
      </c>
      <c r="N1010" s="919">
        <v>1</v>
      </c>
      <c r="O1010" s="919">
        <v>1</v>
      </c>
      <c r="P1010" s="921">
        <f t="shared" si="31"/>
        <v>2500</v>
      </c>
    </row>
    <row r="1011" spans="1:16" ht="20.100000000000001" customHeight="1" x14ac:dyDescent="0.25">
      <c r="A1011" s="918" t="s">
        <v>471</v>
      </c>
      <c r="B1011" s="944" t="s">
        <v>3901</v>
      </c>
      <c r="C1011" s="919" t="s">
        <v>3902</v>
      </c>
      <c r="D1011" s="919" t="s">
        <v>4382</v>
      </c>
      <c r="E1011" s="920">
        <v>2500</v>
      </c>
      <c r="F1011" s="919" t="s">
        <v>5693</v>
      </c>
      <c r="G1011" s="919" t="s">
        <v>5694</v>
      </c>
      <c r="H1011" s="919" t="s">
        <v>4382</v>
      </c>
      <c r="I1011" s="919" t="s">
        <v>3679</v>
      </c>
      <c r="J1011" s="919"/>
      <c r="K1011" s="920"/>
      <c r="L1011" s="920"/>
      <c r="M1011" s="920">
        <f t="shared" si="30"/>
        <v>0</v>
      </c>
      <c r="N1011" s="919">
        <v>1</v>
      </c>
      <c r="O1011" s="919">
        <v>1</v>
      </c>
      <c r="P1011" s="921">
        <f t="shared" si="31"/>
        <v>2500</v>
      </c>
    </row>
    <row r="1012" spans="1:16" ht="20.100000000000001" customHeight="1" x14ac:dyDescent="0.25">
      <c r="A1012" s="918" t="s">
        <v>471</v>
      </c>
      <c r="B1012" s="944" t="s">
        <v>3901</v>
      </c>
      <c r="C1012" s="919" t="s">
        <v>3902</v>
      </c>
      <c r="D1012" s="919" t="s">
        <v>4382</v>
      </c>
      <c r="E1012" s="920">
        <v>2500</v>
      </c>
      <c r="F1012" s="919" t="s">
        <v>5695</v>
      </c>
      <c r="G1012" s="919" t="s">
        <v>5696</v>
      </c>
      <c r="H1012" s="919" t="s">
        <v>4382</v>
      </c>
      <c r="I1012" s="919" t="s">
        <v>3679</v>
      </c>
      <c r="J1012" s="919"/>
      <c r="K1012" s="920"/>
      <c r="L1012" s="920"/>
      <c r="M1012" s="920">
        <f t="shared" si="30"/>
        <v>0</v>
      </c>
      <c r="N1012" s="919">
        <v>1</v>
      </c>
      <c r="O1012" s="919">
        <v>1</v>
      </c>
      <c r="P1012" s="921">
        <f t="shared" si="31"/>
        <v>2500</v>
      </c>
    </row>
    <row r="1013" spans="1:16" ht="20.100000000000001" customHeight="1" x14ac:dyDescent="0.25">
      <c r="A1013" s="918" t="s">
        <v>471</v>
      </c>
      <c r="B1013" s="944" t="s">
        <v>3901</v>
      </c>
      <c r="C1013" s="919" t="s">
        <v>3902</v>
      </c>
      <c r="D1013" s="919" t="s">
        <v>4382</v>
      </c>
      <c r="E1013" s="920">
        <v>2500</v>
      </c>
      <c r="F1013" s="919" t="s">
        <v>5697</v>
      </c>
      <c r="G1013" s="919" t="s">
        <v>5698</v>
      </c>
      <c r="H1013" s="919" t="s">
        <v>4382</v>
      </c>
      <c r="I1013" s="919" t="s">
        <v>3679</v>
      </c>
      <c r="J1013" s="919"/>
      <c r="K1013" s="920"/>
      <c r="L1013" s="920"/>
      <c r="M1013" s="920">
        <f t="shared" si="30"/>
        <v>0</v>
      </c>
      <c r="N1013" s="919">
        <v>1</v>
      </c>
      <c r="O1013" s="919">
        <v>1</v>
      </c>
      <c r="P1013" s="921">
        <f t="shared" si="31"/>
        <v>2500</v>
      </c>
    </row>
    <row r="1014" spans="1:16" ht="20.100000000000001" customHeight="1" x14ac:dyDescent="0.25">
      <c r="A1014" s="918" t="s">
        <v>471</v>
      </c>
      <c r="B1014" s="944" t="s">
        <v>3901</v>
      </c>
      <c r="C1014" s="919" t="s">
        <v>3902</v>
      </c>
      <c r="D1014" s="919" t="s">
        <v>4382</v>
      </c>
      <c r="E1014" s="920">
        <v>2500</v>
      </c>
      <c r="F1014" s="919" t="s">
        <v>5699</v>
      </c>
      <c r="G1014" s="919" t="s">
        <v>5700</v>
      </c>
      <c r="H1014" s="919" t="s">
        <v>4382</v>
      </c>
      <c r="I1014" s="919" t="s">
        <v>3679</v>
      </c>
      <c r="J1014" s="919"/>
      <c r="K1014" s="920"/>
      <c r="L1014" s="920"/>
      <c r="M1014" s="920">
        <f t="shared" si="30"/>
        <v>0</v>
      </c>
      <c r="N1014" s="919">
        <v>1</v>
      </c>
      <c r="O1014" s="919">
        <v>1</v>
      </c>
      <c r="P1014" s="921">
        <f t="shared" si="31"/>
        <v>2500</v>
      </c>
    </row>
    <row r="1015" spans="1:16" ht="20.100000000000001" customHeight="1" x14ac:dyDescent="0.25">
      <c r="A1015" s="918" t="s">
        <v>471</v>
      </c>
      <c r="B1015" s="944" t="s">
        <v>3901</v>
      </c>
      <c r="C1015" s="919" t="s">
        <v>3902</v>
      </c>
      <c r="D1015" s="919" t="s">
        <v>4592</v>
      </c>
      <c r="E1015" s="920">
        <v>1150</v>
      </c>
      <c r="F1015" s="919" t="s">
        <v>5701</v>
      </c>
      <c r="G1015" s="919" t="s">
        <v>5702</v>
      </c>
      <c r="H1015" s="919" t="s">
        <v>4592</v>
      </c>
      <c r="I1015" s="919" t="s">
        <v>3686</v>
      </c>
      <c r="J1015" s="919"/>
      <c r="K1015" s="920"/>
      <c r="L1015" s="920"/>
      <c r="M1015" s="920">
        <f t="shared" si="30"/>
        <v>0</v>
      </c>
      <c r="N1015" s="919">
        <v>1</v>
      </c>
      <c r="O1015" s="919">
        <v>4</v>
      </c>
      <c r="P1015" s="921">
        <f t="shared" si="31"/>
        <v>4600</v>
      </c>
    </row>
    <row r="1016" spans="1:16" ht="20.100000000000001" customHeight="1" x14ac:dyDescent="0.25">
      <c r="A1016" s="918" t="s">
        <v>471</v>
      </c>
      <c r="B1016" s="944" t="s">
        <v>3901</v>
      </c>
      <c r="C1016" s="919" t="s">
        <v>3902</v>
      </c>
      <c r="D1016" s="919" t="s">
        <v>4592</v>
      </c>
      <c r="E1016" s="920">
        <v>1150</v>
      </c>
      <c r="F1016" s="919" t="s">
        <v>5703</v>
      </c>
      <c r="G1016" s="919" t="s">
        <v>5704</v>
      </c>
      <c r="H1016" s="919" t="s">
        <v>4592</v>
      </c>
      <c r="I1016" s="919" t="s">
        <v>3686</v>
      </c>
      <c r="J1016" s="919"/>
      <c r="K1016" s="920"/>
      <c r="L1016" s="920"/>
      <c r="M1016" s="920">
        <f t="shared" si="30"/>
        <v>0</v>
      </c>
      <c r="N1016" s="919">
        <v>1</v>
      </c>
      <c r="O1016" s="919">
        <v>4</v>
      </c>
      <c r="P1016" s="921">
        <f t="shared" si="31"/>
        <v>4600</v>
      </c>
    </row>
    <row r="1017" spans="1:16" ht="20.100000000000001" customHeight="1" x14ac:dyDescent="0.25">
      <c r="A1017" s="918" t="s">
        <v>471</v>
      </c>
      <c r="B1017" s="944" t="s">
        <v>3901</v>
      </c>
      <c r="C1017" s="919" t="s">
        <v>3902</v>
      </c>
      <c r="D1017" s="919" t="s">
        <v>4592</v>
      </c>
      <c r="E1017" s="920">
        <v>1150</v>
      </c>
      <c r="F1017" s="919" t="s">
        <v>5705</v>
      </c>
      <c r="G1017" s="919" t="s">
        <v>5706</v>
      </c>
      <c r="H1017" s="919" t="s">
        <v>4592</v>
      </c>
      <c r="I1017" s="919" t="s">
        <v>3686</v>
      </c>
      <c r="J1017" s="919"/>
      <c r="K1017" s="920"/>
      <c r="L1017" s="920"/>
      <c r="M1017" s="920">
        <f t="shared" si="30"/>
        <v>0</v>
      </c>
      <c r="N1017" s="919">
        <v>1</v>
      </c>
      <c r="O1017" s="919">
        <v>4</v>
      </c>
      <c r="P1017" s="921">
        <f t="shared" si="31"/>
        <v>4600</v>
      </c>
    </row>
    <row r="1018" spans="1:16" ht="20.100000000000001" customHeight="1" x14ac:dyDescent="0.25">
      <c r="A1018" s="918" t="s">
        <v>471</v>
      </c>
      <c r="B1018" s="944" t="s">
        <v>3901</v>
      </c>
      <c r="C1018" s="919" t="s">
        <v>3902</v>
      </c>
      <c r="D1018" s="919" t="s">
        <v>4592</v>
      </c>
      <c r="E1018" s="920">
        <v>1150</v>
      </c>
      <c r="F1018" s="919" t="s">
        <v>5707</v>
      </c>
      <c r="G1018" s="919" t="s">
        <v>5708</v>
      </c>
      <c r="H1018" s="919" t="s">
        <v>4592</v>
      </c>
      <c r="I1018" s="919" t="s">
        <v>3686</v>
      </c>
      <c r="J1018" s="919"/>
      <c r="K1018" s="920"/>
      <c r="L1018" s="920"/>
      <c r="M1018" s="920">
        <f t="shared" si="30"/>
        <v>0</v>
      </c>
      <c r="N1018" s="919">
        <v>1</v>
      </c>
      <c r="O1018" s="919">
        <v>4</v>
      </c>
      <c r="P1018" s="921">
        <f t="shared" si="31"/>
        <v>4600</v>
      </c>
    </row>
    <row r="1019" spans="1:16" ht="20.100000000000001" customHeight="1" x14ac:dyDescent="0.25">
      <c r="A1019" s="918" t="s">
        <v>471</v>
      </c>
      <c r="B1019" s="944" t="s">
        <v>3901</v>
      </c>
      <c r="C1019" s="919" t="s">
        <v>3902</v>
      </c>
      <c r="D1019" s="919" t="s">
        <v>4592</v>
      </c>
      <c r="E1019" s="920">
        <v>1150</v>
      </c>
      <c r="F1019" s="919" t="s">
        <v>5709</v>
      </c>
      <c r="G1019" s="919" t="s">
        <v>5710</v>
      </c>
      <c r="H1019" s="919" t="s">
        <v>4592</v>
      </c>
      <c r="I1019" s="919" t="s">
        <v>3686</v>
      </c>
      <c r="J1019" s="919"/>
      <c r="K1019" s="920"/>
      <c r="L1019" s="920"/>
      <c r="M1019" s="920">
        <f t="shared" si="30"/>
        <v>0</v>
      </c>
      <c r="N1019" s="919">
        <v>1</v>
      </c>
      <c r="O1019" s="919">
        <v>4</v>
      </c>
      <c r="P1019" s="921">
        <f t="shared" si="31"/>
        <v>4600</v>
      </c>
    </row>
    <row r="1020" spans="1:16" ht="20.100000000000001" customHeight="1" x14ac:dyDescent="0.25">
      <c r="A1020" s="918" t="s">
        <v>471</v>
      </c>
      <c r="B1020" s="944" t="s">
        <v>3901</v>
      </c>
      <c r="C1020" s="919" t="s">
        <v>3902</v>
      </c>
      <c r="D1020" s="919" t="s">
        <v>4592</v>
      </c>
      <c r="E1020" s="920">
        <v>1150</v>
      </c>
      <c r="F1020" s="919" t="s">
        <v>5711</v>
      </c>
      <c r="G1020" s="919" t="s">
        <v>5712</v>
      </c>
      <c r="H1020" s="919" t="s">
        <v>4592</v>
      </c>
      <c r="I1020" s="919" t="s">
        <v>3686</v>
      </c>
      <c r="J1020" s="919"/>
      <c r="K1020" s="920"/>
      <c r="L1020" s="920"/>
      <c r="M1020" s="920">
        <f t="shared" si="30"/>
        <v>0</v>
      </c>
      <c r="N1020" s="919">
        <v>1</v>
      </c>
      <c r="O1020" s="919">
        <v>4</v>
      </c>
      <c r="P1020" s="921">
        <f t="shared" si="31"/>
        <v>4600</v>
      </c>
    </row>
    <row r="1021" spans="1:16" ht="20.100000000000001" customHeight="1" x14ac:dyDescent="0.25">
      <c r="A1021" s="918" t="s">
        <v>471</v>
      </c>
      <c r="B1021" s="944" t="s">
        <v>3901</v>
      </c>
      <c r="C1021" s="919" t="s">
        <v>3902</v>
      </c>
      <c r="D1021" s="919" t="s">
        <v>4592</v>
      </c>
      <c r="E1021" s="920">
        <v>1150</v>
      </c>
      <c r="F1021" s="919" t="s">
        <v>5713</v>
      </c>
      <c r="G1021" s="919" t="s">
        <v>5714</v>
      </c>
      <c r="H1021" s="919" t="s">
        <v>4592</v>
      </c>
      <c r="I1021" s="919" t="s">
        <v>3686</v>
      </c>
      <c r="J1021" s="919"/>
      <c r="K1021" s="920"/>
      <c r="L1021" s="920"/>
      <c r="M1021" s="920">
        <f t="shared" si="30"/>
        <v>0</v>
      </c>
      <c r="N1021" s="919">
        <v>1</v>
      </c>
      <c r="O1021" s="919">
        <v>4</v>
      </c>
      <c r="P1021" s="921">
        <f t="shared" si="31"/>
        <v>4600</v>
      </c>
    </row>
    <row r="1022" spans="1:16" ht="20.100000000000001" customHeight="1" x14ac:dyDescent="0.25">
      <c r="A1022" s="918" t="s">
        <v>471</v>
      </c>
      <c r="B1022" s="944" t="s">
        <v>3901</v>
      </c>
      <c r="C1022" s="919" t="s">
        <v>3902</v>
      </c>
      <c r="D1022" s="919" t="s">
        <v>4592</v>
      </c>
      <c r="E1022" s="920">
        <v>1150</v>
      </c>
      <c r="F1022" s="919" t="s">
        <v>5715</v>
      </c>
      <c r="G1022" s="919" t="s">
        <v>5716</v>
      </c>
      <c r="H1022" s="919" t="s">
        <v>4592</v>
      </c>
      <c r="I1022" s="919" t="s">
        <v>3686</v>
      </c>
      <c r="J1022" s="919"/>
      <c r="K1022" s="920"/>
      <c r="L1022" s="920"/>
      <c r="M1022" s="920">
        <f t="shared" si="30"/>
        <v>0</v>
      </c>
      <c r="N1022" s="919">
        <v>1</v>
      </c>
      <c r="O1022" s="919">
        <v>4</v>
      </c>
      <c r="P1022" s="921">
        <f t="shared" si="31"/>
        <v>4600</v>
      </c>
    </row>
    <row r="1023" spans="1:16" ht="20.100000000000001" customHeight="1" x14ac:dyDescent="0.25">
      <c r="A1023" s="918" t="s">
        <v>471</v>
      </c>
      <c r="B1023" s="944" t="s">
        <v>3901</v>
      </c>
      <c r="C1023" s="919" t="s">
        <v>3902</v>
      </c>
      <c r="D1023" s="919" t="s">
        <v>4592</v>
      </c>
      <c r="E1023" s="920">
        <v>1150</v>
      </c>
      <c r="F1023" s="919" t="s">
        <v>5717</v>
      </c>
      <c r="G1023" s="919" t="s">
        <v>5718</v>
      </c>
      <c r="H1023" s="919" t="s">
        <v>4592</v>
      </c>
      <c r="I1023" s="919" t="s">
        <v>3686</v>
      </c>
      <c r="J1023" s="919"/>
      <c r="K1023" s="920"/>
      <c r="L1023" s="920"/>
      <c r="M1023" s="920">
        <f t="shared" si="30"/>
        <v>0</v>
      </c>
      <c r="N1023" s="919">
        <v>1</v>
      </c>
      <c r="O1023" s="919">
        <v>4</v>
      </c>
      <c r="P1023" s="921">
        <f t="shared" si="31"/>
        <v>4600</v>
      </c>
    </row>
    <row r="1024" spans="1:16" ht="20.100000000000001" customHeight="1" x14ac:dyDescent="0.25">
      <c r="A1024" s="918" t="s">
        <v>471</v>
      </c>
      <c r="B1024" s="944" t="s">
        <v>3901</v>
      </c>
      <c r="C1024" s="919" t="s">
        <v>3902</v>
      </c>
      <c r="D1024" s="919" t="s">
        <v>4592</v>
      </c>
      <c r="E1024" s="920">
        <v>1150</v>
      </c>
      <c r="F1024" s="919" t="s">
        <v>5719</v>
      </c>
      <c r="G1024" s="919" t="s">
        <v>5720</v>
      </c>
      <c r="H1024" s="919" t="s">
        <v>4592</v>
      </c>
      <c r="I1024" s="919" t="s">
        <v>3686</v>
      </c>
      <c r="J1024" s="919"/>
      <c r="K1024" s="920"/>
      <c r="L1024" s="920"/>
      <c r="M1024" s="920">
        <f t="shared" si="30"/>
        <v>0</v>
      </c>
      <c r="N1024" s="919">
        <v>1</v>
      </c>
      <c r="O1024" s="919">
        <v>3</v>
      </c>
      <c r="P1024" s="921">
        <f t="shared" si="31"/>
        <v>3450</v>
      </c>
    </row>
    <row r="1025" spans="1:16" ht="20.100000000000001" customHeight="1" x14ac:dyDescent="0.25">
      <c r="A1025" s="918" t="s">
        <v>471</v>
      </c>
      <c r="B1025" s="944" t="s">
        <v>3901</v>
      </c>
      <c r="C1025" s="919" t="s">
        <v>3902</v>
      </c>
      <c r="D1025" s="919" t="s">
        <v>4592</v>
      </c>
      <c r="E1025" s="920">
        <v>1150</v>
      </c>
      <c r="F1025" s="919" t="s">
        <v>5721</v>
      </c>
      <c r="G1025" s="919" t="s">
        <v>5722</v>
      </c>
      <c r="H1025" s="919" t="s">
        <v>4592</v>
      </c>
      <c r="I1025" s="919" t="s">
        <v>3686</v>
      </c>
      <c r="J1025" s="919"/>
      <c r="K1025" s="920"/>
      <c r="L1025" s="920"/>
      <c r="M1025" s="920">
        <f t="shared" si="30"/>
        <v>0</v>
      </c>
      <c r="N1025" s="919">
        <v>1</v>
      </c>
      <c r="O1025" s="919">
        <v>3</v>
      </c>
      <c r="P1025" s="921">
        <f t="shared" si="31"/>
        <v>3450</v>
      </c>
    </row>
    <row r="1026" spans="1:16" ht="20.100000000000001" customHeight="1" x14ac:dyDescent="0.25">
      <c r="A1026" s="918" t="s">
        <v>471</v>
      </c>
      <c r="B1026" s="944" t="s">
        <v>3901</v>
      </c>
      <c r="C1026" s="919" t="s">
        <v>3902</v>
      </c>
      <c r="D1026" s="919" t="s">
        <v>4592</v>
      </c>
      <c r="E1026" s="920">
        <v>1150</v>
      </c>
      <c r="F1026" s="919" t="s">
        <v>5723</v>
      </c>
      <c r="G1026" s="919" t="s">
        <v>5724</v>
      </c>
      <c r="H1026" s="919" t="s">
        <v>4592</v>
      </c>
      <c r="I1026" s="919" t="s">
        <v>3686</v>
      </c>
      <c r="J1026" s="919"/>
      <c r="K1026" s="920"/>
      <c r="L1026" s="920"/>
      <c r="M1026" s="920">
        <f t="shared" si="30"/>
        <v>0</v>
      </c>
      <c r="N1026" s="919">
        <v>1</v>
      </c>
      <c r="O1026" s="919">
        <v>3</v>
      </c>
      <c r="P1026" s="921">
        <f t="shared" si="31"/>
        <v>3450</v>
      </c>
    </row>
    <row r="1027" spans="1:16" ht="20.100000000000001" customHeight="1" x14ac:dyDescent="0.25">
      <c r="A1027" s="918" t="s">
        <v>471</v>
      </c>
      <c r="B1027" s="944" t="s">
        <v>3901</v>
      </c>
      <c r="C1027" s="919" t="s">
        <v>3902</v>
      </c>
      <c r="D1027" s="919" t="s">
        <v>4592</v>
      </c>
      <c r="E1027" s="920">
        <v>1150</v>
      </c>
      <c r="F1027" s="919" t="s">
        <v>5725</v>
      </c>
      <c r="G1027" s="919" t="s">
        <v>5726</v>
      </c>
      <c r="H1027" s="919" t="s">
        <v>4592</v>
      </c>
      <c r="I1027" s="919" t="s">
        <v>3686</v>
      </c>
      <c r="J1027" s="919"/>
      <c r="K1027" s="920"/>
      <c r="L1027" s="920"/>
      <c r="M1027" s="920">
        <f t="shared" si="30"/>
        <v>0</v>
      </c>
      <c r="N1027" s="919">
        <v>1</v>
      </c>
      <c r="O1027" s="919">
        <v>3</v>
      </c>
      <c r="P1027" s="921">
        <f t="shared" si="31"/>
        <v>3450</v>
      </c>
    </row>
    <row r="1028" spans="1:16" ht="20.100000000000001" customHeight="1" x14ac:dyDescent="0.25">
      <c r="A1028" s="918" t="s">
        <v>471</v>
      </c>
      <c r="B1028" s="944" t="s">
        <v>3901</v>
      </c>
      <c r="C1028" s="919" t="s">
        <v>3902</v>
      </c>
      <c r="D1028" s="919" t="s">
        <v>4592</v>
      </c>
      <c r="E1028" s="920">
        <v>1150</v>
      </c>
      <c r="F1028" s="919" t="s">
        <v>5727</v>
      </c>
      <c r="G1028" s="919" t="s">
        <v>5728</v>
      </c>
      <c r="H1028" s="919" t="s">
        <v>4592</v>
      </c>
      <c r="I1028" s="919" t="s">
        <v>3686</v>
      </c>
      <c r="J1028" s="919"/>
      <c r="K1028" s="920"/>
      <c r="L1028" s="920"/>
      <c r="M1028" s="920">
        <f t="shared" si="30"/>
        <v>0</v>
      </c>
      <c r="N1028" s="919">
        <v>1</v>
      </c>
      <c r="O1028" s="919">
        <v>3</v>
      </c>
      <c r="P1028" s="921">
        <f t="shared" si="31"/>
        <v>3450</v>
      </c>
    </row>
    <row r="1029" spans="1:16" ht="20.100000000000001" customHeight="1" x14ac:dyDescent="0.25">
      <c r="A1029" s="918" t="s">
        <v>471</v>
      </c>
      <c r="B1029" s="944" t="s">
        <v>3901</v>
      </c>
      <c r="C1029" s="919" t="s">
        <v>3902</v>
      </c>
      <c r="D1029" s="919" t="s">
        <v>4592</v>
      </c>
      <c r="E1029" s="920">
        <v>1150</v>
      </c>
      <c r="F1029" s="919" t="s">
        <v>5729</v>
      </c>
      <c r="G1029" s="919" t="s">
        <v>5730</v>
      </c>
      <c r="H1029" s="919" t="s">
        <v>4592</v>
      </c>
      <c r="I1029" s="919" t="s">
        <v>3686</v>
      </c>
      <c r="J1029" s="919"/>
      <c r="K1029" s="920"/>
      <c r="L1029" s="920"/>
      <c r="M1029" s="920">
        <f t="shared" si="30"/>
        <v>0</v>
      </c>
      <c r="N1029" s="919">
        <v>1</v>
      </c>
      <c r="O1029" s="919">
        <v>3</v>
      </c>
      <c r="P1029" s="921">
        <f t="shared" si="31"/>
        <v>3450</v>
      </c>
    </row>
    <row r="1030" spans="1:16" ht="20.100000000000001" customHeight="1" x14ac:dyDescent="0.25">
      <c r="A1030" s="918" t="s">
        <v>471</v>
      </c>
      <c r="B1030" s="944" t="s">
        <v>3901</v>
      </c>
      <c r="C1030" s="919" t="s">
        <v>3902</v>
      </c>
      <c r="D1030" s="919" t="s">
        <v>4592</v>
      </c>
      <c r="E1030" s="920">
        <v>1150</v>
      </c>
      <c r="F1030" s="919" t="s">
        <v>4041</v>
      </c>
      <c r="G1030" s="919" t="s">
        <v>4042</v>
      </c>
      <c r="H1030" s="919" t="s">
        <v>4592</v>
      </c>
      <c r="I1030" s="919" t="s">
        <v>3686</v>
      </c>
      <c r="J1030" s="919"/>
      <c r="K1030" s="920">
        <v>1</v>
      </c>
      <c r="L1030" s="920">
        <v>12</v>
      </c>
      <c r="M1030" s="920">
        <f t="shared" ref="M1030:M1093" si="32">E1030*L1030</f>
        <v>13800</v>
      </c>
      <c r="N1030" s="919"/>
      <c r="O1030" s="919"/>
      <c r="P1030" s="921">
        <f t="shared" ref="P1030:P1093" si="33">E1030*O1030</f>
        <v>0</v>
      </c>
    </row>
    <row r="1031" spans="1:16" ht="20.100000000000001" customHeight="1" x14ac:dyDescent="0.25">
      <c r="A1031" s="918" t="s">
        <v>471</v>
      </c>
      <c r="B1031" s="944" t="s">
        <v>3901</v>
      </c>
      <c r="C1031" s="919" t="s">
        <v>3902</v>
      </c>
      <c r="D1031" s="919" t="s">
        <v>4592</v>
      </c>
      <c r="E1031" s="920">
        <v>1150</v>
      </c>
      <c r="F1031" s="919" t="s">
        <v>5731</v>
      </c>
      <c r="G1031" s="919" t="s">
        <v>5732</v>
      </c>
      <c r="H1031" s="919" t="s">
        <v>4592</v>
      </c>
      <c r="I1031" s="919" t="s">
        <v>3686</v>
      </c>
      <c r="J1031" s="919"/>
      <c r="K1031" s="920"/>
      <c r="L1031" s="920"/>
      <c r="M1031" s="920">
        <f t="shared" si="32"/>
        <v>0</v>
      </c>
      <c r="N1031" s="919">
        <v>1</v>
      </c>
      <c r="O1031" s="919">
        <v>1</v>
      </c>
      <c r="P1031" s="921">
        <f t="shared" si="33"/>
        <v>1150</v>
      </c>
    </row>
    <row r="1032" spans="1:16" ht="20.100000000000001" customHeight="1" x14ac:dyDescent="0.25">
      <c r="A1032" s="918" t="s">
        <v>471</v>
      </c>
      <c r="B1032" s="944" t="s">
        <v>3901</v>
      </c>
      <c r="C1032" s="919" t="s">
        <v>3902</v>
      </c>
      <c r="D1032" s="919" t="s">
        <v>4592</v>
      </c>
      <c r="E1032" s="920">
        <v>1150</v>
      </c>
      <c r="F1032" s="919" t="s">
        <v>5733</v>
      </c>
      <c r="G1032" s="919" t="s">
        <v>5734</v>
      </c>
      <c r="H1032" s="919" t="s">
        <v>4592</v>
      </c>
      <c r="I1032" s="919" t="s">
        <v>3686</v>
      </c>
      <c r="J1032" s="919"/>
      <c r="K1032" s="920"/>
      <c r="L1032" s="920"/>
      <c r="M1032" s="920">
        <f t="shared" si="32"/>
        <v>0</v>
      </c>
      <c r="N1032" s="919">
        <v>1</v>
      </c>
      <c r="O1032" s="919">
        <v>1</v>
      </c>
      <c r="P1032" s="921">
        <f t="shared" si="33"/>
        <v>1150</v>
      </c>
    </row>
    <row r="1033" spans="1:16" ht="20.100000000000001" customHeight="1" x14ac:dyDescent="0.25">
      <c r="A1033" s="918" t="s">
        <v>471</v>
      </c>
      <c r="B1033" s="944" t="s">
        <v>3901</v>
      </c>
      <c r="C1033" s="919" t="s">
        <v>3902</v>
      </c>
      <c r="D1033" s="919" t="s">
        <v>4592</v>
      </c>
      <c r="E1033" s="920">
        <v>1150</v>
      </c>
      <c r="F1033" s="919" t="s">
        <v>5735</v>
      </c>
      <c r="G1033" s="919" t="s">
        <v>5736</v>
      </c>
      <c r="H1033" s="919" t="s">
        <v>4592</v>
      </c>
      <c r="I1033" s="919" t="s">
        <v>3686</v>
      </c>
      <c r="J1033" s="919"/>
      <c r="K1033" s="920"/>
      <c r="L1033" s="920"/>
      <c r="M1033" s="920">
        <f t="shared" si="32"/>
        <v>0</v>
      </c>
      <c r="N1033" s="919">
        <v>1</v>
      </c>
      <c r="O1033" s="919">
        <v>1</v>
      </c>
      <c r="P1033" s="921">
        <f t="shared" si="33"/>
        <v>1150</v>
      </c>
    </row>
    <row r="1034" spans="1:16" ht="20.100000000000001" customHeight="1" x14ac:dyDescent="0.25">
      <c r="A1034" s="918" t="s">
        <v>471</v>
      </c>
      <c r="B1034" s="944" t="s">
        <v>3901</v>
      </c>
      <c r="C1034" s="919" t="s">
        <v>3902</v>
      </c>
      <c r="D1034" s="919" t="s">
        <v>4592</v>
      </c>
      <c r="E1034" s="920">
        <v>1150</v>
      </c>
      <c r="F1034" s="919" t="s">
        <v>5737</v>
      </c>
      <c r="G1034" s="919" t="s">
        <v>5738</v>
      </c>
      <c r="H1034" s="919" t="s">
        <v>4592</v>
      </c>
      <c r="I1034" s="919" t="s">
        <v>3686</v>
      </c>
      <c r="J1034" s="919"/>
      <c r="K1034" s="920"/>
      <c r="L1034" s="920"/>
      <c r="M1034" s="920">
        <f t="shared" si="32"/>
        <v>0</v>
      </c>
      <c r="N1034" s="919">
        <v>1</v>
      </c>
      <c r="O1034" s="919">
        <v>1</v>
      </c>
      <c r="P1034" s="921">
        <f t="shared" si="33"/>
        <v>1150</v>
      </c>
    </row>
    <row r="1035" spans="1:16" ht="20.100000000000001" customHeight="1" x14ac:dyDescent="0.25">
      <c r="A1035" s="918" t="s">
        <v>471</v>
      </c>
      <c r="B1035" s="944" t="s">
        <v>3901</v>
      </c>
      <c r="C1035" s="919" t="s">
        <v>3902</v>
      </c>
      <c r="D1035" s="919" t="s">
        <v>4592</v>
      </c>
      <c r="E1035" s="920">
        <v>1150</v>
      </c>
      <c r="F1035" s="919" t="s">
        <v>4041</v>
      </c>
      <c r="G1035" s="919" t="s">
        <v>4042</v>
      </c>
      <c r="H1035" s="919" t="s">
        <v>4592</v>
      </c>
      <c r="I1035" s="919" t="s">
        <v>3686</v>
      </c>
      <c r="J1035" s="919"/>
      <c r="K1035" s="920">
        <v>1</v>
      </c>
      <c r="L1035" s="920">
        <v>12</v>
      </c>
      <c r="M1035" s="920">
        <f t="shared" si="32"/>
        <v>13800</v>
      </c>
      <c r="N1035" s="919"/>
      <c r="O1035" s="919"/>
      <c r="P1035" s="921">
        <f t="shared" si="33"/>
        <v>0</v>
      </c>
    </row>
    <row r="1036" spans="1:16" ht="20.100000000000001" customHeight="1" x14ac:dyDescent="0.25">
      <c r="A1036" s="918" t="s">
        <v>471</v>
      </c>
      <c r="B1036" s="944" t="s">
        <v>3901</v>
      </c>
      <c r="C1036" s="919" t="s">
        <v>3902</v>
      </c>
      <c r="D1036" s="919" t="s">
        <v>4592</v>
      </c>
      <c r="E1036" s="920">
        <v>1150</v>
      </c>
      <c r="F1036" s="919" t="s">
        <v>5739</v>
      </c>
      <c r="G1036" s="919" t="s">
        <v>5740</v>
      </c>
      <c r="H1036" s="919" t="s">
        <v>4592</v>
      </c>
      <c r="I1036" s="919" t="s">
        <v>3686</v>
      </c>
      <c r="J1036" s="919"/>
      <c r="K1036" s="920"/>
      <c r="L1036" s="920"/>
      <c r="M1036" s="920">
        <f t="shared" si="32"/>
        <v>0</v>
      </c>
      <c r="N1036" s="919">
        <v>1</v>
      </c>
      <c r="O1036" s="919">
        <v>1</v>
      </c>
      <c r="P1036" s="921">
        <f t="shared" si="33"/>
        <v>1150</v>
      </c>
    </row>
    <row r="1037" spans="1:16" ht="20.100000000000001" customHeight="1" x14ac:dyDescent="0.25">
      <c r="A1037" s="918" t="s">
        <v>471</v>
      </c>
      <c r="B1037" s="944" t="s">
        <v>3901</v>
      </c>
      <c r="C1037" s="919" t="s">
        <v>3902</v>
      </c>
      <c r="D1037" s="919" t="s">
        <v>4109</v>
      </c>
      <c r="E1037" s="920">
        <v>1400</v>
      </c>
      <c r="F1037" s="919" t="s">
        <v>5741</v>
      </c>
      <c r="G1037" s="919" t="s">
        <v>5742</v>
      </c>
      <c r="H1037" s="919" t="s">
        <v>4109</v>
      </c>
      <c r="I1037" s="919" t="s">
        <v>3686</v>
      </c>
      <c r="J1037" s="919"/>
      <c r="K1037" s="920"/>
      <c r="L1037" s="920"/>
      <c r="M1037" s="920">
        <f t="shared" si="32"/>
        <v>0</v>
      </c>
      <c r="N1037" s="919">
        <v>1</v>
      </c>
      <c r="O1037" s="919">
        <v>5</v>
      </c>
      <c r="P1037" s="921">
        <f t="shared" si="33"/>
        <v>7000</v>
      </c>
    </row>
    <row r="1038" spans="1:16" ht="20.100000000000001" customHeight="1" x14ac:dyDescent="0.25">
      <c r="A1038" s="918" t="s">
        <v>471</v>
      </c>
      <c r="B1038" s="944" t="s">
        <v>3901</v>
      </c>
      <c r="C1038" s="919" t="s">
        <v>3902</v>
      </c>
      <c r="D1038" s="919" t="s">
        <v>4109</v>
      </c>
      <c r="E1038" s="920">
        <v>1400</v>
      </c>
      <c r="F1038" s="919" t="s">
        <v>5743</v>
      </c>
      <c r="G1038" s="919" t="s">
        <v>5744</v>
      </c>
      <c r="H1038" s="919" t="s">
        <v>4109</v>
      </c>
      <c r="I1038" s="919" t="s">
        <v>3686</v>
      </c>
      <c r="J1038" s="919"/>
      <c r="K1038" s="920"/>
      <c r="L1038" s="920"/>
      <c r="M1038" s="920">
        <f t="shared" si="32"/>
        <v>0</v>
      </c>
      <c r="N1038" s="919">
        <v>1</v>
      </c>
      <c r="O1038" s="919">
        <v>5</v>
      </c>
      <c r="P1038" s="921">
        <f t="shared" si="33"/>
        <v>7000</v>
      </c>
    </row>
    <row r="1039" spans="1:16" ht="20.100000000000001" customHeight="1" x14ac:dyDescent="0.25">
      <c r="A1039" s="918" t="s">
        <v>471</v>
      </c>
      <c r="B1039" s="944" t="s">
        <v>3901</v>
      </c>
      <c r="C1039" s="919" t="s">
        <v>3902</v>
      </c>
      <c r="D1039" s="919" t="s">
        <v>4109</v>
      </c>
      <c r="E1039" s="920">
        <v>1400</v>
      </c>
      <c r="F1039" s="919" t="s">
        <v>5745</v>
      </c>
      <c r="G1039" s="919" t="s">
        <v>5746</v>
      </c>
      <c r="H1039" s="919" t="s">
        <v>4109</v>
      </c>
      <c r="I1039" s="919" t="s">
        <v>3686</v>
      </c>
      <c r="J1039" s="919"/>
      <c r="K1039" s="920"/>
      <c r="L1039" s="920"/>
      <c r="M1039" s="920">
        <f t="shared" si="32"/>
        <v>0</v>
      </c>
      <c r="N1039" s="919">
        <v>1</v>
      </c>
      <c r="O1039" s="919">
        <v>5</v>
      </c>
      <c r="P1039" s="921">
        <f t="shared" si="33"/>
        <v>7000</v>
      </c>
    </row>
    <row r="1040" spans="1:16" ht="20.100000000000001" customHeight="1" x14ac:dyDescent="0.25">
      <c r="A1040" s="918" t="s">
        <v>471</v>
      </c>
      <c r="B1040" s="944" t="s">
        <v>3901</v>
      </c>
      <c r="C1040" s="919" t="s">
        <v>3902</v>
      </c>
      <c r="D1040" s="919" t="s">
        <v>4109</v>
      </c>
      <c r="E1040" s="920">
        <v>1400</v>
      </c>
      <c r="F1040" s="919" t="s">
        <v>5747</v>
      </c>
      <c r="G1040" s="919" t="s">
        <v>5748</v>
      </c>
      <c r="H1040" s="919" t="s">
        <v>4109</v>
      </c>
      <c r="I1040" s="919" t="s">
        <v>3686</v>
      </c>
      <c r="J1040" s="919"/>
      <c r="K1040" s="920"/>
      <c r="L1040" s="920"/>
      <c r="M1040" s="920">
        <f t="shared" si="32"/>
        <v>0</v>
      </c>
      <c r="N1040" s="919">
        <v>1</v>
      </c>
      <c r="O1040" s="919">
        <v>5</v>
      </c>
      <c r="P1040" s="921">
        <f t="shared" si="33"/>
        <v>7000</v>
      </c>
    </row>
    <row r="1041" spans="1:16" ht="20.100000000000001" customHeight="1" x14ac:dyDescent="0.25">
      <c r="A1041" s="918" t="s">
        <v>471</v>
      </c>
      <c r="B1041" s="944" t="s">
        <v>3901</v>
      </c>
      <c r="C1041" s="919" t="s">
        <v>3902</v>
      </c>
      <c r="D1041" s="919" t="s">
        <v>4109</v>
      </c>
      <c r="E1041" s="920">
        <v>1400</v>
      </c>
      <c r="F1041" s="919" t="s">
        <v>5749</v>
      </c>
      <c r="G1041" s="919" t="s">
        <v>5750</v>
      </c>
      <c r="H1041" s="919" t="s">
        <v>4109</v>
      </c>
      <c r="I1041" s="919" t="s">
        <v>3686</v>
      </c>
      <c r="J1041" s="919"/>
      <c r="K1041" s="920"/>
      <c r="L1041" s="920"/>
      <c r="M1041" s="920">
        <f t="shared" si="32"/>
        <v>0</v>
      </c>
      <c r="N1041" s="919">
        <v>1</v>
      </c>
      <c r="O1041" s="919">
        <v>5</v>
      </c>
      <c r="P1041" s="921">
        <f t="shared" si="33"/>
        <v>7000</v>
      </c>
    </row>
    <row r="1042" spans="1:16" ht="20.100000000000001" customHeight="1" x14ac:dyDescent="0.25">
      <c r="A1042" s="918" t="s">
        <v>471</v>
      </c>
      <c r="B1042" s="944" t="s">
        <v>3901</v>
      </c>
      <c r="C1042" s="919" t="s">
        <v>3902</v>
      </c>
      <c r="D1042" s="919" t="s">
        <v>4109</v>
      </c>
      <c r="E1042" s="920">
        <v>1400</v>
      </c>
      <c r="F1042" s="919" t="s">
        <v>5751</v>
      </c>
      <c r="G1042" s="919" t="s">
        <v>5752</v>
      </c>
      <c r="H1042" s="919" t="s">
        <v>4109</v>
      </c>
      <c r="I1042" s="919" t="s">
        <v>3686</v>
      </c>
      <c r="J1042" s="919"/>
      <c r="K1042" s="920"/>
      <c r="L1042" s="920"/>
      <c r="M1042" s="920">
        <f t="shared" si="32"/>
        <v>0</v>
      </c>
      <c r="N1042" s="919">
        <v>1</v>
      </c>
      <c r="O1042" s="919">
        <v>5</v>
      </c>
      <c r="P1042" s="921">
        <f t="shared" si="33"/>
        <v>7000</v>
      </c>
    </row>
    <row r="1043" spans="1:16" ht="20.100000000000001" customHeight="1" x14ac:dyDescent="0.25">
      <c r="A1043" s="918" t="s">
        <v>471</v>
      </c>
      <c r="B1043" s="944" t="s">
        <v>3901</v>
      </c>
      <c r="C1043" s="919" t="s">
        <v>3902</v>
      </c>
      <c r="D1043" s="919" t="s">
        <v>4109</v>
      </c>
      <c r="E1043" s="920">
        <v>1400</v>
      </c>
      <c r="F1043" s="919" t="s">
        <v>5753</v>
      </c>
      <c r="G1043" s="919" t="s">
        <v>5754</v>
      </c>
      <c r="H1043" s="919" t="s">
        <v>4109</v>
      </c>
      <c r="I1043" s="919" t="s">
        <v>3686</v>
      </c>
      <c r="J1043" s="919"/>
      <c r="K1043" s="920"/>
      <c r="L1043" s="920"/>
      <c r="M1043" s="920">
        <f t="shared" si="32"/>
        <v>0</v>
      </c>
      <c r="N1043" s="919">
        <v>1</v>
      </c>
      <c r="O1043" s="919">
        <v>5</v>
      </c>
      <c r="P1043" s="921">
        <f t="shared" si="33"/>
        <v>7000</v>
      </c>
    </row>
    <row r="1044" spans="1:16" ht="20.100000000000001" customHeight="1" x14ac:dyDescent="0.25">
      <c r="A1044" s="918" t="s">
        <v>471</v>
      </c>
      <c r="B1044" s="944" t="s">
        <v>3901</v>
      </c>
      <c r="C1044" s="919" t="s">
        <v>3902</v>
      </c>
      <c r="D1044" s="919" t="s">
        <v>4109</v>
      </c>
      <c r="E1044" s="920">
        <v>1400</v>
      </c>
      <c r="F1044" s="919" t="s">
        <v>5755</v>
      </c>
      <c r="G1044" s="919" t="s">
        <v>5756</v>
      </c>
      <c r="H1044" s="919" t="s">
        <v>4109</v>
      </c>
      <c r="I1044" s="919" t="s">
        <v>3686</v>
      </c>
      <c r="J1044" s="919"/>
      <c r="K1044" s="920"/>
      <c r="L1044" s="920"/>
      <c r="M1044" s="920">
        <f t="shared" si="32"/>
        <v>0</v>
      </c>
      <c r="N1044" s="919">
        <v>1</v>
      </c>
      <c r="O1044" s="919">
        <v>5</v>
      </c>
      <c r="P1044" s="921">
        <f t="shared" si="33"/>
        <v>7000</v>
      </c>
    </row>
    <row r="1045" spans="1:16" ht="20.100000000000001" customHeight="1" x14ac:dyDescent="0.25">
      <c r="A1045" s="918" t="s">
        <v>471</v>
      </c>
      <c r="B1045" s="944" t="s">
        <v>3901</v>
      </c>
      <c r="C1045" s="919" t="s">
        <v>3902</v>
      </c>
      <c r="D1045" s="919" t="s">
        <v>4109</v>
      </c>
      <c r="E1045" s="920">
        <v>1400</v>
      </c>
      <c r="F1045" s="919" t="s">
        <v>5757</v>
      </c>
      <c r="G1045" s="919" t="s">
        <v>5758</v>
      </c>
      <c r="H1045" s="919" t="s">
        <v>4109</v>
      </c>
      <c r="I1045" s="919" t="s">
        <v>3686</v>
      </c>
      <c r="J1045" s="919"/>
      <c r="K1045" s="920"/>
      <c r="L1045" s="920"/>
      <c r="M1045" s="920">
        <f t="shared" si="32"/>
        <v>0</v>
      </c>
      <c r="N1045" s="919">
        <v>1</v>
      </c>
      <c r="O1045" s="919">
        <v>5</v>
      </c>
      <c r="P1045" s="921">
        <f t="shared" si="33"/>
        <v>7000</v>
      </c>
    </row>
    <row r="1046" spans="1:16" ht="20.100000000000001" customHeight="1" x14ac:dyDescent="0.25">
      <c r="A1046" s="918" t="s">
        <v>471</v>
      </c>
      <c r="B1046" s="944" t="s">
        <v>3901</v>
      </c>
      <c r="C1046" s="919" t="s">
        <v>3902</v>
      </c>
      <c r="D1046" s="919" t="s">
        <v>4109</v>
      </c>
      <c r="E1046" s="920">
        <v>1400</v>
      </c>
      <c r="F1046" s="919" t="s">
        <v>5759</v>
      </c>
      <c r="G1046" s="919" t="s">
        <v>5760</v>
      </c>
      <c r="H1046" s="919" t="s">
        <v>4109</v>
      </c>
      <c r="I1046" s="919" t="s">
        <v>3686</v>
      </c>
      <c r="J1046" s="919"/>
      <c r="K1046" s="920"/>
      <c r="L1046" s="920"/>
      <c r="M1046" s="920">
        <f t="shared" si="32"/>
        <v>0</v>
      </c>
      <c r="N1046" s="919">
        <v>1</v>
      </c>
      <c r="O1046" s="919">
        <v>5</v>
      </c>
      <c r="P1046" s="921">
        <f t="shared" si="33"/>
        <v>7000</v>
      </c>
    </row>
    <row r="1047" spans="1:16" ht="20.100000000000001" customHeight="1" x14ac:dyDescent="0.25">
      <c r="A1047" s="918" t="s">
        <v>471</v>
      </c>
      <c r="B1047" s="944" t="s">
        <v>3901</v>
      </c>
      <c r="C1047" s="919" t="s">
        <v>3902</v>
      </c>
      <c r="D1047" s="919" t="s">
        <v>4109</v>
      </c>
      <c r="E1047" s="920">
        <v>1400</v>
      </c>
      <c r="F1047" s="919" t="s">
        <v>5761</v>
      </c>
      <c r="G1047" s="919" t="s">
        <v>5762</v>
      </c>
      <c r="H1047" s="919" t="s">
        <v>4109</v>
      </c>
      <c r="I1047" s="919" t="s">
        <v>3686</v>
      </c>
      <c r="J1047" s="919"/>
      <c r="K1047" s="920"/>
      <c r="L1047" s="920"/>
      <c r="M1047" s="920">
        <f t="shared" si="32"/>
        <v>0</v>
      </c>
      <c r="N1047" s="919">
        <v>1</v>
      </c>
      <c r="O1047" s="919">
        <v>5</v>
      </c>
      <c r="P1047" s="921">
        <f t="shared" si="33"/>
        <v>7000</v>
      </c>
    </row>
    <row r="1048" spans="1:16" ht="20.100000000000001" customHeight="1" x14ac:dyDescent="0.25">
      <c r="A1048" s="918" t="s">
        <v>471</v>
      </c>
      <c r="B1048" s="944" t="s">
        <v>3901</v>
      </c>
      <c r="C1048" s="919" t="s">
        <v>3902</v>
      </c>
      <c r="D1048" s="919" t="s">
        <v>4109</v>
      </c>
      <c r="E1048" s="920">
        <v>1400</v>
      </c>
      <c r="F1048" s="919" t="s">
        <v>5763</v>
      </c>
      <c r="G1048" s="919" t="s">
        <v>5764</v>
      </c>
      <c r="H1048" s="919" t="s">
        <v>4109</v>
      </c>
      <c r="I1048" s="919" t="s">
        <v>3686</v>
      </c>
      <c r="J1048" s="919"/>
      <c r="K1048" s="920"/>
      <c r="L1048" s="920"/>
      <c r="M1048" s="920">
        <f t="shared" si="32"/>
        <v>0</v>
      </c>
      <c r="N1048" s="919">
        <v>1</v>
      </c>
      <c r="O1048" s="919">
        <v>4</v>
      </c>
      <c r="P1048" s="921">
        <f t="shared" si="33"/>
        <v>5600</v>
      </c>
    </row>
    <row r="1049" spans="1:16" ht="20.100000000000001" customHeight="1" x14ac:dyDescent="0.25">
      <c r="A1049" s="918" t="s">
        <v>471</v>
      </c>
      <c r="B1049" s="944" t="s">
        <v>3901</v>
      </c>
      <c r="C1049" s="919" t="s">
        <v>3902</v>
      </c>
      <c r="D1049" s="919" t="s">
        <v>4109</v>
      </c>
      <c r="E1049" s="920">
        <v>1400</v>
      </c>
      <c r="F1049" s="919" t="s">
        <v>5765</v>
      </c>
      <c r="G1049" s="919" t="s">
        <v>5766</v>
      </c>
      <c r="H1049" s="919" t="s">
        <v>4109</v>
      </c>
      <c r="I1049" s="919" t="s">
        <v>3686</v>
      </c>
      <c r="J1049" s="919"/>
      <c r="K1049" s="920"/>
      <c r="L1049" s="920"/>
      <c r="M1049" s="920">
        <f t="shared" si="32"/>
        <v>0</v>
      </c>
      <c r="N1049" s="919">
        <v>1</v>
      </c>
      <c r="O1049" s="919">
        <v>3</v>
      </c>
      <c r="P1049" s="921">
        <f t="shared" si="33"/>
        <v>4200</v>
      </c>
    </row>
    <row r="1050" spans="1:16" ht="20.100000000000001" customHeight="1" x14ac:dyDescent="0.25">
      <c r="A1050" s="918" t="s">
        <v>471</v>
      </c>
      <c r="B1050" s="944" t="s">
        <v>3901</v>
      </c>
      <c r="C1050" s="919" t="s">
        <v>3902</v>
      </c>
      <c r="D1050" s="919" t="s">
        <v>4109</v>
      </c>
      <c r="E1050" s="920">
        <v>1400</v>
      </c>
      <c r="F1050" s="919" t="s">
        <v>5767</v>
      </c>
      <c r="G1050" s="919" t="s">
        <v>5768</v>
      </c>
      <c r="H1050" s="919" t="s">
        <v>4109</v>
      </c>
      <c r="I1050" s="919" t="s">
        <v>3686</v>
      </c>
      <c r="J1050" s="919"/>
      <c r="K1050" s="920"/>
      <c r="L1050" s="920"/>
      <c r="M1050" s="920">
        <f t="shared" si="32"/>
        <v>0</v>
      </c>
      <c r="N1050" s="919">
        <v>1</v>
      </c>
      <c r="O1050" s="919">
        <v>3</v>
      </c>
      <c r="P1050" s="921">
        <f t="shared" si="33"/>
        <v>4200</v>
      </c>
    </row>
    <row r="1051" spans="1:16" ht="20.100000000000001" customHeight="1" x14ac:dyDescent="0.25">
      <c r="A1051" s="918" t="s">
        <v>471</v>
      </c>
      <c r="B1051" s="944" t="s">
        <v>3901</v>
      </c>
      <c r="C1051" s="919" t="s">
        <v>3902</v>
      </c>
      <c r="D1051" s="919" t="s">
        <v>4109</v>
      </c>
      <c r="E1051" s="920">
        <v>1400</v>
      </c>
      <c r="F1051" s="919" t="s">
        <v>5769</v>
      </c>
      <c r="G1051" s="919" t="s">
        <v>5770</v>
      </c>
      <c r="H1051" s="919" t="s">
        <v>4109</v>
      </c>
      <c r="I1051" s="919" t="s">
        <v>3686</v>
      </c>
      <c r="J1051" s="919"/>
      <c r="K1051" s="920"/>
      <c r="L1051" s="920"/>
      <c r="M1051" s="920">
        <f t="shared" si="32"/>
        <v>0</v>
      </c>
      <c r="N1051" s="919">
        <v>1</v>
      </c>
      <c r="O1051" s="919">
        <v>1</v>
      </c>
      <c r="P1051" s="921">
        <f t="shared" si="33"/>
        <v>1400</v>
      </c>
    </row>
    <row r="1052" spans="1:16" ht="20.100000000000001" customHeight="1" x14ac:dyDescent="0.25">
      <c r="A1052" s="918" t="s">
        <v>471</v>
      </c>
      <c r="B1052" s="944" t="s">
        <v>3901</v>
      </c>
      <c r="C1052" s="919" t="s">
        <v>3902</v>
      </c>
      <c r="D1052" s="919" t="s">
        <v>4109</v>
      </c>
      <c r="E1052" s="920">
        <v>1400</v>
      </c>
      <c r="F1052" s="919" t="s">
        <v>5771</v>
      </c>
      <c r="G1052" s="919" t="s">
        <v>5772</v>
      </c>
      <c r="H1052" s="919" t="s">
        <v>4109</v>
      </c>
      <c r="I1052" s="919" t="s">
        <v>3686</v>
      </c>
      <c r="J1052" s="919"/>
      <c r="K1052" s="920"/>
      <c r="L1052" s="920"/>
      <c r="M1052" s="920">
        <f t="shared" si="32"/>
        <v>0</v>
      </c>
      <c r="N1052" s="919">
        <v>1</v>
      </c>
      <c r="O1052" s="919">
        <v>1</v>
      </c>
      <c r="P1052" s="921">
        <f t="shared" si="33"/>
        <v>1400</v>
      </c>
    </row>
    <row r="1053" spans="1:16" ht="20.100000000000001" customHeight="1" x14ac:dyDescent="0.25">
      <c r="A1053" s="918" t="s">
        <v>471</v>
      </c>
      <c r="B1053" s="944" t="s">
        <v>3901</v>
      </c>
      <c r="C1053" s="919" t="s">
        <v>3902</v>
      </c>
      <c r="D1053" s="919" t="s">
        <v>4657</v>
      </c>
      <c r="E1053" s="920">
        <v>1150</v>
      </c>
      <c r="F1053" s="919" t="s">
        <v>5773</v>
      </c>
      <c r="G1053" s="919" t="s">
        <v>5774</v>
      </c>
      <c r="H1053" s="919" t="s">
        <v>4657</v>
      </c>
      <c r="I1053" s="919" t="s">
        <v>3686</v>
      </c>
      <c r="J1053" s="919"/>
      <c r="K1053" s="920"/>
      <c r="L1053" s="920"/>
      <c r="M1053" s="920">
        <f t="shared" si="32"/>
        <v>0</v>
      </c>
      <c r="N1053" s="919">
        <v>1</v>
      </c>
      <c r="O1053" s="919">
        <v>3</v>
      </c>
      <c r="P1053" s="921">
        <f t="shared" si="33"/>
        <v>3450</v>
      </c>
    </row>
    <row r="1054" spans="1:16" ht="20.100000000000001" customHeight="1" x14ac:dyDescent="0.25">
      <c r="A1054" s="918" t="s">
        <v>471</v>
      </c>
      <c r="B1054" s="944" t="s">
        <v>3901</v>
      </c>
      <c r="C1054" s="919" t="s">
        <v>3902</v>
      </c>
      <c r="D1054" s="919" t="s">
        <v>4657</v>
      </c>
      <c r="E1054" s="920">
        <v>1150</v>
      </c>
      <c r="F1054" s="919" t="s">
        <v>5775</v>
      </c>
      <c r="G1054" s="919" t="s">
        <v>5776</v>
      </c>
      <c r="H1054" s="919" t="s">
        <v>4657</v>
      </c>
      <c r="I1054" s="919" t="s">
        <v>3686</v>
      </c>
      <c r="J1054" s="919"/>
      <c r="K1054" s="920"/>
      <c r="L1054" s="920"/>
      <c r="M1054" s="920">
        <f t="shared" si="32"/>
        <v>0</v>
      </c>
      <c r="N1054" s="919">
        <v>1</v>
      </c>
      <c r="O1054" s="919">
        <v>3</v>
      </c>
      <c r="P1054" s="921">
        <f t="shared" si="33"/>
        <v>3450</v>
      </c>
    </row>
    <row r="1055" spans="1:16" ht="20.100000000000001" customHeight="1" x14ac:dyDescent="0.25">
      <c r="A1055" s="918" t="s">
        <v>471</v>
      </c>
      <c r="B1055" s="944" t="s">
        <v>3901</v>
      </c>
      <c r="C1055" s="919" t="s">
        <v>3902</v>
      </c>
      <c r="D1055" s="919" t="s">
        <v>4657</v>
      </c>
      <c r="E1055" s="920">
        <v>1150</v>
      </c>
      <c r="F1055" s="919" t="s">
        <v>5777</v>
      </c>
      <c r="G1055" s="919" t="s">
        <v>5778</v>
      </c>
      <c r="H1055" s="919" t="s">
        <v>4657</v>
      </c>
      <c r="I1055" s="919" t="s">
        <v>3686</v>
      </c>
      <c r="J1055" s="919"/>
      <c r="K1055" s="920"/>
      <c r="L1055" s="920"/>
      <c r="M1055" s="920">
        <f t="shared" si="32"/>
        <v>0</v>
      </c>
      <c r="N1055" s="919">
        <v>1</v>
      </c>
      <c r="O1055" s="919">
        <v>3</v>
      </c>
      <c r="P1055" s="921">
        <f t="shared" si="33"/>
        <v>3450</v>
      </c>
    </row>
    <row r="1056" spans="1:16" ht="20.100000000000001" customHeight="1" x14ac:dyDescent="0.25">
      <c r="A1056" s="918" t="s">
        <v>471</v>
      </c>
      <c r="B1056" s="944" t="s">
        <v>3901</v>
      </c>
      <c r="C1056" s="919" t="s">
        <v>3902</v>
      </c>
      <c r="D1056" s="919" t="s">
        <v>4657</v>
      </c>
      <c r="E1056" s="920">
        <v>1150</v>
      </c>
      <c r="F1056" s="919" t="s">
        <v>5779</v>
      </c>
      <c r="G1056" s="919" t="s">
        <v>5780</v>
      </c>
      <c r="H1056" s="919" t="s">
        <v>4657</v>
      </c>
      <c r="I1056" s="919" t="s">
        <v>3686</v>
      </c>
      <c r="J1056" s="919"/>
      <c r="K1056" s="920"/>
      <c r="L1056" s="920"/>
      <c r="M1056" s="920">
        <f t="shared" si="32"/>
        <v>0</v>
      </c>
      <c r="N1056" s="919">
        <v>1</v>
      </c>
      <c r="O1056" s="919">
        <v>3</v>
      </c>
      <c r="P1056" s="921">
        <f t="shared" si="33"/>
        <v>3450</v>
      </c>
    </row>
    <row r="1057" spans="1:16" ht="20.100000000000001" customHeight="1" x14ac:dyDescent="0.25">
      <c r="A1057" s="918" t="s">
        <v>471</v>
      </c>
      <c r="B1057" s="944" t="s">
        <v>3901</v>
      </c>
      <c r="C1057" s="919" t="s">
        <v>3902</v>
      </c>
      <c r="D1057" s="919" t="s">
        <v>4657</v>
      </c>
      <c r="E1057" s="920">
        <v>1150</v>
      </c>
      <c r="F1057" s="919" t="s">
        <v>5781</v>
      </c>
      <c r="G1057" s="919" t="s">
        <v>5782</v>
      </c>
      <c r="H1057" s="919" t="s">
        <v>4657</v>
      </c>
      <c r="I1057" s="919" t="s">
        <v>3686</v>
      </c>
      <c r="J1057" s="919"/>
      <c r="K1057" s="920"/>
      <c r="L1057" s="920"/>
      <c r="M1057" s="920">
        <f t="shared" si="32"/>
        <v>0</v>
      </c>
      <c r="N1057" s="919">
        <v>1</v>
      </c>
      <c r="O1057" s="919">
        <v>3</v>
      </c>
      <c r="P1057" s="921">
        <f t="shared" si="33"/>
        <v>3450</v>
      </c>
    </row>
    <row r="1058" spans="1:16" ht="20.100000000000001" customHeight="1" x14ac:dyDescent="0.25">
      <c r="A1058" s="918" t="s">
        <v>471</v>
      </c>
      <c r="B1058" s="944" t="s">
        <v>3901</v>
      </c>
      <c r="C1058" s="919" t="s">
        <v>3902</v>
      </c>
      <c r="D1058" s="919" t="s">
        <v>4657</v>
      </c>
      <c r="E1058" s="920">
        <v>1150</v>
      </c>
      <c r="F1058" s="919" t="s">
        <v>5783</v>
      </c>
      <c r="G1058" s="919" t="s">
        <v>5784</v>
      </c>
      <c r="H1058" s="919" t="s">
        <v>4657</v>
      </c>
      <c r="I1058" s="919" t="s">
        <v>3686</v>
      </c>
      <c r="J1058" s="919"/>
      <c r="K1058" s="920"/>
      <c r="L1058" s="920"/>
      <c r="M1058" s="920">
        <f t="shared" si="32"/>
        <v>0</v>
      </c>
      <c r="N1058" s="919">
        <v>1</v>
      </c>
      <c r="O1058" s="919">
        <v>3</v>
      </c>
      <c r="P1058" s="921">
        <f t="shared" si="33"/>
        <v>3450</v>
      </c>
    </row>
    <row r="1059" spans="1:16" ht="20.100000000000001" customHeight="1" x14ac:dyDescent="0.25">
      <c r="A1059" s="918" t="s">
        <v>471</v>
      </c>
      <c r="B1059" s="944" t="s">
        <v>3901</v>
      </c>
      <c r="C1059" s="919" t="s">
        <v>3902</v>
      </c>
      <c r="D1059" s="919" t="s">
        <v>4657</v>
      </c>
      <c r="E1059" s="920">
        <v>1150</v>
      </c>
      <c r="F1059" s="919" t="s">
        <v>5785</v>
      </c>
      <c r="G1059" s="919" t="s">
        <v>5786</v>
      </c>
      <c r="H1059" s="919" t="s">
        <v>4657</v>
      </c>
      <c r="I1059" s="919" t="s">
        <v>3686</v>
      </c>
      <c r="J1059" s="919"/>
      <c r="K1059" s="920"/>
      <c r="L1059" s="920"/>
      <c r="M1059" s="920">
        <f t="shared" si="32"/>
        <v>0</v>
      </c>
      <c r="N1059" s="919">
        <v>1</v>
      </c>
      <c r="O1059" s="919">
        <v>3</v>
      </c>
      <c r="P1059" s="921">
        <f t="shared" si="33"/>
        <v>3450</v>
      </c>
    </row>
    <row r="1060" spans="1:16" ht="20.100000000000001" customHeight="1" x14ac:dyDescent="0.25">
      <c r="A1060" s="918" t="s">
        <v>471</v>
      </c>
      <c r="B1060" s="944" t="s">
        <v>3901</v>
      </c>
      <c r="C1060" s="919" t="s">
        <v>3902</v>
      </c>
      <c r="D1060" s="919" t="s">
        <v>4502</v>
      </c>
      <c r="E1060" s="920">
        <v>1150</v>
      </c>
      <c r="F1060" s="919" t="s">
        <v>5787</v>
      </c>
      <c r="G1060" s="919" t="s">
        <v>5788</v>
      </c>
      <c r="H1060" s="919" t="s">
        <v>4502</v>
      </c>
      <c r="I1060" s="919" t="s">
        <v>3686</v>
      </c>
      <c r="J1060" s="919"/>
      <c r="K1060" s="920"/>
      <c r="L1060" s="920"/>
      <c r="M1060" s="920">
        <f t="shared" si="32"/>
        <v>0</v>
      </c>
      <c r="N1060" s="919">
        <v>1</v>
      </c>
      <c r="O1060" s="919">
        <v>5</v>
      </c>
      <c r="P1060" s="921">
        <f t="shared" si="33"/>
        <v>5750</v>
      </c>
    </row>
    <row r="1061" spans="1:16" ht="20.100000000000001" customHeight="1" x14ac:dyDescent="0.25">
      <c r="A1061" s="918" t="s">
        <v>471</v>
      </c>
      <c r="B1061" s="944" t="s">
        <v>3901</v>
      </c>
      <c r="C1061" s="919" t="s">
        <v>3902</v>
      </c>
      <c r="D1061" s="919" t="s">
        <v>4502</v>
      </c>
      <c r="E1061" s="920">
        <v>1150</v>
      </c>
      <c r="F1061" s="919" t="s">
        <v>5789</v>
      </c>
      <c r="G1061" s="919" t="s">
        <v>5790</v>
      </c>
      <c r="H1061" s="919" t="s">
        <v>4502</v>
      </c>
      <c r="I1061" s="919" t="s">
        <v>3686</v>
      </c>
      <c r="J1061" s="919"/>
      <c r="K1061" s="920"/>
      <c r="L1061" s="920"/>
      <c r="M1061" s="920">
        <f t="shared" si="32"/>
        <v>0</v>
      </c>
      <c r="N1061" s="919">
        <v>1</v>
      </c>
      <c r="O1061" s="919">
        <v>5</v>
      </c>
      <c r="P1061" s="921">
        <f t="shared" si="33"/>
        <v>5750</v>
      </c>
    </row>
    <row r="1062" spans="1:16" ht="20.100000000000001" customHeight="1" x14ac:dyDescent="0.25">
      <c r="A1062" s="918" t="s">
        <v>471</v>
      </c>
      <c r="B1062" s="944" t="s">
        <v>3901</v>
      </c>
      <c r="C1062" s="919" t="s">
        <v>3902</v>
      </c>
      <c r="D1062" s="919" t="s">
        <v>4502</v>
      </c>
      <c r="E1062" s="920">
        <v>1150</v>
      </c>
      <c r="F1062" s="919" t="s">
        <v>5791</v>
      </c>
      <c r="G1062" s="919" t="s">
        <v>5792</v>
      </c>
      <c r="H1062" s="919" t="s">
        <v>4502</v>
      </c>
      <c r="I1062" s="919" t="s">
        <v>3686</v>
      </c>
      <c r="J1062" s="919"/>
      <c r="K1062" s="920"/>
      <c r="L1062" s="920"/>
      <c r="M1062" s="920">
        <f t="shared" si="32"/>
        <v>0</v>
      </c>
      <c r="N1062" s="919">
        <v>1</v>
      </c>
      <c r="O1062" s="919">
        <v>5</v>
      </c>
      <c r="P1062" s="921">
        <f t="shared" si="33"/>
        <v>5750</v>
      </c>
    </row>
    <row r="1063" spans="1:16" ht="20.100000000000001" customHeight="1" x14ac:dyDescent="0.25">
      <c r="A1063" s="918" t="s">
        <v>471</v>
      </c>
      <c r="B1063" s="944" t="s">
        <v>3901</v>
      </c>
      <c r="C1063" s="919" t="s">
        <v>3902</v>
      </c>
      <c r="D1063" s="919" t="s">
        <v>4502</v>
      </c>
      <c r="E1063" s="920">
        <v>1150</v>
      </c>
      <c r="F1063" s="919" t="s">
        <v>5793</v>
      </c>
      <c r="G1063" s="919" t="s">
        <v>5794</v>
      </c>
      <c r="H1063" s="919" t="s">
        <v>4502</v>
      </c>
      <c r="I1063" s="919" t="s">
        <v>3686</v>
      </c>
      <c r="J1063" s="919"/>
      <c r="K1063" s="920"/>
      <c r="L1063" s="920"/>
      <c r="M1063" s="920">
        <f t="shared" si="32"/>
        <v>0</v>
      </c>
      <c r="N1063" s="919">
        <v>1</v>
      </c>
      <c r="O1063" s="919">
        <v>5</v>
      </c>
      <c r="P1063" s="921">
        <f t="shared" si="33"/>
        <v>5750</v>
      </c>
    </row>
    <row r="1064" spans="1:16" ht="20.100000000000001" customHeight="1" x14ac:dyDescent="0.25">
      <c r="A1064" s="918" t="s">
        <v>471</v>
      </c>
      <c r="B1064" s="944" t="s">
        <v>3901</v>
      </c>
      <c r="C1064" s="919" t="s">
        <v>3902</v>
      </c>
      <c r="D1064" s="919" t="s">
        <v>4502</v>
      </c>
      <c r="E1064" s="920">
        <v>1150</v>
      </c>
      <c r="F1064" s="919" t="s">
        <v>5795</v>
      </c>
      <c r="G1064" s="919" t="s">
        <v>5796</v>
      </c>
      <c r="H1064" s="919" t="s">
        <v>4502</v>
      </c>
      <c r="I1064" s="919" t="s">
        <v>3686</v>
      </c>
      <c r="J1064" s="919"/>
      <c r="K1064" s="920"/>
      <c r="L1064" s="920"/>
      <c r="M1064" s="920">
        <f t="shared" si="32"/>
        <v>0</v>
      </c>
      <c r="N1064" s="919">
        <v>1</v>
      </c>
      <c r="O1064" s="919">
        <v>5</v>
      </c>
      <c r="P1064" s="921">
        <f t="shared" si="33"/>
        <v>5750</v>
      </c>
    </row>
    <row r="1065" spans="1:16" ht="20.100000000000001" customHeight="1" x14ac:dyDescent="0.25">
      <c r="A1065" s="918" t="s">
        <v>471</v>
      </c>
      <c r="B1065" s="944" t="s">
        <v>3901</v>
      </c>
      <c r="C1065" s="919" t="s">
        <v>3902</v>
      </c>
      <c r="D1065" s="919" t="s">
        <v>4502</v>
      </c>
      <c r="E1065" s="920">
        <v>1150</v>
      </c>
      <c r="F1065" s="919" t="s">
        <v>5797</v>
      </c>
      <c r="G1065" s="919" t="s">
        <v>5798</v>
      </c>
      <c r="H1065" s="919" t="s">
        <v>4502</v>
      </c>
      <c r="I1065" s="919" t="s">
        <v>3686</v>
      </c>
      <c r="J1065" s="919"/>
      <c r="K1065" s="920"/>
      <c r="L1065" s="920"/>
      <c r="M1065" s="920">
        <f t="shared" si="32"/>
        <v>0</v>
      </c>
      <c r="N1065" s="919">
        <v>1</v>
      </c>
      <c r="O1065" s="919">
        <v>5</v>
      </c>
      <c r="P1065" s="921">
        <f t="shared" si="33"/>
        <v>5750</v>
      </c>
    </row>
    <row r="1066" spans="1:16" ht="20.100000000000001" customHeight="1" x14ac:dyDescent="0.25">
      <c r="A1066" s="918" t="s">
        <v>471</v>
      </c>
      <c r="B1066" s="944" t="s">
        <v>3901</v>
      </c>
      <c r="C1066" s="919" t="s">
        <v>3902</v>
      </c>
      <c r="D1066" s="919" t="s">
        <v>4502</v>
      </c>
      <c r="E1066" s="920">
        <v>1150</v>
      </c>
      <c r="F1066" s="919" t="s">
        <v>5799</v>
      </c>
      <c r="G1066" s="919" t="s">
        <v>5800</v>
      </c>
      <c r="H1066" s="919" t="s">
        <v>4502</v>
      </c>
      <c r="I1066" s="919" t="s">
        <v>3686</v>
      </c>
      <c r="J1066" s="919"/>
      <c r="K1066" s="920"/>
      <c r="L1066" s="920"/>
      <c r="M1066" s="920">
        <f t="shared" si="32"/>
        <v>0</v>
      </c>
      <c r="N1066" s="919">
        <v>1</v>
      </c>
      <c r="O1066" s="919">
        <v>5</v>
      </c>
      <c r="P1066" s="921">
        <f t="shared" si="33"/>
        <v>5750</v>
      </c>
    </row>
    <row r="1067" spans="1:16" ht="20.100000000000001" customHeight="1" x14ac:dyDescent="0.25">
      <c r="A1067" s="918" t="s">
        <v>471</v>
      </c>
      <c r="B1067" s="944" t="s">
        <v>3901</v>
      </c>
      <c r="C1067" s="919" t="s">
        <v>3902</v>
      </c>
      <c r="D1067" s="919" t="s">
        <v>4502</v>
      </c>
      <c r="E1067" s="920">
        <v>1150</v>
      </c>
      <c r="F1067" s="919" t="s">
        <v>5801</v>
      </c>
      <c r="G1067" s="919" t="s">
        <v>5802</v>
      </c>
      <c r="H1067" s="919" t="s">
        <v>4502</v>
      </c>
      <c r="I1067" s="919" t="s">
        <v>3686</v>
      </c>
      <c r="J1067" s="919"/>
      <c r="K1067" s="920"/>
      <c r="L1067" s="920"/>
      <c r="M1067" s="920">
        <f t="shared" si="32"/>
        <v>0</v>
      </c>
      <c r="N1067" s="919">
        <v>1</v>
      </c>
      <c r="O1067" s="919">
        <v>5</v>
      </c>
      <c r="P1067" s="921">
        <f t="shared" si="33"/>
        <v>5750</v>
      </c>
    </row>
    <row r="1068" spans="1:16" ht="20.100000000000001" customHeight="1" x14ac:dyDescent="0.25">
      <c r="A1068" s="918" t="s">
        <v>471</v>
      </c>
      <c r="B1068" s="944" t="s">
        <v>3901</v>
      </c>
      <c r="C1068" s="919" t="s">
        <v>3902</v>
      </c>
      <c r="D1068" s="919" t="s">
        <v>4502</v>
      </c>
      <c r="E1068" s="920">
        <v>1150</v>
      </c>
      <c r="F1068" s="919" t="s">
        <v>5803</v>
      </c>
      <c r="G1068" s="919" t="s">
        <v>5804</v>
      </c>
      <c r="H1068" s="919" t="s">
        <v>4502</v>
      </c>
      <c r="I1068" s="919" t="s">
        <v>3686</v>
      </c>
      <c r="J1068" s="919"/>
      <c r="K1068" s="920"/>
      <c r="L1068" s="920"/>
      <c r="M1068" s="920">
        <f t="shared" si="32"/>
        <v>0</v>
      </c>
      <c r="N1068" s="919">
        <v>1</v>
      </c>
      <c r="O1068" s="919">
        <v>5</v>
      </c>
      <c r="P1068" s="921">
        <f t="shared" si="33"/>
        <v>5750</v>
      </c>
    </row>
    <row r="1069" spans="1:16" ht="20.100000000000001" customHeight="1" x14ac:dyDescent="0.25">
      <c r="A1069" s="918" t="s">
        <v>471</v>
      </c>
      <c r="B1069" s="944" t="s">
        <v>3901</v>
      </c>
      <c r="C1069" s="919" t="s">
        <v>3902</v>
      </c>
      <c r="D1069" s="919" t="s">
        <v>4502</v>
      </c>
      <c r="E1069" s="920">
        <v>1150</v>
      </c>
      <c r="F1069" s="919" t="s">
        <v>5805</v>
      </c>
      <c r="G1069" s="919" t="s">
        <v>5806</v>
      </c>
      <c r="H1069" s="919" t="s">
        <v>4502</v>
      </c>
      <c r="I1069" s="919" t="s">
        <v>3686</v>
      </c>
      <c r="J1069" s="919"/>
      <c r="K1069" s="920"/>
      <c r="L1069" s="920"/>
      <c r="M1069" s="920">
        <f t="shared" si="32"/>
        <v>0</v>
      </c>
      <c r="N1069" s="919">
        <v>1</v>
      </c>
      <c r="O1069" s="919">
        <v>5</v>
      </c>
      <c r="P1069" s="921">
        <f t="shared" si="33"/>
        <v>5750</v>
      </c>
    </row>
    <row r="1070" spans="1:16" ht="20.100000000000001" customHeight="1" x14ac:dyDescent="0.25">
      <c r="A1070" s="918" t="s">
        <v>471</v>
      </c>
      <c r="B1070" s="944" t="s">
        <v>3901</v>
      </c>
      <c r="C1070" s="919" t="s">
        <v>3902</v>
      </c>
      <c r="D1070" s="919" t="s">
        <v>4502</v>
      </c>
      <c r="E1070" s="920">
        <v>1150</v>
      </c>
      <c r="F1070" s="919" t="s">
        <v>5807</v>
      </c>
      <c r="G1070" s="919" t="s">
        <v>5808</v>
      </c>
      <c r="H1070" s="919" t="s">
        <v>4502</v>
      </c>
      <c r="I1070" s="919" t="s">
        <v>3686</v>
      </c>
      <c r="J1070" s="919"/>
      <c r="K1070" s="920"/>
      <c r="L1070" s="920"/>
      <c r="M1070" s="920">
        <f t="shared" si="32"/>
        <v>0</v>
      </c>
      <c r="N1070" s="919">
        <v>1</v>
      </c>
      <c r="O1070" s="919">
        <v>5</v>
      </c>
      <c r="P1070" s="921">
        <f t="shared" si="33"/>
        <v>5750</v>
      </c>
    </row>
    <row r="1071" spans="1:16" ht="20.100000000000001" customHeight="1" x14ac:dyDescent="0.25">
      <c r="A1071" s="918" t="s">
        <v>471</v>
      </c>
      <c r="B1071" s="944" t="s">
        <v>3901</v>
      </c>
      <c r="C1071" s="919" t="s">
        <v>3902</v>
      </c>
      <c r="D1071" s="919" t="s">
        <v>4502</v>
      </c>
      <c r="E1071" s="920">
        <v>1150</v>
      </c>
      <c r="F1071" s="919" t="s">
        <v>5809</v>
      </c>
      <c r="G1071" s="919" t="s">
        <v>5810</v>
      </c>
      <c r="H1071" s="919" t="s">
        <v>4502</v>
      </c>
      <c r="I1071" s="919" t="s">
        <v>3686</v>
      </c>
      <c r="J1071" s="919"/>
      <c r="K1071" s="920"/>
      <c r="L1071" s="920"/>
      <c r="M1071" s="920">
        <f t="shared" si="32"/>
        <v>0</v>
      </c>
      <c r="N1071" s="919">
        <v>1</v>
      </c>
      <c r="O1071" s="919">
        <v>5</v>
      </c>
      <c r="P1071" s="921">
        <f t="shared" si="33"/>
        <v>5750</v>
      </c>
    </row>
    <row r="1072" spans="1:16" ht="20.100000000000001" customHeight="1" x14ac:dyDescent="0.25">
      <c r="A1072" s="918" t="s">
        <v>471</v>
      </c>
      <c r="B1072" s="944" t="s">
        <v>3901</v>
      </c>
      <c r="C1072" s="919" t="s">
        <v>3902</v>
      </c>
      <c r="D1072" s="919" t="s">
        <v>4502</v>
      </c>
      <c r="E1072" s="920">
        <v>1150</v>
      </c>
      <c r="F1072" s="919" t="s">
        <v>5811</v>
      </c>
      <c r="G1072" s="919" t="s">
        <v>5812</v>
      </c>
      <c r="H1072" s="919" t="s">
        <v>4502</v>
      </c>
      <c r="I1072" s="919" t="s">
        <v>3686</v>
      </c>
      <c r="J1072" s="919"/>
      <c r="K1072" s="920"/>
      <c r="L1072" s="920"/>
      <c r="M1072" s="920">
        <f t="shared" si="32"/>
        <v>0</v>
      </c>
      <c r="N1072" s="919">
        <v>1</v>
      </c>
      <c r="O1072" s="919">
        <v>5</v>
      </c>
      <c r="P1072" s="921">
        <f t="shared" si="33"/>
        <v>5750</v>
      </c>
    </row>
    <row r="1073" spans="1:16" ht="20.100000000000001" customHeight="1" x14ac:dyDescent="0.25">
      <c r="A1073" s="918" t="s">
        <v>471</v>
      </c>
      <c r="B1073" s="944" t="s">
        <v>3901</v>
      </c>
      <c r="C1073" s="919" t="s">
        <v>3902</v>
      </c>
      <c r="D1073" s="919" t="s">
        <v>4502</v>
      </c>
      <c r="E1073" s="920">
        <v>1150</v>
      </c>
      <c r="F1073" s="919" t="s">
        <v>5813</v>
      </c>
      <c r="G1073" s="919" t="s">
        <v>5814</v>
      </c>
      <c r="H1073" s="919" t="s">
        <v>4502</v>
      </c>
      <c r="I1073" s="919" t="s">
        <v>3686</v>
      </c>
      <c r="J1073" s="919"/>
      <c r="K1073" s="920"/>
      <c r="L1073" s="920"/>
      <c r="M1073" s="920">
        <f t="shared" si="32"/>
        <v>0</v>
      </c>
      <c r="N1073" s="919">
        <v>1</v>
      </c>
      <c r="O1073" s="919">
        <v>5</v>
      </c>
      <c r="P1073" s="921">
        <f t="shared" si="33"/>
        <v>5750</v>
      </c>
    </row>
    <row r="1074" spans="1:16" ht="20.100000000000001" customHeight="1" x14ac:dyDescent="0.25">
      <c r="A1074" s="918" t="s">
        <v>471</v>
      </c>
      <c r="B1074" s="944" t="s">
        <v>3901</v>
      </c>
      <c r="C1074" s="919" t="s">
        <v>3902</v>
      </c>
      <c r="D1074" s="919" t="s">
        <v>4502</v>
      </c>
      <c r="E1074" s="920">
        <v>1150</v>
      </c>
      <c r="F1074" s="919" t="s">
        <v>5815</v>
      </c>
      <c r="G1074" s="919" t="s">
        <v>5816</v>
      </c>
      <c r="H1074" s="919" t="s">
        <v>4502</v>
      </c>
      <c r="I1074" s="919" t="s">
        <v>3686</v>
      </c>
      <c r="J1074" s="919"/>
      <c r="K1074" s="920"/>
      <c r="L1074" s="920"/>
      <c r="M1074" s="920">
        <f t="shared" si="32"/>
        <v>0</v>
      </c>
      <c r="N1074" s="919">
        <v>1</v>
      </c>
      <c r="O1074" s="919">
        <v>5</v>
      </c>
      <c r="P1074" s="921">
        <f t="shared" si="33"/>
        <v>5750</v>
      </c>
    </row>
    <row r="1075" spans="1:16" ht="20.100000000000001" customHeight="1" x14ac:dyDescent="0.25">
      <c r="A1075" s="918" t="s">
        <v>471</v>
      </c>
      <c r="B1075" s="944" t="s">
        <v>3901</v>
      </c>
      <c r="C1075" s="919" t="s">
        <v>3902</v>
      </c>
      <c r="D1075" s="919" t="s">
        <v>4502</v>
      </c>
      <c r="E1075" s="920">
        <v>1150</v>
      </c>
      <c r="F1075" s="919" t="s">
        <v>5817</v>
      </c>
      <c r="G1075" s="919" t="s">
        <v>5818</v>
      </c>
      <c r="H1075" s="919" t="s">
        <v>4502</v>
      </c>
      <c r="I1075" s="919" t="s">
        <v>3686</v>
      </c>
      <c r="J1075" s="919"/>
      <c r="K1075" s="920"/>
      <c r="L1075" s="920"/>
      <c r="M1075" s="920">
        <f t="shared" si="32"/>
        <v>0</v>
      </c>
      <c r="N1075" s="919">
        <v>1</v>
      </c>
      <c r="O1075" s="919">
        <v>5</v>
      </c>
      <c r="P1075" s="921">
        <f t="shared" si="33"/>
        <v>5750</v>
      </c>
    </row>
    <row r="1076" spans="1:16" ht="20.100000000000001" customHeight="1" x14ac:dyDescent="0.25">
      <c r="A1076" s="918" t="s">
        <v>471</v>
      </c>
      <c r="B1076" s="944" t="s">
        <v>3901</v>
      </c>
      <c r="C1076" s="919" t="s">
        <v>3902</v>
      </c>
      <c r="D1076" s="919" t="s">
        <v>4502</v>
      </c>
      <c r="E1076" s="920">
        <v>1150</v>
      </c>
      <c r="F1076" s="919" t="s">
        <v>5819</v>
      </c>
      <c r="G1076" s="919" t="s">
        <v>5820</v>
      </c>
      <c r="H1076" s="919" t="s">
        <v>4502</v>
      </c>
      <c r="I1076" s="919" t="s">
        <v>3686</v>
      </c>
      <c r="J1076" s="919"/>
      <c r="K1076" s="920"/>
      <c r="L1076" s="920"/>
      <c r="M1076" s="920">
        <f t="shared" si="32"/>
        <v>0</v>
      </c>
      <c r="N1076" s="919">
        <v>1</v>
      </c>
      <c r="O1076" s="919">
        <v>5</v>
      </c>
      <c r="P1076" s="921">
        <f t="shared" si="33"/>
        <v>5750</v>
      </c>
    </row>
    <row r="1077" spans="1:16" ht="20.100000000000001" customHeight="1" x14ac:dyDescent="0.25">
      <c r="A1077" s="918" t="s">
        <v>471</v>
      </c>
      <c r="B1077" s="944" t="s">
        <v>3901</v>
      </c>
      <c r="C1077" s="919" t="s">
        <v>3902</v>
      </c>
      <c r="D1077" s="919" t="s">
        <v>4502</v>
      </c>
      <c r="E1077" s="920">
        <v>1150</v>
      </c>
      <c r="F1077" s="919" t="s">
        <v>5821</v>
      </c>
      <c r="G1077" s="919" t="s">
        <v>5822</v>
      </c>
      <c r="H1077" s="919" t="s">
        <v>4502</v>
      </c>
      <c r="I1077" s="919" t="s">
        <v>3686</v>
      </c>
      <c r="J1077" s="919"/>
      <c r="K1077" s="920"/>
      <c r="L1077" s="920"/>
      <c r="M1077" s="920">
        <f t="shared" si="32"/>
        <v>0</v>
      </c>
      <c r="N1077" s="919">
        <v>1</v>
      </c>
      <c r="O1077" s="919">
        <v>5</v>
      </c>
      <c r="P1077" s="921">
        <f t="shared" si="33"/>
        <v>5750</v>
      </c>
    </row>
    <row r="1078" spans="1:16" ht="20.100000000000001" customHeight="1" x14ac:dyDescent="0.25">
      <c r="A1078" s="918" t="s">
        <v>471</v>
      </c>
      <c r="B1078" s="944" t="s">
        <v>3901</v>
      </c>
      <c r="C1078" s="919" t="s">
        <v>3902</v>
      </c>
      <c r="D1078" s="919" t="s">
        <v>4502</v>
      </c>
      <c r="E1078" s="920">
        <v>1150</v>
      </c>
      <c r="F1078" s="919" t="s">
        <v>5823</v>
      </c>
      <c r="G1078" s="919" t="s">
        <v>5824</v>
      </c>
      <c r="H1078" s="919" t="s">
        <v>4502</v>
      </c>
      <c r="I1078" s="919" t="s">
        <v>3686</v>
      </c>
      <c r="J1078" s="919"/>
      <c r="K1078" s="920"/>
      <c r="L1078" s="920"/>
      <c r="M1078" s="920">
        <f t="shared" si="32"/>
        <v>0</v>
      </c>
      <c r="N1078" s="919">
        <v>1</v>
      </c>
      <c r="O1078" s="919">
        <v>5</v>
      </c>
      <c r="P1078" s="921">
        <f t="shared" si="33"/>
        <v>5750</v>
      </c>
    </row>
    <row r="1079" spans="1:16" ht="20.100000000000001" customHeight="1" x14ac:dyDescent="0.25">
      <c r="A1079" s="918" t="s">
        <v>471</v>
      </c>
      <c r="B1079" s="944" t="s">
        <v>3901</v>
      </c>
      <c r="C1079" s="919" t="s">
        <v>3902</v>
      </c>
      <c r="D1079" s="919" t="s">
        <v>4502</v>
      </c>
      <c r="E1079" s="920">
        <v>1150</v>
      </c>
      <c r="F1079" s="919" t="s">
        <v>5825</v>
      </c>
      <c r="G1079" s="919" t="s">
        <v>5826</v>
      </c>
      <c r="H1079" s="919" t="s">
        <v>4502</v>
      </c>
      <c r="I1079" s="919" t="s">
        <v>3686</v>
      </c>
      <c r="J1079" s="919"/>
      <c r="K1079" s="920"/>
      <c r="L1079" s="920"/>
      <c r="M1079" s="920">
        <f t="shared" si="32"/>
        <v>0</v>
      </c>
      <c r="N1079" s="919">
        <v>1</v>
      </c>
      <c r="O1079" s="919">
        <v>5</v>
      </c>
      <c r="P1079" s="921">
        <f t="shared" si="33"/>
        <v>5750</v>
      </c>
    </row>
    <row r="1080" spans="1:16" ht="20.100000000000001" customHeight="1" x14ac:dyDescent="0.25">
      <c r="A1080" s="918" t="s">
        <v>471</v>
      </c>
      <c r="B1080" s="944" t="s">
        <v>3901</v>
      </c>
      <c r="C1080" s="919" t="s">
        <v>3902</v>
      </c>
      <c r="D1080" s="919" t="s">
        <v>4502</v>
      </c>
      <c r="E1080" s="920">
        <v>1150</v>
      </c>
      <c r="F1080" s="919" t="s">
        <v>5827</v>
      </c>
      <c r="G1080" s="919" t="s">
        <v>5828</v>
      </c>
      <c r="H1080" s="919" t="s">
        <v>4502</v>
      </c>
      <c r="I1080" s="919" t="s">
        <v>3686</v>
      </c>
      <c r="J1080" s="919"/>
      <c r="K1080" s="920"/>
      <c r="L1080" s="920"/>
      <c r="M1080" s="920">
        <f t="shared" si="32"/>
        <v>0</v>
      </c>
      <c r="N1080" s="919">
        <v>1</v>
      </c>
      <c r="O1080" s="919">
        <v>5</v>
      </c>
      <c r="P1080" s="921">
        <f t="shared" si="33"/>
        <v>5750</v>
      </c>
    </row>
    <row r="1081" spans="1:16" ht="20.100000000000001" customHeight="1" x14ac:dyDescent="0.25">
      <c r="A1081" s="918" t="s">
        <v>471</v>
      </c>
      <c r="B1081" s="944" t="s">
        <v>3901</v>
      </c>
      <c r="C1081" s="919" t="s">
        <v>3902</v>
      </c>
      <c r="D1081" s="919" t="s">
        <v>4502</v>
      </c>
      <c r="E1081" s="920">
        <v>1150</v>
      </c>
      <c r="F1081" s="919" t="s">
        <v>5829</v>
      </c>
      <c r="G1081" s="919" t="s">
        <v>5830</v>
      </c>
      <c r="H1081" s="919" t="s">
        <v>4502</v>
      </c>
      <c r="I1081" s="919" t="s">
        <v>3686</v>
      </c>
      <c r="J1081" s="919"/>
      <c r="K1081" s="920"/>
      <c r="L1081" s="920"/>
      <c r="M1081" s="920">
        <f t="shared" si="32"/>
        <v>0</v>
      </c>
      <c r="N1081" s="919">
        <v>1</v>
      </c>
      <c r="O1081" s="919">
        <v>5</v>
      </c>
      <c r="P1081" s="921">
        <f t="shared" si="33"/>
        <v>5750</v>
      </c>
    </row>
    <row r="1082" spans="1:16" ht="20.100000000000001" customHeight="1" x14ac:dyDescent="0.25">
      <c r="A1082" s="918" t="s">
        <v>471</v>
      </c>
      <c r="B1082" s="944" t="s">
        <v>3901</v>
      </c>
      <c r="C1082" s="919" t="s">
        <v>3902</v>
      </c>
      <c r="D1082" s="919" t="s">
        <v>4502</v>
      </c>
      <c r="E1082" s="920">
        <v>1150</v>
      </c>
      <c r="F1082" s="919" t="s">
        <v>5831</v>
      </c>
      <c r="G1082" s="919" t="s">
        <v>5832</v>
      </c>
      <c r="H1082" s="919" t="s">
        <v>4502</v>
      </c>
      <c r="I1082" s="919" t="s">
        <v>3686</v>
      </c>
      <c r="J1082" s="919"/>
      <c r="K1082" s="920"/>
      <c r="L1082" s="920"/>
      <c r="M1082" s="920">
        <f t="shared" si="32"/>
        <v>0</v>
      </c>
      <c r="N1082" s="919">
        <v>1</v>
      </c>
      <c r="O1082" s="919">
        <v>5</v>
      </c>
      <c r="P1082" s="921">
        <f t="shared" si="33"/>
        <v>5750</v>
      </c>
    </row>
    <row r="1083" spans="1:16" ht="20.100000000000001" customHeight="1" x14ac:dyDescent="0.25">
      <c r="A1083" s="918" t="s">
        <v>471</v>
      </c>
      <c r="B1083" s="944" t="s">
        <v>3901</v>
      </c>
      <c r="C1083" s="919" t="s">
        <v>3902</v>
      </c>
      <c r="D1083" s="919" t="s">
        <v>4502</v>
      </c>
      <c r="E1083" s="920">
        <v>1150</v>
      </c>
      <c r="F1083" s="919" t="s">
        <v>5833</v>
      </c>
      <c r="G1083" s="919" t="s">
        <v>5834</v>
      </c>
      <c r="H1083" s="919" t="s">
        <v>4502</v>
      </c>
      <c r="I1083" s="919" t="s">
        <v>3686</v>
      </c>
      <c r="J1083" s="919"/>
      <c r="K1083" s="920"/>
      <c r="L1083" s="920"/>
      <c r="M1083" s="920">
        <f t="shared" si="32"/>
        <v>0</v>
      </c>
      <c r="N1083" s="919">
        <v>1</v>
      </c>
      <c r="O1083" s="919">
        <v>5</v>
      </c>
      <c r="P1083" s="921">
        <f t="shared" si="33"/>
        <v>5750</v>
      </c>
    </row>
    <row r="1084" spans="1:16" ht="20.100000000000001" customHeight="1" x14ac:dyDescent="0.25">
      <c r="A1084" s="918" t="s">
        <v>471</v>
      </c>
      <c r="B1084" s="944" t="s">
        <v>3901</v>
      </c>
      <c r="C1084" s="919" t="s">
        <v>3902</v>
      </c>
      <c r="D1084" s="919" t="s">
        <v>4502</v>
      </c>
      <c r="E1084" s="920">
        <v>1150</v>
      </c>
      <c r="F1084" s="919" t="s">
        <v>5835</v>
      </c>
      <c r="G1084" s="919" t="s">
        <v>5836</v>
      </c>
      <c r="H1084" s="919" t="s">
        <v>4502</v>
      </c>
      <c r="I1084" s="919" t="s">
        <v>3686</v>
      </c>
      <c r="J1084" s="919"/>
      <c r="K1084" s="920"/>
      <c r="L1084" s="920"/>
      <c r="M1084" s="920">
        <f t="shared" si="32"/>
        <v>0</v>
      </c>
      <c r="N1084" s="919">
        <v>1</v>
      </c>
      <c r="O1084" s="919">
        <v>5</v>
      </c>
      <c r="P1084" s="921">
        <f t="shared" si="33"/>
        <v>5750</v>
      </c>
    </row>
    <row r="1085" spans="1:16" ht="20.100000000000001" customHeight="1" x14ac:dyDescent="0.25">
      <c r="A1085" s="918" t="s">
        <v>471</v>
      </c>
      <c r="B1085" s="944" t="s">
        <v>3901</v>
      </c>
      <c r="C1085" s="919" t="s">
        <v>3902</v>
      </c>
      <c r="D1085" s="919" t="s">
        <v>4502</v>
      </c>
      <c r="E1085" s="920">
        <v>1150</v>
      </c>
      <c r="F1085" s="919" t="s">
        <v>5837</v>
      </c>
      <c r="G1085" s="919" t="s">
        <v>5838</v>
      </c>
      <c r="H1085" s="919" t="s">
        <v>4502</v>
      </c>
      <c r="I1085" s="919" t="s">
        <v>3686</v>
      </c>
      <c r="J1085" s="919"/>
      <c r="K1085" s="920"/>
      <c r="L1085" s="920"/>
      <c r="M1085" s="920">
        <f t="shared" si="32"/>
        <v>0</v>
      </c>
      <c r="N1085" s="919">
        <v>1</v>
      </c>
      <c r="O1085" s="919">
        <v>5</v>
      </c>
      <c r="P1085" s="921">
        <f t="shared" si="33"/>
        <v>5750</v>
      </c>
    </row>
    <row r="1086" spans="1:16" ht="20.100000000000001" customHeight="1" x14ac:dyDescent="0.25">
      <c r="A1086" s="918" t="s">
        <v>471</v>
      </c>
      <c r="B1086" s="944" t="s">
        <v>3901</v>
      </c>
      <c r="C1086" s="919" t="s">
        <v>3902</v>
      </c>
      <c r="D1086" s="919" t="s">
        <v>4502</v>
      </c>
      <c r="E1086" s="920">
        <v>1150</v>
      </c>
      <c r="F1086" s="919" t="s">
        <v>5839</v>
      </c>
      <c r="G1086" s="919" t="s">
        <v>5840</v>
      </c>
      <c r="H1086" s="919" t="s">
        <v>4502</v>
      </c>
      <c r="I1086" s="919" t="s">
        <v>3686</v>
      </c>
      <c r="J1086" s="919"/>
      <c r="K1086" s="920"/>
      <c r="L1086" s="920"/>
      <c r="M1086" s="920">
        <f t="shared" si="32"/>
        <v>0</v>
      </c>
      <c r="N1086" s="919">
        <v>1</v>
      </c>
      <c r="O1086" s="919">
        <v>5</v>
      </c>
      <c r="P1086" s="921">
        <f t="shared" si="33"/>
        <v>5750</v>
      </c>
    </row>
    <row r="1087" spans="1:16" ht="20.100000000000001" customHeight="1" x14ac:dyDescent="0.25">
      <c r="A1087" s="918" t="s">
        <v>471</v>
      </c>
      <c r="B1087" s="944" t="s">
        <v>3901</v>
      </c>
      <c r="C1087" s="919" t="s">
        <v>3902</v>
      </c>
      <c r="D1087" s="919" t="s">
        <v>4502</v>
      </c>
      <c r="E1087" s="920">
        <v>1150</v>
      </c>
      <c r="F1087" s="919" t="s">
        <v>5841</v>
      </c>
      <c r="G1087" s="919" t="s">
        <v>5842</v>
      </c>
      <c r="H1087" s="919" t="s">
        <v>4502</v>
      </c>
      <c r="I1087" s="919" t="s">
        <v>3686</v>
      </c>
      <c r="J1087" s="919"/>
      <c r="K1087" s="920"/>
      <c r="L1087" s="920"/>
      <c r="M1087" s="920">
        <f t="shared" si="32"/>
        <v>0</v>
      </c>
      <c r="N1087" s="919">
        <v>1</v>
      </c>
      <c r="O1087" s="919">
        <v>5</v>
      </c>
      <c r="P1087" s="921">
        <f t="shared" si="33"/>
        <v>5750</v>
      </c>
    </row>
    <row r="1088" spans="1:16" ht="20.100000000000001" customHeight="1" x14ac:dyDescent="0.25">
      <c r="A1088" s="918" t="s">
        <v>471</v>
      </c>
      <c r="B1088" s="944" t="s">
        <v>3901</v>
      </c>
      <c r="C1088" s="919" t="s">
        <v>3902</v>
      </c>
      <c r="D1088" s="919" t="s">
        <v>4502</v>
      </c>
      <c r="E1088" s="920">
        <v>1150</v>
      </c>
      <c r="F1088" s="919" t="s">
        <v>5843</v>
      </c>
      <c r="G1088" s="919" t="s">
        <v>5844</v>
      </c>
      <c r="H1088" s="919" t="s">
        <v>4502</v>
      </c>
      <c r="I1088" s="919" t="s">
        <v>3686</v>
      </c>
      <c r="J1088" s="919"/>
      <c r="K1088" s="920"/>
      <c r="L1088" s="920"/>
      <c r="M1088" s="920">
        <f t="shared" si="32"/>
        <v>0</v>
      </c>
      <c r="N1088" s="919">
        <v>1</v>
      </c>
      <c r="O1088" s="919">
        <v>5</v>
      </c>
      <c r="P1088" s="921">
        <f t="shared" si="33"/>
        <v>5750</v>
      </c>
    </row>
    <row r="1089" spans="1:16" ht="20.100000000000001" customHeight="1" x14ac:dyDescent="0.25">
      <c r="A1089" s="918" t="s">
        <v>471</v>
      </c>
      <c r="B1089" s="944" t="s">
        <v>3901</v>
      </c>
      <c r="C1089" s="919" t="s">
        <v>3902</v>
      </c>
      <c r="D1089" s="919" t="s">
        <v>4502</v>
      </c>
      <c r="E1089" s="920">
        <v>1150</v>
      </c>
      <c r="F1089" s="919" t="s">
        <v>5845</v>
      </c>
      <c r="G1089" s="919" t="s">
        <v>5846</v>
      </c>
      <c r="H1089" s="919" t="s">
        <v>4502</v>
      </c>
      <c r="I1089" s="919" t="s">
        <v>3686</v>
      </c>
      <c r="J1089" s="919"/>
      <c r="K1089" s="920"/>
      <c r="L1089" s="920"/>
      <c r="M1089" s="920">
        <f t="shared" si="32"/>
        <v>0</v>
      </c>
      <c r="N1089" s="919">
        <v>1</v>
      </c>
      <c r="O1089" s="919">
        <v>5</v>
      </c>
      <c r="P1089" s="921">
        <f t="shared" si="33"/>
        <v>5750</v>
      </c>
    </row>
    <row r="1090" spans="1:16" ht="20.100000000000001" customHeight="1" x14ac:dyDescent="0.25">
      <c r="A1090" s="918" t="s">
        <v>471</v>
      </c>
      <c r="B1090" s="944" t="s">
        <v>3901</v>
      </c>
      <c r="C1090" s="919" t="s">
        <v>3902</v>
      </c>
      <c r="D1090" s="919" t="s">
        <v>4502</v>
      </c>
      <c r="E1090" s="920">
        <v>1150</v>
      </c>
      <c r="F1090" s="919" t="s">
        <v>5847</v>
      </c>
      <c r="G1090" s="919" t="s">
        <v>5848</v>
      </c>
      <c r="H1090" s="919" t="s">
        <v>4502</v>
      </c>
      <c r="I1090" s="919" t="s">
        <v>3686</v>
      </c>
      <c r="J1090" s="919"/>
      <c r="K1090" s="920"/>
      <c r="L1090" s="920"/>
      <c r="M1090" s="920">
        <f t="shared" si="32"/>
        <v>0</v>
      </c>
      <c r="N1090" s="919">
        <v>1</v>
      </c>
      <c r="O1090" s="919">
        <v>5</v>
      </c>
      <c r="P1090" s="921">
        <f t="shared" si="33"/>
        <v>5750</v>
      </c>
    </row>
    <row r="1091" spans="1:16" ht="20.100000000000001" customHeight="1" x14ac:dyDescent="0.25">
      <c r="A1091" s="918" t="s">
        <v>471</v>
      </c>
      <c r="B1091" s="944" t="s">
        <v>3901</v>
      </c>
      <c r="C1091" s="919" t="s">
        <v>3902</v>
      </c>
      <c r="D1091" s="919" t="s">
        <v>4502</v>
      </c>
      <c r="E1091" s="920">
        <v>1150</v>
      </c>
      <c r="F1091" s="919" t="s">
        <v>5849</v>
      </c>
      <c r="G1091" s="919" t="s">
        <v>5850</v>
      </c>
      <c r="H1091" s="919" t="s">
        <v>4502</v>
      </c>
      <c r="I1091" s="919" t="s">
        <v>3686</v>
      </c>
      <c r="J1091" s="919"/>
      <c r="K1091" s="920"/>
      <c r="L1091" s="920"/>
      <c r="M1091" s="920">
        <f t="shared" si="32"/>
        <v>0</v>
      </c>
      <c r="N1091" s="919">
        <v>1</v>
      </c>
      <c r="O1091" s="919">
        <v>5</v>
      </c>
      <c r="P1091" s="921">
        <f t="shared" si="33"/>
        <v>5750</v>
      </c>
    </row>
    <row r="1092" spans="1:16" ht="20.100000000000001" customHeight="1" x14ac:dyDescent="0.25">
      <c r="A1092" s="918" t="s">
        <v>471</v>
      </c>
      <c r="B1092" s="944" t="s">
        <v>3901</v>
      </c>
      <c r="C1092" s="919" t="s">
        <v>3902</v>
      </c>
      <c r="D1092" s="919" t="s">
        <v>4502</v>
      </c>
      <c r="E1092" s="920">
        <v>1150</v>
      </c>
      <c r="F1092" s="919" t="s">
        <v>5851</v>
      </c>
      <c r="G1092" s="919" t="s">
        <v>5852</v>
      </c>
      <c r="H1092" s="919" t="s">
        <v>4502</v>
      </c>
      <c r="I1092" s="919" t="s">
        <v>3686</v>
      </c>
      <c r="J1092" s="919"/>
      <c r="K1092" s="920"/>
      <c r="L1092" s="920"/>
      <c r="M1092" s="920">
        <f t="shared" si="32"/>
        <v>0</v>
      </c>
      <c r="N1092" s="919">
        <v>1</v>
      </c>
      <c r="O1092" s="919">
        <v>5</v>
      </c>
      <c r="P1092" s="921">
        <f t="shared" si="33"/>
        <v>5750</v>
      </c>
    </row>
    <row r="1093" spans="1:16" ht="20.100000000000001" customHeight="1" x14ac:dyDescent="0.25">
      <c r="A1093" s="918" t="s">
        <v>471</v>
      </c>
      <c r="B1093" s="944" t="s">
        <v>3901</v>
      </c>
      <c r="C1093" s="919" t="s">
        <v>3902</v>
      </c>
      <c r="D1093" s="919" t="s">
        <v>4502</v>
      </c>
      <c r="E1093" s="920">
        <v>1150</v>
      </c>
      <c r="F1093" s="919" t="s">
        <v>5853</v>
      </c>
      <c r="G1093" s="919" t="s">
        <v>5854</v>
      </c>
      <c r="H1093" s="919" t="s">
        <v>4502</v>
      </c>
      <c r="I1093" s="919" t="s">
        <v>3686</v>
      </c>
      <c r="J1093" s="919"/>
      <c r="K1093" s="920"/>
      <c r="L1093" s="920"/>
      <c r="M1093" s="920">
        <f t="shared" si="32"/>
        <v>0</v>
      </c>
      <c r="N1093" s="919">
        <v>1</v>
      </c>
      <c r="O1093" s="919">
        <v>5</v>
      </c>
      <c r="P1093" s="921">
        <f t="shared" si="33"/>
        <v>5750</v>
      </c>
    </row>
    <row r="1094" spans="1:16" ht="20.100000000000001" customHeight="1" x14ac:dyDescent="0.25">
      <c r="A1094" s="918" t="s">
        <v>471</v>
      </c>
      <c r="B1094" s="944" t="s">
        <v>3901</v>
      </c>
      <c r="C1094" s="919" t="s">
        <v>3902</v>
      </c>
      <c r="D1094" s="919" t="s">
        <v>4502</v>
      </c>
      <c r="E1094" s="920">
        <v>1150</v>
      </c>
      <c r="F1094" s="919" t="s">
        <v>5855</v>
      </c>
      <c r="G1094" s="919" t="s">
        <v>5856</v>
      </c>
      <c r="H1094" s="919" t="s">
        <v>4502</v>
      </c>
      <c r="I1094" s="919" t="s">
        <v>3686</v>
      </c>
      <c r="J1094" s="919"/>
      <c r="K1094" s="920"/>
      <c r="L1094" s="920"/>
      <c r="M1094" s="920">
        <f t="shared" ref="M1094:M1157" si="34">E1094*L1094</f>
        <v>0</v>
      </c>
      <c r="N1094" s="919">
        <v>1</v>
      </c>
      <c r="O1094" s="919">
        <v>5</v>
      </c>
      <c r="P1094" s="921">
        <f t="shared" ref="P1094:P1157" si="35">E1094*O1094</f>
        <v>5750</v>
      </c>
    </row>
    <row r="1095" spans="1:16" ht="20.100000000000001" customHeight="1" x14ac:dyDescent="0.25">
      <c r="A1095" s="918" t="s">
        <v>471</v>
      </c>
      <c r="B1095" s="944" t="s">
        <v>3901</v>
      </c>
      <c r="C1095" s="919" t="s">
        <v>3902</v>
      </c>
      <c r="D1095" s="919" t="s">
        <v>4502</v>
      </c>
      <c r="E1095" s="920">
        <v>1150</v>
      </c>
      <c r="F1095" s="919" t="s">
        <v>4041</v>
      </c>
      <c r="G1095" s="919" t="s">
        <v>4042</v>
      </c>
      <c r="H1095" s="919" t="s">
        <v>4502</v>
      </c>
      <c r="I1095" s="919" t="s">
        <v>3686</v>
      </c>
      <c r="J1095" s="919"/>
      <c r="K1095" s="920">
        <v>1</v>
      </c>
      <c r="L1095" s="920">
        <v>12</v>
      </c>
      <c r="M1095" s="920">
        <f t="shared" si="34"/>
        <v>13800</v>
      </c>
      <c r="N1095" s="919"/>
      <c r="O1095" s="919"/>
      <c r="P1095" s="921">
        <f t="shared" si="35"/>
        <v>0</v>
      </c>
    </row>
    <row r="1096" spans="1:16" ht="20.100000000000001" customHeight="1" x14ac:dyDescent="0.25">
      <c r="A1096" s="918" t="s">
        <v>471</v>
      </c>
      <c r="B1096" s="944" t="s">
        <v>3901</v>
      </c>
      <c r="C1096" s="919" t="s">
        <v>3902</v>
      </c>
      <c r="D1096" s="919" t="s">
        <v>4502</v>
      </c>
      <c r="E1096" s="920">
        <v>1150</v>
      </c>
      <c r="F1096" s="919" t="s">
        <v>5857</v>
      </c>
      <c r="G1096" s="919" t="s">
        <v>5858</v>
      </c>
      <c r="H1096" s="919" t="s">
        <v>4502</v>
      </c>
      <c r="I1096" s="919" t="s">
        <v>3686</v>
      </c>
      <c r="J1096" s="919"/>
      <c r="K1096" s="920"/>
      <c r="L1096" s="920"/>
      <c r="M1096" s="920">
        <f t="shared" si="34"/>
        <v>0</v>
      </c>
      <c r="N1096" s="919">
        <v>1</v>
      </c>
      <c r="O1096" s="919">
        <v>5</v>
      </c>
      <c r="P1096" s="921">
        <f t="shared" si="35"/>
        <v>5750</v>
      </c>
    </row>
    <row r="1097" spans="1:16" ht="20.100000000000001" customHeight="1" x14ac:dyDescent="0.25">
      <c r="A1097" s="918" t="s">
        <v>471</v>
      </c>
      <c r="B1097" s="944" t="s">
        <v>3901</v>
      </c>
      <c r="C1097" s="919" t="s">
        <v>3902</v>
      </c>
      <c r="D1097" s="919" t="s">
        <v>4502</v>
      </c>
      <c r="E1097" s="920">
        <v>1150</v>
      </c>
      <c r="F1097" s="919" t="s">
        <v>5859</v>
      </c>
      <c r="G1097" s="919" t="s">
        <v>5860</v>
      </c>
      <c r="H1097" s="919" t="s">
        <v>4502</v>
      </c>
      <c r="I1097" s="919" t="s">
        <v>3686</v>
      </c>
      <c r="J1097" s="919"/>
      <c r="K1097" s="920"/>
      <c r="L1097" s="920"/>
      <c r="M1097" s="920">
        <f t="shared" si="34"/>
        <v>0</v>
      </c>
      <c r="N1097" s="919">
        <v>1</v>
      </c>
      <c r="O1097" s="919">
        <v>5</v>
      </c>
      <c r="P1097" s="921">
        <f t="shared" si="35"/>
        <v>5750</v>
      </c>
    </row>
    <row r="1098" spans="1:16" ht="20.100000000000001" customHeight="1" x14ac:dyDescent="0.25">
      <c r="A1098" s="918" t="s">
        <v>471</v>
      </c>
      <c r="B1098" s="944" t="s">
        <v>3901</v>
      </c>
      <c r="C1098" s="919" t="s">
        <v>3902</v>
      </c>
      <c r="D1098" s="919" t="s">
        <v>4502</v>
      </c>
      <c r="E1098" s="920">
        <v>1150</v>
      </c>
      <c r="F1098" s="919" t="s">
        <v>5861</v>
      </c>
      <c r="G1098" s="919" t="s">
        <v>5862</v>
      </c>
      <c r="H1098" s="919" t="s">
        <v>4502</v>
      </c>
      <c r="I1098" s="919" t="s">
        <v>3686</v>
      </c>
      <c r="J1098" s="919"/>
      <c r="K1098" s="920"/>
      <c r="L1098" s="920"/>
      <c r="M1098" s="920">
        <f t="shared" si="34"/>
        <v>0</v>
      </c>
      <c r="N1098" s="919">
        <v>1</v>
      </c>
      <c r="O1098" s="919">
        <v>5</v>
      </c>
      <c r="P1098" s="921">
        <f t="shared" si="35"/>
        <v>5750</v>
      </c>
    </row>
    <row r="1099" spans="1:16" ht="20.100000000000001" customHeight="1" x14ac:dyDescent="0.25">
      <c r="A1099" s="918" t="s">
        <v>471</v>
      </c>
      <c r="B1099" s="944" t="s">
        <v>3901</v>
      </c>
      <c r="C1099" s="919" t="s">
        <v>3902</v>
      </c>
      <c r="D1099" s="919" t="s">
        <v>4502</v>
      </c>
      <c r="E1099" s="920">
        <v>1150</v>
      </c>
      <c r="F1099" s="919" t="s">
        <v>5863</v>
      </c>
      <c r="G1099" s="919" t="s">
        <v>5864</v>
      </c>
      <c r="H1099" s="919" t="s">
        <v>4502</v>
      </c>
      <c r="I1099" s="919" t="s">
        <v>3686</v>
      </c>
      <c r="J1099" s="919"/>
      <c r="K1099" s="920"/>
      <c r="L1099" s="920"/>
      <c r="M1099" s="920">
        <f t="shared" si="34"/>
        <v>0</v>
      </c>
      <c r="N1099" s="919">
        <v>1</v>
      </c>
      <c r="O1099" s="919">
        <v>5</v>
      </c>
      <c r="P1099" s="921">
        <f t="shared" si="35"/>
        <v>5750</v>
      </c>
    </row>
    <row r="1100" spans="1:16" ht="20.100000000000001" customHeight="1" x14ac:dyDescent="0.25">
      <c r="A1100" s="918" t="s">
        <v>471</v>
      </c>
      <c r="B1100" s="944" t="s">
        <v>3901</v>
      </c>
      <c r="C1100" s="919" t="s">
        <v>3902</v>
      </c>
      <c r="D1100" s="919" t="s">
        <v>4502</v>
      </c>
      <c r="E1100" s="920">
        <v>1150</v>
      </c>
      <c r="F1100" s="919" t="s">
        <v>5865</v>
      </c>
      <c r="G1100" s="919" t="s">
        <v>5866</v>
      </c>
      <c r="H1100" s="919" t="s">
        <v>4502</v>
      </c>
      <c r="I1100" s="919" t="s">
        <v>3686</v>
      </c>
      <c r="J1100" s="919"/>
      <c r="K1100" s="920"/>
      <c r="L1100" s="920"/>
      <c r="M1100" s="920">
        <f t="shared" si="34"/>
        <v>0</v>
      </c>
      <c r="N1100" s="919">
        <v>1</v>
      </c>
      <c r="O1100" s="919">
        <v>5</v>
      </c>
      <c r="P1100" s="921">
        <f t="shared" si="35"/>
        <v>5750</v>
      </c>
    </row>
    <row r="1101" spans="1:16" ht="20.100000000000001" customHeight="1" x14ac:dyDescent="0.25">
      <c r="A1101" s="918" t="s">
        <v>471</v>
      </c>
      <c r="B1101" s="944" t="s">
        <v>3901</v>
      </c>
      <c r="C1101" s="919" t="s">
        <v>3902</v>
      </c>
      <c r="D1101" s="919" t="s">
        <v>4502</v>
      </c>
      <c r="E1101" s="920">
        <v>1150</v>
      </c>
      <c r="F1101" s="919" t="s">
        <v>5867</v>
      </c>
      <c r="G1101" s="919" t="s">
        <v>5868</v>
      </c>
      <c r="H1101" s="919" t="s">
        <v>4502</v>
      </c>
      <c r="I1101" s="919" t="s">
        <v>3686</v>
      </c>
      <c r="J1101" s="919"/>
      <c r="K1101" s="920"/>
      <c r="L1101" s="920"/>
      <c r="M1101" s="920">
        <f t="shared" si="34"/>
        <v>0</v>
      </c>
      <c r="N1101" s="919">
        <v>1</v>
      </c>
      <c r="O1101" s="919">
        <v>5</v>
      </c>
      <c r="P1101" s="921">
        <f t="shared" si="35"/>
        <v>5750</v>
      </c>
    </row>
    <row r="1102" spans="1:16" ht="20.100000000000001" customHeight="1" x14ac:dyDescent="0.25">
      <c r="A1102" s="918" t="s">
        <v>471</v>
      </c>
      <c r="B1102" s="944" t="s">
        <v>3901</v>
      </c>
      <c r="C1102" s="919" t="s">
        <v>3902</v>
      </c>
      <c r="D1102" s="919" t="s">
        <v>4502</v>
      </c>
      <c r="E1102" s="920">
        <v>1150</v>
      </c>
      <c r="F1102" s="919" t="s">
        <v>5869</v>
      </c>
      <c r="G1102" s="919" t="s">
        <v>5870</v>
      </c>
      <c r="H1102" s="919" t="s">
        <v>4502</v>
      </c>
      <c r="I1102" s="919" t="s">
        <v>3686</v>
      </c>
      <c r="J1102" s="919"/>
      <c r="K1102" s="920"/>
      <c r="L1102" s="920"/>
      <c r="M1102" s="920">
        <f t="shared" si="34"/>
        <v>0</v>
      </c>
      <c r="N1102" s="919">
        <v>1</v>
      </c>
      <c r="O1102" s="919">
        <v>5</v>
      </c>
      <c r="P1102" s="921">
        <f t="shared" si="35"/>
        <v>5750</v>
      </c>
    </row>
    <row r="1103" spans="1:16" ht="20.100000000000001" customHeight="1" x14ac:dyDescent="0.25">
      <c r="A1103" s="918" t="s">
        <v>471</v>
      </c>
      <c r="B1103" s="944" t="s">
        <v>3901</v>
      </c>
      <c r="C1103" s="919" t="s">
        <v>3902</v>
      </c>
      <c r="D1103" s="919" t="s">
        <v>4502</v>
      </c>
      <c r="E1103" s="920">
        <v>1150</v>
      </c>
      <c r="F1103" s="919" t="s">
        <v>5871</v>
      </c>
      <c r="G1103" s="919" t="s">
        <v>5872</v>
      </c>
      <c r="H1103" s="919" t="s">
        <v>4502</v>
      </c>
      <c r="I1103" s="919" t="s">
        <v>3686</v>
      </c>
      <c r="J1103" s="919"/>
      <c r="K1103" s="920"/>
      <c r="L1103" s="920"/>
      <c r="M1103" s="920">
        <f t="shared" si="34"/>
        <v>0</v>
      </c>
      <c r="N1103" s="919">
        <v>1</v>
      </c>
      <c r="O1103" s="919">
        <v>5</v>
      </c>
      <c r="P1103" s="921">
        <f t="shared" si="35"/>
        <v>5750</v>
      </c>
    </row>
    <row r="1104" spans="1:16" ht="20.100000000000001" customHeight="1" x14ac:dyDescent="0.25">
      <c r="A1104" s="918" t="s">
        <v>471</v>
      </c>
      <c r="B1104" s="944" t="s">
        <v>3901</v>
      </c>
      <c r="C1104" s="919" t="s">
        <v>3902</v>
      </c>
      <c r="D1104" s="919" t="s">
        <v>4502</v>
      </c>
      <c r="E1104" s="920">
        <v>1150</v>
      </c>
      <c r="F1104" s="919" t="s">
        <v>5873</v>
      </c>
      <c r="G1104" s="919" t="s">
        <v>5874</v>
      </c>
      <c r="H1104" s="919" t="s">
        <v>4502</v>
      </c>
      <c r="I1104" s="919" t="s">
        <v>3686</v>
      </c>
      <c r="J1104" s="919"/>
      <c r="K1104" s="920"/>
      <c r="L1104" s="920"/>
      <c r="M1104" s="920">
        <f t="shared" si="34"/>
        <v>0</v>
      </c>
      <c r="N1104" s="919">
        <v>1</v>
      </c>
      <c r="O1104" s="919">
        <v>5</v>
      </c>
      <c r="P1104" s="921">
        <f t="shared" si="35"/>
        <v>5750</v>
      </c>
    </row>
    <row r="1105" spans="1:16" ht="20.100000000000001" customHeight="1" x14ac:dyDescent="0.25">
      <c r="A1105" s="918" t="s">
        <v>471</v>
      </c>
      <c r="B1105" s="944" t="s">
        <v>3901</v>
      </c>
      <c r="C1105" s="919" t="s">
        <v>3902</v>
      </c>
      <c r="D1105" s="919" t="s">
        <v>4502</v>
      </c>
      <c r="E1105" s="920">
        <v>1150</v>
      </c>
      <c r="F1105" s="919" t="s">
        <v>5875</v>
      </c>
      <c r="G1105" s="919" t="s">
        <v>5876</v>
      </c>
      <c r="H1105" s="919" t="s">
        <v>4502</v>
      </c>
      <c r="I1105" s="919" t="s">
        <v>3686</v>
      </c>
      <c r="J1105" s="919"/>
      <c r="K1105" s="920"/>
      <c r="L1105" s="920"/>
      <c r="M1105" s="920">
        <f t="shared" si="34"/>
        <v>0</v>
      </c>
      <c r="N1105" s="919">
        <v>1</v>
      </c>
      <c r="O1105" s="919">
        <v>5</v>
      </c>
      <c r="P1105" s="921">
        <f t="shared" si="35"/>
        <v>5750</v>
      </c>
    </row>
    <row r="1106" spans="1:16" ht="20.100000000000001" customHeight="1" x14ac:dyDescent="0.25">
      <c r="A1106" s="918" t="s">
        <v>471</v>
      </c>
      <c r="B1106" s="944" t="s">
        <v>3901</v>
      </c>
      <c r="C1106" s="919" t="s">
        <v>3902</v>
      </c>
      <c r="D1106" s="919" t="s">
        <v>4502</v>
      </c>
      <c r="E1106" s="920">
        <v>1150</v>
      </c>
      <c r="F1106" s="919" t="s">
        <v>5877</v>
      </c>
      <c r="G1106" s="919" t="s">
        <v>5878</v>
      </c>
      <c r="H1106" s="919" t="s">
        <v>4502</v>
      </c>
      <c r="I1106" s="919" t="s">
        <v>3686</v>
      </c>
      <c r="J1106" s="919"/>
      <c r="K1106" s="920"/>
      <c r="L1106" s="920"/>
      <c r="M1106" s="920">
        <f t="shared" si="34"/>
        <v>0</v>
      </c>
      <c r="N1106" s="919">
        <v>1</v>
      </c>
      <c r="O1106" s="919">
        <v>5</v>
      </c>
      <c r="P1106" s="921">
        <f t="shared" si="35"/>
        <v>5750</v>
      </c>
    </row>
    <row r="1107" spans="1:16" ht="20.100000000000001" customHeight="1" x14ac:dyDescent="0.25">
      <c r="A1107" s="918" t="s">
        <v>471</v>
      </c>
      <c r="B1107" s="944" t="s">
        <v>3901</v>
      </c>
      <c r="C1107" s="919" t="s">
        <v>3902</v>
      </c>
      <c r="D1107" s="919" t="s">
        <v>4502</v>
      </c>
      <c r="E1107" s="920">
        <v>1150</v>
      </c>
      <c r="F1107" s="919" t="s">
        <v>5879</v>
      </c>
      <c r="G1107" s="919" t="s">
        <v>5880</v>
      </c>
      <c r="H1107" s="919" t="s">
        <v>4502</v>
      </c>
      <c r="I1107" s="919" t="s">
        <v>3686</v>
      </c>
      <c r="J1107" s="919"/>
      <c r="K1107" s="920"/>
      <c r="L1107" s="920"/>
      <c r="M1107" s="920">
        <f t="shared" si="34"/>
        <v>0</v>
      </c>
      <c r="N1107" s="919">
        <v>1</v>
      </c>
      <c r="O1107" s="919">
        <v>5</v>
      </c>
      <c r="P1107" s="921">
        <f t="shared" si="35"/>
        <v>5750</v>
      </c>
    </row>
    <row r="1108" spans="1:16" ht="20.100000000000001" customHeight="1" x14ac:dyDescent="0.25">
      <c r="A1108" s="918" t="s">
        <v>471</v>
      </c>
      <c r="B1108" s="944" t="s">
        <v>3901</v>
      </c>
      <c r="C1108" s="919" t="s">
        <v>3902</v>
      </c>
      <c r="D1108" s="919" t="s">
        <v>4502</v>
      </c>
      <c r="E1108" s="920">
        <v>1150</v>
      </c>
      <c r="F1108" s="919" t="s">
        <v>5881</v>
      </c>
      <c r="G1108" s="919" t="s">
        <v>5882</v>
      </c>
      <c r="H1108" s="919" t="s">
        <v>4502</v>
      </c>
      <c r="I1108" s="919" t="s">
        <v>3686</v>
      </c>
      <c r="J1108" s="919"/>
      <c r="K1108" s="920"/>
      <c r="L1108" s="920"/>
      <c r="M1108" s="920">
        <f t="shared" si="34"/>
        <v>0</v>
      </c>
      <c r="N1108" s="919">
        <v>1</v>
      </c>
      <c r="O1108" s="919">
        <v>5</v>
      </c>
      <c r="P1108" s="921">
        <f t="shared" si="35"/>
        <v>5750</v>
      </c>
    </row>
    <row r="1109" spans="1:16" ht="20.100000000000001" customHeight="1" x14ac:dyDescent="0.25">
      <c r="A1109" s="918" t="s">
        <v>471</v>
      </c>
      <c r="B1109" s="944" t="s">
        <v>3901</v>
      </c>
      <c r="C1109" s="919" t="s">
        <v>3902</v>
      </c>
      <c r="D1109" s="919" t="s">
        <v>4502</v>
      </c>
      <c r="E1109" s="920">
        <v>1150</v>
      </c>
      <c r="F1109" s="919" t="s">
        <v>5883</v>
      </c>
      <c r="G1109" s="919" t="s">
        <v>5884</v>
      </c>
      <c r="H1109" s="919" t="s">
        <v>4502</v>
      </c>
      <c r="I1109" s="919" t="s">
        <v>3686</v>
      </c>
      <c r="J1109" s="919"/>
      <c r="K1109" s="920"/>
      <c r="L1109" s="920"/>
      <c r="M1109" s="920">
        <f t="shared" si="34"/>
        <v>0</v>
      </c>
      <c r="N1109" s="919">
        <v>1</v>
      </c>
      <c r="O1109" s="919">
        <v>5</v>
      </c>
      <c r="P1109" s="921">
        <f t="shared" si="35"/>
        <v>5750</v>
      </c>
    </row>
    <row r="1110" spans="1:16" ht="20.100000000000001" customHeight="1" x14ac:dyDescent="0.25">
      <c r="A1110" s="918" t="s">
        <v>471</v>
      </c>
      <c r="B1110" s="944" t="s">
        <v>3901</v>
      </c>
      <c r="C1110" s="919" t="s">
        <v>3902</v>
      </c>
      <c r="D1110" s="919" t="s">
        <v>4502</v>
      </c>
      <c r="E1110" s="920">
        <v>1150</v>
      </c>
      <c r="F1110" s="919" t="s">
        <v>5885</v>
      </c>
      <c r="G1110" s="919" t="s">
        <v>5886</v>
      </c>
      <c r="H1110" s="919" t="s">
        <v>4502</v>
      </c>
      <c r="I1110" s="919" t="s">
        <v>3686</v>
      </c>
      <c r="J1110" s="919"/>
      <c r="K1110" s="920"/>
      <c r="L1110" s="920"/>
      <c r="M1110" s="920">
        <f t="shared" si="34"/>
        <v>0</v>
      </c>
      <c r="N1110" s="919">
        <v>1</v>
      </c>
      <c r="O1110" s="919">
        <v>5</v>
      </c>
      <c r="P1110" s="921">
        <f t="shared" si="35"/>
        <v>5750</v>
      </c>
    </row>
    <row r="1111" spans="1:16" ht="20.100000000000001" customHeight="1" x14ac:dyDescent="0.25">
      <c r="A1111" s="918" t="s">
        <v>471</v>
      </c>
      <c r="B1111" s="944" t="s">
        <v>3901</v>
      </c>
      <c r="C1111" s="919" t="s">
        <v>3902</v>
      </c>
      <c r="D1111" s="919" t="s">
        <v>4502</v>
      </c>
      <c r="E1111" s="920">
        <v>1150</v>
      </c>
      <c r="F1111" s="919" t="s">
        <v>5887</v>
      </c>
      <c r="G1111" s="919" t="s">
        <v>5888</v>
      </c>
      <c r="H1111" s="919" t="s">
        <v>4502</v>
      </c>
      <c r="I1111" s="919" t="s">
        <v>3686</v>
      </c>
      <c r="J1111" s="919"/>
      <c r="K1111" s="920"/>
      <c r="L1111" s="920"/>
      <c r="M1111" s="920">
        <f t="shared" si="34"/>
        <v>0</v>
      </c>
      <c r="N1111" s="919">
        <v>1</v>
      </c>
      <c r="O1111" s="919">
        <v>5</v>
      </c>
      <c r="P1111" s="921">
        <f t="shared" si="35"/>
        <v>5750</v>
      </c>
    </row>
    <row r="1112" spans="1:16" ht="20.100000000000001" customHeight="1" x14ac:dyDescent="0.25">
      <c r="A1112" s="918" t="s">
        <v>471</v>
      </c>
      <c r="B1112" s="944" t="s">
        <v>3901</v>
      </c>
      <c r="C1112" s="919" t="s">
        <v>3902</v>
      </c>
      <c r="D1112" s="919" t="s">
        <v>4502</v>
      </c>
      <c r="E1112" s="920">
        <v>1150</v>
      </c>
      <c r="F1112" s="919" t="s">
        <v>5889</v>
      </c>
      <c r="G1112" s="919" t="s">
        <v>5890</v>
      </c>
      <c r="H1112" s="919" t="s">
        <v>4502</v>
      </c>
      <c r="I1112" s="919" t="s">
        <v>3686</v>
      </c>
      <c r="J1112" s="919"/>
      <c r="K1112" s="920"/>
      <c r="L1112" s="920"/>
      <c r="M1112" s="920">
        <f t="shared" si="34"/>
        <v>0</v>
      </c>
      <c r="N1112" s="919">
        <v>1</v>
      </c>
      <c r="O1112" s="919">
        <v>5</v>
      </c>
      <c r="P1112" s="921">
        <f t="shared" si="35"/>
        <v>5750</v>
      </c>
    </row>
    <row r="1113" spans="1:16" ht="20.100000000000001" customHeight="1" x14ac:dyDescent="0.25">
      <c r="A1113" s="918" t="s">
        <v>471</v>
      </c>
      <c r="B1113" s="944" t="s">
        <v>3901</v>
      </c>
      <c r="C1113" s="919" t="s">
        <v>3902</v>
      </c>
      <c r="D1113" s="919" t="s">
        <v>4502</v>
      </c>
      <c r="E1113" s="920">
        <v>1150</v>
      </c>
      <c r="F1113" s="919" t="s">
        <v>5891</v>
      </c>
      <c r="G1113" s="919" t="s">
        <v>5892</v>
      </c>
      <c r="H1113" s="919" t="s">
        <v>4502</v>
      </c>
      <c r="I1113" s="919" t="s">
        <v>3686</v>
      </c>
      <c r="J1113" s="919"/>
      <c r="K1113" s="920"/>
      <c r="L1113" s="920"/>
      <c r="M1113" s="920">
        <f t="shared" si="34"/>
        <v>0</v>
      </c>
      <c r="N1113" s="919">
        <v>1</v>
      </c>
      <c r="O1113" s="919">
        <v>5</v>
      </c>
      <c r="P1113" s="921">
        <f t="shared" si="35"/>
        <v>5750</v>
      </c>
    </row>
    <row r="1114" spans="1:16" ht="20.100000000000001" customHeight="1" x14ac:dyDescent="0.25">
      <c r="A1114" s="918" t="s">
        <v>471</v>
      </c>
      <c r="B1114" s="944" t="s">
        <v>3901</v>
      </c>
      <c r="C1114" s="919" t="s">
        <v>3902</v>
      </c>
      <c r="D1114" s="919" t="s">
        <v>4502</v>
      </c>
      <c r="E1114" s="920">
        <v>1150</v>
      </c>
      <c r="F1114" s="919" t="s">
        <v>5893</v>
      </c>
      <c r="G1114" s="919" t="s">
        <v>5894</v>
      </c>
      <c r="H1114" s="919" t="s">
        <v>4502</v>
      </c>
      <c r="I1114" s="919" t="s">
        <v>3686</v>
      </c>
      <c r="J1114" s="919"/>
      <c r="K1114" s="920"/>
      <c r="L1114" s="920"/>
      <c r="M1114" s="920">
        <f t="shared" si="34"/>
        <v>0</v>
      </c>
      <c r="N1114" s="919">
        <v>1</v>
      </c>
      <c r="O1114" s="919">
        <v>5</v>
      </c>
      <c r="P1114" s="921">
        <f t="shared" si="35"/>
        <v>5750</v>
      </c>
    </row>
    <row r="1115" spans="1:16" ht="20.100000000000001" customHeight="1" x14ac:dyDescent="0.25">
      <c r="A1115" s="918" t="s">
        <v>471</v>
      </c>
      <c r="B1115" s="944" t="s">
        <v>3901</v>
      </c>
      <c r="C1115" s="919" t="s">
        <v>3902</v>
      </c>
      <c r="D1115" s="919" t="s">
        <v>4502</v>
      </c>
      <c r="E1115" s="920">
        <v>1150</v>
      </c>
      <c r="F1115" s="919" t="s">
        <v>5895</v>
      </c>
      <c r="G1115" s="919" t="s">
        <v>5896</v>
      </c>
      <c r="H1115" s="919" t="s">
        <v>4502</v>
      </c>
      <c r="I1115" s="919" t="s">
        <v>3686</v>
      </c>
      <c r="J1115" s="919"/>
      <c r="K1115" s="920"/>
      <c r="L1115" s="920"/>
      <c r="M1115" s="920">
        <f t="shared" si="34"/>
        <v>0</v>
      </c>
      <c r="N1115" s="919">
        <v>1</v>
      </c>
      <c r="O1115" s="919">
        <v>5</v>
      </c>
      <c r="P1115" s="921">
        <f t="shared" si="35"/>
        <v>5750</v>
      </c>
    </row>
    <row r="1116" spans="1:16" ht="20.100000000000001" customHeight="1" x14ac:dyDescent="0.25">
      <c r="A1116" s="918" t="s">
        <v>471</v>
      </c>
      <c r="B1116" s="944" t="s">
        <v>3901</v>
      </c>
      <c r="C1116" s="919" t="s">
        <v>3902</v>
      </c>
      <c r="D1116" s="919" t="s">
        <v>4502</v>
      </c>
      <c r="E1116" s="920">
        <v>1150</v>
      </c>
      <c r="F1116" s="919" t="s">
        <v>5897</v>
      </c>
      <c r="G1116" s="919" t="s">
        <v>5898</v>
      </c>
      <c r="H1116" s="919" t="s">
        <v>4502</v>
      </c>
      <c r="I1116" s="919" t="s">
        <v>3686</v>
      </c>
      <c r="J1116" s="919"/>
      <c r="K1116" s="920"/>
      <c r="L1116" s="920"/>
      <c r="M1116" s="920">
        <f t="shared" si="34"/>
        <v>0</v>
      </c>
      <c r="N1116" s="919">
        <v>1</v>
      </c>
      <c r="O1116" s="919">
        <v>5</v>
      </c>
      <c r="P1116" s="921">
        <f t="shared" si="35"/>
        <v>5750</v>
      </c>
    </row>
    <row r="1117" spans="1:16" ht="20.100000000000001" customHeight="1" x14ac:dyDescent="0.25">
      <c r="A1117" s="918" t="s">
        <v>471</v>
      </c>
      <c r="B1117" s="944" t="s">
        <v>3901</v>
      </c>
      <c r="C1117" s="919" t="s">
        <v>3902</v>
      </c>
      <c r="D1117" s="919" t="s">
        <v>4502</v>
      </c>
      <c r="E1117" s="920">
        <v>1150</v>
      </c>
      <c r="F1117" s="919" t="s">
        <v>5899</v>
      </c>
      <c r="G1117" s="919" t="s">
        <v>5900</v>
      </c>
      <c r="H1117" s="919" t="s">
        <v>4502</v>
      </c>
      <c r="I1117" s="919" t="s">
        <v>3686</v>
      </c>
      <c r="J1117" s="919"/>
      <c r="K1117" s="920"/>
      <c r="L1117" s="920"/>
      <c r="M1117" s="920">
        <f t="shared" si="34"/>
        <v>0</v>
      </c>
      <c r="N1117" s="919">
        <v>1</v>
      </c>
      <c r="O1117" s="919">
        <v>5</v>
      </c>
      <c r="P1117" s="921">
        <f t="shared" si="35"/>
        <v>5750</v>
      </c>
    </row>
    <row r="1118" spans="1:16" ht="20.100000000000001" customHeight="1" x14ac:dyDescent="0.25">
      <c r="A1118" s="918" t="s">
        <v>471</v>
      </c>
      <c r="B1118" s="944" t="s">
        <v>3901</v>
      </c>
      <c r="C1118" s="919" t="s">
        <v>3902</v>
      </c>
      <c r="D1118" s="919" t="s">
        <v>4502</v>
      </c>
      <c r="E1118" s="920">
        <v>1150</v>
      </c>
      <c r="F1118" s="919" t="s">
        <v>5901</v>
      </c>
      <c r="G1118" s="919" t="s">
        <v>5902</v>
      </c>
      <c r="H1118" s="919" t="s">
        <v>4502</v>
      </c>
      <c r="I1118" s="919" t="s">
        <v>3686</v>
      </c>
      <c r="J1118" s="919"/>
      <c r="K1118" s="920"/>
      <c r="L1118" s="920"/>
      <c r="M1118" s="920">
        <f t="shared" si="34"/>
        <v>0</v>
      </c>
      <c r="N1118" s="919">
        <v>1</v>
      </c>
      <c r="O1118" s="919">
        <v>5</v>
      </c>
      <c r="P1118" s="921">
        <f t="shared" si="35"/>
        <v>5750</v>
      </c>
    </row>
    <row r="1119" spans="1:16" ht="20.100000000000001" customHeight="1" x14ac:dyDescent="0.25">
      <c r="A1119" s="918" t="s">
        <v>471</v>
      </c>
      <c r="B1119" s="944" t="s">
        <v>3901</v>
      </c>
      <c r="C1119" s="919" t="s">
        <v>3902</v>
      </c>
      <c r="D1119" s="919" t="s">
        <v>4502</v>
      </c>
      <c r="E1119" s="920">
        <v>1150</v>
      </c>
      <c r="F1119" s="919" t="s">
        <v>5903</v>
      </c>
      <c r="G1119" s="919" t="s">
        <v>5904</v>
      </c>
      <c r="H1119" s="919" t="s">
        <v>4502</v>
      </c>
      <c r="I1119" s="919" t="s">
        <v>3686</v>
      </c>
      <c r="J1119" s="919"/>
      <c r="K1119" s="920"/>
      <c r="L1119" s="920"/>
      <c r="M1119" s="920">
        <f t="shared" si="34"/>
        <v>0</v>
      </c>
      <c r="N1119" s="919">
        <v>1</v>
      </c>
      <c r="O1119" s="919">
        <v>5</v>
      </c>
      <c r="P1119" s="921">
        <f t="shared" si="35"/>
        <v>5750</v>
      </c>
    </row>
    <row r="1120" spans="1:16" ht="20.100000000000001" customHeight="1" x14ac:dyDescent="0.25">
      <c r="A1120" s="918" t="s">
        <v>471</v>
      </c>
      <c r="B1120" s="944" t="s">
        <v>3901</v>
      </c>
      <c r="C1120" s="919" t="s">
        <v>3902</v>
      </c>
      <c r="D1120" s="919" t="s">
        <v>4502</v>
      </c>
      <c r="E1120" s="920">
        <v>1150</v>
      </c>
      <c r="F1120" s="919" t="s">
        <v>5905</v>
      </c>
      <c r="G1120" s="919" t="s">
        <v>5906</v>
      </c>
      <c r="H1120" s="919" t="s">
        <v>4502</v>
      </c>
      <c r="I1120" s="919" t="s">
        <v>3686</v>
      </c>
      <c r="J1120" s="919"/>
      <c r="K1120" s="920"/>
      <c r="L1120" s="920"/>
      <c r="M1120" s="920">
        <f t="shared" si="34"/>
        <v>0</v>
      </c>
      <c r="N1120" s="919">
        <v>1</v>
      </c>
      <c r="O1120" s="919">
        <v>5</v>
      </c>
      <c r="P1120" s="921">
        <f t="shared" si="35"/>
        <v>5750</v>
      </c>
    </row>
    <row r="1121" spans="1:16" ht="20.100000000000001" customHeight="1" x14ac:dyDescent="0.25">
      <c r="A1121" s="918" t="s">
        <v>471</v>
      </c>
      <c r="B1121" s="944" t="s">
        <v>3901</v>
      </c>
      <c r="C1121" s="919" t="s">
        <v>3902</v>
      </c>
      <c r="D1121" s="919" t="s">
        <v>4502</v>
      </c>
      <c r="E1121" s="920">
        <v>1150</v>
      </c>
      <c r="F1121" s="919" t="s">
        <v>5907</v>
      </c>
      <c r="G1121" s="919" t="s">
        <v>5908</v>
      </c>
      <c r="H1121" s="919" t="s">
        <v>4502</v>
      </c>
      <c r="I1121" s="919" t="s">
        <v>3686</v>
      </c>
      <c r="J1121" s="919"/>
      <c r="K1121" s="920"/>
      <c r="L1121" s="920"/>
      <c r="M1121" s="920">
        <f t="shared" si="34"/>
        <v>0</v>
      </c>
      <c r="N1121" s="919">
        <v>1</v>
      </c>
      <c r="O1121" s="919">
        <v>5</v>
      </c>
      <c r="P1121" s="921">
        <f t="shared" si="35"/>
        <v>5750</v>
      </c>
    </row>
    <row r="1122" spans="1:16" ht="20.100000000000001" customHeight="1" x14ac:dyDescent="0.25">
      <c r="A1122" s="918" t="s">
        <v>471</v>
      </c>
      <c r="B1122" s="944" t="s">
        <v>3901</v>
      </c>
      <c r="C1122" s="919" t="s">
        <v>3902</v>
      </c>
      <c r="D1122" s="919" t="s">
        <v>4502</v>
      </c>
      <c r="E1122" s="920">
        <v>1150</v>
      </c>
      <c r="F1122" s="919" t="s">
        <v>5909</v>
      </c>
      <c r="G1122" s="919" t="s">
        <v>5910</v>
      </c>
      <c r="H1122" s="919" t="s">
        <v>4502</v>
      </c>
      <c r="I1122" s="919" t="s">
        <v>3686</v>
      </c>
      <c r="J1122" s="919"/>
      <c r="K1122" s="920"/>
      <c r="L1122" s="920"/>
      <c r="M1122" s="920">
        <f t="shared" si="34"/>
        <v>0</v>
      </c>
      <c r="N1122" s="919">
        <v>1</v>
      </c>
      <c r="O1122" s="919">
        <v>4</v>
      </c>
      <c r="P1122" s="921">
        <f t="shared" si="35"/>
        <v>4600</v>
      </c>
    </row>
    <row r="1123" spans="1:16" ht="20.100000000000001" customHeight="1" x14ac:dyDescent="0.25">
      <c r="A1123" s="918" t="s">
        <v>471</v>
      </c>
      <c r="B1123" s="944" t="s">
        <v>3901</v>
      </c>
      <c r="C1123" s="919" t="s">
        <v>3902</v>
      </c>
      <c r="D1123" s="919" t="s">
        <v>4777</v>
      </c>
      <c r="E1123" s="920">
        <v>2000</v>
      </c>
      <c r="F1123" s="919" t="s">
        <v>5911</v>
      </c>
      <c r="G1123" s="919" t="s">
        <v>5912</v>
      </c>
      <c r="H1123" s="919" t="s">
        <v>4777</v>
      </c>
      <c r="I1123" s="919" t="s">
        <v>3679</v>
      </c>
      <c r="J1123" s="919"/>
      <c r="K1123" s="920"/>
      <c r="L1123" s="920"/>
      <c r="M1123" s="920">
        <f t="shared" si="34"/>
        <v>0</v>
      </c>
      <c r="N1123" s="919">
        <v>1</v>
      </c>
      <c r="O1123" s="919">
        <v>5</v>
      </c>
      <c r="P1123" s="921">
        <f t="shared" si="35"/>
        <v>10000</v>
      </c>
    </row>
    <row r="1124" spans="1:16" ht="20.100000000000001" customHeight="1" x14ac:dyDescent="0.25">
      <c r="A1124" s="918" t="s">
        <v>471</v>
      </c>
      <c r="B1124" s="944" t="s">
        <v>3901</v>
      </c>
      <c r="C1124" s="919" t="s">
        <v>3902</v>
      </c>
      <c r="D1124" s="919" t="s">
        <v>4777</v>
      </c>
      <c r="E1124" s="920">
        <v>2000</v>
      </c>
      <c r="F1124" s="919" t="s">
        <v>5913</v>
      </c>
      <c r="G1124" s="919" t="s">
        <v>5914</v>
      </c>
      <c r="H1124" s="919" t="s">
        <v>4777</v>
      </c>
      <c r="I1124" s="919" t="s">
        <v>3679</v>
      </c>
      <c r="J1124" s="919"/>
      <c r="K1124" s="920"/>
      <c r="L1124" s="920"/>
      <c r="M1124" s="920">
        <f t="shared" si="34"/>
        <v>0</v>
      </c>
      <c r="N1124" s="919">
        <v>1</v>
      </c>
      <c r="O1124" s="919">
        <v>5</v>
      </c>
      <c r="P1124" s="921">
        <f t="shared" si="35"/>
        <v>10000</v>
      </c>
    </row>
    <row r="1125" spans="1:16" ht="20.100000000000001" customHeight="1" x14ac:dyDescent="0.25">
      <c r="A1125" s="918" t="s">
        <v>471</v>
      </c>
      <c r="B1125" s="944" t="s">
        <v>3901</v>
      </c>
      <c r="C1125" s="919" t="s">
        <v>3902</v>
      </c>
      <c r="D1125" s="919" t="s">
        <v>4777</v>
      </c>
      <c r="E1125" s="920">
        <v>2000</v>
      </c>
      <c r="F1125" s="919" t="s">
        <v>5915</v>
      </c>
      <c r="G1125" s="919" t="s">
        <v>5916</v>
      </c>
      <c r="H1125" s="919" t="s">
        <v>4777</v>
      </c>
      <c r="I1125" s="919" t="s">
        <v>3679</v>
      </c>
      <c r="J1125" s="919"/>
      <c r="K1125" s="920"/>
      <c r="L1125" s="920"/>
      <c r="M1125" s="920">
        <f t="shared" si="34"/>
        <v>0</v>
      </c>
      <c r="N1125" s="919">
        <v>1</v>
      </c>
      <c r="O1125" s="919">
        <v>5</v>
      </c>
      <c r="P1125" s="921">
        <f t="shared" si="35"/>
        <v>10000</v>
      </c>
    </row>
    <row r="1126" spans="1:16" ht="20.100000000000001" customHeight="1" x14ac:dyDescent="0.25">
      <c r="A1126" s="918" t="s">
        <v>471</v>
      </c>
      <c r="B1126" s="944" t="s">
        <v>3901</v>
      </c>
      <c r="C1126" s="919" t="s">
        <v>3902</v>
      </c>
      <c r="D1126" s="919" t="s">
        <v>4777</v>
      </c>
      <c r="E1126" s="920">
        <v>2000</v>
      </c>
      <c r="F1126" s="919" t="s">
        <v>5917</v>
      </c>
      <c r="G1126" s="919" t="s">
        <v>5918</v>
      </c>
      <c r="H1126" s="919" t="s">
        <v>4777</v>
      </c>
      <c r="I1126" s="919" t="s">
        <v>3679</v>
      </c>
      <c r="J1126" s="919"/>
      <c r="K1126" s="920"/>
      <c r="L1126" s="920"/>
      <c r="M1126" s="920">
        <f t="shared" si="34"/>
        <v>0</v>
      </c>
      <c r="N1126" s="919">
        <v>1</v>
      </c>
      <c r="O1126" s="919">
        <v>5</v>
      </c>
      <c r="P1126" s="921">
        <f t="shared" si="35"/>
        <v>10000</v>
      </c>
    </row>
    <row r="1127" spans="1:16" ht="20.100000000000001" customHeight="1" x14ac:dyDescent="0.25">
      <c r="A1127" s="918" t="s">
        <v>471</v>
      </c>
      <c r="B1127" s="944" t="s">
        <v>3901</v>
      </c>
      <c r="C1127" s="919" t="s">
        <v>3902</v>
      </c>
      <c r="D1127" s="919" t="s">
        <v>4777</v>
      </c>
      <c r="E1127" s="920">
        <v>2000</v>
      </c>
      <c r="F1127" s="919" t="s">
        <v>5919</v>
      </c>
      <c r="G1127" s="919" t="s">
        <v>5920</v>
      </c>
      <c r="H1127" s="919" t="s">
        <v>4777</v>
      </c>
      <c r="I1127" s="919" t="s">
        <v>3679</v>
      </c>
      <c r="J1127" s="919"/>
      <c r="K1127" s="920"/>
      <c r="L1127" s="920"/>
      <c r="M1127" s="920">
        <f t="shared" si="34"/>
        <v>0</v>
      </c>
      <c r="N1127" s="919">
        <v>1</v>
      </c>
      <c r="O1127" s="919">
        <v>5</v>
      </c>
      <c r="P1127" s="921">
        <f t="shared" si="35"/>
        <v>10000</v>
      </c>
    </row>
    <row r="1128" spans="1:16" ht="20.100000000000001" customHeight="1" x14ac:dyDescent="0.25">
      <c r="A1128" s="918" t="s">
        <v>471</v>
      </c>
      <c r="B1128" s="944" t="s">
        <v>3901</v>
      </c>
      <c r="C1128" s="919" t="s">
        <v>3902</v>
      </c>
      <c r="D1128" s="919" t="s">
        <v>4777</v>
      </c>
      <c r="E1128" s="920">
        <v>2000</v>
      </c>
      <c r="F1128" s="919" t="s">
        <v>5921</v>
      </c>
      <c r="G1128" s="919" t="s">
        <v>5922</v>
      </c>
      <c r="H1128" s="919" t="s">
        <v>4777</v>
      </c>
      <c r="I1128" s="919" t="s">
        <v>3679</v>
      </c>
      <c r="J1128" s="919"/>
      <c r="K1128" s="920"/>
      <c r="L1128" s="920"/>
      <c r="M1128" s="920">
        <f t="shared" si="34"/>
        <v>0</v>
      </c>
      <c r="N1128" s="919">
        <v>1</v>
      </c>
      <c r="O1128" s="919">
        <v>5</v>
      </c>
      <c r="P1128" s="921">
        <f t="shared" si="35"/>
        <v>10000</v>
      </c>
    </row>
    <row r="1129" spans="1:16" ht="20.100000000000001" customHeight="1" x14ac:dyDescent="0.25">
      <c r="A1129" s="918" t="s">
        <v>471</v>
      </c>
      <c r="B1129" s="944" t="s">
        <v>3901</v>
      </c>
      <c r="C1129" s="919" t="s">
        <v>3902</v>
      </c>
      <c r="D1129" s="919" t="s">
        <v>4777</v>
      </c>
      <c r="E1129" s="920">
        <v>2000</v>
      </c>
      <c r="F1129" s="919" t="s">
        <v>5923</v>
      </c>
      <c r="G1129" s="919" t="s">
        <v>5924</v>
      </c>
      <c r="H1129" s="919" t="s">
        <v>4777</v>
      </c>
      <c r="I1129" s="919" t="s">
        <v>3679</v>
      </c>
      <c r="J1129" s="919"/>
      <c r="K1129" s="920"/>
      <c r="L1129" s="920"/>
      <c r="M1129" s="920">
        <f t="shared" si="34"/>
        <v>0</v>
      </c>
      <c r="N1129" s="919">
        <v>1</v>
      </c>
      <c r="O1129" s="919">
        <v>5</v>
      </c>
      <c r="P1129" s="921">
        <f t="shared" si="35"/>
        <v>10000</v>
      </c>
    </row>
    <row r="1130" spans="1:16" ht="20.100000000000001" customHeight="1" x14ac:dyDescent="0.25">
      <c r="A1130" s="918" t="s">
        <v>471</v>
      </c>
      <c r="B1130" s="944" t="s">
        <v>3901</v>
      </c>
      <c r="C1130" s="919" t="s">
        <v>3902</v>
      </c>
      <c r="D1130" s="919" t="s">
        <v>4777</v>
      </c>
      <c r="E1130" s="920">
        <v>2000</v>
      </c>
      <c r="F1130" s="919" t="s">
        <v>5925</v>
      </c>
      <c r="G1130" s="919" t="s">
        <v>5926</v>
      </c>
      <c r="H1130" s="919" t="s">
        <v>4777</v>
      </c>
      <c r="I1130" s="919" t="s">
        <v>3679</v>
      </c>
      <c r="J1130" s="919"/>
      <c r="K1130" s="920"/>
      <c r="L1130" s="920"/>
      <c r="M1130" s="920">
        <f t="shared" si="34"/>
        <v>0</v>
      </c>
      <c r="N1130" s="919">
        <v>1</v>
      </c>
      <c r="O1130" s="919">
        <v>5</v>
      </c>
      <c r="P1130" s="921">
        <f t="shared" si="35"/>
        <v>10000</v>
      </c>
    </row>
    <row r="1131" spans="1:16" ht="20.100000000000001" customHeight="1" x14ac:dyDescent="0.25">
      <c r="A1131" s="918" t="s">
        <v>471</v>
      </c>
      <c r="B1131" s="944" t="s">
        <v>3901</v>
      </c>
      <c r="C1131" s="919" t="s">
        <v>3902</v>
      </c>
      <c r="D1131" s="919" t="s">
        <v>4777</v>
      </c>
      <c r="E1131" s="920">
        <v>2000</v>
      </c>
      <c r="F1131" s="919" t="s">
        <v>5927</v>
      </c>
      <c r="G1131" s="919" t="s">
        <v>5928</v>
      </c>
      <c r="H1131" s="919" t="s">
        <v>4777</v>
      </c>
      <c r="I1131" s="919" t="s">
        <v>3679</v>
      </c>
      <c r="J1131" s="919"/>
      <c r="K1131" s="920"/>
      <c r="L1131" s="920"/>
      <c r="M1131" s="920">
        <f t="shared" si="34"/>
        <v>0</v>
      </c>
      <c r="N1131" s="919">
        <v>1</v>
      </c>
      <c r="O1131" s="919">
        <v>5</v>
      </c>
      <c r="P1131" s="921">
        <f t="shared" si="35"/>
        <v>10000</v>
      </c>
    </row>
    <row r="1132" spans="1:16" ht="20.100000000000001" customHeight="1" x14ac:dyDescent="0.25">
      <c r="A1132" s="918" t="s">
        <v>471</v>
      </c>
      <c r="B1132" s="944" t="s">
        <v>3901</v>
      </c>
      <c r="C1132" s="919" t="s">
        <v>3902</v>
      </c>
      <c r="D1132" s="919" t="s">
        <v>4774</v>
      </c>
      <c r="E1132" s="920">
        <v>2000</v>
      </c>
      <c r="F1132" s="919" t="s">
        <v>5929</v>
      </c>
      <c r="G1132" s="919" t="s">
        <v>5930</v>
      </c>
      <c r="H1132" s="919" t="s">
        <v>4774</v>
      </c>
      <c r="I1132" s="919" t="s">
        <v>3679</v>
      </c>
      <c r="J1132" s="919"/>
      <c r="K1132" s="920"/>
      <c r="L1132" s="920"/>
      <c r="M1132" s="920">
        <f t="shared" si="34"/>
        <v>0</v>
      </c>
      <c r="N1132" s="919">
        <v>1</v>
      </c>
      <c r="O1132" s="919">
        <v>5</v>
      </c>
      <c r="P1132" s="921">
        <f t="shared" si="35"/>
        <v>10000</v>
      </c>
    </row>
    <row r="1133" spans="1:16" ht="20.100000000000001" customHeight="1" x14ac:dyDescent="0.25">
      <c r="A1133" s="918" t="s">
        <v>471</v>
      </c>
      <c r="B1133" s="944" t="s">
        <v>3901</v>
      </c>
      <c r="C1133" s="919" t="s">
        <v>3902</v>
      </c>
      <c r="D1133" s="919" t="s">
        <v>4777</v>
      </c>
      <c r="E1133" s="920">
        <v>2000</v>
      </c>
      <c r="F1133" s="919" t="s">
        <v>5931</v>
      </c>
      <c r="G1133" s="919" t="s">
        <v>5932</v>
      </c>
      <c r="H1133" s="919" t="s">
        <v>4777</v>
      </c>
      <c r="I1133" s="919" t="s">
        <v>3679</v>
      </c>
      <c r="J1133" s="919"/>
      <c r="K1133" s="920"/>
      <c r="L1133" s="920"/>
      <c r="M1133" s="920">
        <f t="shared" si="34"/>
        <v>0</v>
      </c>
      <c r="N1133" s="919">
        <v>1</v>
      </c>
      <c r="O1133" s="919">
        <v>5</v>
      </c>
      <c r="P1133" s="921">
        <f t="shared" si="35"/>
        <v>10000</v>
      </c>
    </row>
    <row r="1134" spans="1:16" ht="20.100000000000001" customHeight="1" x14ac:dyDescent="0.25">
      <c r="A1134" s="918" t="s">
        <v>471</v>
      </c>
      <c r="B1134" s="944" t="s">
        <v>3901</v>
      </c>
      <c r="C1134" s="919" t="s">
        <v>3902</v>
      </c>
      <c r="D1134" s="919" t="s">
        <v>4777</v>
      </c>
      <c r="E1134" s="920">
        <v>2000</v>
      </c>
      <c r="F1134" s="919" t="s">
        <v>5933</v>
      </c>
      <c r="G1134" s="919" t="s">
        <v>5934</v>
      </c>
      <c r="H1134" s="919" t="s">
        <v>4777</v>
      </c>
      <c r="I1134" s="919" t="s">
        <v>3679</v>
      </c>
      <c r="J1134" s="919"/>
      <c r="K1134" s="920"/>
      <c r="L1134" s="920"/>
      <c r="M1134" s="920">
        <f t="shared" si="34"/>
        <v>0</v>
      </c>
      <c r="N1134" s="919">
        <v>1</v>
      </c>
      <c r="O1134" s="919">
        <v>5</v>
      </c>
      <c r="P1134" s="921">
        <f t="shared" si="35"/>
        <v>10000</v>
      </c>
    </row>
    <row r="1135" spans="1:16" ht="20.100000000000001" customHeight="1" x14ac:dyDescent="0.25">
      <c r="A1135" s="918" t="s">
        <v>471</v>
      </c>
      <c r="B1135" s="944" t="s">
        <v>3901</v>
      </c>
      <c r="C1135" s="919" t="s">
        <v>3902</v>
      </c>
      <c r="D1135" s="919" t="s">
        <v>4777</v>
      </c>
      <c r="E1135" s="920">
        <v>2000</v>
      </c>
      <c r="F1135" s="919" t="s">
        <v>5935</v>
      </c>
      <c r="G1135" s="919" t="s">
        <v>5936</v>
      </c>
      <c r="H1135" s="919" t="s">
        <v>4777</v>
      </c>
      <c r="I1135" s="919" t="s">
        <v>3679</v>
      </c>
      <c r="J1135" s="919"/>
      <c r="K1135" s="920"/>
      <c r="L1135" s="920"/>
      <c r="M1135" s="920">
        <f t="shared" si="34"/>
        <v>0</v>
      </c>
      <c r="N1135" s="919">
        <v>1</v>
      </c>
      <c r="O1135" s="919">
        <v>5</v>
      </c>
      <c r="P1135" s="921">
        <f t="shared" si="35"/>
        <v>10000</v>
      </c>
    </row>
    <row r="1136" spans="1:16" ht="20.100000000000001" customHeight="1" x14ac:dyDescent="0.25">
      <c r="A1136" s="918" t="s">
        <v>471</v>
      </c>
      <c r="B1136" s="944" t="s">
        <v>3901</v>
      </c>
      <c r="C1136" s="919" t="s">
        <v>3902</v>
      </c>
      <c r="D1136" s="919" t="s">
        <v>4774</v>
      </c>
      <c r="E1136" s="920">
        <v>2000</v>
      </c>
      <c r="F1136" s="919" t="s">
        <v>5937</v>
      </c>
      <c r="G1136" s="919" t="s">
        <v>5938</v>
      </c>
      <c r="H1136" s="919" t="s">
        <v>4774</v>
      </c>
      <c r="I1136" s="919" t="s">
        <v>3679</v>
      </c>
      <c r="J1136" s="919"/>
      <c r="K1136" s="920"/>
      <c r="L1136" s="920"/>
      <c r="M1136" s="920">
        <f t="shared" si="34"/>
        <v>0</v>
      </c>
      <c r="N1136" s="919">
        <v>1</v>
      </c>
      <c r="O1136" s="919">
        <v>5</v>
      </c>
      <c r="P1136" s="921">
        <f t="shared" si="35"/>
        <v>10000</v>
      </c>
    </row>
    <row r="1137" spans="1:16" ht="20.100000000000001" customHeight="1" x14ac:dyDescent="0.25">
      <c r="A1137" s="918" t="s">
        <v>471</v>
      </c>
      <c r="B1137" s="944" t="s">
        <v>3901</v>
      </c>
      <c r="C1137" s="919" t="s">
        <v>3902</v>
      </c>
      <c r="D1137" s="919" t="s">
        <v>4774</v>
      </c>
      <c r="E1137" s="920">
        <v>2000</v>
      </c>
      <c r="F1137" s="919" t="s">
        <v>5939</v>
      </c>
      <c r="G1137" s="919" t="s">
        <v>5940</v>
      </c>
      <c r="H1137" s="919" t="s">
        <v>4774</v>
      </c>
      <c r="I1137" s="919" t="s">
        <v>3679</v>
      </c>
      <c r="J1137" s="919"/>
      <c r="K1137" s="920"/>
      <c r="L1137" s="920"/>
      <c r="M1137" s="920">
        <f t="shared" si="34"/>
        <v>0</v>
      </c>
      <c r="N1137" s="919">
        <v>1</v>
      </c>
      <c r="O1137" s="919">
        <v>4</v>
      </c>
      <c r="P1137" s="921">
        <f t="shared" si="35"/>
        <v>8000</v>
      </c>
    </row>
    <row r="1138" spans="1:16" ht="20.100000000000001" customHeight="1" x14ac:dyDescent="0.25">
      <c r="A1138" s="918" t="s">
        <v>471</v>
      </c>
      <c r="B1138" s="944" t="s">
        <v>3901</v>
      </c>
      <c r="C1138" s="919" t="s">
        <v>3902</v>
      </c>
      <c r="D1138" s="919" t="s">
        <v>4774</v>
      </c>
      <c r="E1138" s="920">
        <v>2000</v>
      </c>
      <c r="F1138" s="919" t="s">
        <v>5941</v>
      </c>
      <c r="G1138" s="919" t="s">
        <v>5942</v>
      </c>
      <c r="H1138" s="919" t="s">
        <v>4774</v>
      </c>
      <c r="I1138" s="919" t="s">
        <v>3679</v>
      </c>
      <c r="J1138" s="919"/>
      <c r="K1138" s="920"/>
      <c r="L1138" s="920"/>
      <c r="M1138" s="920">
        <f t="shared" si="34"/>
        <v>0</v>
      </c>
      <c r="N1138" s="919">
        <v>1</v>
      </c>
      <c r="O1138" s="919">
        <v>4</v>
      </c>
      <c r="P1138" s="921">
        <f t="shared" si="35"/>
        <v>8000</v>
      </c>
    </row>
    <row r="1139" spans="1:16" ht="20.100000000000001" customHeight="1" x14ac:dyDescent="0.25">
      <c r="A1139" s="918" t="s">
        <v>471</v>
      </c>
      <c r="B1139" s="944" t="s">
        <v>3901</v>
      </c>
      <c r="C1139" s="919" t="s">
        <v>3902</v>
      </c>
      <c r="D1139" s="919" t="s">
        <v>4777</v>
      </c>
      <c r="E1139" s="920">
        <v>2000</v>
      </c>
      <c r="F1139" s="919" t="s">
        <v>5943</v>
      </c>
      <c r="G1139" s="919" t="s">
        <v>5944</v>
      </c>
      <c r="H1139" s="919" t="s">
        <v>4777</v>
      </c>
      <c r="I1139" s="919" t="s">
        <v>3679</v>
      </c>
      <c r="J1139" s="919"/>
      <c r="K1139" s="920"/>
      <c r="L1139" s="920"/>
      <c r="M1139" s="920">
        <f t="shared" si="34"/>
        <v>0</v>
      </c>
      <c r="N1139" s="919">
        <v>1</v>
      </c>
      <c r="O1139" s="919">
        <v>4</v>
      </c>
      <c r="P1139" s="921">
        <f t="shared" si="35"/>
        <v>8000</v>
      </c>
    </row>
    <row r="1140" spans="1:16" ht="20.100000000000001" customHeight="1" x14ac:dyDescent="0.25">
      <c r="A1140" s="918" t="s">
        <v>471</v>
      </c>
      <c r="B1140" s="944" t="s">
        <v>3901</v>
      </c>
      <c r="C1140" s="919" t="s">
        <v>3902</v>
      </c>
      <c r="D1140" s="919" t="s">
        <v>4777</v>
      </c>
      <c r="E1140" s="920">
        <v>2000</v>
      </c>
      <c r="F1140" s="919" t="s">
        <v>5945</v>
      </c>
      <c r="G1140" s="919" t="s">
        <v>5946</v>
      </c>
      <c r="H1140" s="919" t="s">
        <v>4777</v>
      </c>
      <c r="I1140" s="919" t="s">
        <v>3679</v>
      </c>
      <c r="J1140" s="919"/>
      <c r="K1140" s="920"/>
      <c r="L1140" s="920"/>
      <c r="M1140" s="920">
        <f t="shared" si="34"/>
        <v>0</v>
      </c>
      <c r="N1140" s="919">
        <v>1</v>
      </c>
      <c r="O1140" s="919">
        <v>4</v>
      </c>
      <c r="P1140" s="921">
        <f t="shared" si="35"/>
        <v>8000</v>
      </c>
    </row>
    <row r="1141" spans="1:16" ht="20.100000000000001" customHeight="1" x14ac:dyDescent="0.25">
      <c r="A1141" s="918" t="s">
        <v>471</v>
      </c>
      <c r="B1141" s="944" t="s">
        <v>3901</v>
      </c>
      <c r="C1141" s="919" t="s">
        <v>3902</v>
      </c>
      <c r="D1141" s="919" t="s">
        <v>4777</v>
      </c>
      <c r="E1141" s="920">
        <v>2000</v>
      </c>
      <c r="F1141" s="919" t="s">
        <v>5947</v>
      </c>
      <c r="G1141" s="919" t="s">
        <v>5948</v>
      </c>
      <c r="H1141" s="919" t="s">
        <v>4777</v>
      </c>
      <c r="I1141" s="919" t="s">
        <v>3679</v>
      </c>
      <c r="J1141" s="919"/>
      <c r="K1141" s="920"/>
      <c r="L1141" s="920"/>
      <c r="M1141" s="920">
        <f t="shared" si="34"/>
        <v>0</v>
      </c>
      <c r="N1141" s="919">
        <v>1</v>
      </c>
      <c r="O1141" s="919">
        <v>4</v>
      </c>
      <c r="P1141" s="921">
        <f t="shared" si="35"/>
        <v>8000</v>
      </c>
    </row>
    <row r="1142" spans="1:16" ht="20.100000000000001" customHeight="1" x14ac:dyDescent="0.25">
      <c r="A1142" s="918" t="s">
        <v>471</v>
      </c>
      <c r="B1142" s="944" t="s">
        <v>3901</v>
      </c>
      <c r="C1142" s="919" t="s">
        <v>3902</v>
      </c>
      <c r="D1142" s="919" t="s">
        <v>4777</v>
      </c>
      <c r="E1142" s="920">
        <v>2000</v>
      </c>
      <c r="F1142" s="919" t="s">
        <v>5949</v>
      </c>
      <c r="G1142" s="919" t="s">
        <v>5950</v>
      </c>
      <c r="H1142" s="919" t="s">
        <v>4777</v>
      </c>
      <c r="I1142" s="919" t="s">
        <v>3679</v>
      </c>
      <c r="J1142" s="919"/>
      <c r="K1142" s="920"/>
      <c r="L1142" s="920"/>
      <c r="M1142" s="920">
        <f t="shared" si="34"/>
        <v>0</v>
      </c>
      <c r="N1142" s="919">
        <v>1</v>
      </c>
      <c r="O1142" s="919">
        <v>4</v>
      </c>
      <c r="P1142" s="921">
        <f t="shared" si="35"/>
        <v>8000</v>
      </c>
    </row>
    <row r="1143" spans="1:16" ht="20.100000000000001" customHeight="1" x14ac:dyDescent="0.25">
      <c r="A1143" s="918" t="s">
        <v>471</v>
      </c>
      <c r="B1143" s="944" t="s">
        <v>3901</v>
      </c>
      <c r="C1143" s="919" t="s">
        <v>3902</v>
      </c>
      <c r="D1143" s="919" t="s">
        <v>4777</v>
      </c>
      <c r="E1143" s="920">
        <v>2000</v>
      </c>
      <c r="F1143" s="919" t="s">
        <v>5951</v>
      </c>
      <c r="G1143" s="919" t="s">
        <v>5952</v>
      </c>
      <c r="H1143" s="919" t="s">
        <v>4777</v>
      </c>
      <c r="I1143" s="919" t="s">
        <v>3679</v>
      </c>
      <c r="J1143" s="919"/>
      <c r="K1143" s="920"/>
      <c r="L1143" s="920"/>
      <c r="M1143" s="920">
        <f t="shared" si="34"/>
        <v>0</v>
      </c>
      <c r="N1143" s="919">
        <v>1</v>
      </c>
      <c r="O1143" s="919">
        <v>3</v>
      </c>
      <c r="P1143" s="921">
        <f t="shared" si="35"/>
        <v>6000</v>
      </c>
    </row>
    <row r="1144" spans="1:16" ht="20.100000000000001" customHeight="1" x14ac:dyDescent="0.25">
      <c r="A1144" s="918" t="s">
        <v>471</v>
      </c>
      <c r="B1144" s="944" t="s">
        <v>3901</v>
      </c>
      <c r="C1144" s="919" t="s">
        <v>3902</v>
      </c>
      <c r="D1144" s="919" t="s">
        <v>4812</v>
      </c>
      <c r="E1144" s="920">
        <v>2000</v>
      </c>
      <c r="F1144" s="919" t="s">
        <v>5953</v>
      </c>
      <c r="G1144" s="919" t="s">
        <v>5954</v>
      </c>
      <c r="H1144" s="919" t="s">
        <v>4812</v>
      </c>
      <c r="I1144" s="919" t="s">
        <v>3679</v>
      </c>
      <c r="J1144" s="919"/>
      <c r="K1144" s="920"/>
      <c r="L1144" s="920"/>
      <c r="M1144" s="920">
        <f t="shared" si="34"/>
        <v>0</v>
      </c>
      <c r="N1144" s="919">
        <v>1</v>
      </c>
      <c r="O1144" s="919">
        <v>3</v>
      </c>
      <c r="P1144" s="921">
        <f t="shared" si="35"/>
        <v>6000</v>
      </c>
    </row>
    <row r="1145" spans="1:16" ht="20.100000000000001" customHeight="1" x14ac:dyDescent="0.25">
      <c r="A1145" s="918" t="s">
        <v>471</v>
      </c>
      <c r="B1145" s="944" t="s">
        <v>3901</v>
      </c>
      <c r="C1145" s="919" t="s">
        <v>3902</v>
      </c>
      <c r="D1145" s="919" t="s">
        <v>4347</v>
      </c>
      <c r="E1145" s="920">
        <v>3000</v>
      </c>
      <c r="F1145" s="919" t="s">
        <v>5955</v>
      </c>
      <c r="G1145" s="919" t="s">
        <v>5956</v>
      </c>
      <c r="H1145" s="919" t="s">
        <v>4347</v>
      </c>
      <c r="I1145" s="919" t="s">
        <v>3679</v>
      </c>
      <c r="J1145" s="919"/>
      <c r="K1145" s="920"/>
      <c r="L1145" s="920"/>
      <c r="M1145" s="920">
        <f t="shared" si="34"/>
        <v>0</v>
      </c>
      <c r="N1145" s="919">
        <v>1</v>
      </c>
      <c r="O1145" s="919">
        <v>1</v>
      </c>
      <c r="P1145" s="921">
        <f t="shared" si="35"/>
        <v>3000</v>
      </c>
    </row>
    <row r="1146" spans="1:16" ht="20.100000000000001" customHeight="1" x14ac:dyDescent="0.25">
      <c r="A1146" s="918" t="s">
        <v>471</v>
      </c>
      <c r="B1146" s="944" t="s">
        <v>3901</v>
      </c>
      <c r="C1146" s="919" t="s">
        <v>3902</v>
      </c>
      <c r="D1146" s="919" t="s">
        <v>4820</v>
      </c>
      <c r="E1146" s="920">
        <v>2600</v>
      </c>
      <c r="F1146" s="919" t="s">
        <v>5957</v>
      </c>
      <c r="G1146" s="919" t="s">
        <v>5958</v>
      </c>
      <c r="H1146" s="919" t="s">
        <v>4820</v>
      </c>
      <c r="I1146" s="919" t="s">
        <v>3679</v>
      </c>
      <c r="J1146" s="919"/>
      <c r="K1146" s="920"/>
      <c r="L1146" s="920"/>
      <c r="M1146" s="920">
        <f t="shared" si="34"/>
        <v>0</v>
      </c>
      <c r="N1146" s="919">
        <v>1</v>
      </c>
      <c r="O1146" s="919">
        <v>5</v>
      </c>
      <c r="P1146" s="921">
        <f t="shared" si="35"/>
        <v>13000</v>
      </c>
    </row>
    <row r="1147" spans="1:16" ht="20.100000000000001" customHeight="1" x14ac:dyDescent="0.25">
      <c r="A1147" s="918" t="s">
        <v>471</v>
      </c>
      <c r="B1147" s="944" t="s">
        <v>3901</v>
      </c>
      <c r="C1147" s="919" t="s">
        <v>3902</v>
      </c>
      <c r="D1147" s="919" t="s">
        <v>4823</v>
      </c>
      <c r="E1147" s="920">
        <v>2600</v>
      </c>
      <c r="F1147" s="919" t="s">
        <v>5959</v>
      </c>
      <c r="G1147" s="919" t="s">
        <v>5960</v>
      </c>
      <c r="H1147" s="919" t="s">
        <v>4823</v>
      </c>
      <c r="I1147" s="919" t="s">
        <v>3679</v>
      </c>
      <c r="J1147" s="919"/>
      <c r="K1147" s="920"/>
      <c r="L1147" s="920"/>
      <c r="M1147" s="920">
        <f t="shared" si="34"/>
        <v>0</v>
      </c>
      <c r="N1147" s="919">
        <v>1</v>
      </c>
      <c r="O1147" s="919">
        <v>5</v>
      </c>
      <c r="P1147" s="921">
        <f t="shared" si="35"/>
        <v>13000</v>
      </c>
    </row>
    <row r="1148" spans="1:16" ht="20.100000000000001" customHeight="1" x14ac:dyDescent="0.25">
      <c r="A1148" s="918" t="s">
        <v>471</v>
      </c>
      <c r="B1148" s="944" t="s">
        <v>3901</v>
      </c>
      <c r="C1148" s="919" t="s">
        <v>3902</v>
      </c>
      <c r="D1148" s="919" t="s">
        <v>4823</v>
      </c>
      <c r="E1148" s="920">
        <v>2600</v>
      </c>
      <c r="F1148" s="919" t="s">
        <v>5961</v>
      </c>
      <c r="G1148" s="919" t="s">
        <v>5962</v>
      </c>
      <c r="H1148" s="919" t="s">
        <v>4823</v>
      </c>
      <c r="I1148" s="919" t="s">
        <v>3679</v>
      </c>
      <c r="J1148" s="919"/>
      <c r="K1148" s="920"/>
      <c r="L1148" s="920"/>
      <c r="M1148" s="920">
        <f t="shared" si="34"/>
        <v>0</v>
      </c>
      <c r="N1148" s="919">
        <v>1</v>
      </c>
      <c r="O1148" s="919">
        <v>1</v>
      </c>
      <c r="P1148" s="921">
        <f t="shared" si="35"/>
        <v>2600</v>
      </c>
    </row>
    <row r="1149" spans="1:16" ht="20.100000000000001" customHeight="1" x14ac:dyDescent="0.25">
      <c r="A1149" s="918" t="s">
        <v>471</v>
      </c>
      <c r="B1149" s="944" t="s">
        <v>3901</v>
      </c>
      <c r="C1149" s="919" t="s">
        <v>3902</v>
      </c>
      <c r="D1149" s="919" t="s">
        <v>5963</v>
      </c>
      <c r="E1149" s="920">
        <v>4200</v>
      </c>
      <c r="F1149" s="919" t="s">
        <v>5964</v>
      </c>
      <c r="G1149" s="919" t="s">
        <v>5965</v>
      </c>
      <c r="H1149" s="919" t="s">
        <v>5963</v>
      </c>
      <c r="I1149" s="919" t="s">
        <v>3679</v>
      </c>
      <c r="J1149" s="919"/>
      <c r="K1149" s="920"/>
      <c r="L1149" s="920"/>
      <c r="M1149" s="920">
        <f t="shared" si="34"/>
        <v>0</v>
      </c>
      <c r="N1149" s="919">
        <v>1</v>
      </c>
      <c r="O1149" s="919">
        <v>4</v>
      </c>
      <c r="P1149" s="921">
        <f t="shared" si="35"/>
        <v>16800</v>
      </c>
    </row>
    <row r="1150" spans="1:16" ht="20.100000000000001" customHeight="1" x14ac:dyDescent="0.25">
      <c r="A1150" s="918" t="s">
        <v>471</v>
      </c>
      <c r="B1150" s="944" t="s">
        <v>3901</v>
      </c>
      <c r="C1150" s="919" t="s">
        <v>3902</v>
      </c>
      <c r="D1150" s="919" t="s">
        <v>5963</v>
      </c>
      <c r="E1150" s="920">
        <v>4200</v>
      </c>
      <c r="F1150" s="919" t="s">
        <v>5966</v>
      </c>
      <c r="G1150" s="919" t="s">
        <v>5967</v>
      </c>
      <c r="H1150" s="919" t="s">
        <v>5963</v>
      </c>
      <c r="I1150" s="919" t="s">
        <v>3679</v>
      </c>
      <c r="J1150" s="919"/>
      <c r="K1150" s="920"/>
      <c r="L1150" s="920"/>
      <c r="M1150" s="920">
        <f t="shared" si="34"/>
        <v>0</v>
      </c>
      <c r="N1150" s="919">
        <v>1</v>
      </c>
      <c r="O1150" s="919">
        <v>4</v>
      </c>
      <c r="P1150" s="921">
        <f t="shared" si="35"/>
        <v>16800</v>
      </c>
    </row>
    <row r="1151" spans="1:16" ht="20.100000000000001" customHeight="1" x14ac:dyDescent="0.25">
      <c r="A1151" s="918" t="s">
        <v>471</v>
      </c>
      <c r="B1151" s="944" t="s">
        <v>3901</v>
      </c>
      <c r="C1151" s="919" t="s">
        <v>3902</v>
      </c>
      <c r="D1151" s="919" t="s">
        <v>5963</v>
      </c>
      <c r="E1151" s="920">
        <v>4200</v>
      </c>
      <c r="F1151" s="919" t="s">
        <v>5968</v>
      </c>
      <c r="G1151" s="919" t="s">
        <v>5969</v>
      </c>
      <c r="H1151" s="919" t="s">
        <v>5963</v>
      </c>
      <c r="I1151" s="919" t="s">
        <v>3679</v>
      </c>
      <c r="J1151" s="919"/>
      <c r="K1151" s="920"/>
      <c r="L1151" s="920"/>
      <c r="M1151" s="920">
        <f t="shared" si="34"/>
        <v>0</v>
      </c>
      <c r="N1151" s="919">
        <v>1</v>
      </c>
      <c r="O1151" s="919">
        <v>4</v>
      </c>
      <c r="P1151" s="921">
        <f t="shared" si="35"/>
        <v>16800</v>
      </c>
    </row>
    <row r="1152" spans="1:16" ht="20.100000000000001" customHeight="1" x14ac:dyDescent="0.25">
      <c r="A1152" s="918" t="s">
        <v>471</v>
      </c>
      <c r="B1152" s="944" t="s">
        <v>3901</v>
      </c>
      <c r="C1152" s="919" t="s">
        <v>3902</v>
      </c>
      <c r="D1152" s="919" t="s">
        <v>5963</v>
      </c>
      <c r="E1152" s="920">
        <v>4200</v>
      </c>
      <c r="F1152" s="919" t="s">
        <v>5970</v>
      </c>
      <c r="G1152" s="919" t="s">
        <v>5971</v>
      </c>
      <c r="H1152" s="919" t="s">
        <v>5963</v>
      </c>
      <c r="I1152" s="919" t="s">
        <v>3679</v>
      </c>
      <c r="J1152" s="919"/>
      <c r="K1152" s="920"/>
      <c r="L1152" s="920"/>
      <c r="M1152" s="920">
        <f t="shared" si="34"/>
        <v>0</v>
      </c>
      <c r="N1152" s="919">
        <v>1</v>
      </c>
      <c r="O1152" s="919">
        <v>1</v>
      </c>
      <c r="P1152" s="921">
        <f t="shared" si="35"/>
        <v>4200</v>
      </c>
    </row>
    <row r="1153" spans="1:16" ht="20.100000000000001" customHeight="1" x14ac:dyDescent="0.25">
      <c r="A1153" s="918" t="s">
        <v>471</v>
      </c>
      <c r="B1153" s="944" t="s">
        <v>3901</v>
      </c>
      <c r="C1153" s="919" t="s">
        <v>3902</v>
      </c>
      <c r="D1153" s="919" t="s">
        <v>5963</v>
      </c>
      <c r="E1153" s="920">
        <v>4200</v>
      </c>
      <c r="F1153" s="919" t="s">
        <v>5972</v>
      </c>
      <c r="G1153" s="919" t="s">
        <v>5973</v>
      </c>
      <c r="H1153" s="919" t="s">
        <v>5963</v>
      </c>
      <c r="I1153" s="919" t="s">
        <v>3679</v>
      </c>
      <c r="J1153" s="919"/>
      <c r="K1153" s="920"/>
      <c r="L1153" s="920"/>
      <c r="M1153" s="920">
        <f t="shared" si="34"/>
        <v>0</v>
      </c>
      <c r="N1153" s="919">
        <v>1</v>
      </c>
      <c r="O1153" s="919">
        <v>1</v>
      </c>
      <c r="P1153" s="921">
        <f t="shared" si="35"/>
        <v>4200</v>
      </c>
    </row>
    <row r="1154" spans="1:16" ht="20.100000000000001" customHeight="1" x14ac:dyDescent="0.25">
      <c r="A1154" s="918" t="s">
        <v>471</v>
      </c>
      <c r="B1154" s="944" t="s">
        <v>3901</v>
      </c>
      <c r="C1154" s="919" t="s">
        <v>3902</v>
      </c>
      <c r="D1154" s="919" t="s">
        <v>5963</v>
      </c>
      <c r="E1154" s="920">
        <v>4200</v>
      </c>
      <c r="F1154" s="919" t="s">
        <v>5974</v>
      </c>
      <c r="G1154" s="919" t="s">
        <v>5975</v>
      </c>
      <c r="H1154" s="919" t="s">
        <v>5963</v>
      </c>
      <c r="I1154" s="919" t="s">
        <v>3679</v>
      </c>
      <c r="J1154" s="919"/>
      <c r="K1154" s="920"/>
      <c r="L1154" s="920"/>
      <c r="M1154" s="920">
        <f t="shared" si="34"/>
        <v>0</v>
      </c>
      <c r="N1154" s="919">
        <v>1</v>
      </c>
      <c r="O1154" s="919">
        <v>4</v>
      </c>
      <c r="P1154" s="921">
        <f t="shared" si="35"/>
        <v>16800</v>
      </c>
    </row>
    <row r="1155" spans="1:16" ht="20.100000000000001" customHeight="1" x14ac:dyDescent="0.25">
      <c r="A1155" s="918" t="s">
        <v>471</v>
      </c>
      <c r="B1155" s="944" t="s">
        <v>3901</v>
      </c>
      <c r="C1155" s="919" t="s">
        <v>3902</v>
      </c>
      <c r="D1155" s="919" t="s">
        <v>5963</v>
      </c>
      <c r="E1155" s="920">
        <v>4200</v>
      </c>
      <c r="F1155" s="919" t="s">
        <v>5976</v>
      </c>
      <c r="G1155" s="919" t="s">
        <v>5977</v>
      </c>
      <c r="H1155" s="919" t="s">
        <v>5963</v>
      </c>
      <c r="I1155" s="919" t="s">
        <v>3679</v>
      </c>
      <c r="J1155" s="919"/>
      <c r="K1155" s="920"/>
      <c r="L1155" s="920"/>
      <c r="M1155" s="920">
        <f t="shared" si="34"/>
        <v>0</v>
      </c>
      <c r="N1155" s="919">
        <v>1</v>
      </c>
      <c r="O1155" s="919">
        <v>4</v>
      </c>
      <c r="P1155" s="921">
        <f t="shared" si="35"/>
        <v>16800</v>
      </c>
    </row>
    <row r="1156" spans="1:16" ht="20.100000000000001" customHeight="1" x14ac:dyDescent="0.25">
      <c r="A1156" s="918" t="s">
        <v>471</v>
      </c>
      <c r="B1156" s="944" t="s">
        <v>3901</v>
      </c>
      <c r="C1156" s="919" t="s">
        <v>3902</v>
      </c>
      <c r="D1156" s="919" t="s">
        <v>5963</v>
      </c>
      <c r="E1156" s="920">
        <v>4200</v>
      </c>
      <c r="F1156" s="919" t="s">
        <v>5978</v>
      </c>
      <c r="G1156" s="919" t="s">
        <v>5979</v>
      </c>
      <c r="H1156" s="919" t="s">
        <v>5963</v>
      </c>
      <c r="I1156" s="919" t="s">
        <v>3679</v>
      </c>
      <c r="J1156" s="919"/>
      <c r="K1156" s="920"/>
      <c r="L1156" s="920"/>
      <c r="M1156" s="920">
        <f t="shared" si="34"/>
        <v>0</v>
      </c>
      <c r="N1156" s="919">
        <v>1</v>
      </c>
      <c r="O1156" s="919">
        <v>4</v>
      </c>
      <c r="P1156" s="921">
        <f t="shared" si="35"/>
        <v>16800</v>
      </c>
    </row>
    <row r="1157" spans="1:16" ht="20.100000000000001" customHeight="1" x14ac:dyDescent="0.25">
      <c r="A1157" s="918" t="s">
        <v>471</v>
      </c>
      <c r="B1157" s="944" t="s">
        <v>3901</v>
      </c>
      <c r="C1157" s="919" t="s">
        <v>3902</v>
      </c>
      <c r="D1157" s="919" t="s">
        <v>5963</v>
      </c>
      <c r="E1157" s="920">
        <v>4200</v>
      </c>
      <c r="F1157" s="919" t="s">
        <v>5980</v>
      </c>
      <c r="G1157" s="919" t="s">
        <v>5981</v>
      </c>
      <c r="H1157" s="919" t="s">
        <v>5963</v>
      </c>
      <c r="I1157" s="919" t="s">
        <v>3679</v>
      </c>
      <c r="J1157" s="919"/>
      <c r="K1157" s="920"/>
      <c r="L1157" s="920"/>
      <c r="M1157" s="920">
        <f t="shared" si="34"/>
        <v>0</v>
      </c>
      <c r="N1157" s="919">
        <v>1</v>
      </c>
      <c r="O1157" s="919">
        <v>4</v>
      </c>
      <c r="P1157" s="921">
        <f t="shared" si="35"/>
        <v>16800</v>
      </c>
    </row>
    <row r="1158" spans="1:16" ht="20.100000000000001" customHeight="1" x14ac:dyDescent="0.25">
      <c r="A1158" s="918" t="s">
        <v>471</v>
      </c>
      <c r="B1158" s="944" t="s">
        <v>3901</v>
      </c>
      <c r="C1158" s="919" t="s">
        <v>3902</v>
      </c>
      <c r="D1158" s="919" t="s">
        <v>5963</v>
      </c>
      <c r="E1158" s="920">
        <v>4200</v>
      </c>
      <c r="F1158" s="919" t="s">
        <v>5982</v>
      </c>
      <c r="G1158" s="919" t="s">
        <v>5983</v>
      </c>
      <c r="H1158" s="919" t="s">
        <v>5963</v>
      </c>
      <c r="I1158" s="919" t="s">
        <v>3679</v>
      </c>
      <c r="J1158" s="919"/>
      <c r="K1158" s="920"/>
      <c r="L1158" s="920"/>
      <c r="M1158" s="920">
        <f t="shared" ref="M1158:M1221" si="36">E1158*L1158</f>
        <v>0</v>
      </c>
      <c r="N1158" s="919">
        <v>1</v>
      </c>
      <c r="O1158" s="919">
        <v>4</v>
      </c>
      <c r="P1158" s="921">
        <f t="shared" ref="P1158:P1221" si="37">E1158*O1158</f>
        <v>16800</v>
      </c>
    </row>
    <row r="1159" spans="1:16" ht="20.100000000000001" customHeight="1" x14ac:dyDescent="0.25">
      <c r="A1159" s="918" t="s">
        <v>471</v>
      </c>
      <c r="B1159" s="944" t="s">
        <v>3901</v>
      </c>
      <c r="C1159" s="919" t="s">
        <v>3902</v>
      </c>
      <c r="D1159" s="919" t="s">
        <v>5963</v>
      </c>
      <c r="E1159" s="920">
        <v>4200</v>
      </c>
      <c r="F1159" s="919" t="s">
        <v>5984</v>
      </c>
      <c r="G1159" s="919" t="s">
        <v>5985</v>
      </c>
      <c r="H1159" s="919" t="s">
        <v>5963</v>
      </c>
      <c r="I1159" s="919" t="s">
        <v>3679</v>
      </c>
      <c r="J1159" s="919"/>
      <c r="K1159" s="920"/>
      <c r="L1159" s="920"/>
      <c r="M1159" s="920">
        <f t="shared" si="36"/>
        <v>0</v>
      </c>
      <c r="N1159" s="919">
        <v>1</v>
      </c>
      <c r="O1159" s="919">
        <v>4</v>
      </c>
      <c r="P1159" s="921">
        <f t="shared" si="37"/>
        <v>16800</v>
      </c>
    </row>
    <row r="1160" spans="1:16" ht="20.100000000000001" customHeight="1" x14ac:dyDescent="0.25">
      <c r="A1160" s="918" t="s">
        <v>471</v>
      </c>
      <c r="B1160" s="944" t="s">
        <v>3901</v>
      </c>
      <c r="C1160" s="919" t="s">
        <v>3902</v>
      </c>
      <c r="D1160" s="919" t="s">
        <v>5963</v>
      </c>
      <c r="E1160" s="920">
        <v>4200</v>
      </c>
      <c r="F1160" s="919" t="s">
        <v>5986</v>
      </c>
      <c r="G1160" s="919" t="s">
        <v>5987</v>
      </c>
      <c r="H1160" s="919" t="s">
        <v>5963</v>
      </c>
      <c r="I1160" s="919" t="s">
        <v>3679</v>
      </c>
      <c r="J1160" s="919"/>
      <c r="K1160" s="920"/>
      <c r="L1160" s="920"/>
      <c r="M1160" s="920">
        <f t="shared" si="36"/>
        <v>0</v>
      </c>
      <c r="N1160" s="919">
        <v>1</v>
      </c>
      <c r="O1160" s="919">
        <v>4</v>
      </c>
      <c r="P1160" s="921">
        <f t="shared" si="37"/>
        <v>16800</v>
      </c>
    </row>
    <row r="1161" spans="1:16" ht="20.100000000000001" customHeight="1" x14ac:dyDescent="0.25">
      <c r="A1161" s="918" t="s">
        <v>471</v>
      </c>
      <c r="B1161" s="944" t="s">
        <v>3901</v>
      </c>
      <c r="C1161" s="919" t="s">
        <v>3902</v>
      </c>
      <c r="D1161" s="919" t="s">
        <v>5963</v>
      </c>
      <c r="E1161" s="920">
        <v>4200</v>
      </c>
      <c r="F1161" s="919" t="s">
        <v>5988</v>
      </c>
      <c r="G1161" s="919" t="s">
        <v>5989</v>
      </c>
      <c r="H1161" s="919" t="s">
        <v>5963</v>
      </c>
      <c r="I1161" s="919" t="s">
        <v>3679</v>
      </c>
      <c r="J1161" s="919"/>
      <c r="K1161" s="920"/>
      <c r="L1161" s="920"/>
      <c r="M1161" s="920">
        <f t="shared" si="36"/>
        <v>0</v>
      </c>
      <c r="N1161" s="919">
        <v>1</v>
      </c>
      <c r="O1161" s="919">
        <v>4</v>
      </c>
      <c r="P1161" s="921">
        <f t="shared" si="37"/>
        <v>16800</v>
      </c>
    </row>
    <row r="1162" spans="1:16" ht="20.100000000000001" customHeight="1" x14ac:dyDescent="0.25">
      <c r="A1162" s="918" t="s">
        <v>471</v>
      </c>
      <c r="B1162" s="944" t="s">
        <v>3901</v>
      </c>
      <c r="C1162" s="919" t="s">
        <v>3902</v>
      </c>
      <c r="D1162" s="919" t="s">
        <v>5963</v>
      </c>
      <c r="E1162" s="920">
        <v>4200</v>
      </c>
      <c r="F1162" s="919" t="s">
        <v>5990</v>
      </c>
      <c r="G1162" s="919" t="s">
        <v>5991</v>
      </c>
      <c r="H1162" s="919" t="s">
        <v>5963</v>
      </c>
      <c r="I1162" s="919" t="s">
        <v>3679</v>
      </c>
      <c r="J1162" s="919"/>
      <c r="K1162" s="920"/>
      <c r="L1162" s="920"/>
      <c r="M1162" s="920">
        <f t="shared" si="36"/>
        <v>0</v>
      </c>
      <c r="N1162" s="919">
        <v>1</v>
      </c>
      <c r="O1162" s="919">
        <v>4</v>
      </c>
      <c r="P1162" s="921">
        <f t="shared" si="37"/>
        <v>16800</v>
      </c>
    </row>
    <row r="1163" spans="1:16" ht="20.100000000000001" customHeight="1" x14ac:dyDescent="0.25">
      <c r="A1163" s="918" t="s">
        <v>471</v>
      </c>
      <c r="B1163" s="944" t="s">
        <v>3901</v>
      </c>
      <c r="C1163" s="919" t="s">
        <v>3902</v>
      </c>
      <c r="D1163" s="919" t="s">
        <v>4832</v>
      </c>
      <c r="E1163" s="920">
        <v>4200</v>
      </c>
      <c r="F1163" s="919" t="s">
        <v>5992</v>
      </c>
      <c r="G1163" s="919" t="s">
        <v>5993</v>
      </c>
      <c r="H1163" s="919" t="s">
        <v>4832</v>
      </c>
      <c r="I1163" s="919" t="s">
        <v>3679</v>
      </c>
      <c r="J1163" s="919"/>
      <c r="K1163" s="920"/>
      <c r="L1163" s="920"/>
      <c r="M1163" s="920">
        <f t="shared" si="36"/>
        <v>0</v>
      </c>
      <c r="N1163" s="919">
        <v>1</v>
      </c>
      <c r="O1163" s="919">
        <v>3</v>
      </c>
      <c r="P1163" s="921">
        <f t="shared" si="37"/>
        <v>12600</v>
      </c>
    </row>
    <row r="1164" spans="1:16" ht="20.100000000000001" customHeight="1" x14ac:dyDescent="0.25">
      <c r="A1164" s="918" t="s">
        <v>471</v>
      </c>
      <c r="B1164" s="944" t="s">
        <v>3901</v>
      </c>
      <c r="C1164" s="919" t="s">
        <v>3902</v>
      </c>
      <c r="D1164" s="919" t="s">
        <v>4832</v>
      </c>
      <c r="E1164" s="920">
        <v>4200</v>
      </c>
      <c r="F1164" s="919" t="s">
        <v>5994</v>
      </c>
      <c r="G1164" s="919" t="s">
        <v>5995</v>
      </c>
      <c r="H1164" s="919" t="s">
        <v>4832</v>
      </c>
      <c r="I1164" s="919" t="s">
        <v>3679</v>
      </c>
      <c r="J1164" s="919"/>
      <c r="K1164" s="920"/>
      <c r="L1164" s="920"/>
      <c r="M1164" s="920">
        <f t="shared" si="36"/>
        <v>0</v>
      </c>
      <c r="N1164" s="919">
        <v>1</v>
      </c>
      <c r="O1164" s="919">
        <v>3</v>
      </c>
      <c r="P1164" s="921">
        <f t="shared" si="37"/>
        <v>12600</v>
      </c>
    </row>
    <row r="1165" spans="1:16" ht="20.100000000000001" customHeight="1" x14ac:dyDescent="0.25">
      <c r="A1165" s="918" t="s">
        <v>471</v>
      </c>
      <c r="B1165" s="944" t="s">
        <v>3901</v>
      </c>
      <c r="C1165" s="919" t="s">
        <v>3902</v>
      </c>
      <c r="D1165" s="919" t="s">
        <v>4832</v>
      </c>
      <c r="E1165" s="920">
        <v>4200</v>
      </c>
      <c r="F1165" s="919" t="s">
        <v>5996</v>
      </c>
      <c r="G1165" s="919" t="s">
        <v>5997</v>
      </c>
      <c r="H1165" s="919" t="s">
        <v>4832</v>
      </c>
      <c r="I1165" s="919" t="s">
        <v>3679</v>
      </c>
      <c r="J1165" s="919"/>
      <c r="K1165" s="920"/>
      <c r="L1165" s="920"/>
      <c r="M1165" s="920">
        <f t="shared" si="36"/>
        <v>0</v>
      </c>
      <c r="N1165" s="919">
        <v>1</v>
      </c>
      <c r="O1165" s="919">
        <v>3</v>
      </c>
      <c r="P1165" s="921">
        <f t="shared" si="37"/>
        <v>12600</v>
      </c>
    </row>
    <row r="1166" spans="1:16" ht="20.100000000000001" customHeight="1" x14ac:dyDescent="0.25">
      <c r="A1166" s="918" t="s">
        <v>471</v>
      </c>
      <c r="B1166" s="944" t="s">
        <v>3901</v>
      </c>
      <c r="C1166" s="919" t="s">
        <v>3902</v>
      </c>
      <c r="D1166" s="919" t="s">
        <v>4832</v>
      </c>
      <c r="E1166" s="920">
        <v>4200</v>
      </c>
      <c r="F1166" s="919" t="s">
        <v>5998</v>
      </c>
      <c r="G1166" s="919" t="s">
        <v>5999</v>
      </c>
      <c r="H1166" s="919" t="s">
        <v>4832</v>
      </c>
      <c r="I1166" s="919" t="s">
        <v>3679</v>
      </c>
      <c r="J1166" s="919"/>
      <c r="K1166" s="920"/>
      <c r="L1166" s="920"/>
      <c r="M1166" s="920">
        <f t="shared" si="36"/>
        <v>0</v>
      </c>
      <c r="N1166" s="919">
        <v>1</v>
      </c>
      <c r="O1166" s="919">
        <v>3</v>
      </c>
      <c r="P1166" s="921">
        <f t="shared" si="37"/>
        <v>12600</v>
      </c>
    </row>
    <row r="1167" spans="1:16" ht="20.100000000000001" customHeight="1" x14ac:dyDescent="0.25">
      <c r="A1167" s="918" t="s">
        <v>471</v>
      </c>
      <c r="B1167" s="944" t="s">
        <v>3901</v>
      </c>
      <c r="C1167" s="919" t="s">
        <v>3902</v>
      </c>
      <c r="D1167" s="919" t="s">
        <v>4832</v>
      </c>
      <c r="E1167" s="920">
        <v>4200</v>
      </c>
      <c r="F1167" s="919" t="s">
        <v>6000</v>
      </c>
      <c r="G1167" s="919" t="s">
        <v>6001</v>
      </c>
      <c r="H1167" s="919" t="s">
        <v>4832</v>
      </c>
      <c r="I1167" s="919" t="s">
        <v>3679</v>
      </c>
      <c r="J1167" s="919"/>
      <c r="K1167" s="920"/>
      <c r="L1167" s="920"/>
      <c r="M1167" s="920">
        <f t="shared" si="36"/>
        <v>0</v>
      </c>
      <c r="N1167" s="919">
        <v>1</v>
      </c>
      <c r="O1167" s="919">
        <v>3</v>
      </c>
      <c r="P1167" s="921">
        <f t="shared" si="37"/>
        <v>12600</v>
      </c>
    </row>
    <row r="1168" spans="1:16" ht="20.100000000000001" customHeight="1" x14ac:dyDescent="0.25">
      <c r="A1168" s="918" t="s">
        <v>471</v>
      </c>
      <c r="B1168" s="944" t="s">
        <v>3901</v>
      </c>
      <c r="C1168" s="919" t="s">
        <v>3902</v>
      </c>
      <c r="D1168" s="919" t="s">
        <v>4832</v>
      </c>
      <c r="E1168" s="920">
        <v>4200</v>
      </c>
      <c r="F1168" s="919" t="s">
        <v>6002</v>
      </c>
      <c r="G1168" s="919" t="s">
        <v>6003</v>
      </c>
      <c r="H1168" s="919" t="s">
        <v>4832</v>
      </c>
      <c r="I1168" s="919" t="s">
        <v>3679</v>
      </c>
      <c r="J1168" s="919"/>
      <c r="K1168" s="920"/>
      <c r="L1168" s="920"/>
      <c r="M1168" s="920">
        <f t="shared" si="36"/>
        <v>0</v>
      </c>
      <c r="N1168" s="919">
        <v>1</v>
      </c>
      <c r="O1168" s="919">
        <v>3</v>
      </c>
      <c r="P1168" s="921">
        <f t="shared" si="37"/>
        <v>12600</v>
      </c>
    </row>
    <row r="1169" spans="1:16" ht="20.100000000000001" customHeight="1" x14ac:dyDescent="0.25">
      <c r="A1169" s="918" t="s">
        <v>471</v>
      </c>
      <c r="B1169" s="944" t="s">
        <v>3901</v>
      </c>
      <c r="C1169" s="919" t="s">
        <v>3902</v>
      </c>
      <c r="D1169" s="919" t="s">
        <v>4832</v>
      </c>
      <c r="E1169" s="920">
        <v>4200</v>
      </c>
      <c r="F1169" s="919" t="s">
        <v>6004</v>
      </c>
      <c r="G1169" s="919" t="s">
        <v>6005</v>
      </c>
      <c r="H1169" s="919" t="s">
        <v>4832</v>
      </c>
      <c r="I1169" s="919" t="s">
        <v>3679</v>
      </c>
      <c r="J1169" s="919"/>
      <c r="K1169" s="920"/>
      <c r="L1169" s="920"/>
      <c r="M1169" s="920">
        <f t="shared" si="36"/>
        <v>0</v>
      </c>
      <c r="N1169" s="919">
        <v>1</v>
      </c>
      <c r="O1169" s="919">
        <v>3</v>
      </c>
      <c r="P1169" s="921">
        <f t="shared" si="37"/>
        <v>12600</v>
      </c>
    </row>
    <row r="1170" spans="1:16" ht="20.100000000000001" customHeight="1" x14ac:dyDescent="0.25">
      <c r="A1170" s="918" t="s">
        <v>471</v>
      </c>
      <c r="B1170" s="944" t="s">
        <v>3901</v>
      </c>
      <c r="C1170" s="919" t="s">
        <v>3902</v>
      </c>
      <c r="D1170" s="919" t="s">
        <v>4835</v>
      </c>
      <c r="E1170" s="920">
        <v>4200</v>
      </c>
      <c r="F1170" s="919" t="s">
        <v>6006</v>
      </c>
      <c r="G1170" s="919" t="s">
        <v>6007</v>
      </c>
      <c r="H1170" s="919" t="s">
        <v>4835</v>
      </c>
      <c r="I1170" s="919" t="s">
        <v>3679</v>
      </c>
      <c r="J1170" s="919"/>
      <c r="K1170" s="920"/>
      <c r="L1170" s="920"/>
      <c r="M1170" s="920">
        <f t="shared" si="36"/>
        <v>0</v>
      </c>
      <c r="N1170" s="919">
        <v>1</v>
      </c>
      <c r="O1170" s="919">
        <v>3</v>
      </c>
      <c r="P1170" s="921">
        <f t="shared" si="37"/>
        <v>12600</v>
      </c>
    </row>
    <row r="1171" spans="1:16" ht="20.100000000000001" customHeight="1" x14ac:dyDescent="0.25">
      <c r="A1171" s="918" t="s">
        <v>471</v>
      </c>
      <c r="B1171" s="944" t="s">
        <v>3901</v>
      </c>
      <c r="C1171" s="919" t="s">
        <v>3902</v>
      </c>
      <c r="D1171" s="919" t="s">
        <v>4835</v>
      </c>
      <c r="E1171" s="920">
        <v>4200</v>
      </c>
      <c r="F1171" s="919" t="s">
        <v>6008</v>
      </c>
      <c r="G1171" s="919" t="s">
        <v>6009</v>
      </c>
      <c r="H1171" s="919" t="s">
        <v>4835</v>
      </c>
      <c r="I1171" s="919" t="s">
        <v>3679</v>
      </c>
      <c r="J1171" s="919"/>
      <c r="K1171" s="920"/>
      <c r="L1171" s="920"/>
      <c r="M1171" s="920">
        <f t="shared" si="36"/>
        <v>0</v>
      </c>
      <c r="N1171" s="919">
        <v>1</v>
      </c>
      <c r="O1171" s="919">
        <v>3</v>
      </c>
      <c r="P1171" s="921">
        <f t="shared" si="37"/>
        <v>12600</v>
      </c>
    </row>
    <row r="1172" spans="1:16" ht="20.100000000000001" customHeight="1" x14ac:dyDescent="0.25">
      <c r="A1172" s="918" t="s">
        <v>471</v>
      </c>
      <c r="B1172" s="944" t="s">
        <v>3901</v>
      </c>
      <c r="C1172" s="919" t="s">
        <v>3902</v>
      </c>
      <c r="D1172" s="919" t="s">
        <v>4835</v>
      </c>
      <c r="E1172" s="920">
        <v>4200</v>
      </c>
      <c r="F1172" s="919" t="s">
        <v>6010</v>
      </c>
      <c r="G1172" s="919" t="s">
        <v>6011</v>
      </c>
      <c r="H1172" s="919" t="s">
        <v>4835</v>
      </c>
      <c r="I1172" s="919" t="s">
        <v>3679</v>
      </c>
      <c r="J1172" s="919"/>
      <c r="K1172" s="920"/>
      <c r="L1172" s="920"/>
      <c r="M1172" s="920">
        <f t="shared" si="36"/>
        <v>0</v>
      </c>
      <c r="N1172" s="919">
        <v>1</v>
      </c>
      <c r="O1172" s="919">
        <v>3</v>
      </c>
      <c r="P1172" s="921">
        <f t="shared" si="37"/>
        <v>12600</v>
      </c>
    </row>
    <row r="1173" spans="1:16" ht="20.100000000000001" customHeight="1" x14ac:dyDescent="0.25">
      <c r="A1173" s="918" t="s">
        <v>471</v>
      </c>
      <c r="B1173" s="944" t="s">
        <v>3901</v>
      </c>
      <c r="C1173" s="919" t="s">
        <v>3902</v>
      </c>
      <c r="D1173" s="919" t="s">
        <v>4835</v>
      </c>
      <c r="E1173" s="920">
        <v>4200</v>
      </c>
      <c r="F1173" s="919" t="s">
        <v>6012</v>
      </c>
      <c r="G1173" s="919" t="s">
        <v>6013</v>
      </c>
      <c r="H1173" s="919" t="s">
        <v>4835</v>
      </c>
      <c r="I1173" s="919" t="s">
        <v>3679</v>
      </c>
      <c r="J1173" s="919"/>
      <c r="K1173" s="920"/>
      <c r="L1173" s="920"/>
      <c r="M1173" s="920">
        <f t="shared" si="36"/>
        <v>0</v>
      </c>
      <c r="N1173" s="919">
        <v>1</v>
      </c>
      <c r="O1173" s="919">
        <v>3</v>
      </c>
      <c r="P1173" s="921">
        <f t="shared" si="37"/>
        <v>12600</v>
      </c>
    </row>
    <row r="1174" spans="1:16" ht="20.100000000000001" customHeight="1" x14ac:dyDescent="0.25">
      <c r="A1174" s="918" t="s">
        <v>471</v>
      </c>
      <c r="B1174" s="944" t="s">
        <v>3901</v>
      </c>
      <c r="C1174" s="919" t="s">
        <v>3902</v>
      </c>
      <c r="D1174" s="919" t="s">
        <v>4835</v>
      </c>
      <c r="E1174" s="920">
        <v>4200</v>
      </c>
      <c r="F1174" s="919" t="s">
        <v>6014</v>
      </c>
      <c r="G1174" s="919" t="s">
        <v>6015</v>
      </c>
      <c r="H1174" s="919" t="s">
        <v>4835</v>
      </c>
      <c r="I1174" s="919" t="s">
        <v>3679</v>
      </c>
      <c r="J1174" s="919"/>
      <c r="K1174" s="920"/>
      <c r="L1174" s="920"/>
      <c r="M1174" s="920">
        <f t="shared" si="36"/>
        <v>0</v>
      </c>
      <c r="N1174" s="919">
        <v>1</v>
      </c>
      <c r="O1174" s="919">
        <v>3</v>
      </c>
      <c r="P1174" s="921">
        <f t="shared" si="37"/>
        <v>12600</v>
      </c>
    </row>
    <row r="1175" spans="1:16" ht="20.100000000000001" customHeight="1" x14ac:dyDescent="0.25">
      <c r="A1175" s="918" t="s">
        <v>471</v>
      </c>
      <c r="B1175" s="944" t="s">
        <v>3901</v>
      </c>
      <c r="C1175" s="919" t="s">
        <v>3902</v>
      </c>
      <c r="D1175" s="919" t="s">
        <v>4835</v>
      </c>
      <c r="E1175" s="920">
        <v>4200</v>
      </c>
      <c r="F1175" s="919" t="s">
        <v>6016</v>
      </c>
      <c r="G1175" s="919" t="s">
        <v>6017</v>
      </c>
      <c r="H1175" s="919" t="s">
        <v>4835</v>
      </c>
      <c r="I1175" s="919" t="s">
        <v>3679</v>
      </c>
      <c r="J1175" s="919"/>
      <c r="K1175" s="920"/>
      <c r="L1175" s="920"/>
      <c r="M1175" s="920">
        <f t="shared" si="36"/>
        <v>0</v>
      </c>
      <c r="N1175" s="919">
        <v>1</v>
      </c>
      <c r="O1175" s="919">
        <v>3</v>
      </c>
      <c r="P1175" s="921">
        <f t="shared" si="37"/>
        <v>12600</v>
      </c>
    </row>
    <row r="1176" spans="1:16" ht="20.100000000000001" customHeight="1" x14ac:dyDescent="0.25">
      <c r="A1176" s="918" t="s">
        <v>471</v>
      </c>
      <c r="B1176" s="944" t="s">
        <v>3901</v>
      </c>
      <c r="C1176" s="919" t="s">
        <v>3902</v>
      </c>
      <c r="D1176" s="919" t="s">
        <v>4835</v>
      </c>
      <c r="E1176" s="920">
        <v>4200</v>
      </c>
      <c r="F1176" s="919" t="s">
        <v>6018</v>
      </c>
      <c r="G1176" s="919" t="s">
        <v>6019</v>
      </c>
      <c r="H1176" s="919" t="s">
        <v>4835</v>
      </c>
      <c r="I1176" s="919" t="s">
        <v>3679</v>
      </c>
      <c r="J1176" s="919"/>
      <c r="K1176" s="920"/>
      <c r="L1176" s="920"/>
      <c r="M1176" s="920">
        <f t="shared" si="36"/>
        <v>0</v>
      </c>
      <c r="N1176" s="919">
        <v>1</v>
      </c>
      <c r="O1176" s="919">
        <v>3</v>
      </c>
      <c r="P1176" s="921">
        <f t="shared" si="37"/>
        <v>12600</v>
      </c>
    </row>
    <row r="1177" spans="1:16" ht="20.100000000000001" customHeight="1" x14ac:dyDescent="0.25">
      <c r="A1177" s="918" t="s">
        <v>471</v>
      </c>
      <c r="B1177" s="944" t="s">
        <v>3901</v>
      </c>
      <c r="C1177" s="919" t="s">
        <v>3902</v>
      </c>
      <c r="D1177" s="919" t="s">
        <v>4835</v>
      </c>
      <c r="E1177" s="920">
        <v>4200</v>
      </c>
      <c r="F1177" s="919" t="s">
        <v>6020</v>
      </c>
      <c r="G1177" s="919" t="s">
        <v>6021</v>
      </c>
      <c r="H1177" s="919" t="s">
        <v>4835</v>
      </c>
      <c r="I1177" s="919" t="s">
        <v>3679</v>
      </c>
      <c r="J1177" s="919"/>
      <c r="K1177" s="920"/>
      <c r="L1177" s="920"/>
      <c r="M1177" s="920">
        <f t="shared" si="36"/>
        <v>0</v>
      </c>
      <c r="N1177" s="919">
        <v>1</v>
      </c>
      <c r="O1177" s="919">
        <v>3</v>
      </c>
      <c r="P1177" s="921">
        <f t="shared" si="37"/>
        <v>12600</v>
      </c>
    </row>
    <row r="1178" spans="1:16" ht="20.100000000000001" customHeight="1" x14ac:dyDescent="0.25">
      <c r="A1178" s="918" t="s">
        <v>471</v>
      </c>
      <c r="B1178" s="944" t="s">
        <v>3901</v>
      </c>
      <c r="C1178" s="919" t="s">
        <v>3902</v>
      </c>
      <c r="D1178" s="919" t="s">
        <v>4835</v>
      </c>
      <c r="E1178" s="920">
        <v>4200</v>
      </c>
      <c r="F1178" s="919" t="s">
        <v>6022</v>
      </c>
      <c r="G1178" s="919" t="s">
        <v>6023</v>
      </c>
      <c r="H1178" s="919" t="s">
        <v>4835</v>
      </c>
      <c r="I1178" s="919" t="s">
        <v>3679</v>
      </c>
      <c r="J1178" s="919"/>
      <c r="K1178" s="920"/>
      <c r="L1178" s="920"/>
      <c r="M1178" s="920">
        <f t="shared" si="36"/>
        <v>0</v>
      </c>
      <c r="N1178" s="919">
        <v>1</v>
      </c>
      <c r="O1178" s="919">
        <v>3</v>
      </c>
      <c r="P1178" s="921">
        <f t="shared" si="37"/>
        <v>12600</v>
      </c>
    </row>
    <row r="1179" spans="1:16" ht="20.100000000000001" customHeight="1" x14ac:dyDescent="0.25">
      <c r="A1179" s="918" t="s">
        <v>471</v>
      </c>
      <c r="B1179" s="944" t="s">
        <v>3901</v>
      </c>
      <c r="C1179" s="919" t="s">
        <v>3902</v>
      </c>
      <c r="D1179" s="919" t="s">
        <v>4835</v>
      </c>
      <c r="E1179" s="920">
        <v>4200</v>
      </c>
      <c r="F1179" s="919" t="s">
        <v>6024</v>
      </c>
      <c r="G1179" s="919" t="s">
        <v>6025</v>
      </c>
      <c r="H1179" s="919" t="s">
        <v>4835</v>
      </c>
      <c r="I1179" s="919" t="s">
        <v>3679</v>
      </c>
      <c r="J1179" s="919"/>
      <c r="K1179" s="920"/>
      <c r="L1179" s="920"/>
      <c r="M1179" s="920">
        <f t="shared" si="36"/>
        <v>0</v>
      </c>
      <c r="N1179" s="919">
        <v>1</v>
      </c>
      <c r="O1179" s="919">
        <v>3</v>
      </c>
      <c r="P1179" s="921">
        <f t="shared" si="37"/>
        <v>12600</v>
      </c>
    </row>
    <row r="1180" spans="1:16" ht="20.100000000000001" customHeight="1" x14ac:dyDescent="0.25">
      <c r="A1180" s="918" t="s">
        <v>471</v>
      </c>
      <c r="B1180" s="944" t="s">
        <v>3901</v>
      </c>
      <c r="C1180" s="919" t="s">
        <v>3902</v>
      </c>
      <c r="D1180" s="919" t="s">
        <v>4835</v>
      </c>
      <c r="E1180" s="920">
        <v>4200</v>
      </c>
      <c r="F1180" s="919" t="s">
        <v>6026</v>
      </c>
      <c r="G1180" s="919" t="s">
        <v>6027</v>
      </c>
      <c r="H1180" s="919" t="s">
        <v>4835</v>
      </c>
      <c r="I1180" s="919" t="s">
        <v>3679</v>
      </c>
      <c r="J1180" s="919"/>
      <c r="K1180" s="920"/>
      <c r="L1180" s="920"/>
      <c r="M1180" s="920">
        <f t="shared" si="36"/>
        <v>0</v>
      </c>
      <c r="N1180" s="919">
        <v>1</v>
      </c>
      <c r="O1180" s="919">
        <v>3</v>
      </c>
      <c r="P1180" s="921">
        <f t="shared" si="37"/>
        <v>12600</v>
      </c>
    </row>
    <row r="1181" spans="1:16" ht="20.100000000000001" customHeight="1" x14ac:dyDescent="0.25">
      <c r="A1181" s="918" t="s">
        <v>471</v>
      </c>
      <c r="B1181" s="944" t="s">
        <v>3901</v>
      </c>
      <c r="C1181" s="919" t="s">
        <v>3902</v>
      </c>
      <c r="D1181" s="919" t="s">
        <v>4835</v>
      </c>
      <c r="E1181" s="920">
        <v>4200</v>
      </c>
      <c r="F1181" s="919" t="s">
        <v>6028</v>
      </c>
      <c r="G1181" s="919" t="s">
        <v>6029</v>
      </c>
      <c r="H1181" s="919" t="s">
        <v>4835</v>
      </c>
      <c r="I1181" s="919" t="s">
        <v>3679</v>
      </c>
      <c r="J1181" s="919"/>
      <c r="K1181" s="920"/>
      <c r="L1181" s="920"/>
      <c r="M1181" s="920">
        <f t="shared" si="36"/>
        <v>0</v>
      </c>
      <c r="N1181" s="919">
        <v>1</v>
      </c>
      <c r="O1181" s="919">
        <v>3</v>
      </c>
      <c r="P1181" s="921">
        <f t="shared" si="37"/>
        <v>12600</v>
      </c>
    </row>
    <row r="1182" spans="1:16" ht="20.100000000000001" customHeight="1" x14ac:dyDescent="0.25">
      <c r="A1182" s="918" t="s">
        <v>471</v>
      </c>
      <c r="B1182" s="944" t="s">
        <v>3901</v>
      </c>
      <c r="C1182" s="919" t="s">
        <v>3902</v>
      </c>
      <c r="D1182" s="919" t="s">
        <v>4840</v>
      </c>
      <c r="E1182" s="920">
        <v>4000</v>
      </c>
      <c r="F1182" s="919" t="s">
        <v>6030</v>
      </c>
      <c r="G1182" s="919" t="s">
        <v>6031</v>
      </c>
      <c r="H1182" s="919" t="s">
        <v>4840</v>
      </c>
      <c r="I1182" s="919" t="s">
        <v>3679</v>
      </c>
      <c r="J1182" s="919"/>
      <c r="K1182" s="920"/>
      <c r="L1182" s="920"/>
      <c r="M1182" s="920">
        <f t="shared" si="36"/>
        <v>0</v>
      </c>
      <c r="N1182" s="919">
        <v>1</v>
      </c>
      <c r="O1182" s="919">
        <v>4</v>
      </c>
      <c r="P1182" s="921">
        <f t="shared" si="37"/>
        <v>16000</v>
      </c>
    </row>
    <row r="1183" spans="1:16" ht="20.100000000000001" customHeight="1" x14ac:dyDescent="0.25">
      <c r="A1183" s="918" t="s">
        <v>471</v>
      </c>
      <c r="B1183" s="944" t="s">
        <v>3901</v>
      </c>
      <c r="C1183" s="919" t="s">
        <v>3902</v>
      </c>
      <c r="D1183" s="919" t="s">
        <v>4840</v>
      </c>
      <c r="E1183" s="920">
        <v>3700</v>
      </c>
      <c r="F1183" s="919" t="s">
        <v>6032</v>
      </c>
      <c r="G1183" s="919" t="s">
        <v>6033</v>
      </c>
      <c r="H1183" s="919" t="s">
        <v>4840</v>
      </c>
      <c r="I1183" s="919" t="s">
        <v>3679</v>
      </c>
      <c r="J1183" s="919"/>
      <c r="K1183" s="920"/>
      <c r="L1183" s="920"/>
      <c r="M1183" s="920">
        <f t="shared" si="36"/>
        <v>0</v>
      </c>
      <c r="N1183" s="919">
        <v>1</v>
      </c>
      <c r="O1183" s="919">
        <v>3</v>
      </c>
      <c r="P1183" s="921">
        <f t="shared" si="37"/>
        <v>11100</v>
      </c>
    </row>
    <row r="1184" spans="1:16" ht="20.100000000000001" customHeight="1" x14ac:dyDescent="0.25">
      <c r="A1184" s="918" t="s">
        <v>471</v>
      </c>
      <c r="B1184" s="944" t="s">
        <v>3901</v>
      </c>
      <c r="C1184" s="919" t="s">
        <v>3902</v>
      </c>
      <c r="D1184" s="919" t="s">
        <v>4840</v>
      </c>
      <c r="E1184" s="920">
        <v>3700</v>
      </c>
      <c r="F1184" s="919" t="s">
        <v>6034</v>
      </c>
      <c r="G1184" s="919" t="s">
        <v>6035</v>
      </c>
      <c r="H1184" s="919" t="s">
        <v>4840</v>
      </c>
      <c r="I1184" s="919" t="s">
        <v>3679</v>
      </c>
      <c r="J1184" s="919"/>
      <c r="K1184" s="920"/>
      <c r="L1184" s="920"/>
      <c r="M1184" s="920">
        <f t="shared" si="36"/>
        <v>0</v>
      </c>
      <c r="N1184" s="919">
        <v>1</v>
      </c>
      <c r="O1184" s="919">
        <v>3</v>
      </c>
      <c r="P1184" s="921">
        <f t="shared" si="37"/>
        <v>11100</v>
      </c>
    </row>
    <row r="1185" spans="1:16" ht="20.100000000000001" customHeight="1" x14ac:dyDescent="0.25">
      <c r="A1185" s="918" t="s">
        <v>471</v>
      </c>
      <c r="B1185" s="944" t="s">
        <v>3901</v>
      </c>
      <c r="C1185" s="919" t="s">
        <v>3902</v>
      </c>
      <c r="D1185" s="919" t="s">
        <v>4851</v>
      </c>
      <c r="E1185" s="920">
        <v>3700</v>
      </c>
      <c r="F1185" s="919" t="s">
        <v>6036</v>
      </c>
      <c r="G1185" s="919" t="s">
        <v>6037</v>
      </c>
      <c r="H1185" s="919" t="s">
        <v>4851</v>
      </c>
      <c r="I1185" s="919" t="s">
        <v>3679</v>
      </c>
      <c r="J1185" s="919"/>
      <c r="K1185" s="920"/>
      <c r="L1185" s="920"/>
      <c r="M1185" s="920">
        <f t="shared" si="36"/>
        <v>0</v>
      </c>
      <c r="N1185" s="919">
        <v>1</v>
      </c>
      <c r="O1185" s="919">
        <v>3</v>
      </c>
      <c r="P1185" s="921">
        <f t="shared" si="37"/>
        <v>11100</v>
      </c>
    </row>
    <row r="1186" spans="1:16" ht="20.100000000000001" customHeight="1" x14ac:dyDescent="0.25">
      <c r="A1186" s="918" t="s">
        <v>471</v>
      </c>
      <c r="B1186" s="944" t="s">
        <v>3901</v>
      </c>
      <c r="C1186" s="919" t="s">
        <v>3902</v>
      </c>
      <c r="D1186" s="919" t="s">
        <v>4851</v>
      </c>
      <c r="E1186" s="920">
        <v>3700</v>
      </c>
      <c r="F1186" s="919" t="s">
        <v>4041</v>
      </c>
      <c r="G1186" s="919" t="s">
        <v>4042</v>
      </c>
      <c r="H1186" s="919" t="s">
        <v>4851</v>
      </c>
      <c r="I1186" s="919" t="s">
        <v>3679</v>
      </c>
      <c r="J1186" s="919"/>
      <c r="K1186" s="920">
        <v>1</v>
      </c>
      <c r="L1186" s="920">
        <v>12</v>
      </c>
      <c r="M1186" s="920">
        <f t="shared" si="36"/>
        <v>44400</v>
      </c>
      <c r="N1186" s="919"/>
      <c r="O1186" s="919"/>
      <c r="P1186" s="921">
        <f t="shared" si="37"/>
        <v>0</v>
      </c>
    </row>
    <row r="1187" spans="1:16" ht="20.100000000000001" customHeight="1" x14ac:dyDescent="0.25">
      <c r="A1187" s="918" t="s">
        <v>471</v>
      </c>
      <c r="B1187" s="944" t="s">
        <v>3901</v>
      </c>
      <c r="C1187" s="919" t="s">
        <v>3902</v>
      </c>
      <c r="D1187" s="919" t="s">
        <v>4858</v>
      </c>
      <c r="E1187" s="920">
        <v>3700</v>
      </c>
      <c r="F1187" s="919" t="s">
        <v>6038</v>
      </c>
      <c r="G1187" s="919" t="s">
        <v>6039</v>
      </c>
      <c r="H1187" s="919" t="s">
        <v>4858</v>
      </c>
      <c r="I1187" s="919" t="s">
        <v>3679</v>
      </c>
      <c r="J1187" s="919"/>
      <c r="K1187" s="920"/>
      <c r="L1187" s="920"/>
      <c r="M1187" s="920">
        <f t="shared" si="36"/>
        <v>0</v>
      </c>
      <c r="N1187" s="919">
        <v>1</v>
      </c>
      <c r="O1187" s="919">
        <v>3</v>
      </c>
      <c r="P1187" s="921">
        <f t="shared" si="37"/>
        <v>11100</v>
      </c>
    </row>
    <row r="1188" spans="1:16" ht="20.100000000000001" customHeight="1" x14ac:dyDescent="0.25">
      <c r="A1188" s="918" t="s">
        <v>471</v>
      </c>
      <c r="B1188" s="944" t="s">
        <v>3901</v>
      </c>
      <c r="C1188" s="919" t="s">
        <v>3902</v>
      </c>
      <c r="D1188" s="919" t="s">
        <v>4858</v>
      </c>
      <c r="E1188" s="920">
        <v>3700</v>
      </c>
      <c r="F1188" s="919" t="s">
        <v>6040</v>
      </c>
      <c r="G1188" s="919" t="s">
        <v>6041</v>
      </c>
      <c r="H1188" s="919" t="s">
        <v>4858</v>
      </c>
      <c r="I1188" s="919" t="s">
        <v>3679</v>
      </c>
      <c r="J1188" s="919"/>
      <c r="K1188" s="920"/>
      <c r="L1188" s="920"/>
      <c r="M1188" s="920">
        <f t="shared" si="36"/>
        <v>0</v>
      </c>
      <c r="N1188" s="919">
        <v>1</v>
      </c>
      <c r="O1188" s="919">
        <v>3</v>
      </c>
      <c r="P1188" s="921">
        <f t="shared" si="37"/>
        <v>11100</v>
      </c>
    </row>
    <row r="1189" spans="1:16" ht="20.100000000000001" customHeight="1" x14ac:dyDescent="0.25">
      <c r="A1189" s="918" t="s">
        <v>471</v>
      </c>
      <c r="B1189" s="944" t="s">
        <v>3901</v>
      </c>
      <c r="C1189" s="919" t="s">
        <v>3902</v>
      </c>
      <c r="D1189" s="919" t="s">
        <v>3991</v>
      </c>
      <c r="E1189" s="920">
        <v>1800</v>
      </c>
      <c r="F1189" s="919" t="s">
        <v>6042</v>
      </c>
      <c r="G1189" s="919" t="s">
        <v>6043</v>
      </c>
      <c r="H1189" s="919" t="s">
        <v>3991</v>
      </c>
      <c r="I1189" s="919" t="s">
        <v>3686</v>
      </c>
      <c r="J1189" s="919"/>
      <c r="K1189" s="920"/>
      <c r="L1189" s="920"/>
      <c r="M1189" s="920">
        <f t="shared" si="36"/>
        <v>0</v>
      </c>
      <c r="N1189" s="919">
        <v>1</v>
      </c>
      <c r="O1189" s="919">
        <v>1</v>
      </c>
      <c r="P1189" s="921">
        <f t="shared" si="37"/>
        <v>1800</v>
      </c>
    </row>
    <row r="1190" spans="1:16" ht="20.100000000000001" customHeight="1" x14ac:dyDescent="0.25">
      <c r="A1190" s="918" t="s">
        <v>471</v>
      </c>
      <c r="B1190" s="944" t="s">
        <v>3901</v>
      </c>
      <c r="C1190" s="919" t="s">
        <v>3902</v>
      </c>
      <c r="D1190" s="919" t="s">
        <v>4109</v>
      </c>
      <c r="E1190" s="920">
        <v>1800</v>
      </c>
      <c r="F1190" s="919" t="s">
        <v>6044</v>
      </c>
      <c r="G1190" s="919" t="s">
        <v>6045</v>
      </c>
      <c r="H1190" s="919" t="s">
        <v>4109</v>
      </c>
      <c r="I1190" s="919" t="s">
        <v>3686</v>
      </c>
      <c r="J1190" s="919"/>
      <c r="K1190" s="920"/>
      <c r="L1190" s="920"/>
      <c r="M1190" s="920">
        <f t="shared" si="36"/>
        <v>0</v>
      </c>
      <c r="N1190" s="919">
        <v>1</v>
      </c>
      <c r="O1190" s="919">
        <v>1</v>
      </c>
      <c r="P1190" s="921">
        <f t="shared" si="37"/>
        <v>1800</v>
      </c>
    </row>
    <row r="1191" spans="1:16" ht="20.100000000000001" customHeight="1" x14ac:dyDescent="0.25">
      <c r="A1191" s="918" t="s">
        <v>471</v>
      </c>
      <c r="B1191" s="944" t="s">
        <v>3901</v>
      </c>
      <c r="C1191" s="919" t="s">
        <v>3902</v>
      </c>
      <c r="D1191" s="919" t="s">
        <v>6046</v>
      </c>
      <c r="E1191" s="920">
        <v>2000</v>
      </c>
      <c r="F1191" s="919" t="s">
        <v>6047</v>
      </c>
      <c r="G1191" s="919" t="s">
        <v>6048</v>
      </c>
      <c r="H1191" s="919" t="s">
        <v>6046</v>
      </c>
      <c r="I1191" s="919" t="s">
        <v>3679</v>
      </c>
      <c r="J1191" s="919"/>
      <c r="K1191" s="920"/>
      <c r="L1191" s="920"/>
      <c r="M1191" s="920">
        <f t="shared" si="36"/>
        <v>0</v>
      </c>
      <c r="N1191" s="919">
        <v>1</v>
      </c>
      <c r="O1191" s="919">
        <v>1</v>
      </c>
      <c r="P1191" s="921">
        <f t="shared" si="37"/>
        <v>2000</v>
      </c>
    </row>
    <row r="1192" spans="1:16" ht="20.100000000000001" customHeight="1" x14ac:dyDescent="0.25">
      <c r="A1192" s="918" t="s">
        <v>471</v>
      </c>
      <c r="B1192" s="944" t="s">
        <v>3901</v>
      </c>
      <c r="C1192" s="919" t="s">
        <v>3902</v>
      </c>
      <c r="D1192" s="919" t="s">
        <v>4038</v>
      </c>
      <c r="E1192" s="920">
        <v>2000</v>
      </c>
      <c r="F1192" s="919" t="s">
        <v>6049</v>
      </c>
      <c r="G1192" s="919" t="s">
        <v>6050</v>
      </c>
      <c r="H1192" s="919" t="s">
        <v>4038</v>
      </c>
      <c r="I1192" s="919" t="s">
        <v>3679</v>
      </c>
      <c r="J1192" s="919"/>
      <c r="K1192" s="920"/>
      <c r="L1192" s="920"/>
      <c r="M1192" s="920">
        <f t="shared" si="36"/>
        <v>0</v>
      </c>
      <c r="N1192" s="919">
        <v>1</v>
      </c>
      <c r="O1192" s="919">
        <v>1</v>
      </c>
      <c r="P1192" s="921">
        <f t="shared" si="37"/>
        <v>2000</v>
      </c>
    </row>
    <row r="1193" spans="1:16" ht="20.100000000000001" customHeight="1" x14ac:dyDescent="0.25">
      <c r="A1193" s="918" t="s">
        <v>471</v>
      </c>
      <c r="B1193" s="944" t="s">
        <v>3901</v>
      </c>
      <c r="C1193" s="919" t="s">
        <v>3902</v>
      </c>
      <c r="D1193" s="919" t="s">
        <v>4483</v>
      </c>
      <c r="E1193" s="920">
        <v>2000</v>
      </c>
      <c r="F1193" s="919" t="s">
        <v>6051</v>
      </c>
      <c r="G1193" s="919" t="s">
        <v>6052</v>
      </c>
      <c r="H1193" s="919" t="s">
        <v>4483</v>
      </c>
      <c r="I1193" s="919" t="s">
        <v>3679</v>
      </c>
      <c r="J1193" s="919"/>
      <c r="K1193" s="920"/>
      <c r="L1193" s="920"/>
      <c r="M1193" s="920">
        <f t="shared" si="36"/>
        <v>0</v>
      </c>
      <c r="N1193" s="919">
        <v>1</v>
      </c>
      <c r="O1193" s="919">
        <v>1</v>
      </c>
      <c r="P1193" s="921">
        <f t="shared" si="37"/>
        <v>2000</v>
      </c>
    </row>
    <row r="1194" spans="1:16" ht="20.100000000000001" customHeight="1" x14ac:dyDescent="0.25">
      <c r="A1194" s="918" t="s">
        <v>471</v>
      </c>
      <c r="B1194" s="944" t="s">
        <v>3901</v>
      </c>
      <c r="C1194" s="919" t="s">
        <v>3902</v>
      </c>
      <c r="D1194" s="919" t="s">
        <v>4483</v>
      </c>
      <c r="E1194" s="920">
        <v>2000</v>
      </c>
      <c r="F1194" s="919" t="s">
        <v>6053</v>
      </c>
      <c r="G1194" s="919" t="s">
        <v>6054</v>
      </c>
      <c r="H1194" s="919" t="s">
        <v>4483</v>
      </c>
      <c r="I1194" s="919" t="s">
        <v>3679</v>
      </c>
      <c r="J1194" s="919"/>
      <c r="K1194" s="920"/>
      <c r="L1194" s="920"/>
      <c r="M1194" s="920">
        <f t="shared" si="36"/>
        <v>0</v>
      </c>
      <c r="N1194" s="919">
        <v>1</v>
      </c>
      <c r="O1194" s="919">
        <v>1</v>
      </c>
      <c r="P1194" s="921">
        <f t="shared" si="37"/>
        <v>2000</v>
      </c>
    </row>
    <row r="1195" spans="1:16" ht="20.100000000000001" customHeight="1" x14ac:dyDescent="0.25">
      <c r="A1195" s="918" t="s">
        <v>471</v>
      </c>
      <c r="B1195" s="944" t="s">
        <v>3901</v>
      </c>
      <c r="C1195" s="919" t="s">
        <v>3902</v>
      </c>
      <c r="D1195" s="919" t="s">
        <v>4038</v>
      </c>
      <c r="E1195" s="920">
        <v>2000</v>
      </c>
      <c r="F1195" s="919" t="s">
        <v>6055</v>
      </c>
      <c r="G1195" s="919" t="s">
        <v>6056</v>
      </c>
      <c r="H1195" s="919" t="s">
        <v>4038</v>
      </c>
      <c r="I1195" s="919" t="s">
        <v>3679</v>
      </c>
      <c r="J1195" s="919"/>
      <c r="K1195" s="920"/>
      <c r="L1195" s="920"/>
      <c r="M1195" s="920">
        <f t="shared" si="36"/>
        <v>0</v>
      </c>
      <c r="N1195" s="919">
        <v>1</v>
      </c>
      <c r="O1195" s="919">
        <v>1</v>
      </c>
      <c r="P1195" s="921">
        <f t="shared" si="37"/>
        <v>2000</v>
      </c>
    </row>
    <row r="1196" spans="1:16" ht="20.100000000000001" customHeight="1" x14ac:dyDescent="0.25">
      <c r="A1196" s="918" t="s">
        <v>471</v>
      </c>
      <c r="B1196" s="944" t="s">
        <v>3901</v>
      </c>
      <c r="C1196" s="919" t="s">
        <v>3902</v>
      </c>
      <c r="D1196" s="919" t="s">
        <v>4038</v>
      </c>
      <c r="E1196" s="920">
        <v>2000</v>
      </c>
      <c r="F1196" s="919" t="s">
        <v>6057</v>
      </c>
      <c r="G1196" s="919" t="s">
        <v>6058</v>
      </c>
      <c r="H1196" s="919" t="s">
        <v>4038</v>
      </c>
      <c r="I1196" s="919" t="s">
        <v>3679</v>
      </c>
      <c r="J1196" s="919"/>
      <c r="K1196" s="920"/>
      <c r="L1196" s="920"/>
      <c r="M1196" s="920">
        <f t="shared" si="36"/>
        <v>0</v>
      </c>
      <c r="N1196" s="919">
        <v>1</v>
      </c>
      <c r="O1196" s="919">
        <v>1</v>
      </c>
      <c r="P1196" s="921">
        <f t="shared" si="37"/>
        <v>2000</v>
      </c>
    </row>
    <row r="1197" spans="1:16" ht="20.100000000000001" customHeight="1" x14ac:dyDescent="0.25">
      <c r="A1197" s="918" t="s">
        <v>471</v>
      </c>
      <c r="B1197" s="944" t="s">
        <v>3901</v>
      </c>
      <c r="C1197" s="919" t="s">
        <v>3902</v>
      </c>
      <c r="D1197" s="919" t="s">
        <v>4483</v>
      </c>
      <c r="E1197" s="920">
        <v>2000</v>
      </c>
      <c r="F1197" s="919" t="s">
        <v>6059</v>
      </c>
      <c r="G1197" s="919" t="s">
        <v>6060</v>
      </c>
      <c r="H1197" s="919" t="s">
        <v>4483</v>
      </c>
      <c r="I1197" s="919" t="s">
        <v>3679</v>
      </c>
      <c r="J1197" s="919"/>
      <c r="K1197" s="920"/>
      <c r="L1197" s="920"/>
      <c r="M1197" s="920">
        <f t="shared" si="36"/>
        <v>0</v>
      </c>
      <c r="N1197" s="919">
        <v>1</v>
      </c>
      <c r="O1197" s="919">
        <v>1</v>
      </c>
      <c r="P1197" s="921">
        <f t="shared" si="37"/>
        <v>2000</v>
      </c>
    </row>
    <row r="1198" spans="1:16" ht="20.100000000000001" customHeight="1" x14ac:dyDescent="0.25">
      <c r="A1198" s="918" t="s">
        <v>471</v>
      </c>
      <c r="B1198" s="944" t="s">
        <v>3901</v>
      </c>
      <c r="C1198" s="919" t="s">
        <v>3902</v>
      </c>
      <c r="D1198" s="919" t="s">
        <v>4483</v>
      </c>
      <c r="E1198" s="920">
        <v>2000</v>
      </c>
      <c r="F1198" s="919" t="s">
        <v>6061</v>
      </c>
      <c r="G1198" s="919" t="s">
        <v>6062</v>
      </c>
      <c r="H1198" s="919" t="s">
        <v>4483</v>
      </c>
      <c r="I1198" s="919" t="s">
        <v>3679</v>
      </c>
      <c r="J1198" s="919"/>
      <c r="K1198" s="920"/>
      <c r="L1198" s="920"/>
      <c r="M1198" s="920">
        <f t="shared" si="36"/>
        <v>0</v>
      </c>
      <c r="N1198" s="919">
        <v>1</v>
      </c>
      <c r="O1198" s="919">
        <v>1</v>
      </c>
      <c r="P1198" s="921">
        <f t="shared" si="37"/>
        <v>2000</v>
      </c>
    </row>
    <row r="1199" spans="1:16" ht="20.100000000000001" customHeight="1" x14ac:dyDescent="0.25">
      <c r="A1199" s="918" t="s">
        <v>471</v>
      </c>
      <c r="B1199" s="944" t="s">
        <v>3901</v>
      </c>
      <c r="C1199" s="919" t="s">
        <v>3902</v>
      </c>
      <c r="D1199" s="919" t="s">
        <v>6063</v>
      </c>
      <c r="E1199" s="920">
        <v>2340</v>
      </c>
      <c r="F1199" s="919" t="s">
        <v>6064</v>
      </c>
      <c r="G1199" s="919" t="s">
        <v>6065</v>
      </c>
      <c r="H1199" s="919" t="s">
        <v>6063</v>
      </c>
      <c r="I1199" s="919" t="s">
        <v>3679</v>
      </c>
      <c r="J1199" s="919"/>
      <c r="K1199" s="920"/>
      <c r="L1199" s="920"/>
      <c r="M1199" s="920">
        <f t="shared" si="36"/>
        <v>0</v>
      </c>
      <c r="N1199" s="919">
        <v>1</v>
      </c>
      <c r="O1199" s="919">
        <v>1</v>
      </c>
      <c r="P1199" s="921">
        <f t="shared" si="37"/>
        <v>2340</v>
      </c>
    </row>
    <row r="1200" spans="1:16" ht="20.100000000000001" customHeight="1" x14ac:dyDescent="0.25">
      <c r="A1200" s="918" t="s">
        <v>471</v>
      </c>
      <c r="B1200" s="944" t="s">
        <v>3901</v>
      </c>
      <c r="C1200" s="919" t="s">
        <v>3902</v>
      </c>
      <c r="D1200" s="919" t="s">
        <v>6066</v>
      </c>
      <c r="E1200" s="920">
        <v>3000</v>
      </c>
      <c r="F1200" s="919" t="s">
        <v>6067</v>
      </c>
      <c r="G1200" s="919" t="s">
        <v>6068</v>
      </c>
      <c r="H1200" s="919" t="s">
        <v>6066</v>
      </c>
      <c r="I1200" s="919" t="s">
        <v>3679</v>
      </c>
      <c r="J1200" s="919"/>
      <c r="K1200" s="920"/>
      <c r="L1200" s="920"/>
      <c r="M1200" s="920">
        <f t="shared" si="36"/>
        <v>0</v>
      </c>
      <c r="N1200" s="919">
        <v>1</v>
      </c>
      <c r="O1200" s="919">
        <v>1</v>
      </c>
      <c r="P1200" s="921">
        <f t="shared" si="37"/>
        <v>3000</v>
      </c>
    </row>
    <row r="1201" spans="1:16" ht="20.100000000000001" customHeight="1" x14ac:dyDescent="0.25">
      <c r="A1201" s="918" t="s">
        <v>484</v>
      </c>
      <c r="B1201" s="944" t="s">
        <v>3901</v>
      </c>
      <c r="C1201" s="919" t="s">
        <v>3902</v>
      </c>
      <c r="D1201" s="919" t="s">
        <v>4006</v>
      </c>
      <c r="E1201" s="920">
        <v>1650</v>
      </c>
      <c r="F1201" s="919" t="s">
        <v>6069</v>
      </c>
      <c r="G1201" s="919" t="s">
        <v>6070</v>
      </c>
      <c r="H1201" s="919" t="s">
        <v>4006</v>
      </c>
      <c r="I1201" s="919" t="s">
        <v>3686</v>
      </c>
      <c r="J1201" s="919"/>
      <c r="K1201" s="920">
        <v>1</v>
      </c>
      <c r="L1201" s="920">
        <v>12</v>
      </c>
      <c r="M1201" s="920">
        <f t="shared" si="36"/>
        <v>19800</v>
      </c>
      <c r="N1201" s="919"/>
      <c r="O1201" s="919"/>
      <c r="P1201" s="921">
        <f t="shared" si="37"/>
        <v>0</v>
      </c>
    </row>
    <row r="1202" spans="1:16" ht="20.100000000000001" customHeight="1" x14ac:dyDescent="0.25">
      <c r="A1202" s="918" t="s">
        <v>484</v>
      </c>
      <c r="B1202" s="944" t="s">
        <v>3901</v>
      </c>
      <c r="C1202" s="919" t="s">
        <v>3902</v>
      </c>
      <c r="D1202" s="919" t="s">
        <v>6071</v>
      </c>
      <c r="E1202" s="920">
        <v>1650</v>
      </c>
      <c r="F1202" s="919" t="s">
        <v>6072</v>
      </c>
      <c r="G1202" s="919" t="s">
        <v>6073</v>
      </c>
      <c r="H1202" s="919" t="s">
        <v>6071</v>
      </c>
      <c r="I1202" s="919" t="s">
        <v>3686</v>
      </c>
      <c r="J1202" s="919"/>
      <c r="K1202" s="920">
        <v>1</v>
      </c>
      <c r="L1202" s="920">
        <v>12</v>
      </c>
      <c r="M1202" s="920">
        <f t="shared" si="36"/>
        <v>19800</v>
      </c>
      <c r="N1202" s="919"/>
      <c r="O1202" s="919"/>
      <c r="P1202" s="921">
        <f t="shared" si="37"/>
        <v>0</v>
      </c>
    </row>
    <row r="1203" spans="1:16" ht="20.100000000000001" customHeight="1" x14ac:dyDescent="0.25">
      <c r="A1203" s="918" t="s">
        <v>484</v>
      </c>
      <c r="B1203" s="944" t="s">
        <v>3901</v>
      </c>
      <c r="C1203" s="919" t="s">
        <v>3902</v>
      </c>
      <c r="D1203" s="919" t="s">
        <v>6074</v>
      </c>
      <c r="E1203" s="920">
        <v>1650</v>
      </c>
      <c r="F1203" s="919" t="s">
        <v>6075</v>
      </c>
      <c r="G1203" s="919" t="s">
        <v>6076</v>
      </c>
      <c r="H1203" s="919" t="s">
        <v>6074</v>
      </c>
      <c r="I1203" s="919" t="s">
        <v>3686</v>
      </c>
      <c r="J1203" s="919"/>
      <c r="K1203" s="920">
        <v>1</v>
      </c>
      <c r="L1203" s="920">
        <v>12</v>
      </c>
      <c r="M1203" s="920">
        <f t="shared" si="36"/>
        <v>19800</v>
      </c>
      <c r="N1203" s="919"/>
      <c r="O1203" s="919"/>
      <c r="P1203" s="921">
        <f t="shared" si="37"/>
        <v>0</v>
      </c>
    </row>
    <row r="1204" spans="1:16" ht="20.100000000000001" customHeight="1" x14ac:dyDescent="0.25">
      <c r="A1204" s="918" t="s">
        <v>484</v>
      </c>
      <c r="B1204" s="944" t="s">
        <v>3901</v>
      </c>
      <c r="C1204" s="919" t="s">
        <v>3902</v>
      </c>
      <c r="D1204" s="919" t="s">
        <v>4352</v>
      </c>
      <c r="E1204" s="920">
        <v>2200</v>
      </c>
      <c r="F1204" s="919" t="s">
        <v>6077</v>
      </c>
      <c r="G1204" s="919" t="s">
        <v>6078</v>
      </c>
      <c r="H1204" s="919" t="s">
        <v>4352</v>
      </c>
      <c r="I1204" s="919" t="s">
        <v>3724</v>
      </c>
      <c r="J1204" s="919"/>
      <c r="K1204" s="920">
        <v>1</v>
      </c>
      <c r="L1204" s="920">
        <v>12</v>
      </c>
      <c r="M1204" s="920">
        <f t="shared" si="36"/>
        <v>26400</v>
      </c>
      <c r="N1204" s="919"/>
      <c r="O1204" s="919"/>
      <c r="P1204" s="921">
        <f t="shared" si="37"/>
        <v>0</v>
      </c>
    </row>
    <row r="1205" spans="1:16" ht="20.100000000000001" customHeight="1" x14ac:dyDescent="0.25">
      <c r="A1205" s="918" t="s">
        <v>484</v>
      </c>
      <c r="B1205" s="944" t="s">
        <v>3901</v>
      </c>
      <c r="C1205" s="919" t="s">
        <v>3902</v>
      </c>
      <c r="D1205" s="919" t="s">
        <v>4449</v>
      </c>
      <c r="E1205" s="920">
        <v>2200</v>
      </c>
      <c r="F1205" s="919" t="s">
        <v>6079</v>
      </c>
      <c r="G1205" s="919" t="s">
        <v>6080</v>
      </c>
      <c r="H1205" s="919" t="s">
        <v>4449</v>
      </c>
      <c r="I1205" s="919" t="s">
        <v>3724</v>
      </c>
      <c r="J1205" s="919"/>
      <c r="K1205" s="920">
        <v>1</v>
      </c>
      <c r="L1205" s="920">
        <v>12</v>
      </c>
      <c r="M1205" s="920">
        <f t="shared" si="36"/>
        <v>26400</v>
      </c>
      <c r="N1205" s="919"/>
      <c r="O1205" s="919"/>
      <c r="P1205" s="921">
        <f t="shared" si="37"/>
        <v>0</v>
      </c>
    </row>
    <row r="1206" spans="1:16" ht="20.100000000000001" customHeight="1" x14ac:dyDescent="0.25">
      <c r="A1206" s="918" t="s">
        <v>484</v>
      </c>
      <c r="B1206" s="944" t="s">
        <v>3901</v>
      </c>
      <c r="C1206" s="919" t="s">
        <v>3902</v>
      </c>
      <c r="D1206" s="919" t="s">
        <v>6071</v>
      </c>
      <c r="E1206" s="920">
        <v>1650</v>
      </c>
      <c r="F1206" s="919" t="s">
        <v>6081</v>
      </c>
      <c r="G1206" s="919" t="s">
        <v>6082</v>
      </c>
      <c r="H1206" s="919" t="s">
        <v>6071</v>
      </c>
      <c r="I1206" s="919" t="s">
        <v>3686</v>
      </c>
      <c r="J1206" s="919"/>
      <c r="K1206" s="920">
        <v>1</v>
      </c>
      <c r="L1206" s="920">
        <v>12</v>
      </c>
      <c r="M1206" s="920">
        <f t="shared" si="36"/>
        <v>19800</v>
      </c>
      <c r="N1206" s="919"/>
      <c r="O1206" s="919"/>
      <c r="P1206" s="921">
        <f t="shared" si="37"/>
        <v>0</v>
      </c>
    </row>
    <row r="1207" spans="1:16" ht="20.100000000000001" customHeight="1" x14ac:dyDescent="0.25">
      <c r="A1207" s="918" t="s">
        <v>484</v>
      </c>
      <c r="B1207" s="944" t="s">
        <v>3901</v>
      </c>
      <c r="C1207" s="919" t="s">
        <v>3902</v>
      </c>
      <c r="D1207" s="919" t="s">
        <v>6083</v>
      </c>
      <c r="E1207" s="920">
        <v>1320</v>
      </c>
      <c r="F1207" s="919" t="s">
        <v>6084</v>
      </c>
      <c r="G1207" s="919" t="s">
        <v>6085</v>
      </c>
      <c r="H1207" s="919" t="s">
        <v>6083</v>
      </c>
      <c r="I1207" s="919" t="s">
        <v>3686</v>
      </c>
      <c r="J1207" s="919"/>
      <c r="K1207" s="920">
        <v>1</v>
      </c>
      <c r="L1207" s="920">
        <v>12</v>
      </c>
      <c r="M1207" s="920">
        <f t="shared" si="36"/>
        <v>15840</v>
      </c>
      <c r="N1207" s="919"/>
      <c r="O1207" s="919"/>
      <c r="P1207" s="921">
        <f t="shared" si="37"/>
        <v>0</v>
      </c>
    </row>
    <row r="1208" spans="1:16" ht="20.100000000000001" customHeight="1" x14ac:dyDescent="0.25">
      <c r="A1208" s="918" t="s">
        <v>484</v>
      </c>
      <c r="B1208" s="944" t="s">
        <v>3901</v>
      </c>
      <c r="C1208" s="919" t="s">
        <v>3902</v>
      </c>
      <c r="D1208" s="919" t="s">
        <v>6071</v>
      </c>
      <c r="E1208" s="920">
        <v>1650</v>
      </c>
      <c r="F1208" s="919" t="s">
        <v>6086</v>
      </c>
      <c r="G1208" s="919" t="s">
        <v>6087</v>
      </c>
      <c r="H1208" s="919" t="s">
        <v>6071</v>
      </c>
      <c r="I1208" s="919" t="s">
        <v>3686</v>
      </c>
      <c r="J1208" s="919"/>
      <c r="K1208" s="920">
        <v>1</v>
      </c>
      <c r="L1208" s="920">
        <v>12</v>
      </c>
      <c r="M1208" s="920">
        <f t="shared" si="36"/>
        <v>19800</v>
      </c>
      <c r="N1208" s="919"/>
      <c r="O1208" s="919"/>
      <c r="P1208" s="921">
        <f t="shared" si="37"/>
        <v>0</v>
      </c>
    </row>
    <row r="1209" spans="1:16" ht="20.100000000000001" customHeight="1" x14ac:dyDescent="0.25">
      <c r="A1209" s="918" t="s">
        <v>484</v>
      </c>
      <c r="B1209" s="944" t="s">
        <v>3901</v>
      </c>
      <c r="C1209" s="919" t="s">
        <v>3902</v>
      </c>
      <c r="D1209" s="919" t="s">
        <v>6071</v>
      </c>
      <c r="E1209" s="920">
        <v>1210</v>
      </c>
      <c r="F1209" s="919" t="s">
        <v>6088</v>
      </c>
      <c r="G1209" s="919" t="s">
        <v>6089</v>
      </c>
      <c r="H1209" s="919" t="s">
        <v>6071</v>
      </c>
      <c r="I1209" s="919" t="s">
        <v>3686</v>
      </c>
      <c r="J1209" s="919"/>
      <c r="K1209" s="920">
        <v>1</v>
      </c>
      <c r="L1209" s="920">
        <v>12</v>
      </c>
      <c r="M1209" s="920">
        <f t="shared" si="36"/>
        <v>14520</v>
      </c>
      <c r="N1209" s="919"/>
      <c r="O1209" s="919"/>
      <c r="P1209" s="921">
        <f t="shared" si="37"/>
        <v>0</v>
      </c>
    </row>
    <row r="1210" spans="1:16" ht="20.100000000000001" customHeight="1" x14ac:dyDescent="0.25">
      <c r="A1210" s="918" t="s">
        <v>484</v>
      </c>
      <c r="B1210" s="944" t="s">
        <v>3901</v>
      </c>
      <c r="C1210" s="919" t="s">
        <v>3902</v>
      </c>
      <c r="D1210" s="919" t="s">
        <v>4352</v>
      </c>
      <c r="E1210" s="920">
        <v>2420</v>
      </c>
      <c r="F1210" s="919" t="s">
        <v>6090</v>
      </c>
      <c r="G1210" s="919" t="s">
        <v>6091</v>
      </c>
      <c r="H1210" s="919" t="s">
        <v>4352</v>
      </c>
      <c r="I1210" s="919" t="s">
        <v>3724</v>
      </c>
      <c r="J1210" s="919"/>
      <c r="K1210" s="920">
        <v>1</v>
      </c>
      <c r="L1210" s="920">
        <v>12</v>
      </c>
      <c r="M1210" s="920">
        <f t="shared" si="36"/>
        <v>29040</v>
      </c>
      <c r="N1210" s="919"/>
      <c r="O1210" s="919"/>
      <c r="P1210" s="921">
        <f t="shared" si="37"/>
        <v>0</v>
      </c>
    </row>
    <row r="1211" spans="1:16" ht="20.100000000000001" customHeight="1" x14ac:dyDescent="0.25">
      <c r="A1211" s="918" t="s">
        <v>484</v>
      </c>
      <c r="B1211" s="944" t="s">
        <v>3901</v>
      </c>
      <c r="C1211" s="919" t="s">
        <v>3902</v>
      </c>
      <c r="D1211" s="919" t="s">
        <v>4483</v>
      </c>
      <c r="E1211" s="920">
        <v>1800</v>
      </c>
      <c r="F1211" s="919" t="s">
        <v>6092</v>
      </c>
      <c r="G1211" s="919" t="s">
        <v>6093</v>
      </c>
      <c r="H1211" s="919" t="s">
        <v>4483</v>
      </c>
      <c r="I1211" s="919" t="s">
        <v>3686</v>
      </c>
      <c r="J1211" s="919"/>
      <c r="K1211" s="920">
        <v>1</v>
      </c>
      <c r="L1211" s="920">
        <v>12</v>
      </c>
      <c r="M1211" s="920">
        <f t="shared" si="36"/>
        <v>21600</v>
      </c>
      <c r="N1211" s="919"/>
      <c r="O1211" s="919"/>
      <c r="P1211" s="921">
        <f t="shared" si="37"/>
        <v>0</v>
      </c>
    </row>
    <row r="1212" spans="1:16" ht="20.100000000000001" customHeight="1" x14ac:dyDescent="0.25">
      <c r="A1212" s="918" t="s">
        <v>484</v>
      </c>
      <c r="B1212" s="944" t="s">
        <v>3901</v>
      </c>
      <c r="C1212" s="919" t="s">
        <v>3902</v>
      </c>
      <c r="D1212" s="919" t="s">
        <v>6094</v>
      </c>
      <c r="E1212" s="920">
        <v>1210</v>
      </c>
      <c r="F1212" s="919" t="s">
        <v>6095</v>
      </c>
      <c r="G1212" s="919" t="s">
        <v>6096</v>
      </c>
      <c r="H1212" s="919" t="s">
        <v>6094</v>
      </c>
      <c r="I1212" s="919" t="s">
        <v>3686</v>
      </c>
      <c r="J1212" s="919"/>
      <c r="K1212" s="920">
        <v>1</v>
      </c>
      <c r="L1212" s="920">
        <v>12</v>
      </c>
      <c r="M1212" s="920">
        <f t="shared" si="36"/>
        <v>14520</v>
      </c>
      <c r="N1212" s="919"/>
      <c r="O1212" s="919"/>
      <c r="P1212" s="921">
        <f t="shared" si="37"/>
        <v>0</v>
      </c>
    </row>
    <row r="1213" spans="1:16" ht="20.100000000000001" customHeight="1" x14ac:dyDescent="0.25">
      <c r="A1213" s="918" t="s">
        <v>484</v>
      </c>
      <c r="B1213" s="944" t="s">
        <v>3901</v>
      </c>
      <c r="C1213" s="919" t="s">
        <v>3902</v>
      </c>
      <c r="D1213" s="919" t="s">
        <v>6071</v>
      </c>
      <c r="E1213" s="920">
        <v>1210</v>
      </c>
      <c r="F1213" s="919" t="s">
        <v>6097</v>
      </c>
      <c r="G1213" s="919" t="s">
        <v>6098</v>
      </c>
      <c r="H1213" s="919" t="s">
        <v>6071</v>
      </c>
      <c r="I1213" s="919" t="s">
        <v>3686</v>
      </c>
      <c r="J1213" s="919"/>
      <c r="K1213" s="920">
        <v>1</v>
      </c>
      <c r="L1213" s="920">
        <v>12</v>
      </c>
      <c r="M1213" s="920">
        <f t="shared" si="36"/>
        <v>14520</v>
      </c>
      <c r="N1213" s="919"/>
      <c r="O1213" s="919"/>
      <c r="P1213" s="921">
        <f t="shared" si="37"/>
        <v>0</v>
      </c>
    </row>
    <row r="1214" spans="1:16" ht="20.100000000000001" customHeight="1" x14ac:dyDescent="0.25">
      <c r="A1214" s="918" t="s">
        <v>484</v>
      </c>
      <c r="B1214" s="944" t="s">
        <v>3901</v>
      </c>
      <c r="C1214" s="919" t="s">
        <v>3902</v>
      </c>
      <c r="D1214" s="919" t="s">
        <v>4449</v>
      </c>
      <c r="E1214" s="920">
        <v>2200</v>
      </c>
      <c r="F1214" s="919" t="s">
        <v>6099</v>
      </c>
      <c r="G1214" s="919" t="s">
        <v>6100</v>
      </c>
      <c r="H1214" s="919" t="s">
        <v>4449</v>
      </c>
      <c r="I1214" s="919" t="s">
        <v>3724</v>
      </c>
      <c r="J1214" s="919"/>
      <c r="K1214" s="920">
        <v>1</v>
      </c>
      <c r="L1214" s="920">
        <v>12</v>
      </c>
      <c r="M1214" s="920">
        <f t="shared" si="36"/>
        <v>26400</v>
      </c>
      <c r="N1214" s="919"/>
      <c r="O1214" s="919"/>
      <c r="P1214" s="921">
        <f t="shared" si="37"/>
        <v>0</v>
      </c>
    </row>
    <row r="1215" spans="1:16" ht="20.100000000000001" customHeight="1" x14ac:dyDescent="0.25">
      <c r="A1215" s="918" t="s">
        <v>484</v>
      </c>
      <c r="B1215" s="944" t="s">
        <v>3901</v>
      </c>
      <c r="C1215" s="919" t="s">
        <v>3902</v>
      </c>
      <c r="D1215" s="919" t="s">
        <v>4390</v>
      </c>
      <c r="E1215" s="920">
        <v>1650</v>
      </c>
      <c r="F1215" s="919" t="s">
        <v>6101</v>
      </c>
      <c r="G1215" s="919" t="s">
        <v>6102</v>
      </c>
      <c r="H1215" s="919" t="s">
        <v>4390</v>
      </c>
      <c r="I1215" s="919" t="s">
        <v>3686</v>
      </c>
      <c r="J1215" s="919"/>
      <c r="K1215" s="920">
        <v>1</v>
      </c>
      <c r="L1215" s="920">
        <v>12</v>
      </c>
      <c r="M1215" s="920">
        <f t="shared" si="36"/>
        <v>19800</v>
      </c>
      <c r="N1215" s="919"/>
      <c r="O1215" s="919"/>
      <c r="P1215" s="921">
        <f t="shared" si="37"/>
        <v>0</v>
      </c>
    </row>
    <row r="1216" spans="1:16" ht="20.100000000000001" customHeight="1" x14ac:dyDescent="0.25">
      <c r="A1216" s="918" t="s">
        <v>484</v>
      </c>
      <c r="B1216" s="944" t="s">
        <v>3901</v>
      </c>
      <c r="C1216" s="919" t="s">
        <v>3902</v>
      </c>
      <c r="D1216" s="919" t="s">
        <v>4400</v>
      </c>
      <c r="E1216" s="920">
        <v>1000</v>
      </c>
      <c r="F1216" s="919" t="s">
        <v>6103</v>
      </c>
      <c r="G1216" s="919" t="s">
        <v>6104</v>
      </c>
      <c r="H1216" s="919" t="s">
        <v>4400</v>
      </c>
      <c r="I1216" s="919" t="s">
        <v>3686</v>
      </c>
      <c r="J1216" s="919"/>
      <c r="K1216" s="920">
        <v>1</v>
      </c>
      <c r="L1216" s="920">
        <v>12</v>
      </c>
      <c r="M1216" s="920">
        <f t="shared" si="36"/>
        <v>12000</v>
      </c>
      <c r="N1216" s="919"/>
      <c r="O1216" s="919"/>
      <c r="P1216" s="921">
        <f t="shared" si="37"/>
        <v>0</v>
      </c>
    </row>
    <row r="1217" spans="1:16" ht="20.100000000000001" customHeight="1" x14ac:dyDescent="0.25">
      <c r="A1217" s="918" t="s">
        <v>484</v>
      </c>
      <c r="B1217" s="944" t="s">
        <v>3901</v>
      </c>
      <c r="C1217" s="919" t="s">
        <v>3902</v>
      </c>
      <c r="D1217" s="919" t="s">
        <v>4109</v>
      </c>
      <c r="E1217" s="920">
        <v>1650</v>
      </c>
      <c r="F1217" s="919" t="s">
        <v>6105</v>
      </c>
      <c r="G1217" s="919" t="s">
        <v>6106</v>
      </c>
      <c r="H1217" s="919" t="s">
        <v>4109</v>
      </c>
      <c r="I1217" s="919" t="s">
        <v>3686</v>
      </c>
      <c r="J1217" s="919"/>
      <c r="K1217" s="920">
        <v>1</v>
      </c>
      <c r="L1217" s="920">
        <v>12</v>
      </c>
      <c r="M1217" s="920">
        <f t="shared" si="36"/>
        <v>19800</v>
      </c>
      <c r="N1217" s="919"/>
      <c r="O1217" s="919"/>
      <c r="P1217" s="921">
        <f t="shared" si="37"/>
        <v>0</v>
      </c>
    </row>
    <row r="1218" spans="1:16" ht="20.100000000000001" customHeight="1" x14ac:dyDescent="0.25">
      <c r="A1218" s="918" t="s">
        <v>484</v>
      </c>
      <c r="B1218" s="944" t="s">
        <v>3901</v>
      </c>
      <c r="C1218" s="919" t="s">
        <v>3902</v>
      </c>
      <c r="D1218" s="919" t="s">
        <v>6071</v>
      </c>
      <c r="E1218" s="920">
        <v>1650</v>
      </c>
      <c r="F1218" s="919" t="s">
        <v>6107</v>
      </c>
      <c r="G1218" s="919" t="s">
        <v>6108</v>
      </c>
      <c r="H1218" s="919" t="s">
        <v>6071</v>
      </c>
      <c r="I1218" s="919" t="s">
        <v>3686</v>
      </c>
      <c r="J1218" s="919"/>
      <c r="K1218" s="920">
        <v>1</v>
      </c>
      <c r="L1218" s="920">
        <v>12</v>
      </c>
      <c r="M1218" s="920">
        <f t="shared" si="36"/>
        <v>19800</v>
      </c>
      <c r="N1218" s="919"/>
      <c r="O1218" s="919"/>
      <c r="P1218" s="921">
        <f t="shared" si="37"/>
        <v>0</v>
      </c>
    </row>
    <row r="1219" spans="1:16" ht="20.100000000000001" customHeight="1" x14ac:dyDescent="0.25">
      <c r="A1219" s="918" t="s">
        <v>484</v>
      </c>
      <c r="B1219" s="944" t="s">
        <v>3901</v>
      </c>
      <c r="C1219" s="919" t="s">
        <v>3902</v>
      </c>
      <c r="D1219" s="919" t="s">
        <v>6074</v>
      </c>
      <c r="E1219" s="920">
        <v>1650</v>
      </c>
      <c r="F1219" s="919" t="s">
        <v>6109</v>
      </c>
      <c r="G1219" s="919" t="s">
        <v>6110</v>
      </c>
      <c r="H1219" s="919" t="s">
        <v>6074</v>
      </c>
      <c r="I1219" s="919" t="s">
        <v>3686</v>
      </c>
      <c r="J1219" s="919"/>
      <c r="K1219" s="920">
        <v>1</v>
      </c>
      <c r="L1219" s="920">
        <v>12</v>
      </c>
      <c r="M1219" s="920">
        <f t="shared" si="36"/>
        <v>19800</v>
      </c>
      <c r="N1219" s="919"/>
      <c r="O1219" s="919"/>
      <c r="P1219" s="921">
        <f t="shared" si="37"/>
        <v>0</v>
      </c>
    </row>
    <row r="1220" spans="1:16" ht="20.100000000000001" customHeight="1" x14ac:dyDescent="0.25">
      <c r="A1220" s="918" t="s">
        <v>484</v>
      </c>
      <c r="B1220" s="944" t="s">
        <v>3901</v>
      </c>
      <c r="C1220" s="919" t="s">
        <v>3902</v>
      </c>
      <c r="D1220" s="919" t="s">
        <v>4400</v>
      </c>
      <c r="E1220" s="920">
        <v>1000</v>
      </c>
      <c r="F1220" s="919" t="s">
        <v>6111</v>
      </c>
      <c r="G1220" s="919" t="s">
        <v>6112</v>
      </c>
      <c r="H1220" s="919" t="s">
        <v>4400</v>
      </c>
      <c r="I1220" s="919" t="s">
        <v>3686</v>
      </c>
      <c r="J1220" s="919"/>
      <c r="K1220" s="920">
        <v>1</v>
      </c>
      <c r="L1220" s="920">
        <v>12</v>
      </c>
      <c r="M1220" s="920">
        <f t="shared" si="36"/>
        <v>12000</v>
      </c>
      <c r="N1220" s="919"/>
      <c r="O1220" s="919"/>
      <c r="P1220" s="921">
        <f t="shared" si="37"/>
        <v>0</v>
      </c>
    </row>
    <row r="1221" spans="1:16" ht="20.100000000000001" customHeight="1" x14ac:dyDescent="0.25">
      <c r="A1221" s="918" t="s">
        <v>484</v>
      </c>
      <c r="B1221" s="944" t="s">
        <v>3901</v>
      </c>
      <c r="C1221" s="919" t="s">
        <v>3902</v>
      </c>
      <c r="D1221" s="919" t="s">
        <v>3999</v>
      </c>
      <c r="E1221" s="920">
        <v>2420</v>
      </c>
      <c r="F1221" s="919" t="s">
        <v>4041</v>
      </c>
      <c r="G1221" s="919" t="s">
        <v>4042</v>
      </c>
      <c r="H1221" s="919" t="s">
        <v>3999</v>
      </c>
      <c r="I1221" s="919" t="s">
        <v>3724</v>
      </c>
      <c r="J1221" s="919"/>
      <c r="K1221" s="920">
        <v>1</v>
      </c>
      <c r="L1221" s="920">
        <v>12</v>
      </c>
      <c r="M1221" s="920">
        <f t="shared" si="36"/>
        <v>29040</v>
      </c>
      <c r="N1221" s="919"/>
      <c r="O1221" s="919"/>
      <c r="P1221" s="921">
        <f t="shared" si="37"/>
        <v>0</v>
      </c>
    </row>
    <row r="1222" spans="1:16" ht="20.100000000000001" customHeight="1" x14ac:dyDescent="0.25">
      <c r="A1222" s="918" t="s">
        <v>484</v>
      </c>
      <c r="B1222" s="944" t="s">
        <v>3901</v>
      </c>
      <c r="C1222" s="919" t="s">
        <v>3902</v>
      </c>
      <c r="D1222" s="919" t="s">
        <v>6071</v>
      </c>
      <c r="E1222" s="920">
        <v>1430</v>
      </c>
      <c r="F1222" s="919" t="s">
        <v>6113</v>
      </c>
      <c r="G1222" s="919" t="s">
        <v>6114</v>
      </c>
      <c r="H1222" s="919" t="s">
        <v>6071</v>
      </c>
      <c r="I1222" s="919" t="s">
        <v>3686</v>
      </c>
      <c r="J1222" s="919"/>
      <c r="K1222" s="920">
        <v>1</v>
      </c>
      <c r="L1222" s="920">
        <v>12</v>
      </c>
      <c r="M1222" s="920">
        <f t="shared" ref="M1222:M1285" si="38">E1222*L1222</f>
        <v>17160</v>
      </c>
      <c r="N1222" s="919"/>
      <c r="O1222" s="919"/>
      <c r="P1222" s="921">
        <f t="shared" ref="P1222:P1285" si="39">E1222*O1222</f>
        <v>0</v>
      </c>
    </row>
    <row r="1223" spans="1:16" ht="20.100000000000001" customHeight="1" x14ac:dyDescent="0.25">
      <c r="A1223" s="918" t="s">
        <v>484</v>
      </c>
      <c r="B1223" s="944" t="s">
        <v>3901</v>
      </c>
      <c r="C1223" s="919" t="s">
        <v>3902</v>
      </c>
      <c r="D1223" s="919" t="s">
        <v>6115</v>
      </c>
      <c r="E1223" s="920">
        <v>2750</v>
      </c>
      <c r="F1223" s="919" t="s">
        <v>6116</v>
      </c>
      <c r="G1223" s="919" t="s">
        <v>6117</v>
      </c>
      <c r="H1223" s="919" t="s">
        <v>6115</v>
      </c>
      <c r="I1223" s="919" t="s">
        <v>3679</v>
      </c>
      <c r="J1223" s="919"/>
      <c r="K1223" s="920">
        <v>1</v>
      </c>
      <c r="L1223" s="920">
        <v>12</v>
      </c>
      <c r="M1223" s="920">
        <f t="shared" si="38"/>
        <v>33000</v>
      </c>
      <c r="N1223" s="919"/>
      <c r="O1223" s="919"/>
      <c r="P1223" s="921">
        <f t="shared" si="39"/>
        <v>0</v>
      </c>
    </row>
    <row r="1224" spans="1:16" ht="20.100000000000001" customHeight="1" x14ac:dyDescent="0.25">
      <c r="A1224" s="918" t="s">
        <v>484</v>
      </c>
      <c r="B1224" s="944" t="s">
        <v>3901</v>
      </c>
      <c r="C1224" s="919" t="s">
        <v>3902</v>
      </c>
      <c r="D1224" s="919" t="s">
        <v>4382</v>
      </c>
      <c r="E1224" s="920">
        <v>2600</v>
      </c>
      <c r="F1224" s="919" t="s">
        <v>6118</v>
      </c>
      <c r="G1224" s="919" t="s">
        <v>6119</v>
      </c>
      <c r="H1224" s="919" t="s">
        <v>4382</v>
      </c>
      <c r="I1224" s="919" t="s">
        <v>3724</v>
      </c>
      <c r="J1224" s="919"/>
      <c r="K1224" s="920">
        <v>1</v>
      </c>
      <c r="L1224" s="920">
        <v>12</v>
      </c>
      <c r="M1224" s="920">
        <f t="shared" si="38"/>
        <v>31200</v>
      </c>
      <c r="N1224" s="919"/>
      <c r="O1224" s="919"/>
      <c r="P1224" s="921">
        <f t="shared" si="39"/>
        <v>0</v>
      </c>
    </row>
    <row r="1225" spans="1:16" ht="20.100000000000001" customHeight="1" x14ac:dyDescent="0.25">
      <c r="A1225" s="918" t="s">
        <v>484</v>
      </c>
      <c r="B1225" s="944" t="s">
        <v>3901</v>
      </c>
      <c r="C1225" s="919" t="s">
        <v>3902</v>
      </c>
      <c r="D1225" s="919" t="s">
        <v>6120</v>
      </c>
      <c r="E1225" s="920">
        <v>3080</v>
      </c>
      <c r="F1225" s="919" t="s">
        <v>6121</v>
      </c>
      <c r="G1225" s="919" t="s">
        <v>6122</v>
      </c>
      <c r="H1225" s="919" t="s">
        <v>6120</v>
      </c>
      <c r="I1225" s="919" t="s">
        <v>3724</v>
      </c>
      <c r="J1225" s="919"/>
      <c r="K1225" s="920">
        <v>1</v>
      </c>
      <c r="L1225" s="920">
        <v>12</v>
      </c>
      <c r="M1225" s="920">
        <f t="shared" si="38"/>
        <v>36960</v>
      </c>
      <c r="N1225" s="919"/>
      <c r="O1225" s="919"/>
      <c r="P1225" s="921">
        <f t="shared" si="39"/>
        <v>0</v>
      </c>
    </row>
    <row r="1226" spans="1:16" ht="20.100000000000001" customHeight="1" x14ac:dyDescent="0.25">
      <c r="A1226" s="918" t="s">
        <v>484</v>
      </c>
      <c r="B1226" s="944" t="s">
        <v>3901</v>
      </c>
      <c r="C1226" s="919" t="s">
        <v>3902</v>
      </c>
      <c r="D1226" s="919" t="s">
        <v>6071</v>
      </c>
      <c r="E1226" s="920">
        <v>1650</v>
      </c>
      <c r="F1226" s="919" t="s">
        <v>6123</v>
      </c>
      <c r="G1226" s="919" t="s">
        <v>6124</v>
      </c>
      <c r="H1226" s="919" t="s">
        <v>6071</v>
      </c>
      <c r="I1226" s="919" t="s">
        <v>3686</v>
      </c>
      <c r="J1226" s="919"/>
      <c r="K1226" s="920">
        <v>1</v>
      </c>
      <c r="L1226" s="920">
        <v>12</v>
      </c>
      <c r="M1226" s="920">
        <f t="shared" si="38"/>
        <v>19800</v>
      </c>
      <c r="N1226" s="919"/>
      <c r="O1226" s="919"/>
      <c r="P1226" s="921">
        <f t="shared" si="39"/>
        <v>0</v>
      </c>
    </row>
    <row r="1227" spans="1:16" ht="20.100000000000001" customHeight="1" x14ac:dyDescent="0.25">
      <c r="A1227" s="918" t="s">
        <v>484</v>
      </c>
      <c r="B1227" s="944" t="s">
        <v>3901</v>
      </c>
      <c r="C1227" s="919" t="s">
        <v>3902</v>
      </c>
      <c r="D1227" s="919" t="s">
        <v>6125</v>
      </c>
      <c r="E1227" s="920">
        <v>2200</v>
      </c>
      <c r="F1227" s="919" t="s">
        <v>6126</v>
      </c>
      <c r="G1227" s="919" t="s">
        <v>6127</v>
      </c>
      <c r="H1227" s="919" t="s">
        <v>6125</v>
      </c>
      <c r="I1227" s="919" t="s">
        <v>3724</v>
      </c>
      <c r="J1227" s="919"/>
      <c r="K1227" s="920">
        <v>1</v>
      </c>
      <c r="L1227" s="920">
        <v>12</v>
      </c>
      <c r="M1227" s="920">
        <f t="shared" si="38"/>
        <v>26400</v>
      </c>
      <c r="N1227" s="919"/>
      <c r="O1227" s="919"/>
      <c r="P1227" s="921">
        <f t="shared" si="39"/>
        <v>0</v>
      </c>
    </row>
    <row r="1228" spans="1:16" ht="20.100000000000001" customHeight="1" x14ac:dyDescent="0.25">
      <c r="A1228" s="918" t="s">
        <v>484</v>
      </c>
      <c r="B1228" s="944" t="s">
        <v>3901</v>
      </c>
      <c r="C1228" s="919" t="s">
        <v>3902</v>
      </c>
      <c r="D1228" s="919" t="s">
        <v>6071</v>
      </c>
      <c r="E1228" s="920">
        <v>1210</v>
      </c>
      <c r="F1228" s="919" t="s">
        <v>6128</v>
      </c>
      <c r="G1228" s="919" t="s">
        <v>6129</v>
      </c>
      <c r="H1228" s="919" t="s">
        <v>6071</v>
      </c>
      <c r="I1228" s="919" t="s">
        <v>3686</v>
      </c>
      <c r="J1228" s="919"/>
      <c r="K1228" s="920">
        <v>1</v>
      </c>
      <c r="L1228" s="920">
        <v>12</v>
      </c>
      <c r="M1228" s="920">
        <f t="shared" si="38"/>
        <v>14520</v>
      </c>
      <c r="N1228" s="919"/>
      <c r="O1228" s="919"/>
      <c r="P1228" s="921">
        <f t="shared" si="39"/>
        <v>0</v>
      </c>
    </row>
    <row r="1229" spans="1:16" ht="20.100000000000001" customHeight="1" x14ac:dyDescent="0.25">
      <c r="A1229" s="918" t="s">
        <v>484</v>
      </c>
      <c r="B1229" s="944" t="s">
        <v>3901</v>
      </c>
      <c r="C1229" s="919" t="s">
        <v>3902</v>
      </c>
      <c r="D1229" s="919" t="s">
        <v>6130</v>
      </c>
      <c r="E1229" s="920">
        <v>1430</v>
      </c>
      <c r="F1229" s="919" t="s">
        <v>6131</v>
      </c>
      <c r="G1229" s="919" t="s">
        <v>6132</v>
      </c>
      <c r="H1229" s="919" t="s">
        <v>6130</v>
      </c>
      <c r="I1229" s="919" t="s">
        <v>3686</v>
      </c>
      <c r="J1229" s="919"/>
      <c r="K1229" s="920">
        <v>1</v>
      </c>
      <c r="L1229" s="920">
        <v>12</v>
      </c>
      <c r="M1229" s="920">
        <f t="shared" si="38"/>
        <v>17160</v>
      </c>
      <c r="N1229" s="919"/>
      <c r="O1229" s="919"/>
      <c r="P1229" s="921">
        <f t="shared" si="39"/>
        <v>0</v>
      </c>
    </row>
    <row r="1230" spans="1:16" ht="20.100000000000001" customHeight="1" x14ac:dyDescent="0.25">
      <c r="A1230" s="918" t="s">
        <v>484</v>
      </c>
      <c r="B1230" s="944" t="s">
        <v>3901</v>
      </c>
      <c r="C1230" s="919" t="s">
        <v>3902</v>
      </c>
      <c r="D1230" s="919" t="s">
        <v>4352</v>
      </c>
      <c r="E1230" s="920">
        <v>1980</v>
      </c>
      <c r="F1230" s="919" t="s">
        <v>6133</v>
      </c>
      <c r="G1230" s="919" t="s">
        <v>6134</v>
      </c>
      <c r="H1230" s="919" t="s">
        <v>4352</v>
      </c>
      <c r="I1230" s="919" t="s">
        <v>3724</v>
      </c>
      <c r="J1230" s="919"/>
      <c r="K1230" s="920">
        <v>1</v>
      </c>
      <c r="L1230" s="920">
        <v>12</v>
      </c>
      <c r="M1230" s="920">
        <f t="shared" si="38"/>
        <v>23760</v>
      </c>
      <c r="N1230" s="919"/>
      <c r="O1230" s="919"/>
      <c r="P1230" s="921">
        <f t="shared" si="39"/>
        <v>0</v>
      </c>
    </row>
    <row r="1231" spans="1:16" ht="20.100000000000001" customHeight="1" x14ac:dyDescent="0.25">
      <c r="A1231" s="918" t="s">
        <v>484</v>
      </c>
      <c r="B1231" s="944" t="s">
        <v>3901</v>
      </c>
      <c r="C1231" s="919" t="s">
        <v>3902</v>
      </c>
      <c r="D1231" s="919" t="s">
        <v>6071</v>
      </c>
      <c r="E1231" s="920">
        <v>1430</v>
      </c>
      <c r="F1231" s="919" t="s">
        <v>6135</v>
      </c>
      <c r="G1231" s="919" t="s">
        <v>6136</v>
      </c>
      <c r="H1231" s="919" t="s">
        <v>6071</v>
      </c>
      <c r="I1231" s="919" t="s">
        <v>3686</v>
      </c>
      <c r="J1231" s="919"/>
      <c r="K1231" s="920">
        <v>1</v>
      </c>
      <c r="L1231" s="920">
        <v>12</v>
      </c>
      <c r="M1231" s="920">
        <f t="shared" si="38"/>
        <v>17160</v>
      </c>
      <c r="N1231" s="919"/>
      <c r="O1231" s="919"/>
      <c r="P1231" s="921">
        <f t="shared" si="39"/>
        <v>0</v>
      </c>
    </row>
    <row r="1232" spans="1:16" ht="20.100000000000001" customHeight="1" x14ac:dyDescent="0.25">
      <c r="A1232" s="918" t="s">
        <v>484</v>
      </c>
      <c r="B1232" s="944" t="s">
        <v>3901</v>
      </c>
      <c r="C1232" s="919" t="s">
        <v>3902</v>
      </c>
      <c r="D1232" s="919" t="s">
        <v>6074</v>
      </c>
      <c r="E1232" s="920">
        <v>1980</v>
      </c>
      <c r="F1232" s="919" t="s">
        <v>6137</v>
      </c>
      <c r="G1232" s="919" t="s">
        <v>6138</v>
      </c>
      <c r="H1232" s="919" t="s">
        <v>6074</v>
      </c>
      <c r="I1232" s="919" t="s">
        <v>3686</v>
      </c>
      <c r="J1232" s="919"/>
      <c r="K1232" s="920">
        <v>1</v>
      </c>
      <c r="L1232" s="920">
        <v>12</v>
      </c>
      <c r="M1232" s="920">
        <f t="shared" si="38"/>
        <v>23760</v>
      </c>
      <c r="N1232" s="919"/>
      <c r="O1232" s="919"/>
      <c r="P1232" s="921">
        <f t="shared" si="39"/>
        <v>0</v>
      </c>
    </row>
    <row r="1233" spans="1:16" ht="20.100000000000001" customHeight="1" x14ac:dyDescent="0.25">
      <c r="A1233" s="918" t="s">
        <v>484</v>
      </c>
      <c r="B1233" s="944" t="s">
        <v>3901</v>
      </c>
      <c r="C1233" s="919" t="s">
        <v>3902</v>
      </c>
      <c r="D1233" s="919" t="s">
        <v>6125</v>
      </c>
      <c r="E1233" s="920">
        <v>2200</v>
      </c>
      <c r="F1233" s="919" t="s">
        <v>6139</v>
      </c>
      <c r="G1233" s="919" t="s">
        <v>6140</v>
      </c>
      <c r="H1233" s="919" t="s">
        <v>6125</v>
      </c>
      <c r="I1233" s="919" t="s">
        <v>3724</v>
      </c>
      <c r="J1233" s="919"/>
      <c r="K1233" s="920">
        <v>1</v>
      </c>
      <c r="L1233" s="920">
        <v>12</v>
      </c>
      <c r="M1233" s="920">
        <f t="shared" si="38"/>
        <v>26400</v>
      </c>
      <c r="N1233" s="919"/>
      <c r="O1233" s="919"/>
      <c r="P1233" s="921">
        <f t="shared" si="39"/>
        <v>0</v>
      </c>
    </row>
    <row r="1234" spans="1:16" ht="20.100000000000001" customHeight="1" x14ac:dyDescent="0.25">
      <c r="A1234" s="918" t="s">
        <v>484</v>
      </c>
      <c r="B1234" s="944" t="s">
        <v>3901</v>
      </c>
      <c r="C1234" s="919" t="s">
        <v>3902</v>
      </c>
      <c r="D1234" s="919" t="s">
        <v>6071</v>
      </c>
      <c r="E1234" s="920">
        <v>1210</v>
      </c>
      <c r="F1234" s="919" t="s">
        <v>6141</v>
      </c>
      <c r="G1234" s="919" t="s">
        <v>6142</v>
      </c>
      <c r="H1234" s="919" t="s">
        <v>6071</v>
      </c>
      <c r="I1234" s="919" t="s">
        <v>3686</v>
      </c>
      <c r="J1234" s="919"/>
      <c r="K1234" s="920">
        <v>1</v>
      </c>
      <c r="L1234" s="920">
        <v>12</v>
      </c>
      <c r="M1234" s="920">
        <f t="shared" si="38"/>
        <v>14520</v>
      </c>
      <c r="N1234" s="919"/>
      <c r="O1234" s="919"/>
      <c r="P1234" s="921">
        <f t="shared" si="39"/>
        <v>0</v>
      </c>
    </row>
    <row r="1235" spans="1:16" ht="20.100000000000001" customHeight="1" x14ac:dyDescent="0.25">
      <c r="A1235" s="918" t="s">
        <v>484</v>
      </c>
      <c r="B1235" s="944" t="s">
        <v>3901</v>
      </c>
      <c r="C1235" s="919" t="s">
        <v>3902</v>
      </c>
      <c r="D1235" s="919" t="s">
        <v>6071</v>
      </c>
      <c r="E1235" s="920">
        <v>1210</v>
      </c>
      <c r="F1235" s="919" t="s">
        <v>6143</v>
      </c>
      <c r="G1235" s="919" t="s">
        <v>6144</v>
      </c>
      <c r="H1235" s="919" t="s">
        <v>6071</v>
      </c>
      <c r="I1235" s="919" t="s">
        <v>3686</v>
      </c>
      <c r="J1235" s="919"/>
      <c r="K1235" s="920">
        <v>1</v>
      </c>
      <c r="L1235" s="920">
        <v>12</v>
      </c>
      <c r="M1235" s="920">
        <f t="shared" si="38"/>
        <v>14520</v>
      </c>
      <c r="N1235" s="919"/>
      <c r="O1235" s="919"/>
      <c r="P1235" s="921">
        <f t="shared" si="39"/>
        <v>0</v>
      </c>
    </row>
    <row r="1236" spans="1:16" ht="20.100000000000001" customHeight="1" x14ac:dyDescent="0.25">
      <c r="A1236" s="918" t="s">
        <v>484</v>
      </c>
      <c r="B1236" s="944" t="s">
        <v>3901</v>
      </c>
      <c r="C1236" s="919" t="s">
        <v>3902</v>
      </c>
      <c r="D1236" s="919" t="s">
        <v>6145</v>
      </c>
      <c r="E1236" s="920">
        <v>2420</v>
      </c>
      <c r="F1236" s="919" t="s">
        <v>6146</v>
      </c>
      <c r="G1236" s="919" t="s">
        <v>6147</v>
      </c>
      <c r="H1236" s="919" t="s">
        <v>6145</v>
      </c>
      <c r="I1236" s="919" t="s">
        <v>3679</v>
      </c>
      <c r="J1236" s="919"/>
      <c r="K1236" s="920">
        <v>1</v>
      </c>
      <c r="L1236" s="920">
        <v>12</v>
      </c>
      <c r="M1236" s="920">
        <f t="shared" si="38"/>
        <v>29040</v>
      </c>
      <c r="N1236" s="919"/>
      <c r="O1236" s="919"/>
      <c r="P1236" s="921">
        <f t="shared" si="39"/>
        <v>0</v>
      </c>
    </row>
    <row r="1237" spans="1:16" ht="20.100000000000001" customHeight="1" x14ac:dyDescent="0.25">
      <c r="A1237" s="918" t="s">
        <v>484</v>
      </c>
      <c r="B1237" s="944" t="s">
        <v>3901</v>
      </c>
      <c r="C1237" s="919" t="s">
        <v>3902</v>
      </c>
      <c r="D1237" s="919" t="s">
        <v>4244</v>
      </c>
      <c r="E1237" s="920">
        <v>2750</v>
      </c>
      <c r="F1237" s="919" t="s">
        <v>6148</v>
      </c>
      <c r="G1237" s="919" t="s">
        <v>6149</v>
      </c>
      <c r="H1237" s="919" t="s">
        <v>4244</v>
      </c>
      <c r="I1237" s="919" t="s">
        <v>3679</v>
      </c>
      <c r="J1237" s="919"/>
      <c r="K1237" s="920">
        <v>1</v>
      </c>
      <c r="L1237" s="920">
        <v>12</v>
      </c>
      <c r="M1237" s="920">
        <f t="shared" si="38"/>
        <v>33000</v>
      </c>
      <c r="N1237" s="919"/>
      <c r="O1237" s="919"/>
      <c r="P1237" s="921">
        <f t="shared" si="39"/>
        <v>0</v>
      </c>
    </row>
    <row r="1238" spans="1:16" ht="20.100000000000001" customHeight="1" x14ac:dyDescent="0.25">
      <c r="A1238" s="918" t="s">
        <v>484</v>
      </c>
      <c r="B1238" s="944" t="s">
        <v>3901</v>
      </c>
      <c r="C1238" s="919" t="s">
        <v>3902</v>
      </c>
      <c r="D1238" s="919" t="s">
        <v>4109</v>
      </c>
      <c r="E1238" s="920">
        <v>1650</v>
      </c>
      <c r="F1238" s="919" t="s">
        <v>6150</v>
      </c>
      <c r="G1238" s="919" t="s">
        <v>6151</v>
      </c>
      <c r="H1238" s="919" t="s">
        <v>4109</v>
      </c>
      <c r="I1238" s="919" t="s">
        <v>3686</v>
      </c>
      <c r="J1238" s="919"/>
      <c r="K1238" s="920">
        <v>1</v>
      </c>
      <c r="L1238" s="920">
        <v>12</v>
      </c>
      <c r="M1238" s="920">
        <f t="shared" si="38"/>
        <v>19800</v>
      </c>
      <c r="N1238" s="919"/>
      <c r="O1238" s="919"/>
      <c r="P1238" s="921">
        <f t="shared" si="39"/>
        <v>0</v>
      </c>
    </row>
    <row r="1239" spans="1:16" ht="20.100000000000001" customHeight="1" x14ac:dyDescent="0.25">
      <c r="A1239" s="918" t="s">
        <v>484</v>
      </c>
      <c r="B1239" s="944" t="s">
        <v>3901</v>
      </c>
      <c r="C1239" s="919" t="s">
        <v>3902</v>
      </c>
      <c r="D1239" s="919" t="s">
        <v>6120</v>
      </c>
      <c r="E1239" s="920">
        <v>3520</v>
      </c>
      <c r="F1239" s="919" t="s">
        <v>6152</v>
      </c>
      <c r="G1239" s="919" t="s">
        <v>6153</v>
      </c>
      <c r="H1239" s="919" t="s">
        <v>6120</v>
      </c>
      <c r="I1239" s="919" t="s">
        <v>3724</v>
      </c>
      <c r="J1239" s="919"/>
      <c r="K1239" s="920">
        <v>1</v>
      </c>
      <c r="L1239" s="920">
        <v>12</v>
      </c>
      <c r="M1239" s="920">
        <f t="shared" si="38"/>
        <v>42240</v>
      </c>
      <c r="N1239" s="919"/>
      <c r="O1239" s="919"/>
      <c r="P1239" s="921">
        <f t="shared" si="39"/>
        <v>0</v>
      </c>
    </row>
    <row r="1240" spans="1:16" ht="20.100000000000001" customHeight="1" x14ac:dyDescent="0.25">
      <c r="A1240" s="918" t="s">
        <v>484</v>
      </c>
      <c r="B1240" s="944" t="s">
        <v>3901</v>
      </c>
      <c r="C1240" s="919" t="s">
        <v>3902</v>
      </c>
      <c r="D1240" s="919" t="s">
        <v>6071</v>
      </c>
      <c r="E1240" s="920">
        <v>1650</v>
      </c>
      <c r="F1240" s="919" t="s">
        <v>6154</v>
      </c>
      <c r="G1240" s="919" t="s">
        <v>6155</v>
      </c>
      <c r="H1240" s="919" t="s">
        <v>6071</v>
      </c>
      <c r="I1240" s="919" t="s">
        <v>3686</v>
      </c>
      <c r="J1240" s="919"/>
      <c r="K1240" s="920">
        <v>1</v>
      </c>
      <c r="L1240" s="920">
        <v>12</v>
      </c>
      <c r="M1240" s="920">
        <f t="shared" si="38"/>
        <v>19800</v>
      </c>
      <c r="N1240" s="919"/>
      <c r="O1240" s="919"/>
      <c r="P1240" s="921">
        <f t="shared" si="39"/>
        <v>0</v>
      </c>
    </row>
    <row r="1241" spans="1:16" ht="20.100000000000001" customHeight="1" x14ac:dyDescent="0.25">
      <c r="A1241" s="918" t="s">
        <v>484</v>
      </c>
      <c r="B1241" s="944" t="s">
        <v>3901</v>
      </c>
      <c r="C1241" s="919" t="s">
        <v>3902</v>
      </c>
      <c r="D1241" s="919" t="s">
        <v>6071</v>
      </c>
      <c r="E1241" s="920">
        <v>1650</v>
      </c>
      <c r="F1241" s="919" t="s">
        <v>6156</v>
      </c>
      <c r="G1241" s="919" t="s">
        <v>6157</v>
      </c>
      <c r="H1241" s="919" t="s">
        <v>6071</v>
      </c>
      <c r="I1241" s="919" t="s">
        <v>3686</v>
      </c>
      <c r="J1241" s="919"/>
      <c r="K1241" s="920">
        <v>1</v>
      </c>
      <c r="L1241" s="920">
        <v>12</v>
      </c>
      <c r="M1241" s="920">
        <f t="shared" si="38"/>
        <v>19800</v>
      </c>
      <c r="N1241" s="919"/>
      <c r="O1241" s="919"/>
      <c r="P1241" s="921">
        <f t="shared" si="39"/>
        <v>0</v>
      </c>
    </row>
    <row r="1242" spans="1:16" ht="20.100000000000001" customHeight="1" x14ac:dyDescent="0.25">
      <c r="A1242" s="918" t="s">
        <v>484</v>
      </c>
      <c r="B1242" s="944" t="s">
        <v>3901</v>
      </c>
      <c r="C1242" s="919" t="s">
        <v>3902</v>
      </c>
      <c r="D1242" s="919" t="s">
        <v>6071</v>
      </c>
      <c r="E1242" s="920">
        <v>1650</v>
      </c>
      <c r="F1242" s="919" t="s">
        <v>6158</v>
      </c>
      <c r="G1242" s="919" t="s">
        <v>6159</v>
      </c>
      <c r="H1242" s="919" t="s">
        <v>6071</v>
      </c>
      <c r="I1242" s="919" t="s">
        <v>3686</v>
      </c>
      <c r="J1242" s="919"/>
      <c r="K1242" s="920">
        <v>1</v>
      </c>
      <c r="L1242" s="920">
        <v>12</v>
      </c>
      <c r="M1242" s="920">
        <f t="shared" si="38"/>
        <v>19800</v>
      </c>
      <c r="N1242" s="919"/>
      <c r="O1242" s="919"/>
      <c r="P1242" s="921">
        <f t="shared" si="39"/>
        <v>0</v>
      </c>
    </row>
    <row r="1243" spans="1:16" ht="20.100000000000001" customHeight="1" x14ac:dyDescent="0.25">
      <c r="A1243" s="918" t="s">
        <v>484</v>
      </c>
      <c r="B1243" s="944" t="s">
        <v>3901</v>
      </c>
      <c r="C1243" s="919" t="s">
        <v>3902</v>
      </c>
      <c r="D1243" s="919" t="s">
        <v>4266</v>
      </c>
      <c r="E1243" s="920">
        <v>1000</v>
      </c>
      <c r="F1243" s="919" t="s">
        <v>6160</v>
      </c>
      <c r="G1243" s="919" t="s">
        <v>6161</v>
      </c>
      <c r="H1243" s="919" t="s">
        <v>4266</v>
      </c>
      <c r="I1243" s="919" t="s">
        <v>3686</v>
      </c>
      <c r="J1243" s="919"/>
      <c r="K1243" s="920">
        <v>1</v>
      </c>
      <c r="L1243" s="920">
        <v>12</v>
      </c>
      <c r="M1243" s="920">
        <f t="shared" si="38"/>
        <v>12000</v>
      </c>
      <c r="N1243" s="919"/>
      <c r="O1243" s="919"/>
      <c r="P1243" s="921">
        <f t="shared" si="39"/>
        <v>0</v>
      </c>
    </row>
    <row r="1244" spans="1:16" ht="20.100000000000001" customHeight="1" x14ac:dyDescent="0.25">
      <c r="A1244" s="918" t="s">
        <v>484</v>
      </c>
      <c r="B1244" s="944" t="s">
        <v>3901</v>
      </c>
      <c r="C1244" s="919" t="s">
        <v>3902</v>
      </c>
      <c r="D1244" s="919" t="s">
        <v>6074</v>
      </c>
      <c r="E1244" s="920">
        <v>1650</v>
      </c>
      <c r="F1244" s="919" t="s">
        <v>6162</v>
      </c>
      <c r="G1244" s="919" t="s">
        <v>6163</v>
      </c>
      <c r="H1244" s="919" t="s">
        <v>6074</v>
      </c>
      <c r="I1244" s="919" t="s">
        <v>3686</v>
      </c>
      <c r="J1244" s="919"/>
      <c r="K1244" s="920">
        <v>1</v>
      </c>
      <c r="L1244" s="920">
        <v>12</v>
      </c>
      <c r="M1244" s="920">
        <f t="shared" si="38"/>
        <v>19800</v>
      </c>
      <c r="N1244" s="919"/>
      <c r="O1244" s="919"/>
      <c r="P1244" s="921">
        <f t="shared" si="39"/>
        <v>0</v>
      </c>
    </row>
    <row r="1245" spans="1:16" ht="20.100000000000001" customHeight="1" x14ac:dyDescent="0.25">
      <c r="A1245" s="918" t="s">
        <v>484</v>
      </c>
      <c r="B1245" s="944" t="s">
        <v>3901</v>
      </c>
      <c r="C1245" s="919" t="s">
        <v>3902</v>
      </c>
      <c r="D1245" s="919" t="s">
        <v>6164</v>
      </c>
      <c r="E1245" s="920">
        <v>1760</v>
      </c>
      <c r="F1245" s="919" t="s">
        <v>6165</v>
      </c>
      <c r="G1245" s="919" t="s">
        <v>6166</v>
      </c>
      <c r="H1245" s="919" t="s">
        <v>6164</v>
      </c>
      <c r="I1245" s="919" t="s">
        <v>3724</v>
      </c>
      <c r="J1245" s="919"/>
      <c r="K1245" s="920">
        <v>1</v>
      </c>
      <c r="L1245" s="920">
        <v>12</v>
      </c>
      <c r="M1245" s="920">
        <f t="shared" si="38"/>
        <v>21120</v>
      </c>
      <c r="N1245" s="919"/>
      <c r="O1245" s="919"/>
      <c r="P1245" s="921">
        <f t="shared" si="39"/>
        <v>0</v>
      </c>
    </row>
    <row r="1246" spans="1:16" ht="20.100000000000001" customHeight="1" x14ac:dyDescent="0.25">
      <c r="A1246" s="918" t="s">
        <v>484</v>
      </c>
      <c r="B1246" s="944" t="s">
        <v>3901</v>
      </c>
      <c r="C1246" s="919" t="s">
        <v>3902</v>
      </c>
      <c r="D1246" s="919" t="s">
        <v>6071</v>
      </c>
      <c r="E1246" s="920">
        <v>1430</v>
      </c>
      <c r="F1246" s="919" t="s">
        <v>6167</v>
      </c>
      <c r="G1246" s="919" t="s">
        <v>6168</v>
      </c>
      <c r="H1246" s="919" t="s">
        <v>6071</v>
      </c>
      <c r="I1246" s="919" t="s">
        <v>3686</v>
      </c>
      <c r="J1246" s="919"/>
      <c r="K1246" s="920">
        <v>1</v>
      </c>
      <c r="L1246" s="920">
        <v>12</v>
      </c>
      <c r="M1246" s="920">
        <f t="shared" si="38"/>
        <v>17160</v>
      </c>
      <c r="N1246" s="919"/>
      <c r="O1246" s="919"/>
      <c r="P1246" s="921">
        <f t="shared" si="39"/>
        <v>0</v>
      </c>
    </row>
    <row r="1247" spans="1:16" ht="20.100000000000001" customHeight="1" x14ac:dyDescent="0.25">
      <c r="A1247" s="918" t="s">
        <v>484</v>
      </c>
      <c r="B1247" s="944" t="s">
        <v>3901</v>
      </c>
      <c r="C1247" s="919" t="s">
        <v>3902</v>
      </c>
      <c r="D1247" s="919" t="s">
        <v>4266</v>
      </c>
      <c r="E1247" s="920">
        <v>1320</v>
      </c>
      <c r="F1247" s="919" t="s">
        <v>6169</v>
      </c>
      <c r="G1247" s="919" t="s">
        <v>6170</v>
      </c>
      <c r="H1247" s="919" t="s">
        <v>4266</v>
      </c>
      <c r="I1247" s="919" t="s">
        <v>3686</v>
      </c>
      <c r="J1247" s="919"/>
      <c r="K1247" s="920">
        <v>1</v>
      </c>
      <c r="L1247" s="920">
        <v>12</v>
      </c>
      <c r="M1247" s="920">
        <f t="shared" si="38"/>
        <v>15840</v>
      </c>
      <c r="N1247" s="919"/>
      <c r="O1247" s="919"/>
      <c r="P1247" s="921">
        <f t="shared" si="39"/>
        <v>0</v>
      </c>
    </row>
    <row r="1248" spans="1:16" ht="20.100000000000001" customHeight="1" x14ac:dyDescent="0.25">
      <c r="A1248" s="918" t="s">
        <v>484</v>
      </c>
      <c r="B1248" s="944" t="s">
        <v>3901</v>
      </c>
      <c r="C1248" s="919" t="s">
        <v>3902</v>
      </c>
      <c r="D1248" s="919" t="s">
        <v>6071</v>
      </c>
      <c r="E1248" s="920">
        <v>1430</v>
      </c>
      <c r="F1248" s="919" t="s">
        <v>6171</v>
      </c>
      <c r="G1248" s="919" t="s">
        <v>6172</v>
      </c>
      <c r="H1248" s="919" t="s">
        <v>6071</v>
      </c>
      <c r="I1248" s="919" t="s">
        <v>3686</v>
      </c>
      <c r="J1248" s="919"/>
      <c r="K1248" s="920">
        <v>1</v>
      </c>
      <c r="L1248" s="920">
        <v>12</v>
      </c>
      <c r="M1248" s="920">
        <f t="shared" si="38"/>
        <v>17160</v>
      </c>
      <c r="N1248" s="919"/>
      <c r="O1248" s="919"/>
      <c r="P1248" s="921">
        <f t="shared" si="39"/>
        <v>0</v>
      </c>
    </row>
    <row r="1249" spans="1:16" ht="20.100000000000001" customHeight="1" x14ac:dyDescent="0.25">
      <c r="A1249" s="918" t="s">
        <v>484</v>
      </c>
      <c r="B1249" s="944" t="s">
        <v>3901</v>
      </c>
      <c r="C1249" s="919" t="s">
        <v>3902</v>
      </c>
      <c r="D1249" s="919" t="s">
        <v>6071</v>
      </c>
      <c r="E1249" s="920">
        <v>1500</v>
      </c>
      <c r="F1249" s="919" t="s">
        <v>6173</v>
      </c>
      <c r="G1249" s="919" t="s">
        <v>6174</v>
      </c>
      <c r="H1249" s="919" t="s">
        <v>6071</v>
      </c>
      <c r="I1249" s="919" t="s">
        <v>3686</v>
      </c>
      <c r="J1249" s="919"/>
      <c r="K1249" s="920">
        <v>1</v>
      </c>
      <c r="L1249" s="920">
        <v>12</v>
      </c>
      <c r="M1249" s="920">
        <f t="shared" si="38"/>
        <v>18000</v>
      </c>
      <c r="N1249" s="919"/>
      <c r="O1249" s="919"/>
      <c r="P1249" s="921">
        <f t="shared" si="39"/>
        <v>0</v>
      </c>
    </row>
    <row r="1250" spans="1:16" ht="20.100000000000001" customHeight="1" x14ac:dyDescent="0.25">
      <c r="A1250" s="918" t="s">
        <v>484</v>
      </c>
      <c r="B1250" s="944" t="s">
        <v>3901</v>
      </c>
      <c r="C1250" s="919" t="s">
        <v>3902</v>
      </c>
      <c r="D1250" s="919" t="s">
        <v>6071</v>
      </c>
      <c r="E1250" s="920">
        <v>1210</v>
      </c>
      <c r="F1250" s="919" t="s">
        <v>6175</v>
      </c>
      <c r="G1250" s="919" t="s">
        <v>6176</v>
      </c>
      <c r="H1250" s="919" t="s">
        <v>6071</v>
      </c>
      <c r="I1250" s="919" t="s">
        <v>3686</v>
      </c>
      <c r="J1250" s="919"/>
      <c r="K1250" s="920">
        <v>1</v>
      </c>
      <c r="L1250" s="920">
        <v>12</v>
      </c>
      <c r="M1250" s="920">
        <f t="shared" si="38"/>
        <v>14520</v>
      </c>
      <c r="N1250" s="919"/>
      <c r="O1250" s="919"/>
      <c r="P1250" s="921">
        <f t="shared" si="39"/>
        <v>0</v>
      </c>
    </row>
    <row r="1251" spans="1:16" ht="20.100000000000001" customHeight="1" x14ac:dyDescent="0.25">
      <c r="A1251" s="918" t="s">
        <v>484</v>
      </c>
      <c r="B1251" s="944" t="s">
        <v>3901</v>
      </c>
      <c r="C1251" s="919" t="s">
        <v>3902</v>
      </c>
      <c r="D1251" s="919" t="s">
        <v>6071</v>
      </c>
      <c r="E1251" s="920">
        <v>1210</v>
      </c>
      <c r="F1251" s="919" t="s">
        <v>6177</v>
      </c>
      <c r="G1251" s="919" t="s">
        <v>6178</v>
      </c>
      <c r="H1251" s="919" t="s">
        <v>6071</v>
      </c>
      <c r="I1251" s="919" t="s">
        <v>3686</v>
      </c>
      <c r="J1251" s="919"/>
      <c r="K1251" s="920">
        <v>1</v>
      </c>
      <c r="L1251" s="920">
        <v>12</v>
      </c>
      <c r="M1251" s="920">
        <f t="shared" si="38"/>
        <v>14520</v>
      </c>
      <c r="N1251" s="919"/>
      <c r="O1251" s="919"/>
      <c r="P1251" s="921">
        <f t="shared" si="39"/>
        <v>0</v>
      </c>
    </row>
    <row r="1252" spans="1:16" ht="20.100000000000001" customHeight="1" x14ac:dyDescent="0.25">
      <c r="A1252" s="918" t="s">
        <v>484</v>
      </c>
      <c r="B1252" s="944" t="s">
        <v>3901</v>
      </c>
      <c r="C1252" s="919" t="s">
        <v>3902</v>
      </c>
      <c r="D1252" s="919" t="s">
        <v>3999</v>
      </c>
      <c r="E1252" s="920">
        <v>1980</v>
      </c>
      <c r="F1252" s="919" t="s">
        <v>6179</v>
      </c>
      <c r="G1252" s="919" t="s">
        <v>6180</v>
      </c>
      <c r="H1252" s="919" t="s">
        <v>3999</v>
      </c>
      <c r="I1252" s="919" t="s">
        <v>3724</v>
      </c>
      <c r="J1252" s="919"/>
      <c r="K1252" s="920">
        <v>1</v>
      </c>
      <c r="L1252" s="920">
        <v>12</v>
      </c>
      <c r="M1252" s="920">
        <f t="shared" si="38"/>
        <v>23760</v>
      </c>
      <c r="N1252" s="919"/>
      <c r="O1252" s="919"/>
      <c r="P1252" s="921">
        <f t="shared" si="39"/>
        <v>0</v>
      </c>
    </row>
    <row r="1253" spans="1:16" ht="20.100000000000001" customHeight="1" x14ac:dyDescent="0.25">
      <c r="A1253" s="918" t="s">
        <v>484</v>
      </c>
      <c r="B1253" s="944" t="s">
        <v>3901</v>
      </c>
      <c r="C1253" s="919" t="s">
        <v>3902</v>
      </c>
      <c r="D1253" s="919" t="s">
        <v>6125</v>
      </c>
      <c r="E1253" s="920">
        <v>1760</v>
      </c>
      <c r="F1253" s="919" t="s">
        <v>6181</v>
      </c>
      <c r="G1253" s="919" t="s">
        <v>6182</v>
      </c>
      <c r="H1253" s="919" t="s">
        <v>6125</v>
      </c>
      <c r="I1253" s="919" t="s">
        <v>3724</v>
      </c>
      <c r="J1253" s="919"/>
      <c r="K1253" s="920">
        <v>1</v>
      </c>
      <c r="L1253" s="920">
        <v>12</v>
      </c>
      <c r="M1253" s="920">
        <f t="shared" si="38"/>
        <v>21120</v>
      </c>
      <c r="N1253" s="919"/>
      <c r="O1253" s="919"/>
      <c r="P1253" s="921">
        <f t="shared" si="39"/>
        <v>0</v>
      </c>
    </row>
    <row r="1254" spans="1:16" ht="20.100000000000001" customHeight="1" x14ac:dyDescent="0.25">
      <c r="A1254" s="918" t="s">
        <v>484</v>
      </c>
      <c r="B1254" s="944" t="s">
        <v>3901</v>
      </c>
      <c r="C1254" s="919" t="s">
        <v>3902</v>
      </c>
      <c r="D1254" s="919" t="s">
        <v>4483</v>
      </c>
      <c r="E1254" s="920">
        <v>1800</v>
      </c>
      <c r="F1254" s="919" t="s">
        <v>6183</v>
      </c>
      <c r="G1254" s="919" t="s">
        <v>6184</v>
      </c>
      <c r="H1254" s="919" t="s">
        <v>4483</v>
      </c>
      <c r="I1254" s="919" t="s">
        <v>3686</v>
      </c>
      <c r="J1254" s="919"/>
      <c r="K1254" s="920">
        <v>1</v>
      </c>
      <c r="L1254" s="920">
        <v>12</v>
      </c>
      <c r="M1254" s="920">
        <f t="shared" si="38"/>
        <v>21600</v>
      </c>
      <c r="N1254" s="919"/>
      <c r="O1254" s="919"/>
      <c r="P1254" s="921">
        <f t="shared" si="39"/>
        <v>0</v>
      </c>
    </row>
    <row r="1255" spans="1:16" ht="20.100000000000001" customHeight="1" x14ac:dyDescent="0.25">
      <c r="A1255" s="918" t="s">
        <v>484</v>
      </c>
      <c r="B1255" s="944" t="s">
        <v>3901</v>
      </c>
      <c r="C1255" s="919" t="s">
        <v>3902</v>
      </c>
      <c r="D1255" s="919" t="s">
        <v>4390</v>
      </c>
      <c r="E1255" s="920">
        <v>1650</v>
      </c>
      <c r="F1255" s="919" t="s">
        <v>6185</v>
      </c>
      <c r="G1255" s="919" t="s">
        <v>6186</v>
      </c>
      <c r="H1255" s="919" t="s">
        <v>4390</v>
      </c>
      <c r="I1255" s="919" t="s">
        <v>3686</v>
      </c>
      <c r="J1255" s="919"/>
      <c r="K1255" s="920">
        <v>1</v>
      </c>
      <c r="L1255" s="920">
        <v>12</v>
      </c>
      <c r="M1255" s="920">
        <f t="shared" si="38"/>
        <v>19800</v>
      </c>
      <c r="N1255" s="919"/>
      <c r="O1255" s="919"/>
      <c r="P1255" s="921">
        <f t="shared" si="39"/>
        <v>0</v>
      </c>
    </row>
    <row r="1256" spans="1:16" ht="20.100000000000001" customHeight="1" x14ac:dyDescent="0.25">
      <c r="A1256" s="918" t="s">
        <v>484</v>
      </c>
      <c r="B1256" s="944" t="s">
        <v>3901</v>
      </c>
      <c r="C1256" s="919" t="s">
        <v>3902</v>
      </c>
      <c r="D1256" s="919" t="s">
        <v>6074</v>
      </c>
      <c r="E1256" s="920">
        <v>1430</v>
      </c>
      <c r="F1256" s="919" t="s">
        <v>4041</v>
      </c>
      <c r="G1256" s="919" t="s">
        <v>4042</v>
      </c>
      <c r="H1256" s="919" t="s">
        <v>6074</v>
      </c>
      <c r="I1256" s="919" t="s">
        <v>3686</v>
      </c>
      <c r="J1256" s="919"/>
      <c r="K1256" s="920">
        <v>1</v>
      </c>
      <c r="L1256" s="920">
        <v>12</v>
      </c>
      <c r="M1256" s="920">
        <f t="shared" si="38"/>
        <v>17160</v>
      </c>
      <c r="N1256" s="919"/>
      <c r="O1256" s="919"/>
      <c r="P1256" s="921">
        <f t="shared" si="39"/>
        <v>0</v>
      </c>
    </row>
    <row r="1257" spans="1:16" ht="20.100000000000001" customHeight="1" x14ac:dyDescent="0.25">
      <c r="A1257" s="918" t="s">
        <v>484</v>
      </c>
      <c r="B1257" s="944" t="s">
        <v>3901</v>
      </c>
      <c r="C1257" s="919" t="s">
        <v>3902</v>
      </c>
      <c r="D1257" s="919" t="s">
        <v>4266</v>
      </c>
      <c r="E1257" s="920">
        <v>1320</v>
      </c>
      <c r="F1257" s="919" t="s">
        <v>6187</v>
      </c>
      <c r="G1257" s="919" t="s">
        <v>6188</v>
      </c>
      <c r="H1257" s="919" t="s">
        <v>4266</v>
      </c>
      <c r="I1257" s="919" t="s">
        <v>3686</v>
      </c>
      <c r="J1257" s="919"/>
      <c r="K1257" s="920">
        <v>1</v>
      </c>
      <c r="L1257" s="920">
        <v>12</v>
      </c>
      <c r="M1257" s="920">
        <f t="shared" si="38"/>
        <v>15840</v>
      </c>
      <c r="N1257" s="919"/>
      <c r="O1257" s="919"/>
      <c r="P1257" s="921">
        <f t="shared" si="39"/>
        <v>0</v>
      </c>
    </row>
    <row r="1258" spans="1:16" ht="20.100000000000001" customHeight="1" x14ac:dyDescent="0.25">
      <c r="A1258" s="918" t="s">
        <v>484</v>
      </c>
      <c r="B1258" s="944" t="s">
        <v>3901</v>
      </c>
      <c r="C1258" s="919" t="s">
        <v>3902</v>
      </c>
      <c r="D1258" s="919" t="s">
        <v>4400</v>
      </c>
      <c r="E1258" s="920">
        <v>1000</v>
      </c>
      <c r="F1258" s="919" t="s">
        <v>6189</v>
      </c>
      <c r="G1258" s="919" t="s">
        <v>6190</v>
      </c>
      <c r="H1258" s="919" t="s">
        <v>4400</v>
      </c>
      <c r="I1258" s="919" t="s">
        <v>3686</v>
      </c>
      <c r="J1258" s="919"/>
      <c r="K1258" s="920">
        <v>1</v>
      </c>
      <c r="L1258" s="920">
        <v>12</v>
      </c>
      <c r="M1258" s="920">
        <f t="shared" si="38"/>
        <v>12000</v>
      </c>
      <c r="N1258" s="919"/>
      <c r="O1258" s="919"/>
      <c r="P1258" s="921">
        <f t="shared" si="39"/>
        <v>0</v>
      </c>
    </row>
    <row r="1259" spans="1:16" ht="20.100000000000001" customHeight="1" x14ac:dyDescent="0.25">
      <c r="A1259" s="918" t="s">
        <v>484</v>
      </c>
      <c r="B1259" s="944" t="s">
        <v>3901</v>
      </c>
      <c r="C1259" s="919" t="s">
        <v>3902</v>
      </c>
      <c r="D1259" s="919" t="s">
        <v>3999</v>
      </c>
      <c r="E1259" s="920">
        <v>1980</v>
      </c>
      <c r="F1259" s="919" t="s">
        <v>6191</v>
      </c>
      <c r="G1259" s="919" t="s">
        <v>6192</v>
      </c>
      <c r="H1259" s="919" t="s">
        <v>3999</v>
      </c>
      <c r="I1259" s="919" t="s">
        <v>3724</v>
      </c>
      <c r="J1259" s="919"/>
      <c r="K1259" s="920">
        <v>1</v>
      </c>
      <c r="L1259" s="920">
        <v>12</v>
      </c>
      <c r="M1259" s="920">
        <f t="shared" si="38"/>
        <v>23760</v>
      </c>
      <c r="N1259" s="919"/>
      <c r="O1259" s="919"/>
      <c r="P1259" s="921">
        <f t="shared" si="39"/>
        <v>0</v>
      </c>
    </row>
    <row r="1260" spans="1:16" ht="20.100000000000001" customHeight="1" x14ac:dyDescent="0.25">
      <c r="A1260" s="918" t="s">
        <v>484</v>
      </c>
      <c r="B1260" s="944" t="s">
        <v>3901</v>
      </c>
      <c r="C1260" s="919" t="s">
        <v>3902</v>
      </c>
      <c r="D1260" s="919" t="s">
        <v>6071</v>
      </c>
      <c r="E1260" s="920">
        <v>1650</v>
      </c>
      <c r="F1260" s="919" t="s">
        <v>6193</v>
      </c>
      <c r="G1260" s="919" t="s">
        <v>6194</v>
      </c>
      <c r="H1260" s="919" t="s">
        <v>6071</v>
      </c>
      <c r="I1260" s="919" t="s">
        <v>3686</v>
      </c>
      <c r="J1260" s="919"/>
      <c r="K1260" s="920">
        <v>1</v>
      </c>
      <c r="L1260" s="920">
        <v>12</v>
      </c>
      <c r="M1260" s="920">
        <f t="shared" si="38"/>
        <v>19800</v>
      </c>
      <c r="N1260" s="919"/>
      <c r="O1260" s="919"/>
      <c r="P1260" s="921">
        <f t="shared" si="39"/>
        <v>0</v>
      </c>
    </row>
    <row r="1261" spans="1:16" ht="20.100000000000001" customHeight="1" x14ac:dyDescent="0.25">
      <c r="A1261" s="918" t="s">
        <v>484</v>
      </c>
      <c r="B1261" s="944" t="s">
        <v>3901</v>
      </c>
      <c r="C1261" s="919" t="s">
        <v>3902</v>
      </c>
      <c r="D1261" s="919" t="s">
        <v>4352</v>
      </c>
      <c r="E1261" s="920">
        <v>2200</v>
      </c>
      <c r="F1261" s="919" t="s">
        <v>6195</v>
      </c>
      <c r="G1261" s="919" t="s">
        <v>6196</v>
      </c>
      <c r="H1261" s="919" t="s">
        <v>4352</v>
      </c>
      <c r="I1261" s="919" t="s">
        <v>3724</v>
      </c>
      <c r="J1261" s="919"/>
      <c r="K1261" s="920">
        <v>1</v>
      </c>
      <c r="L1261" s="920">
        <v>12</v>
      </c>
      <c r="M1261" s="920">
        <f t="shared" si="38"/>
        <v>26400</v>
      </c>
      <c r="N1261" s="919"/>
      <c r="O1261" s="919"/>
      <c r="P1261" s="921">
        <f t="shared" si="39"/>
        <v>0</v>
      </c>
    </row>
    <row r="1262" spans="1:16" ht="20.100000000000001" customHeight="1" x14ac:dyDescent="0.25">
      <c r="A1262" s="918" t="s">
        <v>484</v>
      </c>
      <c r="B1262" s="944" t="s">
        <v>3901</v>
      </c>
      <c r="C1262" s="919" t="s">
        <v>3902</v>
      </c>
      <c r="D1262" s="919" t="s">
        <v>4352</v>
      </c>
      <c r="E1262" s="920">
        <v>2200</v>
      </c>
      <c r="F1262" s="919" t="s">
        <v>6197</v>
      </c>
      <c r="G1262" s="919" t="s">
        <v>6198</v>
      </c>
      <c r="H1262" s="919" t="s">
        <v>4352</v>
      </c>
      <c r="I1262" s="919" t="s">
        <v>3724</v>
      </c>
      <c r="J1262" s="919"/>
      <c r="K1262" s="920">
        <v>1</v>
      </c>
      <c r="L1262" s="920">
        <v>12</v>
      </c>
      <c r="M1262" s="920">
        <f t="shared" si="38"/>
        <v>26400</v>
      </c>
      <c r="N1262" s="919"/>
      <c r="O1262" s="919"/>
      <c r="P1262" s="921">
        <f t="shared" si="39"/>
        <v>0</v>
      </c>
    </row>
    <row r="1263" spans="1:16" ht="20.100000000000001" customHeight="1" x14ac:dyDescent="0.25">
      <c r="A1263" s="918" t="s">
        <v>484</v>
      </c>
      <c r="B1263" s="944" t="s">
        <v>3901</v>
      </c>
      <c r="C1263" s="919" t="s">
        <v>3902</v>
      </c>
      <c r="D1263" s="919" t="s">
        <v>6071</v>
      </c>
      <c r="E1263" s="920">
        <v>1210</v>
      </c>
      <c r="F1263" s="919" t="s">
        <v>6199</v>
      </c>
      <c r="G1263" s="919" t="s">
        <v>6200</v>
      </c>
      <c r="H1263" s="919" t="s">
        <v>6071</v>
      </c>
      <c r="I1263" s="919" t="s">
        <v>3686</v>
      </c>
      <c r="J1263" s="919"/>
      <c r="K1263" s="920">
        <v>1</v>
      </c>
      <c r="L1263" s="920">
        <v>12</v>
      </c>
      <c r="M1263" s="920">
        <f t="shared" si="38"/>
        <v>14520</v>
      </c>
      <c r="N1263" s="919"/>
      <c r="O1263" s="919"/>
      <c r="P1263" s="921">
        <f t="shared" si="39"/>
        <v>0</v>
      </c>
    </row>
    <row r="1264" spans="1:16" ht="20.100000000000001" customHeight="1" x14ac:dyDescent="0.25">
      <c r="A1264" s="918" t="s">
        <v>484</v>
      </c>
      <c r="B1264" s="944" t="s">
        <v>3901</v>
      </c>
      <c r="C1264" s="919" t="s">
        <v>3902</v>
      </c>
      <c r="D1264" s="919" t="s">
        <v>6125</v>
      </c>
      <c r="E1264" s="920">
        <v>2200</v>
      </c>
      <c r="F1264" s="919" t="s">
        <v>6201</v>
      </c>
      <c r="G1264" s="919" t="s">
        <v>6202</v>
      </c>
      <c r="H1264" s="919" t="s">
        <v>6125</v>
      </c>
      <c r="I1264" s="919" t="s">
        <v>3724</v>
      </c>
      <c r="J1264" s="919"/>
      <c r="K1264" s="920">
        <v>1</v>
      </c>
      <c r="L1264" s="920">
        <v>12</v>
      </c>
      <c r="M1264" s="920">
        <f t="shared" si="38"/>
        <v>26400</v>
      </c>
      <c r="N1264" s="919"/>
      <c r="O1264" s="919"/>
      <c r="P1264" s="921">
        <f t="shared" si="39"/>
        <v>0</v>
      </c>
    </row>
    <row r="1265" spans="1:16" ht="20.100000000000001" customHeight="1" x14ac:dyDescent="0.25">
      <c r="A1265" s="918" t="s">
        <v>484</v>
      </c>
      <c r="B1265" s="944" t="s">
        <v>3901</v>
      </c>
      <c r="C1265" s="919" t="s">
        <v>3902</v>
      </c>
      <c r="D1265" s="919" t="s">
        <v>4006</v>
      </c>
      <c r="E1265" s="920">
        <v>1800</v>
      </c>
      <c r="F1265" s="919" t="s">
        <v>4041</v>
      </c>
      <c r="G1265" s="919" t="s">
        <v>4042</v>
      </c>
      <c r="H1265" s="919" t="s">
        <v>4006</v>
      </c>
      <c r="I1265" s="919" t="s">
        <v>3686</v>
      </c>
      <c r="J1265" s="919"/>
      <c r="K1265" s="920">
        <v>1</v>
      </c>
      <c r="L1265" s="920">
        <v>12</v>
      </c>
      <c r="M1265" s="920">
        <f t="shared" si="38"/>
        <v>21600</v>
      </c>
      <c r="N1265" s="919"/>
      <c r="O1265" s="919"/>
      <c r="P1265" s="921">
        <f t="shared" si="39"/>
        <v>0</v>
      </c>
    </row>
    <row r="1266" spans="1:16" ht="20.100000000000001" customHeight="1" x14ac:dyDescent="0.25">
      <c r="A1266" s="918" t="s">
        <v>484</v>
      </c>
      <c r="B1266" s="944" t="s">
        <v>3901</v>
      </c>
      <c r="C1266" s="919" t="s">
        <v>3902</v>
      </c>
      <c r="D1266" s="919" t="s">
        <v>6203</v>
      </c>
      <c r="E1266" s="920">
        <v>2200</v>
      </c>
      <c r="F1266" s="919" t="s">
        <v>6204</v>
      </c>
      <c r="G1266" s="919" t="s">
        <v>6205</v>
      </c>
      <c r="H1266" s="919" t="s">
        <v>6203</v>
      </c>
      <c r="I1266" s="919" t="s">
        <v>3724</v>
      </c>
      <c r="J1266" s="919"/>
      <c r="K1266" s="920">
        <v>1</v>
      </c>
      <c r="L1266" s="920">
        <v>12</v>
      </c>
      <c r="M1266" s="920">
        <f t="shared" si="38"/>
        <v>26400</v>
      </c>
      <c r="N1266" s="919"/>
      <c r="O1266" s="919"/>
      <c r="P1266" s="921">
        <f t="shared" si="39"/>
        <v>0</v>
      </c>
    </row>
    <row r="1267" spans="1:16" ht="20.100000000000001" customHeight="1" x14ac:dyDescent="0.25">
      <c r="A1267" s="918" t="s">
        <v>484</v>
      </c>
      <c r="B1267" s="944" t="s">
        <v>3901</v>
      </c>
      <c r="C1267" s="919" t="s">
        <v>3902</v>
      </c>
      <c r="D1267" s="919" t="s">
        <v>4352</v>
      </c>
      <c r="E1267" s="920">
        <v>1980</v>
      </c>
      <c r="F1267" s="919" t="s">
        <v>6206</v>
      </c>
      <c r="G1267" s="919" t="s">
        <v>6207</v>
      </c>
      <c r="H1267" s="919" t="s">
        <v>4352</v>
      </c>
      <c r="I1267" s="919" t="s">
        <v>3724</v>
      </c>
      <c r="J1267" s="919"/>
      <c r="K1267" s="920">
        <v>1</v>
      </c>
      <c r="L1267" s="920">
        <v>12</v>
      </c>
      <c r="M1267" s="920">
        <f t="shared" si="38"/>
        <v>23760</v>
      </c>
      <c r="N1267" s="919"/>
      <c r="O1267" s="919"/>
      <c r="P1267" s="921">
        <f t="shared" si="39"/>
        <v>0</v>
      </c>
    </row>
    <row r="1268" spans="1:16" ht="20.100000000000001" customHeight="1" x14ac:dyDescent="0.25">
      <c r="A1268" s="918" t="s">
        <v>484</v>
      </c>
      <c r="B1268" s="944" t="s">
        <v>3901</v>
      </c>
      <c r="C1268" s="919" t="s">
        <v>3902</v>
      </c>
      <c r="D1268" s="919" t="s">
        <v>4449</v>
      </c>
      <c r="E1268" s="920">
        <v>1980</v>
      </c>
      <c r="F1268" s="919" t="s">
        <v>6208</v>
      </c>
      <c r="G1268" s="919" t="s">
        <v>6209</v>
      </c>
      <c r="H1268" s="919" t="s">
        <v>4449</v>
      </c>
      <c r="I1268" s="919" t="s">
        <v>3724</v>
      </c>
      <c r="J1268" s="919"/>
      <c r="K1268" s="920">
        <v>1</v>
      </c>
      <c r="L1268" s="920">
        <v>12</v>
      </c>
      <c r="M1268" s="920">
        <f t="shared" si="38"/>
        <v>23760</v>
      </c>
      <c r="N1268" s="919"/>
      <c r="O1268" s="919"/>
      <c r="P1268" s="921">
        <f t="shared" si="39"/>
        <v>0</v>
      </c>
    </row>
    <row r="1269" spans="1:16" ht="20.100000000000001" customHeight="1" x14ac:dyDescent="0.25">
      <c r="A1269" s="918" t="s">
        <v>484</v>
      </c>
      <c r="B1269" s="944" t="s">
        <v>3901</v>
      </c>
      <c r="C1269" s="919" t="s">
        <v>3902</v>
      </c>
      <c r="D1269" s="919" t="s">
        <v>6071</v>
      </c>
      <c r="E1269" s="920">
        <v>1210</v>
      </c>
      <c r="F1269" s="919" t="s">
        <v>6210</v>
      </c>
      <c r="G1269" s="919" t="s">
        <v>6211</v>
      </c>
      <c r="H1269" s="919" t="s">
        <v>6071</v>
      </c>
      <c r="I1269" s="919" t="s">
        <v>3686</v>
      </c>
      <c r="J1269" s="919"/>
      <c r="K1269" s="920">
        <v>1</v>
      </c>
      <c r="L1269" s="920">
        <v>12</v>
      </c>
      <c r="M1269" s="920">
        <f t="shared" si="38"/>
        <v>14520</v>
      </c>
      <c r="N1269" s="919"/>
      <c r="O1269" s="919"/>
      <c r="P1269" s="921">
        <f t="shared" si="39"/>
        <v>0</v>
      </c>
    </row>
    <row r="1270" spans="1:16" ht="20.100000000000001" customHeight="1" x14ac:dyDescent="0.25">
      <c r="A1270" s="918" t="s">
        <v>484</v>
      </c>
      <c r="B1270" s="944" t="s">
        <v>3901</v>
      </c>
      <c r="C1270" s="919" t="s">
        <v>3902</v>
      </c>
      <c r="D1270" s="919" t="s">
        <v>4400</v>
      </c>
      <c r="E1270" s="920">
        <v>1100</v>
      </c>
      <c r="F1270" s="919" t="s">
        <v>4041</v>
      </c>
      <c r="G1270" s="919" t="s">
        <v>4042</v>
      </c>
      <c r="H1270" s="919" t="s">
        <v>4400</v>
      </c>
      <c r="I1270" s="919" t="s">
        <v>3686</v>
      </c>
      <c r="J1270" s="919"/>
      <c r="K1270" s="920">
        <v>1</v>
      </c>
      <c r="L1270" s="920">
        <v>12</v>
      </c>
      <c r="M1270" s="920">
        <f t="shared" si="38"/>
        <v>13200</v>
      </c>
      <c r="N1270" s="919"/>
      <c r="O1270" s="919"/>
      <c r="P1270" s="921">
        <f t="shared" si="39"/>
        <v>0</v>
      </c>
    </row>
    <row r="1271" spans="1:16" ht="20.100000000000001" customHeight="1" x14ac:dyDescent="0.25">
      <c r="A1271" s="918" t="s">
        <v>484</v>
      </c>
      <c r="B1271" s="944" t="s">
        <v>3901</v>
      </c>
      <c r="C1271" s="919" t="s">
        <v>3902</v>
      </c>
      <c r="D1271" s="919" t="s">
        <v>6074</v>
      </c>
      <c r="E1271" s="920">
        <v>1980</v>
      </c>
      <c r="F1271" s="919" t="s">
        <v>6212</v>
      </c>
      <c r="G1271" s="919" t="s">
        <v>6213</v>
      </c>
      <c r="H1271" s="919" t="s">
        <v>6074</v>
      </c>
      <c r="I1271" s="919" t="s">
        <v>3686</v>
      </c>
      <c r="J1271" s="919"/>
      <c r="K1271" s="920">
        <v>1</v>
      </c>
      <c r="L1271" s="920">
        <v>12</v>
      </c>
      <c r="M1271" s="920">
        <f t="shared" si="38"/>
        <v>23760</v>
      </c>
      <c r="N1271" s="919"/>
      <c r="O1271" s="919"/>
      <c r="P1271" s="921">
        <f t="shared" si="39"/>
        <v>0</v>
      </c>
    </row>
    <row r="1272" spans="1:16" ht="20.100000000000001" customHeight="1" x14ac:dyDescent="0.25">
      <c r="A1272" s="918" t="s">
        <v>484</v>
      </c>
      <c r="B1272" s="944" t="s">
        <v>3901</v>
      </c>
      <c r="C1272" s="919" t="s">
        <v>3902</v>
      </c>
      <c r="D1272" s="919" t="s">
        <v>4352</v>
      </c>
      <c r="E1272" s="920">
        <v>1760</v>
      </c>
      <c r="F1272" s="919" t="s">
        <v>6214</v>
      </c>
      <c r="G1272" s="919" t="s">
        <v>6215</v>
      </c>
      <c r="H1272" s="919" t="s">
        <v>4352</v>
      </c>
      <c r="I1272" s="919" t="s">
        <v>3724</v>
      </c>
      <c r="J1272" s="919"/>
      <c r="K1272" s="920">
        <v>1</v>
      </c>
      <c r="L1272" s="920">
        <v>12</v>
      </c>
      <c r="M1272" s="920">
        <f t="shared" si="38"/>
        <v>21120</v>
      </c>
      <c r="N1272" s="919"/>
      <c r="O1272" s="919"/>
      <c r="P1272" s="921">
        <f t="shared" si="39"/>
        <v>0</v>
      </c>
    </row>
    <row r="1273" spans="1:16" ht="20.100000000000001" customHeight="1" x14ac:dyDescent="0.25">
      <c r="A1273" s="918" t="s">
        <v>484</v>
      </c>
      <c r="B1273" s="944" t="s">
        <v>3901</v>
      </c>
      <c r="C1273" s="919" t="s">
        <v>3902</v>
      </c>
      <c r="D1273" s="919" t="s">
        <v>6120</v>
      </c>
      <c r="E1273" s="920">
        <v>3520</v>
      </c>
      <c r="F1273" s="919" t="s">
        <v>6216</v>
      </c>
      <c r="G1273" s="919" t="s">
        <v>6217</v>
      </c>
      <c r="H1273" s="919" t="s">
        <v>6120</v>
      </c>
      <c r="I1273" s="919" t="s">
        <v>3724</v>
      </c>
      <c r="J1273" s="919"/>
      <c r="K1273" s="920">
        <v>1</v>
      </c>
      <c r="L1273" s="920">
        <v>12</v>
      </c>
      <c r="M1273" s="920">
        <f t="shared" si="38"/>
        <v>42240</v>
      </c>
      <c r="N1273" s="919"/>
      <c r="O1273" s="919"/>
      <c r="P1273" s="921">
        <f t="shared" si="39"/>
        <v>0</v>
      </c>
    </row>
    <row r="1274" spans="1:16" ht="20.100000000000001" customHeight="1" x14ac:dyDescent="0.25">
      <c r="A1274" s="918" t="s">
        <v>484</v>
      </c>
      <c r="B1274" s="944" t="s">
        <v>3901</v>
      </c>
      <c r="C1274" s="919" t="s">
        <v>3902</v>
      </c>
      <c r="D1274" s="919" t="s">
        <v>3999</v>
      </c>
      <c r="E1274" s="920">
        <v>1980</v>
      </c>
      <c r="F1274" s="919" t="s">
        <v>4041</v>
      </c>
      <c r="G1274" s="919" t="s">
        <v>4042</v>
      </c>
      <c r="H1274" s="919" t="s">
        <v>3999</v>
      </c>
      <c r="I1274" s="919" t="s">
        <v>3724</v>
      </c>
      <c r="J1274" s="919"/>
      <c r="K1274" s="920">
        <v>1</v>
      </c>
      <c r="L1274" s="920">
        <v>12</v>
      </c>
      <c r="M1274" s="920">
        <f t="shared" si="38"/>
        <v>23760</v>
      </c>
      <c r="N1274" s="919"/>
      <c r="O1274" s="919"/>
      <c r="P1274" s="921">
        <f t="shared" si="39"/>
        <v>0</v>
      </c>
    </row>
    <row r="1275" spans="1:16" ht="20.100000000000001" customHeight="1" x14ac:dyDescent="0.25">
      <c r="A1275" s="918" t="s">
        <v>484</v>
      </c>
      <c r="B1275" s="944" t="s">
        <v>3901</v>
      </c>
      <c r="C1275" s="919" t="s">
        <v>3902</v>
      </c>
      <c r="D1275" s="919" t="s">
        <v>6130</v>
      </c>
      <c r="E1275" s="920">
        <v>1430</v>
      </c>
      <c r="F1275" s="919" t="s">
        <v>6218</v>
      </c>
      <c r="G1275" s="919" t="s">
        <v>6219</v>
      </c>
      <c r="H1275" s="919" t="s">
        <v>6130</v>
      </c>
      <c r="I1275" s="919" t="s">
        <v>3686</v>
      </c>
      <c r="J1275" s="919"/>
      <c r="K1275" s="920">
        <v>1</v>
      </c>
      <c r="L1275" s="920">
        <v>12</v>
      </c>
      <c r="M1275" s="920">
        <f t="shared" si="38"/>
        <v>17160</v>
      </c>
      <c r="N1275" s="919"/>
      <c r="O1275" s="919"/>
      <c r="P1275" s="921">
        <f t="shared" si="39"/>
        <v>0</v>
      </c>
    </row>
    <row r="1276" spans="1:16" ht="20.100000000000001" customHeight="1" x14ac:dyDescent="0.25">
      <c r="A1276" s="918" t="s">
        <v>484</v>
      </c>
      <c r="B1276" s="944" t="s">
        <v>3901</v>
      </c>
      <c r="C1276" s="919" t="s">
        <v>3902</v>
      </c>
      <c r="D1276" s="919" t="s">
        <v>6071</v>
      </c>
      <c r="E1276" s="920">
        <v>1650</v>
      </c>
      <c r="F1276" s="919" t="s">
        <v>6220</v>
      </c>
      <c r="G1276" s="919" t="s">
        <v>6221</v>
      </c>
      <c r="H1276" s="919" t="s">
        <v>6071</v>
      </c>
      <c r="I1276" s="919" t="s">
        <v>3686</v>
      </c>
      <c r="J1276" s="919"/>
      <c r="K1276" s="920">
        <v>1</v>
      </c>
      <c r="L1276" s="920">
        <v>12</v>
      </c>
      <c r="M1276" s="920">
        <f t="shared" si="38"/>
        <v>19800</v>
      </c>
      <c r="N1276" s="919"/>
      <c r="O1276" s="919"/>
      <c r="P1276" s="921">
        <f t="shared" si="39"/>
        <v>0</v>
      </c>
    </row>
    <row r="1277" spans="1:16" ht="20.100000000000001" customHeight="1" x14ac:dyDescent="0.25">
      <c r="A1277" s="918" t="s">
        <v>484</v>
      </c>
      <c r="B1277" s="944" t="s">
        <v>3901</v>
      </c>
      <c r="C1277" s="919" t="s">
        <v>3902</v>
      </c>
      <c r="D1277" s="919" t="s">
        <v>6115</v>
      </c>
      <c r="E1277" s="920">
        <v>2750</v>
      </c>
      <c r="F1277" s="919" t="s">
        <v>6222</v>
      </c>
      <c r="G1277" s="919" t="s">
        <v>6223</v>
      </c>
      <c r="H1277" s="919" t="s">
        <v>6115</v>
      </c>
      <c r="I1277" s="919" t="s">
        <v>3679</v>
      </c>
      <c r="J1277" s="919"/>
      <c r="K1277" s="920">
        <v>1</v>
      </c>
      <c r="L1277" s="920">
        <v>12</v>
      </c>
      <c r="M1277" s="920">
        <f t="shared" si="38"/>
        <v>33000</v>
      </c>
      <c r="N1277" s="919"/>
      <c r="O1277" s="919"/>
      <c r="P1277" s="921">
        <f t="shared" si="39"/>
        <v>0</v>
      </c>
    </row>
    <row r="1278" spans="1:16" ht="20.100000000000001" customHeight="1" x14ac:dyDescent="0.25">
      <c r="A1278" s="918" t="s">
        <v>484</v>
      </c>
      <c r="B1278" s="944" t="s">
        <v>3901</v>
      </c>
      <c r="C1278" s="919" t="s">
        <v>3902</v>
      </c>
      <c r="D1278" s="919" t="s">
        <v>6071</v>
      </c>
      <c r="E1278" s="920">
        <v>1650</v>
      </c>
      <c r="F1278" s="919" t="s">
        <v>6224</v>
      </c>
      <c r="G1278" s="919" t="s">
        <v>6225</v>
      </c>
      <c r="H1278" s="919" t="s">
        <v>6071</v>
      </c>
      <c r="I1278" s="919" t="s">
        <v>3686</v>
      </c>
      <c r="J1278" s="919"/>
      <c r="K1278" s="920">
        <v>1</v>
      </c>
      <c r="L1278" s="920">
        <v>12</v>
      </c>
      <c r="M1278" s="920">
        <f t="shared" si="38"/>
        <v>19800</v>
      </c>
      <c r="N1278" s="919"/>
      <c r="O1278" s="919"/>
      <c r="P1278" s="921">
        <f t="shared" si="39"/>
        <v>0</v>
      </c>
    </row>
    <row r="1279" spans="1:16" ht="20.100000000000001" customHeight="1" x14ac:dyDescent="0.25">
      <c r="A1279" s="918" t="s">
        <v>484</v>
      </c>
      <c r="B1279" s="944" t="s">
        <v>3901</v>
      </c>
      <c r="C1279" s="919" t="s">
        <v>3902</v>
      </c>
      <c r="D1279" s="919" t="s">
        <v>6071</v>
      </c>
      <c r="E1279" s="920">
        <v>1210</v>
      </c>
      <c r="F1279" s="919" t="s">
        <v>4041</v>
      </c>
      <c r="G1279" s="919" t="s">
        <v>4042</v>
      </c>
      <c r="H1279" s="919" t="s">
        <v>6071</v>
      </c>
      <c r="I1279" s="919" t="s">
        <v>3686</v>
      </c>
      <c r="J1279" s="919"/>
      <c r="K1279" s="920">
        <v>1</v>
      </c>
      <c r="L1279" s="920">
        <v>12</v>
      </c>
      <c r="M1279" s="920">
        <f t="shared" si="38"/>
        <v>14520</v>
      </c>
      <c r="N1279" s="919"/>
      <c r="O1279" s="919"/>
      <c r="P1279" s="921">
        <f t="shared" si="39"/>
        <v>0</v>
      </c>
    </row>
    <row r="1280" spans="1:16" ht="20.100000000000001" customHeight="1" x14ac:dyDescent="0.25">
      <c r="A1280" s="918" t="s">
        <v>484</v>
      </c>
      <c r="B1280" s="944" t="s">
        <v>3901</v>
      </c>
      <c r="C1280" s="919" t="s">
        <v>3902</v>
      </c>
      <c r="D1280" s="919" t="s">
        <v>4266</v>
      </c>
      <c r="E1280" s="920">
        <v>1320</v>
      </c>
      <c r="F1280" s="919" t="s">
        <v>6226</v>
      </c>
      <c r="G1280" s="919" t="s">
        <v>6227</v>
      </c>
      <c r="H1280" s="919" t="s">
        <v>4266</v>
      </c>
      <c r="I1280" s="919" t="s">
        <v>3686</v>
      </c>
      <c r="J1280" s="919"/>
      <c r="K1280" s="920">
        <v>1</v>
      </c>
      <c r="L1280" s="920">
        <v>12</v>
      </c>
      <c r="M1280" s="920">
        <f t="shared" si="38"/>
        <v>15840</v>
      </c>
      <c r="N1280" s="919"/>
      <c r="O1280" s="919"/>
      <c r="P1280" s="921">
        <f t="shared" si="39"/>
        <v>0</v>
      </c>
    </row>
    <row r="1281" spans="1:16" ht="20.100000000000001" customHeight="1" x14ac:dyDescent="0.25">
      <c r="A1281" s="918" t="s">
        <v>484</v>
      </c>
      <c r="B1281" s="944" t="s">
        <v>3901</v>
      </c>
      <c r="C1281" s="919" t="s">
        <v>3902</v>
      </c>
      <c r="D1281" s="919" t="s">
        <v>6071</v>
      </c>
      <c r="E1281" s="920">
        <v>1650</v>
      </c>
      <c r="F1281" s="919" t="s">
        <v>6228</v>
      </c>
      <c r="G1281" s="919" t="s">
        <v>6229</v>
      </c>
      <c r="H1281" s="919" t="s">
        <v>6071</v>
      </c>
      <c r="I1281" s="919" t="s">
        <v>3686</v>
      </c>
      <c r="J1281" s="919"/>
      <c r="K1281" s="920">
        <v>1</v>
      </c>
      <c r="L1281" s="920">
        <v>12</v>
      </c>
      <c r="M1281" s="920">
        <f t="shared" si="38"/>
        <v>19800</v>
      </c>
      <c r="N1281" s="919"/>
      <c r="O1281" s="919"/>
      <c r="P1281" s="921">
        <f t="shared" si="39"/>
        <v>0</v>
      </c>
    </row>
    <row r="1282" spans="1:16" ht="20.100000000000001" customHeight="1" x14ac:dyDescent="0.25">
      <c r="A1282" s="918" t="s">
        <v>484</v>
      </c>
      <c r="B1282" s="944" t="s">
        <v>3901</v>
      </c>
      <c r="C1282" s="919" t="s">
        <v>3902</v>
      </c>
      <c r="D1282" s="919" t="s">
        <v>6120</v>
      </c>
      <c r="E1282" s="920">
        <v>3300</v>
      </c>
      <c r="F1282" s="919" t="s">
        <v>4041</v>
      </c>
      <c r="G1282" s="919" t="s">
        <v>4042</v>
      </c>
      <c r="H1282" s="919" t="s">
        <v>6120</v>
      </c>
      <c r="I1282" s="919" t="s">
        <v>3724</v>
      </c>
      <c r="J1282" s="919"/>
      <c r="K1282" s="920">
        <v>1</v>
      </c>
      <c r="L1282" s="920">
        <v>12</v>
      </c>
      <c r="M1282" s="920">
        <f t="shared" si="38"/>
        <v>39600</v>
      </c>
      <c r="N1282" s="919"/>
      <c r="O1282" s="919"/>
      <c r="P1282" s="921">
        <f t="shared" si="39"/>
        <v>0</v>
      </c>
    </row>
    <row r="1283" spans="1:16" ht="20.100000000000001" customHeight="1" x14ac:dyDescent="0.25">
      <c r="A1283" s="918" t="s">
        <v>484</v>
      </c>
      <c r="B1283" s="944" t="s">
        <v>3901</v>
      </c>
      <c r="C1283" s="919" t="s">
        <v>3902</v>
      </c>
      <c r="D1283" s="919" t="s">
        <v>3999</v>
      </c>
      <c r="E1283" s="920">
        <v>2200</v>
      </c>
      <c r="F1283" s="919" t="s">
        <v>6230</v>
      </c>
      <c r="G1283" s="919" t="s">
        <v>6231</v>
      </c>
      <c r="H1283" s="919" t="s">
        <v>3999</v>
      </c>
      <c r="I1283" s="919" t="s">
        <v>3724</v>
      </c>
      <c r="J1283" s="919"/>
      <c r="K1283" s="920">
        <v>1</v>
      </c>
      <c r="L1283" s="920">
        <v>12</v>
      </c>
      <c r="M1283" s="920">
        <f t="shared" si="38"/>
        <v>26400</v>
      </c>
      <c r="N1283" s="919"/>
      <c r="O1283" s="919"/>
      <c r="P1283" s="921">
        <f t="shared" si="39"/>
        <v>0</v>
      </c>
    </row>
    <row r="1284" spans="1:16" ht="20.100000000000001" customHeight="1" x14ac:dyDescent="0.25">
      <c r="A1284" s="918" t="s">
        <v>484</v>
      </c>
      <c r="B1284" s="944" t="s">
        <v>3901</v>
      </c>
      <c r="C1284" s="919" t="s">
        <v>3902</v>
      </c>
      <c r="D1284" s="919" t="s">
        <v>6074</v>
      </c>
      <c r="E1284" s="920">
        <v>1650</v>
      </c>
      <c r="F1284" s="919" t="s">
        <v>6232</v>
      </c>
      <c r="G1284" s="919" t="s">
        <v>6233</v>
      </c>
      <c r="H1284" s="919" t="s">
        <v>6074</v>
      </c>
      <c r="I1284" s="919" t="s">
        <v>3686</v>
      </c>
      <c r="J1284" s="919"/>
      <c r="K1284" s="920">
        <v>1</v>
      </c>
      <c r="L1284" s="920">
        <v>12</v>
      </c>
      <c r="M1284" s="920">
        <f t="shared" si="38"/>
        <v>19800</v>
      </c>
      <c r="N1284" s="919"/>
      <c r="O1284" s="919"/>
      <c r="P1284" s="921">
        <f t="shared" si="39"/>
        <v>0</v>
      </c>
    </row>
    <row r="1285" spans="1:16" ht="20.100000000000001" customHeight="1" x14ac:dyDescent="0.25">
      <c r="A1285" s="918" t="s">
        <v>484</v>
      </c>
      <c r="B1285" s="944" t="s">
        <v>3901</v>
      </c>
      <c r="C1285" s="919" t="s">
        <v>3902</v>
      </c>
      <c r="D1285" s="919" t="s">
        <v>6120</v>
      </c>
      <c r="E1285" s="920">
        <v>3520</v>
      </c>
      <c r="F1285" s="919" t="s">
        <v>6234</v>
      </c>
      <c r="G1285" s="919" t="s">
        <v>6235</v>
      </c>
      <c r="H1285" s="919" t="s">
        <v>6120</v>
      </c>
      <c r="I1285" s="919" t="s">
        <v>3724</v>
      </c>
      <c r="J1285" s="919"/>
      <c r="K1285" s="920">
        <v>1</v>
      </c>
      <c r="L1285" s="920">
        <v>12</v>
      </c>
      <c r="M1285" s="920">
        <f t="shared" si="38"/>
        <v>42240</v>
      </c>
      <c r="N1285" s="919"/>
      <c r="O1285" s="919"/>
      <c r="P1285" s="921">
        <f t="shared" si="39"/>
        <v>0</v>
      </c>
    </row>
    <row r="1286" spans="1:16" ht="20.100000000000001" customHeight="1" x14ac:dyDescent="0.25">
      <c r="A1286" s="918" t="s">
        <v>484</v>
      </c>
      <c r="B1286" s="944" t="s">
        <v>3901</v>
      </c>
      <c r="C1286" s="919" t="s">
        <v>3902</v>
      </c>
      <c r="D1286" s="919" t="s">
        <v>6115</v>
      </c>
      <c r="E1286" s="920">
        <v>2750</v>
      </c>
      <c r="F1286" s="919" t="s">
        <v>6236</v>
      </c>
      <c r="G1286" s="919" t="s">
        <v>6237</v>
      </c>
      <c r="H1286" s="919" t="s">
        <v>6115</v>
      </c>
      <c r="I1286" s="919" t="s">
        <v>3679</v>
      </c>
      <c r="J1286" s="919"/>
      <c r="K1286" s="920">
        <v>1</v>
      </c>
      <c r="L1286" s="920">
        <v>12</v>
      </c>
      <c r="M1286" s="920">
        <f t="shared" ref="M1286:M1349" si="40">E1286*L1286</f>
        <v>33000</v>
      </c>
      <c r="N1286" s="919"/>
      <c r="O1286" s="919"/>
      <c r="P1286" s="921">
        <f t="shared" ref="P1286:P1349" si="41">E1286*O1286</f>
        <v>0</v>
      </c>
    </row>
    <row r="1287" spans="1:16" ht="20.100000000000001" customHeight="1" x14ac:dyDescent="0.25">
      <c r="A1287" s="918" t="s">
        <v>484</v>
      </c>
      <c r="B1287" s="944" t="s">
        <v>3901</v>
      </c>
      <c r="C1287" s="919" t="s">
        <v>3902</v>
      </c>
      <c r="D1287" s="919" t="s">
        <v>6120</v>
      </c>
      <c r="E1287" s="920">
        <v>3630</v>
      </c>
      <c r="F1287" s="919" t="s">
        <v>6238</v>
      </c>
      <c r="G1287" s="919" t="s">
        <v>6239</v>
      </c>
      <c r="H1287" s="919" t="s">
        <v>6120</v>
      </c>
      <c r="I1287" s="919" t="s">
        <v>3724</v>
      </c>
      <c r="J1287" s="919"/>
      <c r="K1287" s="920">
        <v>1</v>
      </c>
      <c r="L1287" s="920">
        <v>12</v>
      </c>
      <c r="M1287" s="920">
        <f t="shared" si="40"/>
        <v>43560</v>
      </c>
      <c r="N1287" s="919"/>
      <c r="O1287" s="919"/>
      <c r="P1287" s="921">
        <f t="shared" si="41"/>
        <v>0</v>
      </c>
    </row>
    <row r="1288" spans="1:16" ht="20.100000000000001" customHeight="1" x14ac:dyDescent="0.25">
      <c r="A1288" s="918" t="s">
        <v>484</v>
      </c>
      <c r="B1288" s="944" t="s">
        <v>3901</v>
      </c>
      <c r="C1288" s="919" t="s">
        <v>3902</v>
      </c>
      <c r="D1288" s="919" t="s">
        <v>6071</v>
      </c>
      <c r="E1288" s="920">
        <v>1650</v>
      </c>
      <c r="F1288" s="919" t="s">
        <v>6240</v>
      </c>
      <c r="G1288" s="919" t="s">
        <v>6241</v>
      </c>
      <c r="H1288" s="919" t="s">
        <v>6071</v>
      </c>
      <c r="I1288" s="919" t="s">
        <v>3686</v>
      </c>
      <c r="J1288" s="919"/>
      <c r="K1288" s="920">
        <v>1</v>
      </c>
      <c r="L1288" s="920">
        <v>12</v>
      </c>
      <c r="M1288" s="920">
        <f t="shared" si="40"/>
        <v>19800</v>
      </c>
      <c r="N1288" s="919"/>
      <c r="O1288" s="919"/>
      <c r="P1288" s="921">
        <f t="shared" si="41"/>
        <v>0</v>
      </c>
    </row>
    <row r="1289" spans="1:16" ht="20.100000000000001" customHeight="1" x14ac:dyDescent="0.25">
      <c r="A1289" s="918" t="s">
        <v>484</v>
      </c>
      <c r="B1289" s="944" t="s">
        <v>3901</v>
      </c>
      <c r="C1289" s="919" t="s">
        <v>3902</v>
      </c>
      <c r="D1289" s="919" t="s">
        <v>6120</v>
      </c>
      <c r="E1289" s="920">
        <v>3080</v>
      </c>
      <c r="F1289" s="919" t="s">
        <v>6242</v>
      </c>
      <c r="G1289" s="919" t="s">
        <v>6243</v>
      </c>
      <c r="H1289" s="919" t="s">
        <v>6120</v>
      </c>
      <c r="I1289" s="919" t="s">
        <v>3724</v>
      </c>
      <c r="J1289" s="919"/>
      <c r="K1289" s="920">
        <v>1</v>
      </c>
      <c r="L1289" s="920">
        <v>12</v>
      </c>
      <c r="M1289" s="920">
        <f t="shared" si="40"/>
        <v>36960</v>
      </c>
      <c r="N1289" s="919"/>
      <c r="O1289" s="919"/>
      <c r="P1289" s="921">
        <f t="shared" si="41"/>
        <v>0</v>
      </c>
    </row>
    <row r="1290" spans="1:16" ht="20.100000000000001" customHeight="1" x14ac:dyDescent="0.25">
      <c r="A1290" s="918" t="s">
        <v>484</v>
      </c>
      <c r="B1290" s="944" t="s">
        <v>3901</v>
      </c>
      <c r="C1290" s="919" t="s">
        <v>3902</v>
      </c>
      <c r="D1290" s="919" t="s">
        <v>6203</v>
      </c>
      <c r="E1290" s="920">
        <v>2200</v>
      </c>
      <c r="F1290" s="919" t="s">
        <v>6244</v>
      </c>
      <c r="G1290" s="919" t="s">
        <v>6245</v>
      </c>
      <c r="H1290" s="919" t="s">
        <v>6203</v>
      </c>
      <c r="I1290" s="919" t="s">
        <v>3724</v>
      </c>
      <c r="J1290" s="919"/>
      <c r="K1290" s="920">
        <v>1</v>
      </c>
      <c r="L1290" s="920">
        <v>12</v>
      </c>
      <c r="M1290" s="920">
        <f t="shared" si="40"/>
        <v>26400</v>
      </c>
      <c r="N1290" s="919"/>
      <c r="O1290" s="919"/>
      <c r="P1290" s="921">
        <f t="shared" si="41"/>
        <v>0</v>
      </c>
    </row>
    <row r="1291" spans="1:16" ht="20.100000000000001" customHeight="1" x14ac:dyDescent="0.25">
      <c r="A1291" s="918" t="s">
        <v>484</v>
      </c>
      <c r="B1291" s="944" t="s">
        <v>3901</v>
      </c>
      <c r="C1291" s="919" t="s">
        <v>3902</v>
      </c>
      <c r="D1291" s="919" t="s">
        <v>4266</v>
      </c>
      <c r="E1291" s="920">
        <v>1320</v>
      </c>
      <c r="F1291" s="919" t="s">
        <v>6246</v>
      </c>
      <c r="G1291" s="919" t="s">
        <v>6247</v>
      </c>
      <c r="H1291" s="919" t="s">
        <v>4266</v>
      </c>
      <c r="I1291" s="919" t="s">
        <v>3686</v>
      </c>
      <c r="J1291" s="919"/>
      <c r="K1291" s="920">
        <v>1</v>
      </c>
      <c r="L1291" s="920">
        <v>12</v>
      </c>
      <c r="M1291" s="920">
        <f t="shared" si="40"/>
        <v>15840</v>
      </c>
      <c r="N1291" s="919"/>
      <c r="O1291" s="919"/>
      <c r="P1291" s="921">
        <f t="shared" si="41"/>
        <v>0</v>
      </c>
    </row>
    <row r="1292" spans="1:16" ht="20.100000000000001" customHeight="1" x14ac:dyDescent="0.25">
      <c r="A1292" s="918" t="s">
        <v>484</v>
      </c>
      <c r="B1292" s="944" t="s">
        <v>3901</v>
      </c>
      <c r="C1292" s="919" t="s">
        <v>3902</v>
      </c>
      <c r="D1292" s="919" t="s">
        <v>6120</v>
      </c>
      <c r="E1292" s="920">
        <v>3520</v>
      </c>
      <c r="F1292" s="919" t="s">
        <v>6248</v>
      </c>
      <c r="G1292" s="919" t="s">
        <v>6249</v>
      </c>
      <c r="H1292" s="919" t="s">
        <v>6120</v>
      </c>
      <c r="I1292" s="919" t="s">
        <v>3724</v>
      </c>
      <c r="J1292" s="919"/>
      <c r="K1292" s="920">
        <v>1</v>
      </c>
      <c r="L1292" s="920">
        <v>12</v>
      </c>
      <c r="M1292" s="920">
        <f t="shared" si="40"/>
        <v>42240</v>
      </c>
      <c r="N1292" s="919"/>
      <c r="O1292" s="919"/>
      <c r="P1292" s="921">
        <f t="shared" si="41"/>
        <v>0</v>
      </c>
    </row>
    <row r="1293" spans="1:16" ht="20.100000000000001" customHeight="1" x14ac:dyDescent="0.25">
      <c r="A1293" s="918" t="s">
        <v>484</v>
      </c>
      <c r="B1293" s="944" t="s">
        <v>3901</v>
      </c>
      <c r="C1293" s="919" t="s">
        <v>3902</v>
      </c>
      <c r="D1293" s="919" t="s">
        <v>6071</v>
      </c>
      <c r="E1293" s="920">
        <v>1650</v>
      </c>
      <c r="F1293" s="919" t="s">
        <v>6250</v>
      </c>
      <c r="G1293" s="919" t="s">
        <v>6251</v>
      </c>
      <c r="H1293" s="919" t="s">
        <v>6071</v>
      </c>
      <c r="I1293" s="919" t="s">
        <v>3686</v>
      </c>
      <c r="J1293" s="919"/>
      <c r="K1293" s="920">
        <v>1</v>
      </c>
      <c r="L1293" s="920">
        <v>12</v>
      </c>
      <c r="M1293" s="920">
        <f t="shared" si="40"/>
        <v>19800</v>
      </c>
      <c r="N1293" s="919"/>
      <c r="O1293" s="919"/>
      <c r="P1293" s="921">
        <f t="shared" si="41"/>
        <v>0</v>
      </c>
    </row>
    <row r="1294" spans="1:16" ht="20.100000000000001" customHeight="1" x14ac:dyDescent="0.25">
      <c r="A1294" s="918" t="s">
        <v>484</v>
      </c>
      <c r="B1294" s="944" t="s">
        <v>3901</v>
      </c>
      <c r="C1294" s="919" t="s">
        <v>3902</v>
      </c>
      <c r="D1294" s="919" t="s">
        <v>6071</v>
      </c>
      <c r="E1294" s="920">
        <v>1650</v>
      </c>
      <c r="F1294" s="919" t="s">
        <v>6252</v>
      </c>
      <c r="G1294" s="919" t="s">
        <v>6253</v>
      </c>
      <c r="H1294" s="919" t="s">
        <v>6071</v>
      </c>
      <c r="I1294" s="919" t="s">
        <v>3686</v>
      </c>
      <c r="J1294" s="919"/>
      <c r="K1294" s="920">
        <v>1</v>
      </c>
      <c r="L1294" s="920">
        <v>12</v>
      </c>
      <c r="M1294" s="920">
        <f t="shared" si="40"/>
        <v>19800</v>
      </c>
      <c r="N1294" s="919"/>
      <c r="O1294" s="919"/>
      <c r="P1294" s="921">
        <f t="shared" si="41"/>
        <v>0</v>
      </c>
    </row>
    <row r="1295" spans="1:16" ht="20.100000000000001" customHeight="1" x14ac:dyDescent="0.25">
      <c r="A1295" s="918" t="s">
        <v>484</v>
      </c>
      <c r="B1295" s="944" t="s">
        <v>3901</v>
      </c>
      <c r="C1295" s="919" t="s">
        <v>3902</v>
      </c>
      <c r="D1295" s="919" t="s">
        <v>4266</v>
      </c>
      <c r="E1295" s="920">
        <v>1320</v>
      </c>
      <c r="F1295" s="919" t="s">
        <v>6254</v>
      </c>
      <c r="G1295" s="919" t="s">
        <v>6255</v>
      </c>
      <c r="H1295" s="919" t="s">
        <v>4266</v>
      </c>
      <c r="I1295" s="919" t="s">
        <v>3686</v>
      </c>
      <c r="J1295" s="919"/>
      <c r="K1295" s="920">
        <v>1</v>
      </c>
      <c r="L1295" s="920">
        <v>12</v>
      </c>
      <c r="M1295" s="920">
        <f t="shared" si="40"/>
        <v>15840</v>
      </c>
      <c r="N1295" s="919"/>
      <c r="O1295" s="919"/>
      <c r="P1295" s="921">
        <f t="shared" si="41"/>
        <v>0</v>
      </c>
    </row>
    <row r="1296" spans="1:16" ht="20.100000000000001" customHeight="1" x14ac:dyDescent="0.25">
      <c r="A1296" s="918" t="s">
        <v>484</v>
      </c>
      <c r="B1296" s="944" t="s">
        <v>3901</v>
      </c>
      <c r="C1296" s="919" t="s">
        <v>3902</v>
      </c>
      <c r="D1296" s="919" t="s">
        <v>4352</v>
      </c>
      <c r="E1296" s="920">
        <v>1980</v>
      </c>
      <c r="F1296" s="919" t="s">
        <v>6256</v>
      </c>
      <c r="G1296" s="919" t="s">
        <v>6257</v>
      </c>
      <c r="H1296" s="919" t="s">
        <v>4352</v>
      </c>
      <c r="I1296" s="919" t="s">
        <v>3724</v>
      </c>
      <c r="J1296" s="919"/>
      <c r="K1296" s="920">
        <v>1</v>
      </c>
      <c r="L1296" s="920">
        <v>12</v>
      </c>
      <c r="M1296" s="920">
        <f t="shared" si="40"/>
        <v>23760</v>
      </c>
      <c r="N1296" s="919"/>
      <c r="O1296" s="919"/>
      <c r="P1296" s="921">
        <f t="shared" si="41"/>
        <v>0</v>
      </c>
    </row>
    <row r="1297" spans="1:16" ht="20.100000000000001" customHeight="1" x14ac:dyDescent="0.25">
      <c r="A1297" s="918" t="s">
        <v>484</v>
      </c>
      <c r="B1297" s="944" t="s">
        <v>3901</v>
      </c>
      <c r="C1297" s="919" t="s">
        <v>3902</v>
      </c>
      <c r="D1297" s="919" t="s">
        <v>4352</v>
      </c>
      <c r="E1297" s="920">
        <v>2420</v>
      </c>
      <c r="F1297" s="919" t="s">
        <v>6258</v>
      </c>
      <c r="G1297" s="919" t="s">
        <v>6259</v>
      </c>
      <c r="H1297" s="919" t="s">
        <v>4352</v>
      </c>
      <c r="I1297" s="919" t="s">
        <v>3724</v>
      </c>
      <c r="J1297" s="919"/>
      <c r="K1297" s="920">
        <v>1</v>
      </c>
      <c r="L1297" s="920">
        <v>12</v>
      </c>
      <c r="M1297" s="920">
        <f t="shared" si="40"/>
        <v>29040</v>
      </c>
      <c r="N1297" s="919"/>
      <c r="O1297" s="919"/>
      <c r="P1297" s="921">
        <f t="shared" si="41"/>
        <v>0</v>
      </c>
    </row>
    <row r="1298" spans="1:16" ht="20.100000000000001" customHeight="1" x14ac:dyDescent="0.25">
      <c r="A1298" s="918" t="s">
        <v>484</v>
      </c>
      <c r="B1298" s="944" t="s">
        <v>3901</v>
      </c>
      <c r="C1298" s="919" t="s">
        <v>3902</v>
      </c>
      <c r="D1298" s="919" t="s">
        <v>4400</v>
      </c>
      <c r="E1298" s="920">
        <v>1000</v>
      </c>
      <c r="F1298" s="919" t="s">
        <v>6260</v>
      </c>
      <c r="G1298" s="919" t="s">
        <v>6261</v>
      </c>
      <c r="H1298" s="919" t="s">
        <v>4400</v>
      </c>
      <c r="I1298" s="919" t="s">
        <v>3686</v>
      </c>
      <c r="J1298" s="919"/>
      <c r="K1298" s="920">
        <v>1</v>
      </c>
      <c r="L1298" s="920">
        <v>12</v>
      </c>
      <c r="M1298" s="920">
        <f t="shared" si="40"/>
        <v>12000</v>
      </c>
      <c r="N1298" s="919"/>
      <c r="O1298" s="919"/>
      <c r="P1298" s="921">
        <f t="shared" si="41"/>
        <v>0</v>
      </c>
    </row>
    <row r="1299" spans="1:16" ht="20.100000000000001" customHeight="1" x14ac:dyDescent="0.25">
      <c r="A1299" s="918" t="s">
        <v>484</v>
      </c>
      <c r="B1299" s="944" t="s">
        <v>3901</v>
      </c>
      <c r="C1299" s="919" t="s">
        <v>3902</v>
      </c>
      <c r="D1299" s="919" t="s">
        <v>6074</v>
      </c>
      <c r="E1299" s="920">
        <v>1430</v>
      </c>
      <c r="F1299" s="919" t="s">
        <v>6262</v>
      </c>
      <c r="G1299" s="919" t="s">
        <v>6263</v>
      </c>
      <c r="H1299" s="919" t="s">
        <v>6074</v>
      </c>
      <c r="I1299" s="919" t="s">
        <v>3686</v>
      </c>
      <c r="J1299" s="919"/>
      <c r="K1299" s="920">
        <v>1</v>
      </c>
      <c r="L1299" s="920">
        <v>12</v>
      </c>
      <c r="M1299" s="920">
        <f t="shared" si="40"/>
        <v>17160</v>
      </c>
      <c r="N1299" s="919"/>
      <c r="O1299" s="919"/>
      <c r="P1299" s="921">
        <f t="shared" si="41"/>
        <v>0</v>
      </c>
    </row>
    <row r="1300" spans="1:16" ht="20.100000000000001" customHeight="1" x14ac:dyDescent="0.25">
      <c r="A1300" s="918" t="s">
        <v>484</v>
      </c>
      <c r="B1300" s="944" t="s">
        <v>3901</v>
      </c>
      <c r="C1300" s="919" t="s">
        <v>3902</v>
      </c>
      <c r="D1300" s="919" t="s">
        <v>4352</v>
      </c>
      <c r="E1300" s="920">
        <v>2200</v>
      </c>
      <c r="F1300" s="919" t="s">
        <v>6264</v>
      </c>
      <c r="G1300" s="919" t="s">
        <v>6265</v>
      </c>
      <c r="H1300" s="919" t="s">
        <v>4352</v>
      </c>
      <c r="I1300" s="919" t="s">
        <v>3724</v>
      </c>
      <c r="J1300" s="919"/>
      <c r="K1300" s="920">
        <v>1</v>
      </c>
      <c r="L1300" s="920">
        <v>12</v>
      </c>
      <c r="M1300" s="920">
        <f t="shared" si="40"/>
        <v>26400</v>
      </c>
      <c r="N1300" s="919"/>
      <c r="O1300" s="919"/>
      <c r="P1300" s="921">
        <f t="shared" si="41"/>
        <v>0</v>
      </c>
    </row>
    <row r="1301" spans="1:16" ht="20.100000000000001" customHeight="1" x14ac:dyDescent="0.25">
      <c r="A1301" s="918" t="s">
        <v>484</v>
      </c>
      <c r="B1301" s="944" t="s">
        <v>3901</v>
      </c>
      <c r="C1301" s="919" t="s">
        <v>3902</v>
      </c>
      <c r="D1301" s="919" t="s">
        <v>6074</v>
      </c>
      <c r="E1301" s="920">
        <v>1210</v>
      </c>
      <c r="F1301" s="919" t="s">
        <v>6266</v>
      </c>
      <c r="G1301" s="919" t="s">
        <v>6267</v>
      </c>
      <c r="H1301" s="919" t="s">
        <v>6074</v>
      </c>
      <c r="I1301" s="919" t="s">
        <v>3686</v>
      </c>
      <c r="J1301" s="919"/>
      <c r="K1301" s="920">
        <v>1</v>
      </c>
      <c r="L1301" s="920">
        <v>12</v>
      </c>
      <c r="M1301" s="920">
        <f t="shared" si="40"/>
        <v>14520</v>
      </c>
      <c r="N1301" s="919"/>
      <c r="O1301" s="919"/>
      <c r="P1301" s="921">
        <f t="shared" si="41"/>
        <v>0</v>
      </c>
    </row>
    <row r="1302" spans="1:16" ht="20.100000000000001" customHeight="1" x14ac:dyDescent="0.25">
      <c r="A1302" s="918" t="s">
        <v>484</v>
      </c>
      <c r="B1302" s="944" t="s">
        <v>3901</v>
      </c>
      <c r="C1302" s="919" t="s">
        <v>3902</v>
      </c>
      <c r="D1302" s="919" t="s">
        <v>4352</v>
      </c>
      <c r="E1302" s="920">
        <v>2000</v>
      </c>
      <c r="F1302" s="919" t="s">
        <v>4041</v>
      </c>
      <c r="G1302" s="919" t="s">
        <v>4042</v>
      </c>
      <c r="H1302" s="919" t="s">
        <v>4352</v>
      </c>
      <c r="I1302" s="919" t="s">
        <v>3724</v>
      </c>
      <c r="J1302" s="919"/>
      <c r="K1302" s="920">
        <v>1</v>
      </c>
      <c r="L1302" s="920">
        <v>12</v>
      </c>
      <c r="M1302" s="920">
        <f t="shared" si="40"/>
        <v>24000</v>
      </c>
      <c r="N1302" s="919"/>
      <c r="O1302" s="919"/>
      <c r="P1302" s="921">
        <f t="shared" si="41"/>
        <v>0</v>
      </c>
    </row>
    <row r="1303" spans="1:16" ht="20.100000000000001" customHeight="1" x14ac:dyDescent="0.25">
      <c r="A1303" s="918" t="s">
        <v>484</v>
      </c>
      <c r="B1303" s="944" t="s">
        <v>3901</v>
      </c>
      <c r="C1303" s="919" t="s">
        <v>3902</v>
      </c>
      <c r="D1303" s="919" t="s">
        <v>4352</v>
      </c>
      <c r="E1303" s="920">
        <v>2200</v>
      </c>
      <c r="F1303" s="919" t="s">
        <v>6268</v>
      </c>
      <c r="G1303" s="919" t="s">
        <v>6269</v>
      </c>
      <c r="H1303" s="919" t="s">
        <v>4352</v>
      </c>
      <c r="I1303" s="919" t="s">
        <v>3724</v>
      </c>
      <c r="J1303" s="919"/>
      <c r="K1303" s="920"/>
      <c r="L1303" s="920"/>
      <c r="M1303" s="920">
        <f t="shared" si="40"/>
        <v>0</v>
      </c>
      <c r="N1303" s="919">
        <v>1</v>
      </c>
      <c r="O1303" s="919">
        <v>1</v>
      </c>
      <c r="P1303" s="921">
        <f t="shared" si="41"/>
        <v>2200</v>
      </c>
    </row>
    <row r="1304" spans="1:16" ht="20.100000000000001" customHeight="1" x14ac:dyDescent="0.25">
      <c r="A1304" s="918" t="s">
        <v>484</v>
      </c>
      <c r="B1304" s="944" t="s">
        <v>3901</v>
      </c>
      <c r="C1304" s="919" t="s">
        <v>3902</v>
      </c>
      <c r="D1304" s="919" t="s">
        <v>3999</v>
      </c>
      <c r="E1304" s="920">
        <v>2500</v>
      </c>
      <c r="F1304" s="919" t="s">
        <v>6270</v>
      </c>
      <c r="G1304" s="919" t="s">
        <v>6271</v>
      </c>
      <c r="H1304" s="919" t="s">
        <v>3999</v>
      </c>
      <c r="I1304" s="919" t="s">
        <v>3724</v>
      </c>
      <c r="J1304" s="919"/>
      <c r="K1304" s="920">
        <v>1</v>
      </c>
      <c r="L1304" s="920">
        <v>12</v>
      </c>
      <c r="M1304" s="920">
        <f t="shared" si="40"/>
        <v>30000</v>
      </c>
      <c r="N1304" s="919"/>
      <c r="O1304" s="919"/>
      <c r="P1304" s="921">
        <f t="shared" si="41"/>
        <v>0</v>
      </c>
    </row>
    <row r="1305" spans="1:16" ht="20.100000000000001" customHeight="1" x14ac:dyDescent="0.25">
      <c r="A1305" s="918" t="s">
        <v>484</v>
      </c>
      <c r="B1305" s="944" t="s">
        <v>3901</v>
      </c>
      <c r="C1305" s="919" t="s">
        <v>3902</v>
      </c>
      <c r="D1305" s="919" t="s">
        <v>4352</v>
      </c>
      <c r="E1305" s="920">
        <v>2000</v>
      </c>
      <c r="F1305" s="919" t="s">
        <v>6272</v>
      </c>
      <c r="G1305" s="919" t="s">
        <v>6273</v>
      </c>
      <c r="H1305" s="919" t="s">
        <v>4352</v>
      </c>
      <c r="I1305" s="919" t="s">
        <v>3724</v>
      </c>
      <c r="J1305" s="919"/>
      <c r="K1305" s="920"/>
      <c r="L1305" s="920"/>
      <c r="M1305" s="920">
        <f t="shared" si="40"/>
        <v>0</v>
      </c>
      <c r="N1305" s="919">
        <v>1</v>
      </c>
      <c r="O1305" s="919">
        <v>1</v>
      </c>
      <c r="P1305" s="921">
        <f t="shared" si="41"/>
        <v>2000</v>
      </c>
    </row>
    <row r="1306" spans="1:16" ht="20.100000000000001" customHeight="1" x14ac:dyDescent="0.25">
      <c r="A1306" s="918" t="s">
        <v>484</v>
      </c>
      <c r="B1306" s="944" t="s">
        <v>3901</v>
      </c>
      <c r="C1306" s="919" t="s">
        <v>3902</v>
      </c>
      <c r="D1306" s="919" t="s">
        <v>6274</v>
      </c>
      <c r="E1306" s="920">
        <v>8000</v>
      </c>
      <c r="F1306" s="919" t="s">
        <v>4041</v>
      </c>
      <c r="G1306" s="919" t="s">
        <v>4042</v>
      </c>
      <c r="H1306" s="919" t="s">
        <v>6274</v>
      </c>
      <c r="I1306" s="919" t="s">
        <v>3724</v>
      </c>
      <c r="J1306" s="919"/>
      <c r="K1306" s="920">
        <v>1</v>
      </c>
      <c r="L1306" s="920">
        <v>12</v>
      </c>
      <c r="M1306" s="920">
        <f t="shared" si="40"/>
        <v>96000</v>
      </c>
      <c r="N1306" s="919"/>
      <c r="O1306" s="919"/>
      <c r="P1306" s="921">
        <f t="shared" si="41"/>
        <v>0</v>
      </c>
    </row>
    <row r="1307" spans="1:16" ht="20.100000000000001" customHeight="1" x14ac:dyDescent="0.25">
      <c r="A1307" s="918" t="s">
        <v>484</v>
      </c>
      <c r="B1307" s="944" t="s">
        <v>3901</v>
      </c>
      <c r="C1307" s="919" t="s">
        <v>3902</v>
      </c>
      <c r="D1307" s="919" t="s">
        <v>4449</v>
      </c>
      <c r="E1307" s="920">
        <v>2200</v>
      </c>
      <c r="F1307" s="919" t="s">
        <v>6275</v>
      </c>
      <c r="G1307" s="919" t="s">
        <v>6276</v>
      </c>
      <c r="H1307" s="919" t="s">
        <v>4449</v>
      </c>
      <c r="I1307" s="919" t="s">
        <v>3724</v>
      </c>
      <c r="J1307" s="919"/>
      <c r="K1307" s="920">
        <v>1</v>
      </c>
      <c r="L1307" s="920">
        <v>12</v>
      </c>
      <c r="M1307" s="920">
        <f t="shared" si="40"/>
        <v>26400</v>
      </c>
      <c r="N1307" s="919"/>
      <c r="O1307" s="919"/>
      <c r="P1307" s="921">
        <f t="shared" si="41"/>
        <v>0</v>
      </c>
    </row>
    <row r="1308" spans="1:16" ht="20.100000000000001" customHeight="1" x14ac:dyDescent="0.25">
      <c r="A1308" s="918" t="s">
        <v>484</v>
      </c>
      <c r="B1308" s="944" t="s">
        <v>3901</v>
      </c>
      <c r="C1308" s="919" t="s">
        <v>3902</v>
      </c>
      <c r="D1308" s="919" t="s">
        <v>3999</v>
      </c>
      <c r="E1308" s="920">
        <v>2500</v>
      </c>
      <c r="F1308" s="919" t="s">
        <v>6277</v>
      </c>
      <c r="G1308" s="919" t="s">
        <v>6278</v>
      </c>
      <c r="H1308" s="919" t="s">
        <v>3999</v>
      </c>
      <c r="I1308" s="919" t="s">
        <v>3724</v>
      </c>
      <c r="J1308" s="919"/>
      <c r="K1308" s="920">
        <v>1</v>
      </c>
      <c r="L1308" s="920">
        <v>12</v>
      </c>
      <c r="M1308" s="920">
        <f t="shared" si="40"/>
        <v>30000</v>
      </c>
      <c r="N1308" s="919"/>
      <c r="O1308" s="919"/>
      <c r="P1308" s="921">
        <f t="shared" si="41"/>
        <v>0</v>
      </c>
    </row>
    <row r="1309" spans="1:16" ht="20.100000000000001" customHeight="1" x14ac:dyDescent="0.25">
      <c r="A1309" s="918" t="s">
        <v>484</v>
      </c>
      <c r="B1309" s="944" t="s">
        <v>3901</v>
      </c>
      <c r="C1309" s="919" t="s">
        <v>3902</v>
      </c>
      <c r="D1309" s="919" t="s">
        <v>4449</v>
      </c>
      <c r="E1309" s="920">
        <v>2000</v>
      </c>
      <c r="F1309" s="919" t="s">
        <v>6279</v>
      </c>
      <c r="G1309" s="919" t="s">
        <v>6280</v>
      </c>
      <c r="H1309" s="919" t="s">
        <v>4449</v>
      </c>
      <c r="I1309" s="919" t="s">
        <v>3724</v>
      </c>
      <c r="J1309" s="919"/>
      <c r="K1309" s="920">
        <v>1</v>
      </c>
      <c r="L1309" s="920">
        <v>12</v>
      </c>
      <c r="M1309" s="920">
        <f t="shared" si="40"/>
        <v>24000</v>
      </c>
      <c r="N1309" s="919"/>
      <c r="O1309" s="919"/>
      <c r="P1309" s="921">
        <f t="shared" si="41"/>
        <v>0</v>
      </c>
    </row>
    <row r="1310" spans="1:16" ht="20.100000000000001" customHeight="1" x14ac:dyDescent="0.25">
      <c r="A1310" s="918" t="s">
        <v>484</v>
      </c>
      <c r="B1310" s="944" t="s">
        <v>3901</v>
      </c>
      <c r="C1310" s="919" t="s">
        <v>3902</v>
      </c>
      <c r="D1310" s="919" t="s">
        <v>4352</v>
      </c>
      <c r="E1310" s="920">
        <v>2200</v>
      </c>
      <c r="F1310" s="919" t="s">
        <v>4041</v>
      </c>
      <c r="G1310" s="919" t="s">
        <v>4042</v>
      </c>
      <c r="H1310" s="919" t="s">
        <v>4352</v>
      </c>
      <c r="I1310" s="919" t="s">
        <v>3724</v>
      </c>
      <c r="J1310" s="919"/>
      <c r="K1310" s="920">
        <v>1</v>
      </c>
      <c r="L1310" s="920">
        <v>12</v>
      </c>
      <c r="M1310" s="920">
        <f t="shared" si="40"/>
        <v>26400</v>
      </c>
      <c r="N1310" s="919"/>
      <c r="O1310" s="919"/>
      <c r="P1310" s="921">
        <f t="shared" si="41"/>
        <v>0</v>
      </c>
    </row>
    <row r="1311" spans="1:16" ht="20.100000000000001" customHeight="1" x14ac:dyDescent="0.25">
      <c r="A1311" s="918" t="s">
        <v>484</v>
      </c>
      <c r="B1311" s="944" t="s">
        <v>3901</v>
      </c>
      <c r="C1311" s="919" t="s">
        <v>3902</v>
      </c>
      <c r="D1311" s="919" t="s">
        <v>3999</v>
      </c>
      <c r="E1311" s="920">
        <v>2000</v>
      </c>
      <c r="F1311" s="919" t="s">
        <v>6281</v>
      </c>
      <c r="G1311" s="919" t="s">
        <v>6282</v>
      </c>
      <c r="H1311" s="919" t="s">
        <v>3999</v>
      </c>
      <c r="I1311" s="919" t="s">
        <v>3724</v>
      </c>
      <c r="J1311" s="919"/>
      <c r="K1311" s="920">
        <v>1</v>
      </c>
      <c r="L1311" s="920">
        <v>12</v>
      </c>
      <c r="M1311" s="920">
        <f t="shared" si="40"/>
        <v>24000</v>
      </c>
      <c r="N1311" s="919"/>
      <c r="O1311" s="919"/>
      <c r="P1311" s="921">
        <f t="shared" si="41"/>
        <v>0</v>
      </c>
    </row>
    <row r="1312" spans="1:16" ht="20.100000000000001" customHeight="1" x14ac:dyDescent="0.25">
      <c r="A1312" s="918" t="s">
        <v>484</v>
      </c>
      <c r="B1312" s="944" t="s">
        <v>3901</v>
      </c>
      <c r="C1312" s="919" t="s">
        <v>3902</v>
      </c>
      <c r="D1312" s="919" t="s">
        <v>3999</v>
      </c>
      <c r="E1312" s="920">
        <v>2500</v>
      </c>
      <c r="F1312" s="919" t="s">
        <v>6283</v>
      </c>
      <c r="G1312" s="919" t="s">
        <v>6284</v>
      </c>
      <c r="H1312" s="919" t="s">
        <v>3999</v>
      </c>
      <c r="I1312" s="919" t="s">
        <v>3724</v>
      </c>
      <c r="J1312" s="919"/>
      <c r="K1312" s="920">
        <v>1</v>
      </c>
      <c r="L1312" s="920">
        <v>12</v>
      </c>
      <c r="M1312" s="920">
        <f t="shared" si="40"/>
        <v>30000</v>
      </c>
      <c r="N1312" s="919"/>
      <c r="O1312" s="919"/>
      <c r="P1312" s="921">
        <f t="shared" si="41"/>
        <v>0</v>
      </c>
    </row>
    <row r="1313" spans="1:16" ht="20.100000000000001" customHeight="1" x14ac:dyDescent="0.25">
      <c r="A1313" s="918" t="s">
        <v>484</v>
      </c>
      <c r="B1313" s="944" t="s">
        <v>3901</v>
      </c>
      <c r="C1313" s="919" t="s">
        <v>3902</v>
      </c>
      <c r="D1313" s="919" t="s">
        <v>4352</v>
      </c>
      <c r="E1313" s="920">
        <v>2420</v>
      </c>
      <c r="F1313" s="919" t="s">
        <v>6285</v>
      </c>
      <c r="G1313" s="919" t="s">
        <v>6286</v>
      </c>
      <c r="H1313" s="919" t="s">
        <v>4352</v>
      </c>
      <c r="I1313" s="919" t="s">
        <v>3724</v>
      </c>
      <c r="J1313" s="919"/>
      <c r="K1313" s="920"/>
      <c r="L1313" s="920"/>
      <c r="M1313" s="920">
        <f t="shared" si="40"/>
        <v>0</v>
      </c>
      <c r="N1313" s="919">
        <v>1</v>
      </c>
      <c r="O1313" s="919">
        <v>1</v>
      </c>
      <c r="P1313" s="921">
        <f t="shared" si="41"/>
        <v>2420</v>
      </c>
    </row>
    <row r="1314" spans="1:16" ht="20.100000000000001" customHeight="1" x14ac:dyDescent="0.25">
      <c r="A1314" s="918" t="s">
        <v>484</v>
      </c>
      <c r="B1314" s="944" t="s">
        <v>3901</v>
      </c>
      <c r="C1314" s="919" t="s">
        <v>3902</v>
      </c>
      <c r="D1314" s="919" t="s">
        <v>6120</v>
      </c>
      <c r="E1314" s="920">
        <v>3520</v>
      </c>
      <c r="F1314" s="919" t="s">
        <v>4041</v>
      </c>
      <c r="G1314" s="919" t="s">
        <v>4042</v>
      </c>
      <c r="H1314" s="919" t="s">
        <v>6120</v>
      </c>
      <c r="I1314" s="919" t="s">
        <v>3724</v>
      </c>
      <c r="J1314" s="919"/>
      <c r="K1314" s="920">
        <v>1</v>
      </c>
      <c r="L1314" s="920">
        <v>12</v>
      </c>
      <c r="M1314" s="920">
        <f t="shared" si="40"/>
        <v>42240</v>
      </c>
      <c r="N1314" s="919"/>
      <c r="O1314" s="919"/>
      <c r="P1314" s="921">
        <f t="shared" si="41"/>
        <v>0</v>
      </c>
    </row>
    <row r="1315" spans="1:16" ht="20.100000000000001" customHeight="1" x14ac:dyDescent="0.25">
      <c r="A1315" s="918" t="s">
        <v>484</v>
      </c>
      <c r="B1315" s="944" t="s">
        <v>3901</v>
      </c>
      <c r="C1315" s="919" t="s">
        <v>3902</v>
      </c>
      <c r="D1315" s="919" t="s">
        <v>3999</v>
      </c>
      <c r="E1315" s="920">
        <v>2200</v>
      </c>
      <c r="F1315" s="919" t="s">
        <v>6287</v>
      </c>
      <c r="G1315" s="919" t="s">
        <v>6288</v>
      </c>
      <c r="H1315" s="919" t="s">
        <v>3999</v>
      </c>
      <c r="I1315" s="919" t="s">
        <v>3724</v>
      </c>
      <c r="J1315" s="919"/>
      <c r="K1315" s="920">
        <v>1</v>
      </c>
      <c r="L1315" s="920">
        <v>12</v>
      </c>
      <c r="M1315" s="920">
        <f t="shared" si="40"/>
        <v>26400</v>
      </c>
      <c r="N1315" s="919"/>
      <c r="O1315" s="919"/>
      <c r="P1315" s="921">
        <f t="shared" si="41"/>
        <v>0</v>
      </c>
    </row>
    <row r="1316" spans="1:16" ht="20.100000000000001" customHeight="1" x14ac:dyDescent="0.25">
      <c r="A1316" s="918" t="s">
        <v>484</v>
      </c>
      <c r="B1316" s="944" t="s">
        <v>3901</v>
      </c>
      <c r="C1316" s="919" t="s">
        <v>3902</v>
      </c>
      <c r="D1316" s="919" t="s">
        <v>6120</v>
      </c>
      <c r="E1316" s="920">
        <v>3250</v>
      </c>
      <c r="F1316" s="919" t="s">
        <v>4041</v>
      </c>
      <c r="G1316" s="919" t="s">
        <v>4042</v>
      </c>
      <c r="H1316" s="919" t="s">
        <v>6120</v>
      </c>
      <c r="I1316" s="919" t="s">
        <v>3724</v>
      </c>
      <c r="J1316" s="919"/>
      <c r="K1316" s="920">
        <v>1</v>
      </c>
      <c r="L1316" s="920">
        <v>12</v>
      </c>
      <c r="M1316" s="920">
        <f t="shared" si="40"/>
        <v>39000</v>
      </c>
      <c r="N1316" s="919"/>
      <c r="O1316" s="919"/>
      <c r="P1316" s="921">
        <f t="shared" si="41"/>
        <v>0</v>
      </c>
    </row>
    <row r="1317" spans="1:16" ht="20.100000000000001" customHeight="1" x14ac:dyDescent="0.25">
      <c r="A1317" s="918" t="s">
        <v>484</v>
      </c>
      <c r="B1317" s="944" t="s">
        <v>3901</v>
      </c>
      <c r="C1317" s="919" t="s">
        <v>3902</v>
      </c>
      <c r="D1317" s="919" t="s">
        <v>6120</v>
      </c>
      <c r="E1317" s="920">
        <v>3080</v>
      </c>
      <c r="F1317" s="919" t="s">
        <v>6289</v>
      </c>
      <c r="G1317" s="919" t="s">
        <v>6290</v>
      </c>
      <c r="H1317" s="919" t="s">
        <v>6120</v>
      </c>
      <c r="I1317" s="919" t="s">
        <v>3724</v>
      </c>
      <c r="J1317" s="919"/>
      <c r="K1317" s="920">
        <v>1</v>
      </c>
      <c r="L1317" s="920">
        <v>12</v>
      </c>
      <c r="M1317" s="920">
        <f t="shared" si="40"/>
        <v>36960</v>
      </c>
      <c r="N1317" s="919"/>
      <c r="O1317" s="919"/>
      <c r="P1317" s="921">
        <f t="shared" si="41"/>
        <v>0</v>
      </c>
    </row>
    <row r="1318" spans="1:16" ht="20.100000000000001" customHeight="1" x14ac:dyDescent="0.25">
      <c r="A1318" s="918" t="s">
        <v>484</v>
      </c>
      <c r="B1318" s="944" t="s">
        <v>3901</v>
      </c>
      <c r="C1318" s="919" t="s">
        <v>3902</v>
      </c>
      <c r="D1318" s="919" t="s">
        <v>4449</v>
      </c>
      <c r="E1318" s="920">
        <v>2200</v>
      </c>
      <c r="F1318" s="919" t="s">
        <v>6291</v>
      </c>
      <c r="G1318" s="919" t="s">
        <v>6292</v>
      </c>
      <c r="H1318" s="919" t="s">
        <v>4449</v>
      </c>
      <c r="I1318" s="919" t="s">
        <v>3724</v>
      </c>
      <c r="J1318" s="919"/>
      <c r="K1318" s="920"/>
      <c r="L1318" s="920"/>
      <c r="M1318" s="920">
        <f t="shared" si="40"/>
        <v>0</v>
      </c>
      <c r="N1318" s="919">
        <v>1</v>
      </c>
      <c r="O1318" s="919">
        <v>1</v>
      </c>
      <c r="P1318" s="921">
        <f t="shared" si="41"/>
        <v>2200</v>
      </c>
    </row>
    <row r="1319" spans="1:16" ht="20.100000000000001" customHeight="1" x14ac:dyDescent="0.25">
      <c r="A1319" s="918" t="s">
        <v>484</v>
      </c>
      <c r="B1319" s="944" t="s">
        <v>3901</v>
      </c>
      <c r="C1319" s="919" t="s">
        <v>3902</v>
      </c>
      <c r="D1319" s="919" t="s">
        <v>6120</v>
      </c>
      <c r="E1319" s="920">
        <v>3520</v>
      </c>
      <c r="F1319" s="919" t="s">
        <v>6293</v>
      </c>
      <c r="G1319" s="919" t="s">
        <v>6294</v>
      </c>
      <c r="H1319" s="919" t="s">
        <v>6120</v>
      </c>
      <c r="I1319" s="919" t="s">
        <v>3724</v>
      </c>
      <c r="J1319" s="919"/>
      <c r="K1319" s="920"/>
      <c r="L1319" s="920"/>
      <c r="M1319" s="920">
        <f t="shared" si="40"/>
        <v>0</v>
      </c>
      <c r="N1319" s="919">
        <v>1</v>
      </c>
      <c r="O1319" s="919">
        <v>1</v>
      </c>
      <c r="P1319" s="921">
        <f t="shared" si="41"/>
        <v>3520</v>
      </c>
    </row>
    <row r="1320" spans="1:16" ht="20.100000000000001" customHeight="1" x14ac:dyDescent="0.25">
      <c r="A1320" s="918" t="s">
        <v>484</v>
      </c>
      <c r="B1320" s="944" t="s">
        <v>3901</v>
      </c>
      <c r="C1320" s="919" t="s">
        <v>3902</v>
      </c>
      <c r="D1320" s="919" t="s">
        <v>6120</v>
      </c>
      <c r="E1320" s="920">
        <v>3630</v>
      </c>
      <c r="F1320" s="919" t="s">
        <v>6295</v>
      </c>
      <c r="G1320" s="919" t="s">
        <v>6296</v>
      </c>
      <c r="H1320" s="919" t="s">
        <v>6120</v>
      </c>
      <c r="I1320" s="919" t="s">
        <v>3724</v>
      </c>
      <c r="J1320" s="919"/>
      <c r="K1320" s="920"/>
      <c r="L1320" s="920"/>
      <c r="M1320" s="920">
        <f t="shared" si="40"/>
        <v>0</v>
      </c>
      <c r="N1320" s="919">
        <v>1</v>
      </c>
      <c r="O1320" s="919">
        <v>3</v>
      </c>
      <c r="P1320" s="921">
        <f t="shared" si="41"/>
        <v>10890</v>
      </c>
    </row>
    <row r="1321" spans="1:16" ht="20.100000000000001" customHeight="1" x14ac:dyDescent="0.25">
      <c r="A1321" s="918" t="s">
        <v>484</v>
      </c>
      <c r="B1321" s="944" t="s">
        <v>3901</v>
      </c>
      <c r="C1321" s="919" t="s">
        <v>3902</v>
      </c>
      <c r="D1321" s="919" t="s">
        <v>3999</v>
      </c>
      <c r="E1321" s="920">
        <v>2500</v>
      </c>
      <c r="F1321" s="919" t="s">
        <v>6297</v>
      </c>
      <c r="G1321" s="919" t="s">
        <v>6298</v>
      </c>
      <c r="H1321" s="919" t="s">
        <v>3999</v>
      </c>
      <c r="I1321" s="919" t="s">
        <v>3724</v>
      </c>
      <c r="J1321" s="919"/>
      <c r="K1321" s="920">
        <v>1</v>
      </c>
      <c r="L1321" s="920">
        <v>12</v>
      </c>
      <c r="M1321" s="920">
        <f t="shared" si="40"/>
        <v>30000</v>
      </c>
      <c r="N1321" s="919"/>
      <c r="O1321" s="919"/>
      <c r="P1321" s="921">
        <f t="shared" si="41"/>
        <v>0</v>
      </c>
    </row>
    <row r="1322" spans="1:16" ht="20.100000000000001" customHeight="1" x14ac:dyDescent="0.25">
      <c r="A1322" s="918" t="s">
        <v>484</v>
      </c>
      <c r="B1322" s="944" t="s">
        <v>3901</v>
      </c>
      <c r="C1322" s="919" t="s">
        <v>3902</v>
      </c>
      <c r="D1322" s="919" t="s">
        <v>4382</v>
      </c>
      <c r="E1322" s="920">
        <v>2600</v>
      </c>
      <c r="F1322" s="919" t="s">
        <v>6299</v>
      </c>
      <c r="G1322" s="919" t="s">
        <v>6300</v>
      </c>
      <c r="H1322" s="919" t="s">
        <v>4382</v>
      </c>
      <c r="I1322" s="919" t="s">
        <v>3724</v>
      </c>
      <c r="J1322" s="919"/>
      <c r="K1322" s="920">
        <v>1</v>
      </c>
      <c r="L1322" s="920">
        <v>12</v>
      </c>
      <c r="M1322" s="920">
        <f t="shared" si="40"/>
        <v>31200</v>
      </c>
      <c r="N1322" s="919"/>
      <c r="O1322" s="919"/>
      <c r="P1322" s="921">
        <f t="shared" si="41"/>
        <v>0</v>
      </c>
    </row>
    <row r="1323" spans="1:16" ht="20.100000000000001" customHeight="1" x14ac:dyDescent="0.25">
      <c r="A1323" s="918" t="s">
        <v>484</v>
      </c>
      <c r="B1323" s="944" t="s">
        <v>3901</v>
      </c>
      <c r="C1323" s="919" t="s">
        <v>3902</v>
      </c>
      <c r="D1323" s="919" t="s">
        <v>6120</v>
      </c>
      <c r="E1323" s="920">
        <v>3520</v>
      </c>
      <c r="F1323" s="919" t="s">
        <v>4041</v>
      </c>
      <c r="G1323" s="919" t="s">
        <v>4042</v>
      </c>
      <c r="H1323" s="919" t="s">
        <v>6120</v>
      </c>
      <c r="I1323" s="919" t="s">
        <v>3724</v>
      </c>
      <c r="J1323" s="919"/>
      <c r="K1323" s="920">
        <v>1</v>
      </c>
      <c r="L1323" s="920">
        <v>12</v>
      </c>
      <c r="M1323" s="920">
        <f t="shared" si="40"/>
        <v>42240</v>
      </c>
      <c r="N1323" s="919"/>
      <c r="O1323" s="919"/>
      <c r="P1323" s="921">
        <f t="shared" si="41"/>
        <v>0</v>
      </c>
    </row>
    <row r="1324" spans="1:16" ht="20.100000000000001" customHeight="1" x14ac:dyDescent="0.25">
      <c r="A1324" s="918" t="s">
        <v>484</v>
      </c>
      <c r="B1324" s="944" t="s">
        <v>3901</v>
      </c>
      <c r="C1324" s="919" t="s">
        <v>3902</v>
      </c>
      <c r="D1324" s="919" t="s">
        <v>6120</v>
      </c>
      <c r="E1324" s="920">
        <v>3520</v>
      </c>
      <c r="F1324" s="919" t="s">
        <v>6301</v>
      </c>
      <c r="G1324" s="919" t="s">
        <v>6302</v>
      </c>
      <c r="H1324" s="919" t="s">
        <v>6120</v>
      </c>
      <c r="I1324" s="919" t="s">
        <v>3724</v>
      </c>
      <c r="J1324" s="919"/>
      <c r="K1324" s="920"/>
      <c r="L1324" s="920"/>
      <c r="M1324" s="920">
        <f t="shared" si="40"/>
        <v>0</v>
      </c>
      <c r="N1324" s="919">
        <v>1</v>
      </c>
      <c r="O1324" s="919">
        <v>1</v>
      </c>
      <c r="P1324" s="921">
        <f t="shared" si="41"/>
        <v>3520</v>
      </c>
    </row>
    <row r="1325" spans="1:16" ht="20.100000000000001" customHeight="1" x14ac:dyDescent="0.25">
      <c r="A1325" s="918" t="s">
        <v>484</v>
      </c>
      <c r="B1325" s="944" t="s">
        <v>3901</v>
      </c>
      <c r="C1325" s="919" t="s">
        <v>3902</v>
      </c>
      <c r="D1325" s="919" t="s">
        <v>4352</v>
      </c>
      <c r="E1325" s="920">
        <v>2200</v>
      </c>
      <c r="F1325" s="919" t="s">
        <v>6303</v>
      </c>
      <c r="G1325" s="919" t="s">
        <v>6304</v>
      </c>
      <c r="H1325" s="919" t="s">
        <v>4352</v>
      </c>
      <c r="I1325" s="919" t="s">
        <v>3724</v>
      </c>
      <c r="J1325" s="919"/>
      <c r="K1325" s="920"/>
      <c r="L1325" s="920"/>
      <c r="M1325" s="920">
        <f t="shared" si="40"/>
        <v>0</v>
      </c>
      <c r="N1325" s="919">
        <v>1</v>
      </c>
      <c r="O1325" s="919">
        <v>1</v>
      </c>
      <c r="P1325" s="921">
        <f t="shared" si="41"/>
        <v>2200</v>
      </c>
    </row>
    <row r="1326" spans="1:16" ht="20.100000000000001" customHeight="1" x14ac:dyDescent="0.25">
      <c r="A1326" s="918" t="s">
        <v>484</v>
      </c>
      <c r="B1326" s="944" t="s">
        <v>3901</v>
      </c>
      <c r="C1326" s="919" t="s">
        <v>3902</v>
      </c>
      <c r="D1326" s="919" t="s">
        <v>4382</v>
      </c>
      <c r="E1326" s="920">
        <v>2000</v>
      </c>
      <c r="F1326" s="919" t="s">
        <v>6305</v>
      </c>
      <c r="G1326" s="919" t="s">
        <v>6306</v>
      </c>
      <c r="H1326" s="919" t="s">
        <v>4382</v>
      </c>
      <c r="I1326" s="919" t="s">
        <v>3724</v>
      </c>
      <c r="J1326" s="919"/>
      <c r="K1326" s="920">
        <v>1</v>
      </c>
      <c r="L1326" s="920">
        <v>12</v>
      </c>
      <c r="M1326" s="920">
        <f t="shared" si="40"/>
        <v>24000</v>
      </c>
      <c r="N1326" s="919"/>
      <c r="O1326" s="919"/>
      <c r="P1326" s="921">
        <f t="shared" si="41"/>
        <v>0</v>
      </c>
    </row>
    <row r="1327" spans="1:16" ht="20.100000000000001" customHeight="1" x14ac:dyDescent="0.25">
      <c r="A1327" s="918" t="s">
        <v>484</v>
      </c>
      <c r="B1327" s="944" t="s">
        <v>3901</v>
      </c>
      <c r="C1327" s="919" t="s">
        <v>3902</v>
      </c>
      <c r="D1327" s="919" t="s">
        <v>3999</v>
      </c>
      <c r="E1327" s="920">
        <v>2000</v>
      </c>
      <c r="F1327" s="919" t="s">
        <v>6307</v>
      </c>
      <c r="G1327" s="919" t="s">
        <v>6308</v>
      </c>
      <c r="H1327" s="919" t="s">
        <v>3999</v>
      </c>
      <c r="I1327" s="919" t="s">
        <v>3724</v>
      </c>
      <c r="J1327" s="919"/>
      <c r="K1327" s="920">
        <v>1</v>
      </c>
      <c r="L1327" s="920">
        <v>12</v>
      </c>
      <c r="M1327" s="920">
        <f t="shared" si="40"/>
        <v>24000</v>
      </c>
      <c r="N1327" s="919"/>
      <c r="O1327" s="919"/>
      <c r="P1327" s="921">
        <f t="shared" si="41"/>
        <v>0</v>
      </c>
    </row>
    <row r="1328" spans="1:16" ht="20.100000000000001" customHeight="1" x14ac:dyDescent="0.25">
      <c r="A1328" s="918" t="s">
        <v>484</v>
      </c>
      <c r="B1328" s="944" t="s">
        <v>3901</v>
      </c>
      <c r="C1328" s="919" t="s">
        <v>3902</v>
      </c>
      <c r="D1328" s="919" t="s">
        <v>3999</v>
      </c>
      <c r="E1328" s="920">
        <v>2000</v>
      </c>
      <c r="F1328" s="919" t="s">
        <v>6309</v>
      </c>
      <c r="G1328" s="919" t="s">
        <v>6310</v>
      </c>
      <c r="H1328" s="919" t="s">
        <v>3999</v>
      </c>
      <c r="I1328" s="919" t="s">
        <v>3724</v>
      </c>
      <c r="J1328" s="919"/>
      <c r="K1328" s="920">
        <v>1</v>
      </c>
      <c r="L1328" s="920">
        <v>12</v>
      </c>
      <c r="M1328" s="920">
        <f t="shared" si="40"/>
        <v>24000</v>
      </c>
      <c r="N1328" s="919"/>
      <c r="O1328" s="919"/>
      <c r="P1328" s="921">
        <f t="shared" si="41"/>
        <v>0</v>
      </c>
    </row>
    <row r="1329" spans="1:16" ht="20.100000000000001" customHeight="1" x14ac:dyDescent="0.25">
      <c r="A1329" s="918" t="s">
        <v>484</v>
      </c>
      <c r="B1329" s="944" t="s">
        <v>3901</v>
      </c>
      <c r="C1329" s="919" t="s">
        <v>3902</v>
      </c>
      <c r="D1329" s="919" t="s">
        <v>6203</v>
      </c>
      <c r="E1329" s="920">
        <v>2200</v>
      </c>
      <c r="F1329" s="919" t="s">
        <v>6311</v>
      </c>
      <c r="G1329" s="919" t="s">
        <v>6312</v>
      </c>
      <c r="H1329" s="919" t="s">
        <v>6203</v>
      </c>
      <c r="I1329" s="919" t="s">
        <v>3724</v>
      </c>
      <c r="J1329" s="919"/>
      <c r="K1329" s="920"/>
      <c r="L1329" s="920"/>
      <c r="M1329" s="920">
        <f t="shared" si="40"/>
        <v>0</v>
      </c>
      <c r="N1329" s="919">
        <v>1</v>
      </c>
      <c r="O1329" s="919">
        <v>3</v>
      </c>
      <c r="P1329" s="921">
        <f t="shared" si="41"/>
        <v>6600</v>
      </c>
    </row>
    <row r="1330" spans="1:16" ht="20.100000000000001" customHeight="1" x14ac:dyDescent="0.25">
      <c r="A1330" s="918" t="s">
        <v>484</v>
      </c>
      <c r="B1330" s="944" t="s">
        <v>3901</v>
      </c>
      <c r="C1330" s="919" t="s">
        <v>3902</v>
      </c>
      <c r="D1330" s="919" t="s">
        <v>6074</v>
      </c>
      <c r="E1330" s="920">
        <v>1650</v>
      </c>
      <c r="F1330" s="919" t="s">
        <v>4041</v>
      </c>
      <c r="G1330" s="919" t="s">
        <v>4042</v>
      </c>
      <c r="H1330" s="919" t="s">
        <v>6074</v>
      </c>
      <c r="I1330" s="919" t="s">
        <v>3686</v>
      </c>
      <c r="J1330" s="919"/>
      <c r="K1330" s="920">
        <v>1</v>
      </c>
      <c r="L1330" s="920">
        <v>12</v>
      </c>
      <c r="M1330" s="920">
        <f t="shared" si="40"/>
        <v>19800</v>
      </c>
      <c r="N1330" s="919"/>
      <c r="O1330" s="919"/>
      <c r="P1330" s="921">
        <f t="shared" si="41"/>
        <v>0</v>
      </c>
    </row>
    <row r="1331" spans="1:16" ht="20.100000000000001" customHeight="1" x14ac:dyDescent="0.25">
      <c r="A1331" s="918" t="s">
        <v>484</v>
      </c>
      <c r="B1331" s="944" t="s">
        <v>3901</v>
      </c>
      <c r="C1331" s="919" t="s">
        <v>3902</v>
      </c>
      <c r="D1331" s="919" t="s">
        <v>4383</v>
      </c>
      <c r="E1331" s="920">
        <v>2500</v>
      </c>
      <c r="F1331" s="919" t="s">
        <v>6313</v>
      </c>
      <c r="G1331" s="919" t="s">
        <v>6314</v>
      </c>
      <c r="H1331" s="919" t="s">
        <v>4383</v>
      </c>
      <c r="I1331" s="919" t="s">
        <v>3724</v>
      </c>
      <c r="J1331" s="919"/>
      <c r="K1331" s="920">
        <v>1</v>
      </c>
      <c r="L1331" s="920">
        <v>12</v>
      </c>
      <c r="M1331" s="920">
        <f t="shared" si="40"/>
        <v>30000</v>
      </c>
      <c r="N1331" s="919"/>
      <c r="O1331" s="919"/>
      <c r="P1331" s="921">
        <f t="shared" si="41"/>
        <v>0</v>
      </c>
    </row>
    <row r="1332" spans="1:16" ht="20.100000000000001" customHeight="1" x14ac:dyDescent="0.25">
      <c r="A1332" s="918" t="s">
        <v>484</v>
      </c>
      <c r="B1332" s="944" t="s">
        <v>3901</v>
      </c>
      <c r="C1332" s="919" t="s">
        <v>3902</v>
      </c>
      <c r="D1332" s="919" t="s">
        <v>6315</v>
      </c>
      <c r="E1332" s="920">
        <v>2000</v>
      </c>
      <c r="F1332" s="919" t="s">
        <v>6316</v>
      </c>
      <c r="G1332" s="919" t="s">
        <v>6317</v>
      </c>
      <c r="H1332" s="919" t="s">
        <v>6315</v>
      </c>
      <c r="I1332" s="919" t="s">
        <v>3724</v>
      </c>
      <c r="J1332" s="919"/>
      <c r="K1332" s="920"/>
      <c r="L1332" s="920"/>
      <c r="M1332" s="920">
        <f t="shared" si="40"/>
        <v>0</v>
      </c>
      <c r="N1332" s="919">
        <v>1</v>
      </c>
      <c r="O1332" s="919">
        <v>1</v>
      </c>
      <c r="P1332" s="921">
        <f t="shared" si="41"/>
        <v>2000</v>
      </c>
    </row>
    <row r="1333" spans="1:16" ht="20.100000000000001" customHeight="1" x14ac:dyDescent="0.25">
      <c r="A1333" s="918" t="s">
        <v>484</v>
      </c>
      <c r="B1333" s="944" t="s">
        <v>3901</v>
      </c>
      <c r="C1333" s="919" t="s">
        <v>3902</v>
      </c>
      <c r="D1333" s="919" t="s">
        <v>6125</v>
      </c>
      <c r="E1333" s="920">
        <v>2200</v>
      </c>
      <c r="F1333" s="919" t="s">
        <v>4041</v>
      </c>
      <c r="G1333" s="919" t="s">
        <v>4042</v>
      </c>
      <c r="H1333" s="919" t="s">
        <v>6125</v>
      </c>
      <c r="I1333" s="919" t="s">
        <v>3724</v>
      </c>
      <c r="J1333" s="919"/>
      <c r="K1333" s="920">
        <v>1</v>
      </c>
      <c r="L1333" s="920">
        <v>12</v>
      </c>
      <c r="M1333" s="920">
        <f t="shared" si="40"/>
        <v>26400</v>
      </c>
      <c r="N1333" s="919"/>
      <c r="O1333" s="919"/>
      <c r="P1333" s="921">
        <f t="shared" si="41"/>
        <v>0</v>
      </c>
    </row>
    <row r="1334" spans="1:16" ht="20.100000000000001" customHeight="1" x14ac:dyDescent="0.25">
      <c r="A1334" s="918" t="s">
        <v>484</v>
      </c>
      <c r="B1334" s="944" t="s">
        <v>3901</v>
      </c>
      <c r="C1334" s="919" t="s">
        <v>3902</v>
      </c>
      <c r="D1334" s="919" t="s">
        <v>6203</v>
      </c>
      <c r="E1334" s="920">
        <v>2200</v>
      </c>
      <c r="F1334" s="919" t="s">
        <v>6318</v>
      </c>
      <c r="G1334" s="919" t="s">
        <v>6319</v>
      </c>
      <c r="H1334" s="919" t="s">
        <v>6203</v>
      </c>
      <c r="I1334" s="919" t="s">
        <v>3724</v>
      </c>
      <c r="J1334" s="919"/>
      <c r="K1334" s="920"/>
      <c r="L1334" s="920"/>
      <c r="M1334" s="920">
        <f t="shared" si="40"/>
        <v>0</v>
      </c>
      <c r="N1334" s="919">
        <v>1</v>
      </c>
      <c r="O1334" s="919">
        <v>1</v>
      </c>
      <c r="P1334" s="921">
        <f t="shared" si="41"/>
        <v>2200</v>
      </c>
    </row>
    <row r="1335" spans="1:16" ht="20.100000000000001" customHeight="1" x14ac:dyDescent="0.25">
      <c r="A1335" s="918" t="s">
        <v>484</v>
      </c>
      <c r="B1335" s="944" t="s">
        <v>3901</v>
      </c>
      <c r="C1335" s="919" t="s">
        <v>3902</v>
      </c>
      <c r="D1335" s="919" t="s">
        <v>6125</v>
      </c>
      <c r="E1335" s="920">
        <v>2000</v>
      </c>
      <c r="F1335" s="919" t="s">
        <v>6320</v>
      </c>
      <c r="G1335" s="919" t="s">
        <v>6321</v>
      </c>
      <c r="H1335" s="919" t="s">
        <v>6125</v>
      </c>
      <c r="I1335" s="919" t="s">
        <v>3724</v>
      </c>
      <c r="J1335" s="919"/>
      <c r="K1335" s="920"/>
      <c r="L1335" s="920"/>
      <c r="M1335" s="920">
        <f t="shared" si="40"/>
        <v>0</v>
      </c>
      <c r="N1335" s="919">
        <v>1</v>
      </c>
      <c r="O1335" s="919">
        <v>3</v>
      </c>
      <c r="P1335" s="921">
        <f t="shared" si="41"/>
        <v>6000</v>
      </c>
    </row>
    <row r="1336" spans="1:16" ht="20.100000000000001" customHeight="1" x14ac:dyDescent="0.25">
      <c r="A1336" s="918" t="s">
        <v>484</v>
      </c>
      <c r="B1336" s="944" t="s">
        <v>3901</v>
      </c>
      <c r="C1336" s="919" t="s">
        <v>3902</v>
      </c>
      <c r="D1336" s="919" t="s">
        <v>6203</v>
      </c>
      <c r="E1336" s="920">
        <v>2200</v>
      </c>
      <c r="F1336" s="919" t="s">
        <v>6322</v>
      </c>
      <c r="G1336" s="919" t="s">
        <v>6323</v>
      </c>
      <c r="H1336" s="919" t="s">
        <v>6203</v>
      </c>
      <c r="I1336" s="919" t="s">
        <v>3724</v>
      </c>
      <c r="J1336" s="919"/>
      <c r="K1336" s="920"/>
      <c r="L1336" s="920"/>
      <c r="M1336" s="920">
        <f t="shared" si="40"/>
        <v>0</v>
      </c>
      <c r="N1336" s="919">
        <v>1</v>
      </c>
      <c r="O1336" s="919">
        <v>1</v>
      </c>
      <c r="P1336" s="921">
        <f t="shared" si="41"/>
        <v>2200</v>
      </c>
    </row>
    <row r="1337" spans="1:16" ht="20.100000000000001" customHeight="1" x14ac:dyDescent="0.25">
      <c r="A1337" s="918" t="s">
        <v>484</v>
      </c>
      <c r="B1337" s="944" t="s">
        <v>3901</v>
      </c>
      <c r="C1337" s="919" t="s">
        <v>3902</v>
      </c>
      <c r="D1337" s="919" t="s">
        <v>6324</v>
      </c>
      <c r="E1337" s="920">
        <v>2750</v>
      </c>
      <c r="F1337" s="919" t="s">
        <v>6325</v>
      </c>
      <c r="G1337" s="919" t="s">
        <v>6326</v>
      </c>
      <c r="H1337" s="919" t="s">
        <v>6324</v>
      </c>
      <c r="I1337" s="919" t="s">
        <v>3679</v>
      </c>
      <c r="J1337" s="919"/>
      <c r="K1337" s="920"/>
      <c r="L1337" s="920"/>
      <c r="M1337" s="920">
        <f t="shared" si="40"/>
        <v>0</v>
      </c>
      <c r="N1337" s="919">
        <v>1</v>
      </c>
      <c r="O1337" s="919">
        <v>1</v>
      </c>
      <c r="P1337" s="921">
        <f t="shared" si="41"/>
        <v>2750</v>
      </c>
    </row>
    <row r="1338" spans="1:16" ht="20.100000000000001" customHeight="1" x14ac:dyDescent="0.25">
      <c r="A1338" s="918" t="s">
        <v>484</v>
      </c>
      <c r="B1338" s="944" t="s">
        <v>3901</v>
      </c>
      <c r="C1338" s="919" t="s">
        <v>3902</v>
      </c>
      <c r="D1338" s="919" t="s">
        <v>6125</v>
      </c>
      <c r="E1338" s="920">
        <v>2200</v>
      </c>
      <c r="F1338" s="919" t="s">
        <v>4041</v>
      </c>
      <c r="G1338" s="919" t="s">
        <v>4042</v>
      </c>
      <c r="H1338" s="919" t="s">
        <v>6125</v>
      </c>
      <c r="I1338" s="919" t="s">
        <v>3724</v>
      </c>
      <c r="J1338" s="919"/>
      <c r="K1338" s="920">
        <v>1</v>
      </c>
      <c r="L1338" s="920">
        <v>12</v>
      </c>
      <c r="M1338" s="920">
        <f t="shared" si="40"/>
        <v>26400</v>
      </c>
      <c r="N1338" s="919"/>
      <c r="O1338" s="919"/>
      <c r="P1338" s="921">
        <f t="shared" si="41"/>
        <v>0</v>
      </c>
    </row>
    <row r="1339" spans="1:16" ht="20.100000000000001" customHeight="1" x14ac:dyDescent="0.25">
      <c r="A1339" s="918" t="s">
        <v>484</v>
      </c>
      <c r="B1339" s="944" t="s">
        <v>3901</v>
      </c>
      <c r="C1339" s="919" t="s">
        <v>3902</v>
      </c>
      <c r="D1339" s="919" t="s">
        <v>6327</v>
      </c>
      <c r="E1339" s="920">
        <v>2500</v>
      </c>
      <c r="F1339" s="919" t="s">
        <v>6328</v>
      </c>
      <c r="G1339" s="919" t="s">
        <v>6329</v>
      </c>
      <c r="H1339" s="919" t="s">
        <v>6327</v>
      </c>
      <c r="I1339" s="919" t="s">
        <v>3724</v>
      </c>
      <c r="J1339" s="919"/>
      <c r="K1339" s="920"/>
      <c r="L1339" s="920"/>
      <c r="M1339" s="920">
        <f t="shared" si="40"/>
        <v>0</v>
      </c>
      <c r="N1339" s="919">
        <v>1</v>
      </c>
      <c r="O1339" s="919">
        <v>1</v>
      </c>
      <c r="P1339" s="921">
        <f t="shared" si="41"/>
        <v>2500</v>
      </c>
    </row>
    <row r="1340" spans="1:16" ht="20.100000000000001" customHeight="1" x14ac:dyDescent="0.25">
      <c r="A1340" s="918" t="s">
        <v>484</v>
      </c>
      <c r="B1340" s="944" t="s">
        <v>3901</v>
      </c>
      <c r="C1340" s="919" t="s">
        <v>3902</v>
      </c>
      <c r="D1340" s="919" t="s">
        <v>3955</v>
      </c>
      <c r="E1340" s="920">
        <v>2750</v>
      </c>
      <c r="F1340" s="919" t="s">
        <v>6330</v>
      </c>
      <c r="G1340" s="919" t="s">
        <v>6331</v>
      </c>
      <c r="H1340" s="919" t="s">
        <v>3955</v>
      </c>
      <c r="I1340" s="919" t="s">
        <v>3679</v>
      </c>
      <c r="J1340" s="919"/>
      <c r="K1340" s="920">
        <v>1</v>
      </c>
      <c r="L1340" s="920">
        <v>12</v>
      </c>
      <c r="M1340" s="920">
        <f t="shared" si="40"/>
        <v>33000</v>
      </c>
      <c r="N1340" s="919"/>
      <c r="O1340" s="919"/>
      <c r="P1340" s="921">
        <f t="shared" si="41"/>
        <v>0</v>
      </c>
    </row>
    <row r="1341" spans="1:16" ht="20.100000000000001" customHeight="1" x14ac:dyDescent="0.25">
      <c r="A1341" s="918" t="s">
        <v>484</v>
      </c>
      <c r="B1341" s="944" t="s">
        <v>3901</v>
      </c>
      <c r="C1341" s="919" t="s">
        <v>3902</v>
      </c>
      <c r="D1341" s="919" t="s">
        <v>6332</v>
      </c>
      <c r="E1341" s="920">
        <v>2750</v>
      </c>
      <c r="F1341" s="919" t="s">
        <v>6333</v>
      </c>
      <c r="G1341" s="919" t="s">
        <v>6334</v>
      </c>
      <c r="H1341" s="919" t="s">
        <v>6332</v>
      </c>
      <c r="I1341" s="919" t="s">
        <v>3679</v>
      </c>
      <c r="J1341" s="919"/>
      <c r="K1341" s="920">
        <v>1</v>
      </c>
      <c r="L1341" s="920">
        <v>12</v>
      </c>
      <c r="M1341" s="920">
        <f t="shared" si="40"/>
        <v>33000</v>
      </c>
      <c r="N1341" s="919"/>
      <c r="O1341" s="919"/>
      <c r="P1341" s="921">
        <f t="shared" si="41"/>
        <v>0</v>
      </c>
    </row>
    <row r="1342" spans="1:16" ht="20.100000000000001" customHeight="1" x14ac:dyDescent="0.25">
      <c r="A1342" s="918" t="s">
        <v>484</v>
      </c>
      <c r="B1342" s="944" t="s">
        <v>3901</v>
      </c>
      <c r="C1342" s="919" t="s">
        <v>3902</v>
      </c>
      <c r="D1342" s="919" t="s">
        <v>3955</v>
      </c>
      <c r="E1342" s="920">
        <v>2750</v>
      </c>
      <c r="F1342" s="919" t="s">
        <v>6335</v>
      </c>
      <c r="G1342" s="919" t="s">
        <v>6336</v>
      </c>
      <c r="H1342" s="919" t="s">
        <v>3955</v>
      </c>
      <c r="I1342" s="919" t="s">
        <v>3679</v>
      </c>
      <c r="J1342" s="919"/>
      <c r="K1342" s="920">
        <v>1</v>
      </c>
      <c r="L1342" s="920">
        <v>12</v>
      </c>
      <c r="M1342" s="920">
        <f t="shared" si="40"/>
        <v>33000</v>
      </c>
      <c r="N1342" s="919"/>
      <c r="O1342" s="919"/>
      <c r="P1342" s="921">
        <f t="shared" si="41"/>
        <v>0</v>
      </c>
    </row>
    <row r="1343" spans="1:16" ht="20.100000000000001" customHeight="1" x14ac:dyDescent="0.25">
      <c r="A1343" s="918" t="s">
        <v>484</v>
      </c>
      <c r="B1343" s="944" t="s">
        <v>3901</v>
      </c>
      <c r="C1343" s="919" t="s">
        <v>3902</v>
      </c>
      <c r="D1343" s="919" t="s">
        <v>4382</v>
      </c>
      <c r="E1343" s="920">
        <v>2500</v>
      </c>
      <c r="F1343" s="919" t="s">
        <v>6337</v>
      </c>
      <c r="G1343" s="919" t="s">
        <v>6338</v>
      </c>
      <c r="H1343" s="919" t="s">
        <v>4382</v>
      </c>
      <c r="I1343" s="919" t="s">
        <v>3724</v>
      </c>
      <c r="J1343" s="919"/>
      <c r="K1343" s="920"/>
      <c r="L1343" s="920"/>
      <c r="M1343" s="920">
        <f t="shared" si="40"/>
        <v>0</v>
      </c>
      <c r="N1343" s="919">
        <v>1</v>
      </c>
      <c r="O1343" s="919">
        <v>1</v>
      </c>
      <c r="P1343" s="921">
        <f t="shared" si="41"/>
        <v>2500</v>
      </c>
    </row>
    <row r="1344" spans="1:16" ht="20.100000000000001" customHeight="1" x14ac:dyDescent="0.25">
      <c r="A1344" s="918" t="s">
        <v>484</v>
      </c>
      <c r="B1344" s="944" t="s">
        <v>3901</v>
      </c>
      <c r="C1344" s="919" t="s">
        <v>3902</v>
      </c>
      <c r="D1344" s="919" t="s">
        <v>6339</v>
      </c>
      <c r="E1344" s="920">
        <v>8000</v>
      </c>
      <c r="F1344" s="919" t="s">
        <v>6340</v>
      </c>
      <c r="G1344" s="919" t="s">
        <v>6341</v>
      </c>
      <c r="H1344" s="919" t="s">
        <v>6339</v>
      </c>
      <c r="I1344" s="919" t="s">
        <v>3724</v>
      </c>
      <c r="J1344" s="919"/>
      <c r="K1344" s="920"/>
      <c r="L1344" s="920"/>
      <c r="M1344" s="920">
        <f t="shared" si="40"/>
        <v>0</v>
      </c>
      <c r="N1344" s="919">
        <v>1</v>
      </c>
      <c r="O1344" s="919">
        <v>1</v>
      </c>
      <c r="P1344" s="921">
        <f t="shared" si="41"/>
        <v>8000</v>
      </c>
    </row>
    <row r="1345" spans="1:16" ht="20.100000000000001" customHeight="1" x14ac:dyDescent="0.25">
      <c r="A1345" s="918" t="s">
        <v>484</v>
      </c>
      <c r="B1345" s="944" t="s">
        <v>3901</v>
      </c>
      <c r="C1345" s="919" t="s">
        <v>3902</v>
      </c>
      <c r="D1345" s="919" t="s">
        <v>4382</v>
      </c>
      <c r="E1345" s="920">
        <v>2800</v>
      </c>
      <c r="F1345" s="919" t="s">
        <v>6342</v>
      </c>
      <c r="G1345" s="919" t="s">
        <v>6343</v>
      </c>
      <c r="H1345" s="919" t="s">
        <v>4382</v>
      </c>
      <c r="I1345" s="919" t="s">
        <v>3724</v>
      </c>
      <c r="J1345" s="919"/>
      <c r="K1345" s="920"/>
      <c r="L1345" s="920"/>
      <c r="M1345" s="920">
        <f t="shared" si="40"/>
        <v>0</v>
      </c>
      <c r="N1345" s="919">
        <v>1</v>
      </c>
      <c r="O1345" s="919">
        <v>3</v>
      </c>
      <c r="P1345" s="921">
        <f t="shared" si="41"/>
        <v>8400</v>
      </c>
    </row>
    <row r="1346" spans="1:16" ht="20.100000000000001" customHeight="1" x14ac:dyDescent="0.25">
      <c r="A1346" s="918" t="s">
        <v>484</v>
      </c>
      <c r="B1346" s="944" t="s">
        <v>3901</v>
      </c>
      <c r="C1346" s="919" t="s">
        <v>3902</v>
      </c>
      <c r="D1346" s="919" t="s">
        <v>4382</v>
      </c>
      <c r="E1346" s="920">
        <v>2800</v>
      </c>
      <c r="F1346" s="919" t="s">
        <v>6344</v>
      </c>
      <c r="G1346" s="919" t="s">
        <v>6345</v>
      </c>
      <c r="H1346" s="919" t="s">
        <v>4382</v>
      </c>
      <c r="I1346" s="919" t="s">
        <v>3724</v>
      </c>
      <c r="J1346" s="919"/>
      <c r="K1346" s="920"/>
      <c r="L1346" s="920"/>
      <c r="M1346" s="920">
        <f t="shared" si="40"/>
        <v>0</v>
      </c>
      <c r="N1346" s="919">
        <v>1</v>
      </c>
      <c r="O1346" s="919">
        <v>3</v>
      </c>
      <c r="P1346" s="921">
        <f t="shared" si="41"/>
        <v>8400</v>
      </c>
    </row>
    <row r="1347" spans="1:16" ht="20.100000000000001" customHeight="1" x14ac:dyDescent="0.25">
      <c r="A1347" s="918" t="s">
        <v>484</v>
      </c>
      <c r="B1347" s="944" t="s">
        <v>3901</v>
      </c>
      <c r="C1347" s="919" t="s">
        <v>3902</v>
      </c>
      <c r="D1347" s="919" t="s">
        <v>4382</v>
      </c>
      <c r="E1347" s="920">
        <v>2800</v>
      </c>
      <c r="F1347" s="919" t="s">
        <v>6346</v>
      </c>
      <c r="G1347" s="919" t="s">
        <v>6347</v>
      </c>
      <c r="H1347" s="919" t="s">
        <v>4382</v>
      </c>
      <c r="I1347" s="919" t="s">
        <v>3724</v>
      </c>
      <c r="J1347" s="919"/>
      <c r="K1347" s="920"/>
      <c r="L1347" s="920"/>
      <c r="M1347" s="920">
        <f t="shared" si="40"/>
        <v>0</v>
      </c>
      <c r="N1347" s="919">
        <v>1</v>
      </c>
      <c r="O1347" s="919">
        <v>3</v>
      </c>
      <c r="P1347" s="921">
        <f t="shared" si="41"/>
        <v>8400</v>
      </c>
    </row>
    <row r="1348" spans="1:16" ht="20.100000000000001" customHeight="1" x14ac:dyDescent="0.25">
      <c r="A1348" s="918" t="s">
        <v>484</v>
      </c>
      <c r="B1348" s="944" t="s">
        <v>3901</v>
      </c>
      <c r="C1348" s="919" t="s">
        <v>3902</v>
      </c>
      <c r="D1348" s="919" t="s">
        <v>3999</v>
      </c>
      <c r="E1348" s="920">
        <v>2800</v>
      </c>
      <c r="F1348" s="919" t="s">
        <v>6348</v>
      </c>
      <c r="G1348" s="919" t="s">
        <v>6349</v>
      </c>
      <c r="H1348" s="919" t="s">
        <v>3999</v>
      </c>
      <c r="I1348" s="919" t="s">
        <v>3724</v>
      </c>
      <c r="J1348" s="919"/>
      <c r="K1348" s="920"/>
      <c r="L1348" s="920"/>
      <c r="M1348" s="920">
        <f t="shared" si="40"/>
        <v>0</v>
      </c>
      <c r="N1348" s="919">
        <v>1</v>
      </c>
      <c r="O1348" s="919">
        <v>3</v>
      </c>
      <c r="P1348" s="921">
        <f t="shared" si="41"/>
        <v>8400</v>
      </c>
    </row>
    <row r="1349" spans="1:16" ht="20.100000000000001" customHeight="1" x14ac:dyDescent="0.25">
      <c r="A1349" s="918" t="s">
        <v>484</v>
      </c>
      <c r="B1349" s="944" t="s">
        <v>3901</v>
      </c>
      <c r="C1349" s="919" t="s">
        <v>3902</v>
      </c>
      <c r="D1349" s="919" t="s">
        <v>3999</v>
      </c>
      <c r="E1349" s="920">
        <v>2800</v>
      </c>
      <c r="F1349" s="919" t="s">
        <v>6350</v>
      </c>
      <c r="G1349" s="919" t="s">
        <v>6351</v>
      </c>
      <c r="H1349" s="919" t="s">
        <v>3999</v>
      </c>
      <c r="I1349" s="919" t="s">
        <v>3724</v>
      </c>
      <c r="J1349" s="919"/>
      <c r="K1349" s="920"/>
      <c r="L1349" s="920"/>
      <c r="M1349" s="920">
        <f t="shared" si="40"/>
        <v>0</v>
      </c>
      <c r="N1349" s="919">
        <v>1</v>
      </c>
      <c r="O1349" s="919">
        <v>3</v>
      </c>
      <c r="P1349" s="921">
        <f t="shared" si="41"/>
        <v>8400</v>
      </c>
    </row>
    <row r="1350" spans="1:16" ht="20.100000000000001" customHeight="1" x14ac:dyDescent="0.25">
      <c r="A1350" s="918" t="s">
        <v>484</v>
      </c>
      <c r="B1350" s="944" t="s">
        <v>3901</v>
      </c>
      <c r="C1350" s="919" t="s">
        <v>3902</v>
      </c>
      <c r="D1350" s="919" t="s">
        <v>6315</v>
      </c>
      <c r="E1350" s="920">
        <v>2800</v>
      </c>
      <c r="F1350" s="919" t="s">
        <v>6352</v>
      </c>
      <c r="G1350" s="919" t="s">
        <v>6353</v>
      </c>
      <c r="H1350" s="919" t="s">
        <v>6315</v>
      </c>
      <c r="I1350" s="919" t="s">
        <v>3724</v>
      </c>
      <c r="J1350" s="919"/>
      <c r="K1350" s="920"/>
      <c r="L1350" s="920"/>
      <c r="M1350" s="920">
        <f t="shared" ref="M1350:M1413" si="42">E1350*L1350</f>
        <v>0</v>
      </c>
      <c r="N1350" s="919">
        <v>1</v>
      </c>
      <c r="O1350" s="919">
        <v>3</v>
      </c>
      <c r="P1350" s="921">
        <f t="shared" ref="P1350:P1413" si="43">E1350*O1350</f>
        <v>8400</v>
      </c>
    </row>
    <row r="1351" spans="1:16" ht="20.100000000000001" customHeight="1" x14ac:dyDescent="0.25">
      <c r="A1351" s="918" t="s">
        <v>484</v>
      </c>
      <c r="B1351" s="944" t="s">
        <v>3901</v>
      </c>
      <c r="C1351" s="919" t="s">
        <v>3902</v>
      </c>
      <c r="D1351" s="919" t="s">
        <v>4383</v>
      </c>
      <c r="E1351" s="920">
        <v>2800</v>
      </c>
      <c r="F1351" s="919" t="s">
        <v>6354</v>
      </c>
      <c r="G1351" s="919" t="s">
        <v>6355</v>
      </c>
      <c r="H1351" s="919" t="s">
        <v>4383</v>
      </c>
      <c r="I1351" s="919" t="s">
        <v>3724</v>
      </c>
      <c r="J1351" s="919"/>
      <c r="K1351" s="920"/>
      <c r="L1351" s="920"/>
      <c r="M1351" s="920">
        <f t="shared" si="42"/>
        <v>0</v>
      </c>
      <c r="N1351" s="919">
        <v>1</v>
      </c>
      <c r="O1351" s="919">
        <v>3</v>
      </c>
      <c r="P1351" s="921">
        <f t="shared" si="43"/>
        <v>8400</v>
      </c>
    </row>
    <row r="1352" spans="1:16" ht="20.100000000000001" customHeight="1" x14ac:dyDescent="0.25">
      <c r="A1352" s="918" t="s">
        <v>484</v>
      </c>
      <c r="B1352" s="944" t="s">
        <v>3901</v>
      </c>
      <c r="C1352" s="919" t="s">
        <v>3902</v>
      </c>
      <c r="D1352" s="919" t="s">
        <v>4391</v>
      </c>
      <c r="E1352" s="920">
        <v>2000</v>
      </c>
      <c r="F1352" s="919" t="s">
        <v>6356</v>
      </c>
      <c r="G1352" s="919" t="s">
        <v>6357</v>
      </c>
      <c r="H1352" s="919" t="s">
        <v>4391</v>
      </c>
      <c r="I1352" s="919" t="s">
        <v>3686</v>
      </c>
      <c r="J1352" s="919"/>
      <c r="K1352" s="920"/>
      <c r="L1352" s="920"/>
      <c r="M1352" s="920">
        <f t="shared" si="42"/>
        <v>0</v>
      </c>
      <c r="N1352" s="919">
        <v>1</v>
      </c>
      <c r="O1352" s="919">
        <v>3</v>
      </c>
      <c r="P1352" s="921">
        <f t="shared" si="43"/>
        <v>6000</v>
      </c>
    </row>
    <row r="1353" spans="1:16" ht="20.100000000000001" customHeight="1" x14ac:dyDescent="0.25">
      <c r="A1353" s="918" t="s">
        <v>484</v>
      </c>
      <c r="B1353" s="944" t="s">
        <v>3901</v>
      </c>
      <c r="C1353" s="919" t="s">
        <v>3902</v>
      </c>
      <c r="D1353" s="919" t="s">
        <v>4462</v>
      </c>
      <c r="E1353" s="920">
        <v>2000</v>
      </c>
      <c r="F1353" s="919" t="s">
        <v>6358</v>
      </c>
      <c r="G1353" s="919" t="s">
        <v>6359</v>
      </c>
      <c r="H1353" s="919" t="s">
        <v>4462</v>
      </c>
      <c r="I1353" s="919" t="s">
        <v>3686</v>
      </c>
      <c r="J1353" s="919"/>
      <c r="K1353" s="920"/>
      <c r="L1353" s="920"/>
      <c r="M1353" s="920">
        <f t="shared" si="42"/>
        <v>0</v>
      </c>
      <c r="N1353" s="919">
        <v>1</v>
      </c>
      <c r="O1353" s="919">
        <v>3</v>
      </c>
      <c r="P1353" s="921">
        <f t="shared" si="43"/>
        <v>6000</v>
      </c>
    </row>
    <row r="1354" spans="1:16" ht="20.100000000000001" customHeight="1" x14ac:dyDescent="0.25">
      <c r="A1354" s="918" t="s">
        <v>484</v>
      </c>
      <c r="B1354" s="944" t="s">
        <v>3901</v>
      </c>
      <c r="C1354" s="919" t="s">
        <v>3902</v>
      </c>
      <c r="D1354" s="919" t="s">
        <v>4462</v>
      </c>
      <c r="E1354" s="920">
        <v>2000</v>
      </c>
      <c r="F1354" s="919" t="s">
        <v>6360</v>
      </c>
      <c r="G1354" s="919" t="s">
        <v>6361</v>
      </c>
      <c r="H1354" s="919" t="s">
        <v>4462</v>
      </c>
      <c r="I1354" s="919" t="s">
        <v>3686</v>
      </c>
      <c r="J1354" s="919"/>
      <c r="K1354" s="920"/>
      <c r="L1354" s="920"/>
      <c r="M1354" s="920">
        <f t="shared" si="42"/>
        <v>0</v>
      </c>
      <c r="N1354" s="919">
        <v>1</v>
      </c>
      <c r="O1354" s="919">
        <v>3</v>
      </c>
      <c r="P1354" s="921">
        <f t="shared" si="43"/>
        <v>6000</v>
      </c>
    </row>
    <row r="1355" spans="1:16" ht="20.100000000000001" customHeight="1" x14ac:dyDescent="0.25">
      <c r="A1355" s="918" t="s">
        <v>484</v>
      </c>
      <c r="B1355" s="944" t="s">
        <v>3901</v>
      </c>
      <c r="C1355" s="919" t="s">
        <v>3902</v>
      </c>
      <c r="D1355" s="919" t="s">
        <v>4038</v>
      </c>
      <c r="E1355" s="920">
        <v>2000</v>
      </c>
      <c r="F1355" s="919" t="s">
        <v>6362</v>
      </c>
      <c r="G1355" s="919" t="s">
        <v>6363</v>
      </c>
      <c r="H1355" s="919" t="s">
        <v>4038</v>
      </c>
      <c r="I1355" s="919" t="s">
        <v>3686</v>
      </c>
      <c r="J1355" s="919"/>
      <c r="K1355" s="920"/>
      <c r="L1355" s="920"/>
      <c r="M1355" s="920">
        <f t="shared" si="42"/>
        <v>0</v>
      </c>
      <c r="N1355" s="919">
        <v>1</v>
      </c>
      <c r="O1355" s="919">
        <v>3</v>
      </c>
      <c r="P1355" s="921">
        <f t="shared" si="43"/>
        <v>6000</v>
      </c>
    </row>
    <row r="1356" spans="1:16" ht="20.100000000000001" customHeight="1" x14ac:dyDescent="0.25">
      <c r="A1356" s="918" t="s">
        <v>484</v>
      </c>
      <c r="B1356" s="944" t="s">
        <v>3901</v>
      </c>
      <c r="C1356" s="919" t="s">
        <v>3902</v>
      </c>
      <c r="D1356" s="919" t="s">
        <v>4038</v>
      </c>
      <c r="E1356" s="920">
        <v>2000</v>
      </c>
      <c r="F1356" s="919" t="s">
        <v>6364</v>
      </c>
      <c r="G1356" s="919" t="s">
        <v>6365</v>
      </c>
      <c r="H1356" s="919" t="s">
        <v>4038</v>
      </c>
      <c r="I1356" s="919" t="s">
        <v>3686</v>
      </c>
      <c r="J1356" s="919"/>
      <c r="K1356" s="920"/>
      <c r="L1356" s="920"/>
      <c r="M1356" s="920">
        <f t="shared" si="42"/>
        <v>0</v>
      </c>
      <c r="N1356" s="919">
        <v>1</v>
      </c>
      <c r="O1356" s="919">
        <v>3</v>
      </c>
      <c r="P1356" s="921">
        <f t="shared" si="43"/>
        <v>6000</v>
      </c>
    </row>
    <row r="1357" spans="1:16" ht="20.100000000000001" customHeight="1" x14ac:dyDescent="0.25">
      <c r="A1357" s="918" t="s">
        <v>484</v>
      </c>
      <c r="B1357" s="944" t="s">
        <v>3901</v>
      </c>
      <c r="C1357" s="919" t="s">
        <v>3902</v>
      </c>
      <c r="D1357" s="919" t="s">
        <v>6366</v>
      </c>
      <c r="E1357" s="920">
        <v>1500</v>
      </c>
      <c r="F1357" s="919" t="s">
        <v>6367</v>
      </c>
      <c r="G1357" s="919" t="s">
        <v>6368</v>
      </c>
      <c r="H1357" s="919" t="s">
        <v>6366</v>
      </c>
      <c r="I1357" s="919" t="s">
        <v>3686</v>
      </c>
      <c r="J1357" s="919"/>
      <c r="K1357" s="920"/>
      <c r="L1357" s="920"/>
      <c r="M1357" s="920">
        <f t="shared" si="42"/>
        <v>0</v>
      </c>
      <c r="N1357" s="919">
        <v>1</v>
      </c>
      <c r="O1357" s="919">
        <v>3</v>
      </c>
      <c r="P1357" s="921">
        <f t="shared" si="43"/>
        <v>4500</v>
      </c>
    </row>
    <row r="1358" spans="1:16" ht="20.100000000000001" customHeight="1" x14ac:dyDescent="0.25">
      <c r="A1358" s="918" t="s">
        <v>484</v>
      </c>
      <c r="B1358" s="944" t="s">
        <v>3901</v>
      </c>
      <c r="C1358" s="919" t="s">
        <v>3902</v>
      </c>
      <c r="D1358" s="919" t="s">
        <v>6366</v>
      </c>
      <c r="E1358" s="920">
        <v>1500</v>
      </c>
      <c r="F1358" s="919" t="s">
        <v>6369</v>
      </c>
      <c r="G1358" s="919" t="s">
        <v>6370</v>
      </c>
      <c r="H1358" s="919" t="s">
        <v>6366</v>
      </c>
      <c r="I1358" s="919" t="s">
        <v>3686</v>
      </c>
      <c r="J1358" s="919"/>
      <c r="K1358" s="920"/>
      <c r="L1358" s="920"/>
      <c r="M1358" s="920">
        <f t="shared" si="42"/>
        <v>0</v>
      </c>
      <c r="N1358" s="919">
        <v>1</v>
      </c>
      <c r="O1358" s="919">
        <v>3</v>
      </c>
      <c r="P1358" s="921">
        <f t="shared" si="43"/>
        <v>4500</v>
      </c>
    </row>
    <row r="1359" spans="1:16" ht="20.100000000000001" customHeight="1" x14ac:dyDescent="0.25">
      <c r="A1359" s="918" t="s">
        <v>484</v>
      </c>
      <c r="B1359" s="944" t="s">
        <v>3901</v>
      </c>
      <c r="C1359" s="919" t="s">
        <v>3902</v>
      </c>
      <c r="D1359" s="919" t="s">
        <v>6366</v>
      </c>
      <c r="E1359" s="920">
        <v>1500</v>
      </c>
      <c r="F1359" s="919" t="s">
        <v>6371</v>
      </c>
      <c r="G1359" s="919" t="s">
        <v>6372</v>
      </c>
      <c r="H1359" s="919" t="s">
        <v>6366</v>
      </c>
      <c r="I1359" s="919" t="s">
        <v>3686</v>
      </c>
      <c r="J1359" s="919"/>
      <c r="K1359" s="920"/>
      <c r="L1359" s="920"/>
      <c r="M1359" s="920">
        <f t="shared" si="42"/>
        <v>0</v>
      </c>
      <c r="N1359" s="919">
        <v>1</v>
      </c>
      <c r="O1359" s="919">
        <v>3</v>
      </c>
      <c r="P1359" s="921">
        <f t="shared" si="43"/>
        <v>4500</v>
      </c>
    </row>
    <row r="1360" spans="1:16" ht="20.100000000000001" customHeight="1" x14ac:dyDescent="0.25">
      <c r="A1360" s="918" t="s">
        <v>484</v>
      </c>
      <c r="B1360" s="944" t="s">
        <v>3901</v>
      </c>
      <c r="C1360" s="919" t="s">
        <v>3902</v>
      </c>
      <c r="D1360" s="919" t="s">
        <v>6120</v>
      </c>
      <c r="E1360" s="920">
        <v>6500</v>
      </c>
      <c r="F1360" s="919" t="s">
        <v>6373</v>
      </c>
      <c r="G1360" s="919" t="s">
        <v>6374</v>
      </c>
      <c r="H1360" s="919" t="s">
        <v>6120</v>
      </c>
      <c r="I1360" s="919" t="s">
        <v>3724</v>
      </c>
      <c r="J1360" s="919"/>
      <c r="K1360" s="920"/>
      <c r="L1360" s="920"/>
      <c r="M1360" s="920">
        <f t="shared" si="42"/>
        <v>0</v>
      </c>
      <c r="N1360" s="919">
        <v>1</v>
      </c>
      <c r="O1360" s="919">
        <v>3</v>
      </c>
      <c r="P1360" s="921">
        <f t="shared" si="43"/>
        <v>19500</v>
      </c>
    </row>
    <row r="1361" spans="1:16" ht="20.100000000000001" customHeight="1" x14ac:dyDescent="0.25">
      <c r="A1361" s="918" t="s">
        <v>11903</v>
      </c>
      <c r="B1361" s="944" t="s">
        <v>3901</v>
      </c>
      <c r="C1361" s="919" t="s">
        <v>6375</v>
      </c>
      <c r="D1361" s="919" t="s">
        <v>6376</v>
      </c>
      <c r="E1361" s="920">
        <v>400</v>
      </c>
      <c r="F1361" s="919" t="s">
        <v>6377</v>
      </c>
      <c r="G1361" s="919" t="s">
        <v>6378</v>
      </c>
      <c r="H1361" s="919" t="s">
        <v>6376</v>
      </c>
      <c r="I1361" s="919" t="s">
        <v>6379</v>
      </c>
      <c r="J1361" s="919"/>
      <c r="K1361" s="920"/>
      <c r="L1361" s="920"/>
      <c r="M1361" s="920">
        <f t="shared" si="42"/>
        <v>0</v>
      </c>
      <c r="N1361" s="919">
        <v>1</v>
      </c>
      <c r="O1361" s="919">
        <v>1</v>
      </c>
      <c r="P1361" s="921">
        <f t="shared" si="43"/>
        <v>400</v>
      </c>
    </row>
    <row r="1362" spans="1:16" ht="20.100000000000001" customHeight="1" x14ac:dyDescent="0.25">
      <c r="A1362" s="918" t="s">
        <v>11903</v>
      </c>
      <c r="B1362" s="944" t="s">
        <v>3901</v>
      </c>
      <c r="C1362" s="919" t="s">
        <v>6375</v>
      </c>
      <c r="D1362" s="919" t="s">
        <v>6376</v>
      </c>
      <c r="E1362" s="920">
        <v>400</v>
      </c>
      <c r="F1362" s="919" t="s">
        <v>6380</v>
      </c>
      <c r="G1362" s="919" t="s">
        <v>6381</v>
      </c>
      <c r="H1362" s="919" t="s">
        <v>6376</v>
      </c>
      <c r="I1362" s="919" t="s">
        <v>6379</v>
      </c>
      <c r="J1362" s="919"/>
      <c r="K1362" s="920"/>
      <c r="L1362" s="920"/>
      <c r="M1362" s="920">
        <f t="shared" si="42"/>
        <v>0</v>
      </c>
      <c r="N1362" s="919">
        <v>1</v>
      </c>
      <c r="O1362" s="919">
        <v>1</v>
      </c>
      <c r="P1362" s="921">
        <f t="shared" si="43"/>
        <v>400</v>
      </c>
    </row>
    <row r="1363" spans="1:16" ht="20.100000000000001" customHeight="1" x14ac:dyDescent="0.25">
      <c r="A1363" s="918" t="s">
        <v>11903</v>
      </c>
      <c r="B1363" s="944" t="s">
        <v>3901</v>
      </c>
      <c r="C1363" s="919" t="s">
        <v>6375</v>
      </c>
      <c r="D1363" s="919" t="s">
        <v>6376</v>
      </c>
      <c r="E1363" s="920">
        <v>400</v>
      </c>
      <c r="F1363" s="919" t="s">
        <v>6382</v>
      </c>
      <c r="G1363" s="919" t="s">
        <v>6383</v>
      </c>
      <c r="H1363" s="919" t="s">
        <v>6376</v>
      </c>
      <c r="I1363" s="919" t="s">
        <v>6379</v>
      </c>
      <c r="J1363" s="919"/>
      <c r="K1363" s="920"/>
      <c r="L1363" s="920"/>
      <c r="M1363" s="920">
        <f t="shared" si="42"/>
        <v>0</v>
      </c>
      <c r="N1363" s="919">
        <v>1</v>
      </c>
      <c r="O1363" s="919">
        <v>1</v>
      </c>
      <c r="P1363" s="921">
        <f t="shared" si="43"/>
        <v>400</v>
      </c>
    </row>
    <row r="1364" spans="1:16" ht="20.100000000000001" customHeight="1" x14ac:dyDescent="0.25">
      <c r="A1364" s="918" t="s">
        <v>11903</v>
      </c>
      <c r="B1364" s="944" t="s">
        <v>3901</v>
      </c>
      <c r="C1364" s="919" t="s">
        <v>6375</v>
      </c>
      <c r="D1364" s="919" t="s">
        <v>6376</v>
      </c>
      <c r="E1364" s="920">
        <v>400</v>
      </c>
      <c r="F1364" s="919" t="s">
        <v>6384</v>
      </c>
      <c r="G1364" s="919" t="s">
        <v>6385</v>
      </c>
      <c r="H1364" s="919" t="s">
        <v>6376</v>
      </c>
      <c r="I1364" s="919" t="s">
        <v>6379</v>
      </c>
      <c r="J1364" s="919"/>
      <c r="K1364" s="920"/>
      <c r="L1364" s="920"/>
      <c r="M1364" s="920">
        <f t="shared" si="42"/>
        <v>0</v>
      </c>
      <c r="N1364" s="919">
        <v>1</v>
      </c>
      <c r="O1364" s="919">
        <v>1</v>
      </c>
      <c r="P1364" s="921">
        <f t="shared" si="43"/>
        <v>400</v>
      </c>
    </row>
    <row r="1365" spans="1:16" ht="20.100000000000001" customHeight="1" x14ac:dyDescent="0.25">
      <c r="A1365" s="918" t="s">
        <v>11903</v>
      </c>
      <c r="B1365" s="944" t="s">
        <v>3901</v>
      </c>
      <c r="C1365" s="919" t="s">
        <v>6375</v>
      </c>
      <c r="D1365" s="919" t="s">
        <v>6376</v>
      </c>
      <c r="E1365" s="920">
        <v>400</v>
      </c>
      <c r="F1365" s="919" t="s">
        <v>6386</v>
      </c>
      <c r="G1365" s="919" t="s">
        <v>6387</v>
      </c>
      <c r="H1365" s="919" t="s">
        <v>6376</v>
      </c>
      <c r="I1365" s="919" t="s">
        <v>6379</v>
      </c>
      <c r="J1365" s="919"/>
      <c r="K1365" s="920"/>
      <c r="L1365" s="920"/>
      <c r="M1365" s="920">
        <f t="shared" si="42"/>
        <v>0</v>
      </c>
      <c r="N1365" s="919">
        <v>1</v>
      </c>
      <c r="O1365" s="919">
        <v>1</v>
      </c>
      <c r="P1365" s="921">
        <f t="shared" si="43"/>
        <v>400</v>
      </c>
    </row>
    <row r="1366" spans="1:16" ht="20.100000000000001" customHeight="1" x14ac:dyDescent="0.25">
      <c r="A1366" s="918" t="s">
        <v>11903</v>
      </c>
      <c r="B1366" s="944" t="s">
        <v>3901</v>
      </c>
      <c r="C1366" s="919" t="s">
        <v>6375</v>
      </c>
      <c r="D1366" s="919" t="s">
        <v>6376</v>
      </c>
      <c r="E1366" s="920">
        <v>400</v>
      </c>
      <c r="F1366" s="919" t="s">
        <v>6388</v>
      </c>
      <c r="G1366" s="919" t="s">
        <v>6389</v>
      </c>
      <c r="H1366" s="919" t="s">
        <v>6376</v>
      </c>
      <c r="I1366" s="919" t="s">
        <v>6379</v>
      </c>
      <c r="J1366" s="919"/>
      <c r="K1366" s="920"/>
      <c r="L1366" s="920"/>
      <c r="M1366" s="920">
        <f t="shared" si="42"/>
        <v>0</v>
      </c>
      <c r="N1366" s="919">
        <v>1</v>
      </c>
      <c r="O1366" s="919">
        <v>1</v>
      </c>
      <c r="P1366" s="921">
        <f t="shared" si="43"/>
        <v>400</v>
      </c>
    </row>
    <row r="1367" spans="1:16" ht="20.100000000000001" customHeight="1" x14ac:dyDescent="0.25">
      <c r="A1367" s="918" t="s">
        <v>11903</v>
      </c>
      <c r="B1367" s="944" t="s">
        <v>3901</v>
      </c>
      <c r="C1367" s="919" t="s">
        <v>6375</v>
      </c>
      <c r="D1367" s="919" t="s">
        <v>6376</v>
      </c>
      <c r="E1367" s="920">
        <v>400</v>
      </c>
      <c r="F1367" s="919" t="s">
        <v>6390</v>
      </c>
      <c r="G1367" s="919" t="s">
        <v>6391</v>
      </c>
      <c r="H1367" s="919" t="s">
        <v>6376</v>
      </c>
      <c r="I1367" s="919" t="s">
        <v>6379</v>
      </c>
      <c r="J1367" s="919"/>
      <c r="K1367" s="920"/>
      <c r="L1367" s="920"/>
      <c r="M1367" s="920">
        <f t="shared" si="42"/>
        <v>0</v>
      </c>
      <c r="N1367" s="919">
        <v>1</v>
      </c>
      <c r="O1367" s="919">
        <v>1</v>
      </c>
      <c r="P1367" s="921">
        <f t="shared" si="43"/>
        <v>400</v>
      </c>
    </row>
    <row r="1368" spans="1:16" ht="20.100000000000001" customHeight="1" x14ac:dyDescent="0.25">
      <c r="A1368" s="918" t="s">
        <v>11903</v>
      </c>
      <c r="B1368" s="944" t="s">
        <v>3901</v>
      </c>
      <c r="C1368" s="919" t="s">
        <v>6375</v>
      </c>
      <c r="D1368" s="919" t="s">
        <v>6376</v>
      </c>
      <c r="E1368" s="920">
        <v>400</v>
      </c>
      <c r="F1368" s="919" t="s">
        <v>6392</v>
      </c>
      <c r="G1368" s="919" t="s">
        <v>6393</v>
      </c>
      <c r="H1368" s="919" t="s">
        <v>6376</v>
      </c>
      <c r="I1368" s="919" t="s">
        <v>6379</v>
      </c>
      <c r="J1368" s="919"/>
      <c r="K1368" s="920"/>
      <c r="L1368" s="920"/>
      <c r="M1368" s="920">
        <f t="shared" si="42"/>
        <v>0</v>
      </c>
      <c r="N1368" s="919">
        <v>1</v>
      </c>
      <c r="O1368" s="919">
        <v>1</v>
      </c>
      <c r="P1368" s="921">
        <f t="shared" si="43"/>
        <v>400</v>
      </c>
    </row>
    <row r="1369" spans="1:16" ht="20.100000000000001" customHeight="1" x14ac:dyDescent="0.25">
      <c r="A1369" s="918" t="s">
        <v>11903</v>
      </c>
      <c r="B1369" s="944" t="s">
        <v>3901</v>
      </c>
      <c r="C1369" s="919" t="s">
        <v>6375</v>
      </c>
      <c r="D1369" s="919" t="s">
        <v>6376</v>
      </c>
      <c r="E1369" s="920">
        <v>400</v>
      </c>
      <c r="F1369" s="919" t="s">
        <v>6394</v>
      </c>
      <c r="G1369" s="919" t="s">
        <v>6395</v>
      </c>
      <c r="H1369" s="919" t="s">
        <v>6376</v>
      </c>
      <c r="I1369" s="919" t="s">
        <v>6379</v>
      </c>
      <c r="J1369" s="919"/>
      <c r="K1369" s="920"/>
      <c r="L1369" s="920"/>
      <c r="M1369" s="920">
        <f t="shared" si="42"/>
        <v>0</v>
      </c>
      <c r="N1369" s="919">
        <v>1</v>
      </c>
      <c r="O1369" s="919">
        <v>1</v>
      </c>
      <c r="P1369" s="921">
        <f t="shared" si="43"/>
        <v>400</v>
      </c>
    </row>
    <row r="1370" spans="1:16" ht="20.100000000000001" customHeight="1" x14ac:dyDescent="0.25">
      <c r="A1370" s="918" t="s">
        <v>11903</v>
      </c>
      <c r="B1370" s="944" t="s">
        <v>3901</v>
      </c>
      <c r="C1370" s="919" t="s">
        <v>6375</v>
      </c>
      <c r="D1370" s="919" t="s">
        <v>6376</v>
      </c>
      <c r="E1370" s="920">
        <v>400</v>
      </c>
      <c r="F1370" s="919" t="s">
        <v>6396</v>
      </c>
      <c r="G1370" s="919" t="s">
        <v>6397</v>
      </c>
      <c r="H1370" s="919" t="s">
        <v>6376</v>
      </c>
      <c r="I1370" s="919" t="s">
        <v>6379</v>
      </c>
      <c r="J1370" s="919"/>
      <c r="K1370" s="920"/>
      <c r="L1370" s="920"/>
      <c r="M1370" s="920">
        <f t="shared" si="42"/>
        <v>0</v>
      </c>
      <c r="N1370" s="919">
        <v>1</v>
      </c>
      <c r="O1370" s="919">
        <v>1</v>
      </c>
      <c r="P1370" s="921">
        <f t="shared" si="43"/>
        <v>400</v>
      </c>
    </row>
    <row r="1371" spans="1:16" ht="20.100000000000001" customHeight="1" x14ac:dyDescent="0.25">
      <c r="A1371" s="918" t="s">
        <v>11903</v>
      </c>
      <c r="B1371" s="944" t="s">
        <v>3901</v>
      </c>
      <c r="C1371" s="919" t="s">
        <v>6375</v>
      </c>
      <c r="D1371" s="919" t="s">
        <v>6376</v>
      </c>
      <c r="E1371" s="920">
        <v>400</v>
      </c>
      <c r="F1371" s="919" t="s">
        <v>6398</v>
      </c>
      <c r="G1371" s="919" t="s">
        <v>6399</v>
      </c>
      <c r="H1371" s="919" t="s">
        <v>6376</v>
      </c>
      <c r="I1371" s="919" t="s">
        <v>6379</v>
      </c>
      <c r="J1371" s="919"/>
      <c r="K1371" s="920"/>
      <c r="L1371" s="920"/>
      <c r="M1371" s="920">
        <f t="shared" si="42"/>
        <v>0</v>
      </c>
      <c r="N1371" s="919">
        <v>1</v>
      </c>
      <c r="O1371" s="919">
        <v>1</v>
      </c>
      <c r="P1371" s="921">
        <f t="shared" si="43"/>
        <v>400</v>
      </c>
    </row>
    <row r="1372" spans="1:16" ht="20.100000000000001" customHeight="1" x14ac:dyDescent="0.25">
      <c r="A1372" s="918" t="s">
        <v>11903</v>
      </c>
      <c r="B1372" s="944" t="s">
        <v>3901</v>
      </c>
      <c r="C1372" s="919" t="s">
        <v>6375</v>
      </c>
      <c r="D1372" s="919" t="s">
        <v>6376</v>
      </c>
      <c r="E1372" s="920">
        <v>400</v>
      </c>
      <c r="F1372" s="919" t="s">
        <v>6400</v>
      </c>
      <c r="G1372" s="919" t="s">
        <v>6401</v>
      </c>
      <c r="H1372" s="919" t="s">
        <v>6376</v>
      </c>
      <c r="I1372" s="919" t="s">
        <v>6379</v>
      </c>
      <c r="J1372" s="919"/>
      <c r="K1372" s="920"/>
      <c r="L1372" s="920"/>
      <c r="M1372" s="920">
        <f t="shared" si="42"/>
        <v>0</v>
      </c>
      <c r="N1372" s="919">
        <v>1</v>
      </c>
      <c r="O1372" s="919">
        <v>1</v>
      </c>
      <c r="P1372" s="921">
        <f t="shared" si="43"/>
        <v>400</v>
      </c>
    </row>
    <row r="1373" spans="1:16" ht="20.100000000000001" customHeight="1" x14ac:dyDescent="0.25">
      <c r="A1373" s="918" t="s">
        <v>11903</v>
      </c>
      <c r="B1373" s="944" t="s">
        <v>3901</v>
      </c>
      <c r="C1373" s="919" t="s">
        <v>6375</v>
      </c>
      <c r="D1373" s="919" t="s">
        <v>6376</v>
      </c>
      <c r="E1373" s="920">
        <v>400</v>
      </c>
      <c r="F1373" s="919" t="s">
        <v>6402</v>
      </c>
      <c r="G1373" s="919" t="s">
        <v>6403</v>
      </c>
      <c r="H1373" s="919" t="s">
        <v>6376</v>
      </c>
      <c r="I1373" s="919" t="s">
        <v>6379</v>
      </c>
      <c r="J1373" s="919"/>
      <c r="K1373" s="920"/>
      <c r="L1373" s="920"/>
      <c r="M1373" s="920">
        <f t="shared" si="42"/>
        <v>0</v>
      </c>
      <c r="N1373" s="919">
        <v>1</v>
      </c>
      <c r="O1373" s="919">
        <v>1</v>
      </c>
      <c r="P1373" s="921">
        <f t="shared" si="43"/>
        <v>400</v>
      </c>
    </row>
    <row r="1374" spans="1:16" ht="20.100000000000001" customHeight="1" x14ac:dyDescent="0.25">
      <c r="A1374" s="918" t="s">
        <v>11903</v>
      </c>
      <c r="B1374" s="944" t="s">
        <v>3901</v>
      </c>
      <c r="C1374" s="919" t="s">
        <v>6375</v>
      </c>
      <c r="D1374" s="919" t="s">
        <v>6376</v>
      </c>
      <c r="E1374" s="920">
        <v>400</v>
      </c>
      <c r="F1374" s="919" t="s">
        <v>6404</v>
      </c>
      <c r="G1374" s="919" t="s">
        <v>6405</v>
      </c>
      <c r="H1374" s="919" t="s">
        <v>6376</v>
      </c>
      <c r="I1374" s="919" t="s">
        <v>6379</v>
      </c>
      <c r="J1374" s="919"/>
      <c r="K1374" s="920"/>
      <c r="L1374" s="920"/>
      <c r="M1374" s="920">
        <f t="shared" si="42"/>
        <v>0</v>
      </c>
      <c r="N1374" s="919">
        <v>1</v>
      </c>
      <c r="O1374" s="919">
        <v>1</v>
      </c>
      <c r="P1374" s="921">
        <f t="shared" si="43"/>
        <v>400</v>
      </c>
    </row>
    <row r="1375" spans="1:16" ht="20.100000000000001" customHeight="1" x14ac:dyDescent="0.25">
      <c r="A1375" s="918" t="s">
        <v>11903</v>
      </c>
      <c r="B1375" s="944" t="s">
        <v>3901</v>
      </c>
      <c r="C1375" s="919" t="s">
        <v>6375</v>
      </c>
      <c r="D1375" s="919" t="s">
        <v>6376</v>
      </c>
      <c r="E1375" s="920">
        <v>400</v>
      </c>
      <c r="F1375" s="919" t="s">
        <v>6406</v>
      </c>
      <c r="G1375" s="919" t="s">
        <v>6407</v>
      </c>
      <c r="H1375" s="919" t="s">
        <v>6376</v>
      </c>
      <c r="I1375" s="919" t="s">
        <v>6379</v>
      </c>
      <c r="J1375" s="919"/>
      <c r="K1375" s="920"/>
      <c r="L1375" s="920"/>
      <c r="M1375" s="920">
        <f t="shared" si="42"/>
        <v>0</v>
      </c>
      <c r="N1375" s="919">
        <v>1</v>
      </c>
      <c r="O1375" s="919">
        <v>1</v>
      </c>
      <c r="P1375" s="921">
        <f t="shared" si="43"/>
        <v>400</v>
      </c>
    </row>
    <row r="1376" spans="1:16" ht="20.100000000000001" customHeight="1" x14ac:dyDescent="0.25">
      <c r="A1376" s="918" t="s">
        <v>11903</v>
      </c>
      <c r="B1376" s="944" t="s">
        <v>3901</v>
      </c>
      <c r="C1376" s="919" t="s">
        <v>6375</v>
      </c>
      <c r="D1376" s="919" t="s">
        <v>6376</v>
      </c>
      <c r="E1376" s="920">
        <v>400</v>
      </c>
      <c r="F1376" s="919" t="s">
        <v>6408</v>
      </c>
      <c r="G1376" s="919" t="s">
        <v>6409</v>
      </c>
      <c r="H1376" s="919" t="s">
        <v>6376</v>
      </c>
      <c r="I1376" s="919" t="s">
        <v>6379</v>
      </c>
      <c r="J1376" s="919"/>
      <c r="K1376" s="920"/>
      <c r="L1376" s="920"/>
      <c r="M1376" s="920">
        <f t="shared" si="42"/>
        <v>0</v>
      </c>
      <c r="N1376" s="919">
        <v>1</v>
      </c>
      <c r="O1376" s="919">
        <v>1</v>
      </c>
      <c r="P1376" s="921">
        <f t="shared" si="43"/>
        <v>400</v>
      </c>
    </row>
    <row r="1377" spans="1:16" ht="20.100000000000001" customHeight="1" x14ac:dyDescent="0.25">
      <c r="A1377" s="918" t="s">
        <v>11903</v>
      </c>
      <c r="B1377" s="944" t="s">
        <v>3901</v>
      </c>
      <c r="C1377" s="919" t="s">
        <v>6375</v>
      </c>
      <c r="D1377" s="919" t="s">
        <v>6376</v>
      </c>
      <c r="E1377" s="920">
        <v>400</v>
      </c>
      <c r="F1377" s="919" t="s">
        <v>6410</v>
      </c>
      <c r="G1377" s="919" t="s">
        <v>6411</v>
      </c>
      <c r="H1377" s="919" t="s">
        <v>6376</v>
      </c>
      <c r="I1377" s="919" t="s">
        <v>6379</v>
      </c>
      <c r="J1377" s="919"/>
      <c r="K1377" s="920"/>
      <c r="L1377" s="920"/>
      <c r="M1377" s="920">
        <f t="shared" si="42"/>
        <v>0</v>
      </c>
      <c r="N1377" s="919">
        <v>1</v>
      </c>
      <c r="O1377" s="919">
        <v>1</v>
      </c>
      <c r="P1377" s="921">
        <f t="shared" si="43"/>
        <v>400</v>
      </c>
    </row>
    <row r="1378" spans="1:16" ht="20.100000000000001" customHeight="1" x14ac:dyDescent="0.25">
      <c r="A1378" s="918" t="s">
        <v>11903</v>
      </c>
      <c r="B1378" s="944" t="s">
        <v>3901</v>
      </c>
      <c r="C1378" s="919" t="s">
        <v>6375</v>
      </c>
      <c r="D1378" s="919" t="s">
        <v>6376</v>
      </c>
      <c r="E1378" s="920">
        <v>400</v>
      </c>
      <c r="F1378" s="919" t="s">
        <v>6412</v>
      </c>
      <c r="G1378" s="919" t="s">
        <v>6413</v>
      </c>
      <c r="H1378" s="919" t="s">
        <v>6376</v>
      </c>
      <c r="I1378" s="919" t="s">
        <v>6379</v>
      </c>
      <c r="J1378" s="919"/>
      <c r="K1378" s="920"/>
      <c r="L1378" s="920"/>
      <c r="M1378" s="920">
        <f t="shared" si="42"/>
        <v>0</v>
      </c>
      <c r="N1378" s="919">
        <v>1</v>
      </c>
      <c r="O1378" s="919">
        <v>1</v>
      </c>
      <c r="P1378" s="921">
        <f t="shared" si="43"/>
        <v>400</v>
      </c>
    </row>
    <row r="1379" spans="1:16" ht="20.100000000000001" customHeight="1" x14ac:dyDescent="0.25">
      <c r="A1379" s="918" t="s">
        <v>11903</v>
      </c>
      <c r="B1379" s="944" t="s">
        <v>3901</v>
      </c>
      <c r="C1379" s="919" t="s">
        <v>6375</v>
      </c>
      <c r="D1379" s="919" t="s">
        <v>6376</v>
      </c>
      <c r="E1379" s="920">
        <v>400</v>
      </c>
      <c r="F1379" s="919" t="s">
        <v>6414</v>
      </c>
      <c r="G1379" s="919" t="s">
        <v>6415</v>
      </c>
      <c r="H1379" s="919" t="s">
        <v>6376</v>
      </c>
      <c r="I1379" s="919" t="s">
        <v>6379</v>
      </c>
      <c r="J1379" s="919"/>
      <c r="K1379" s="920"/>
      <c r="L1379" s="920"/>
      <c r="M1379" s="920">
        <f t="shared" si="42"/>
        <v>0</v>
      </c>
      <c r="N1379" s="919">
        <v>1</v>
      </c>
      <c r="O1379" s="919">
        <v>1</v>
      </c>
      <c r="P1379" s="921">
        <f t="shared" si="43"/>
        <v>400</v>
      </c>
    </row>
    <row r="1380" spans="1:16" ht="20.100000000000001" customHeight="1" x14ac:dyDescent="0.25">
      <c r="A1380" s="918" t="s">
        <v>11903</v>
      </c>
      <c r="B1380" s="944" t="s">
        <v>3901</v>
      </c>
      <c r="C1380" s="919" t="s">
        <v>6375</v>
      </c>
      <c r="D1380" s="919" t="s">
        <v>6376</v>
      </c>
      <c r="E1380" s="920">
        <v>400</v>
      </c>
      <c r="F1380" s="919" t="s">
        <v>6416</v>
      </c>
      <c r="G1380" s="919" t="s">
        <v>6417</v>
      </c>
      <c r="H1380" s="919" t="s">
        <v>6376</v>
      </c>
      <c r="I1380" s="919" t="s">
        <v>6379</v>
      </c>
      <c r="J1380" s="919"/>
      <c r="K1380" s="920"/>
      <c r="L1380" s="920"/>
      <c r="M1380" s="920">
        <f t="shared" si="42"/>
        <v>0</v>
      </c>
      <c r="N1380" s="919">
        <v>1</v>
      </c>
      <c r="O1380" s="919">
        <v>1</v>
      </c>
      <c r="P1380" s="921">
        <f t="shared" si="43"/>
        <v>400</v>
      </c>
    </row>
    <row r="1381" spans="1:16" ht="20.100000000000001" customHeight="1" x14ac:dyDescent="0.25">
      <c r="A1381" s="918" t="s">
        <v>11903</v>
      </c>
      <c r="B1381" s="944" t="s">
        <v>3901</v>
      </c>
      <c r="C1381" s="919" t="s">
        <v>6375</v>
      </c>
      <c r="D1381" s="919" t="s">
        <v>6376</v>
      </c>
      <c r="E1381" s="920">
        <v>400</v>
      </c>
      <c r="F1381" s="919" t="s">
        <v>6418</v>
      </c>
      <c r="G1381" s="919" t="s">
        <v>6419</v>
      </c>
      <c r="H1381" s="919" t="s">
        <v>6376</v>
      </c>
      <c r="I1381" s="919" t="s">
        <v>6379</v>
      </c>
      <c r="J1381" s="919"/>
      <c r="K1381" s="920"/>
      <c r="L1381" s="920"/>
      <c r="M1381" s="920">
        <f t="shared" si="42"/>
        <v>0</v>
      </c>
      <c r="N1381" s="919">
        <v>1</v>
      </c>
      <c r="O1381" s="919">
        <v>1</v>
      </c>
      <c r="P1381" s="921">
        <f t="shared" si="43"/>
        <v>400</v>
      </c>
    </row>
    <row r="1382" spans="1:16" ht="20.100000000000001" customHeight="1" x14ac:dyDescent="0.25">
      <c r="A1382" s="918" t="s">
        <v>11903</v>
      </c>
      <c r="B1382" s="944" t="s">
        <v>3901</v>
      </c>
      <c r="C1382" s="919" t="s">
        <v>6375</v>
      </c>
      <c r="D1382" s="919" t="s">
        <v>6376</v>
      </c>
      <c r="E1382" s="920">
        <v>400</v>
      </c>
      <c r="F1382" s="919" t="s">
        <v>6420</v>
      </c>
      <c r="G1382" s="919" t="s">
        <v>6421</v>
      </c>
      <c r="H1382" s="919" t="s">
        <v>6376</v>
      </c>
      <c r="I1382" s="919" t="s">
        <v>6379</v>
      </c>
      <c r="J1382" s="919"/>
      <c r="K1382" s="920"/>
      <c r="L1382" s="920"/>
      <c r="M1382" s="920">
        <f t="shared" si="42"/>
        <v>0</v>
      </c>
      <c r="N1382" s="919">
        <v>1</v>
      </c>
      <c r="O1382" s="919">
        <v>1</v>
      </c>
      <c r="P1382" s="921">
        <f t="shared" si="43"/>
        <v>400</v>
      </c>
    </row>
    <row r="1383" spans="1:16" ht="20.100000000000001" customHeight="1" x14ac:dyDescent="0.25">
      <c r="A1383" s="918" t="s">
        <v>11903</v>
      </c>
      <c r="B1383" s="944" t="s">
        <v>3901</v>
      </c>
      <c r="C1383" s="919" t="s">
        <v>6375</v>
      </c>
      <c r="D1383" s="919" t="s">
        <v>6376</v>
      </c>
      <c r="E1383" s="920">
        <v>400</v>
      </c>
      <c r="F1383" s="919" t="s">
        <v>6422</v>
      </c>
      <c r="G1383" s="919" t="s">
        <v>6423</v>
      </c>
      <c r="H1383" s="919" t="s">
        <v>6376</v>
      </c>
      <c r="I1383" s="919" t="s">
        <v>6379</v>
      </c>
      <c r="J1383" s="919"/>
      <c r="K1383" s="920"/>
      <c r="L1383" s="920"/>
      <c r="M1383" s="920">
        <f t="shared" si="42"/>
        <v>0</v>
      </c>
      <c r="N1383" s="919">
        <v>1</v>
      </c>
      <c r="O1383" s="919">
        <v>1</v>
      </c>
      <c r="P1383" s="921">
        <f t="shared" si="43"/>
        <v>400</v>
      </c>
    </row>
    <row r="1384" spans="1:16" ht="20.100000000000001" customHeight="1" x14ac:dyDescent="0.25">
      <c r="A1384" s="918" t="s">
        <v>11903</v>
      </c>
      <c r="B1384" s="944" t="s">
        <v>3901</v>
      </c>
      <c r="C1384" s="919" t="s">
        <v>6375</v>
      </c>
      <c r="D1384" s="919" t="s">
        <v>6376</v>
      </c>
      <c r="E1384" s="920">
        <v>400</v>
      </c>
      <c r="F1384" s="919" t="s">
        <v>6424</v>
      </c>
      <c r="G1384" s="919" t="s">
        <v>6425</v>
      </c>
      <c r="H1384" s="919" t="s">
        <v>6376</v>
      </c>
      <c r="I1384" s="919" t="s">
        <v>6379</v>
      </c>
      <c r="J1384" s="919"/>
      <c r="K1384" s="920"/>
      <c r="L1384" s="920"/>
      <c r="M1384" s="920">
        <f t="shared" si="42"/>
        <v>0</v>
      </c>
      <c r="N1384" s="919">
        <v>1</v>
      </c>
      <c r="O1384" s="919">
        <v>1</v>
      </c>
      <c r="P1384" s="921">
        <f t="shared" si="43"/>
        <v>400</v>
      </c>
    </row>
    <row r="1385" spans="1:16" ht="20.100000000000001" customHeight="1" x14ac:dyDescent="0.25">
      <c r="A1385" s="918" t="s">
        <v>11903</v>
      </c>
      <c r="B1385" s="944" t="s">
        <v>3901</v>
      </c>
      <c r="C1385" s="919" t="s">
        <v>6375</v>
      </c>
      <c r="D1385" s="919" t="s">
        <v>6376</v>
      </c>
      <c r="E1385" s="920">
        <v>400</v>
      </c>
      <c r="F1385" s="919" t="s">
        <v>6426</v>
      </c>
      <c r="G1385" s="919" t="s">
        <v>6427</v>
      </c>
      <c r="H1385" s="919" t="s">
        <v>6376</v>
      </c>
      <c r="I1385" s="919" t="s">
        <v>6379</v>
      </c>
      <c r="J1385" s="919"/>
      <c r="K1385" s="920"/>
      <c r="L1385" s="920"/>
      <c r="M1385" s="920">
        <f t="shared" si="42"/>
        <v>0</v>
      </c>
      <c r="N1385" s="919">
        <v>1</v>
      </c>
      <c r="O1385" s="919">
        <v>1</v>
      </c>
      <c r="P1385" s="921">
        <f t="shared" si="43"/>
        <v>400</v>
      </c>
    </row>
    <row r="1386" spans="1:16" ht="20.100000000000001" customHeight="1" x14ac:dyDescent="0.25">
      <c r="A1386" s="918" t="s">
        <v>11903</v>
      </c>
      <c r="B1386" s="944" t="s">
        <v>3901</v>
      </c>
      <c r="C1386" s="919" t="s">
        <v>6375</v>
      </c>
      <c r="D1386" s="919" t="s">
        <v>6376</v>
      </c>
      <c r="E1386" s="920">
        <v>400</v>
      </c>
      <c r="F1386" s="919" t="s">
        <v>6428</v>
      </c>
      <c r="G1386" s="919" t="s">
        <v>6429</v>
      </c>
      <c r="H1386" s="919" t="s">
        <v>6376</v>
      </c>
      <c r="I1386" s="919" t="s">
        <v>6379</v>
      </c>
      <c r="J1386" s="919"/>
      <c r="K1386" s="920"/>
      <c r="L1386" s="920"/>
      <c r="M1386" s="920">
        <f t="shared" si="42"/>
        <v>0</v>
      </c>
      <c r="N1386" s="919">
        <v>1</v>
      </c>
      <c r="O1386" s="919">
        <v>1</v>
      </c>
      <c r="P1386" s="921">
        <f t="shared" si="43"/>
        <v>400</v>
      </c>
    </row>
    <row r="1387" spans="1:16" ht="20.100000000000001" customHeight="1" x14ac:dyDescent="0.25">
      <c r="A1387" s="918" t="s">
        <v>11903</v>
      </c>
      <c r="B1387" s="944" t="s">
        <v>3901</v>
      </c>
      <c r="C1387" s="919" t="s">
        <v>6375</v>
      </c>
      <c r="D1387" s="919" t="s">
        <v>6376</v>
      </c>
      <c r="E1387" s="920">
        <v>400</v>
      </c>
      <c r="F1387" s="919" t="s">
        <v>6430</v>
      </c>
      <c r="G1387" s="919" t="s">
        <v>6431</v>
      </c>
      <c r="H1387" s="919" t="s">
        <v>6376</v>
      </c>
      <c r="I1387" s="919" t="s">
        <v>6379</v>
      </c>
      <c r="J1387" s="919"/>
      <c r="K1387" s="920"/>
      <c r="L1387" s="920"/>
      <c r="M1387" s="920">
        <f t="shared" si="42"/>
        <v>0</v>
      </c>
      <c r="N1387" s="919">
        <v>1</v>
      </c>
      <c r="O1387" s="919">
        <v>1</v>
      </c>
      <c r="P1387" s="921">
        <f t="shared" si="43"/>
        <v>400</v>
      </c>
    </row>
    <row r="1388" spans="1:16" ht="20.100000000000001" customHeight="1" x14ac:dyDescent="0.25">
      <c r="A1388" s="918" t="s">
        <v>11903</v>
      </c>
      <c r="B1388" s="944" t="s">
        <v>3901</v>
      </c>
      <c r="C1388" s="919" t="s">
        <v>6375</v>
      </c>
      <c r="D1388" s="919" t="s">
        <v>6376</v>
      </c>
      <c r="E1388" s="920">
        <v>400</v>
      </c>
      <c r="F1388" s="919" t="s">
        <v>6432</v>
      </c>
      <c r="G1388" s="919" t="s">
        <v>6433</v>
      </c>
      <c r="H1388" s="919" t="s">
        <v>6376</v>
      </c>
      <c r="I1388" s="919" t="s">
        <v>6379</v>
      </c>
      <c r="J1388" s="919"/>
      <c r="K1388" s="920"/>
      <c r="L1388" s="920"/>
      <c r="M1388" s="920">
        <f t="shared" si="42"/>
        <v>0</v>
      </c>
      <c r="N1388" s="919">
        <v>1</v>
      </c>
      <c r="O1388" s="919">
        <v>1</v>
      </c>
      <c r="P1388" s="921">
        <f t="shared" si="43"/>
        <v>400</v>
      </c>
    </row>
    <row r="1389" spans="1:16" ht="20.100000000000001" customHeight="1" x14ac:dyDescent="0.25">
      <c r="A1389" s="918" t="s">
        <v>11903</v>
      </c>
      <c r="B1389" s="944" t="s">
        <v>3901</v>
      </c>
      <c r="C1389" s="919" t="s">
        <v>6375</v>
      </c>
      <c r="D1389" s="919" t="s">
        <v>6376</v>
      </c>
      <c r="E1389" s="920">
        <v>400</v>
      </c>
      <c r="F1389" s="919" t="s">
        <v>6434</v>
      </c>
      <c r="G1389" s="919" t="s">
        <v>6435</v>
      </c>
      <c r="H1389" s="919" t="s">
        <v>6376</v>
      </c>
      <c r="I1389" s="919" t="s">
        <v>6379</v>
      </c>
      <c r="J1389" s="919"/>
      <c r="K1389" s="920"/>
      <c r="L1389" s="920"/>
      <c r="M1389" s="920">
        <f t="shared" si="42"/>
        <v>0</v>
      </c>
      <c r="N1389" s="919">
        <v>1</v>
      </c>
      <c r="O1389" s="919">
        <v>1</v>
      </c>
      <c r="P1389" s="921">
        <f t="shared" si="43"/>
        <v>400</v>
      </c>
    </row>
    <row r="1390" spans="1:16" ht="20.100000000000001" customHeight="1" x14ac:dyDescent="0.25">
      <c r="A1390" s="918" t="s">
        <v>11903</v>
      </c>
      <c r="B1390" s="944" t="s">
        <v>3901</v>
      </c>
      <c r="C1390" s="919" t="s">
        <v>6375</v>
      </c>
      <c r="D1390" s="919" t="s">
        <v>6376</v>
      </c>
      <c r="E1390" s="920">
        <v>400</v>
      </c>
      <c r="F1390" s="919" t="s">
        <v>6436</v>
      </c>
      <c r="G1390" s="919" t="s">
        <v>6437</v>
      </c>
      <c r="H1390" s="919" t="s">
        <v>6376</v>
      </c>
      <c r="I1390" s="919" t="s">
        <v>6379</v>
      </c>
      <c r="J1390" s="919"/>
      <c r="K1390" s="920"/>
      <c r="L1390" s="920"/>
      <c r="M1390" s="920">
        <f t="shared" si="42"/>
        <v>0</v>
      </c>
      <c r="N1390" s="919">
        <v>1</v>
      </c>
      <c r="O1390" s="919">
        <v>1</v>
      </c>
      <c r="P1390" s="921">
        <f t="shared" si="43"/>
        <v>400</v>
      </c>
    </row>
    <row r="1391" spans="1:16" ht="20.100000000000001" customHeight="1" x14ac:dyDescent="0.25">
      <c r="A1391" s="918" t="s">
        <v>11903</v>
      </c>
      <c r="B1391" s="944" t="s">
        <v>3901</v>
      </c>
      <c r="C1391" s="919" t="s">
        <v>6375</v>
      </c>
      <c r="D1391" s="919" t="s">
        <v>6376</v>
      </c>
      <c r="E1391" s="920">
        <v>400</v>
      </c>
      <c r="F1391" s="919" t="s">
        <v>6438</v>
      </c>
      <c r="G1391" s="919" t="s">
        <v>6439</v>
      </c>
      <c r="H1391" s="919" t="s">
        <v>6376</v>
      </c>
      <c r="I1391" s="919" t="s">
        <v>6379</v>
      </c>
      <c r="J1391" s="919"/>
      <c r="K1391" s="920"/>
      <c r="L1391" s="920"/>
      <c r="M1391" s="920">
        <f t="shared" si="42"/>
        <v>0</v>
      </c>
      <c r="N1391" s="919">
        <v>1</v>
      </c>
      <c r="O1391" s="919">
        <v>1</v>
      </c>
      <c r="P1391" s="921">
        <f t="shared" si="43"/>
        <v>400</v>
      </c>
    </row>
    <row r="1392" spans="1:16" ht="20.100000000000001" customHeight="1" x14ac:dyDescent="0.25">
      <c r="A1392" s="918" t="s">
        <v>11903</v>
      </c>
      <c r="B1392" s="944" t="s">
        <v>3901</v>
      </c>
      <c r="C1392" s="919" t="s">
        <v>6375</v>
      </c>
      <c r="D1392" s="919" t="s">
        <v>6376</v>
      </c>
      <c r="E1392" s="920">
        <v>400</v>
      </c>
      <c r="F1392" s="919" t="s">
        <v>6440</v>
      </c>
      <c r="G1392" s="919" t="s">
        <v>6441</v>
      </c>
      <c r="H1392" s="919" t="s">
        <v>6376</v>
      </c>
      <c r="I1392" s="919" t="s">
        <v>6379</v>
      </c>
      <c r="J1392" s="919"/>
      <c r="K1392" s="920"/>
      <c r="L1392" s="920"/>
      <c r="M1392" s="920">
        <f t="shared" si="42"/>
        <v>0</v>
      </c>
      <c r="N1392" s="919">
        <v>1</v>
      </c>
      <c r="O1392" s="919">
        <v>1</v>
      </c>
      <c r="P1392" s="921">
        <f t="shared" si="43"/>
        <v>400</v>
      </c>
    </row>
    <row r="1393" spans="1:16" ht="20.100000000000001" customHeight="1" x14ac:dyDescent="0.25">
      <c r="A1393" s="918" t="s">
        <v>11903</v>
      </c>
      <c r="B1393" s="944" t="s">
        <v>3901</v>
      </c>
      <c r="C1393" s="919" t="s">
        <v>3902</v>
      </c>
      <c r="D1393" s="919" t="s">
        <v>6274</v>
      </c>
      <c r="E1393" s="920">
        <v>6000</v>
      </c>
      <c r="F1393" s="919" t="s">
        <v>6442</v>
      </c>
      <c r="G1393" s="919" t="s">
        <v>6443</v>
      </c>
      <c r="H1393" s="919" t="s">
        <v>6274</v>
      </c>
      <c r="I1393" s="919" t="s">
        <v>3724</v>
      </c>
      <c r="J1393" s="919"/>
      <c r="K1393" s="920">
        <v>1</v>
      </c>
      <c r="L1393" s="920">
        <v>12</v>
      </c>
      <c r="M1393" s="920">
        <f t="shared" si="42"/>
        <v>72000</v>
      </c>
      <c r="N1393" s="919"/>
      <c r="O1393" s="919"/>
      <c r="P1393" s="921">
        <f t="shared" si="43"/>
        <v>0</v>
      </c>
    </row>
    <row r="1394" spans="1:16" ht="20.100000000000001" customHeight="1" x14ac:dyDescent="0.25">
      <c r="A1394" s="918" t="s">
        <v>11903</v>
      </c>
      <c r="B1394" s="944" t="s">
        <v>3901</v>
      </c>
      <c r="C1394" s="919" t="s">
        <v>3902</v>
      </c>
      <c r="D1394" s="919" t="s">
        <v>6274</v>
      </c>
      <c r="E1394" s="920">
        <v>6000</v>
      </c>
      <c r="F1394" s="919" t="s">
        <v>6444</v>
      </c>
      <c r="G1394" s="919" t="s">
        <v>6445</v>
      </c>
      <c r="H1394" s="919" t="s">
        <v>6274</v>
      </c>
      <c r="I1394" s="919" t="s">
        <v>3724</v>
      </c>
      <c r="J1394" s="919"/>
      <c r="K1394" s="920">
        <v>1</v>
      </c>
      <c r="L1394" s="920">
        <v>12</v>
      </c>
      <c r="M1394" s="920">
        <f t="shared" si="42"/>
        <v>72000</v>
      </c>
      <c r="N1394" s="919"/>
      <c r="O1394" s="919"/>
      <c r="P1394" s="921">
        <f t="shared" si="43"/>
        <v>0</v>
      </c>
    </row>
    <row r="1395" spans="1:16" ht="20.100000000000001" customHeight="1" x14ac:dyDescent="0.25">
      <c r="A1395" s="918" t="s">
        <v>11903</v>
      </c>
      <c r="B1395" s="944" t="s">
        <v>3901</v>
      </c>
      <c r="C1395" s="919" t="s">
        <v>3902</v>
      </c>
      <c r="D1395" s="919" t="s">
        <v>6120</v>
      </c>
      <c r="E1395" s="920">
        <v>6000</v>
      </c>
      <c r="F1395" s="919" t="s">
        <v>6446</v>
      </c>
      <c r="G1395" s="919" t="s">
        <v>6447</v>
      </c>
      <c r="H1395" s="919" t="s">
        <v>6120</v>
      </c>
      <c r="I1395" s="919" t="s">
        <v>3724</v>
      </c>
      <c r="J1395" s="919"/>
      <c r="K1395" s="920">
        <v>1</v>
      </c>
      <c r="L1395" s="920">
        <v>12</v>
      </c>
      <c r="M1395" s="920">
        <f t="shared" si="42"/>
        <v>72000</v>
      </c>
      <c r="N1395" s="919"/>
      <c r="O1395" s="919"/>
      <c r="P1395" s="921">
        <f t="shared" si="43"/>
        <v>0</v>
      </c>
    </row>
    <row r="1396" spans="1:16" ht="20.100000000000001" customHeight="1" x14ac:dyDescent="0.25">
      <c r="A1396" s="918" t="s">
        <v>11903</v>
      </c>
      <c r="B1396" s="944" t="s">
        <v>3901</v>
      </c>
      <c r="C1396" s="919" t="s">
        <v>3902</v>
      </c>
      <c r="D1396" s="919" t="s">
        <v>6120</v>
      </c>
      <c r="E1396" s="920">
        <v>6000</v>
      </c>
      <c r="F1396" s="919" t="s">
        <v>6448</v>
      </c>
      <c r="G1396" s="919" t="s">
        <v>6449</v>
      </c>
      <c r="H1396" s="919" t="s">
        <v>6120</v>
      </c>
      <c r="I1396" s="919" t="s">
        <v>3724</v>
      </c>
      <c r="J1396" s="919"/>
      <c r="K1396" s="920">
        <v>1</v>
      </c>
      <c r="L1396" s="920">
        <v>12</v>
      </c>
      <c r="M1396" s="920">
        <f t="shared" si="42"/>
        <v>72000</v>
      </c>
      <c r="N1396" s="919"/>
      <c r="O1396" s="919"/>
      <c r="P1396" s="921">
        <f t="shared" si="43"/>
        <v>0</v>
      </c>
    </row>
    <row r="1397" spans="1:16" ht="20.100000000000001" customHeight="1" x14ac:dyDescent="0.25">
      <c r="A1397" s="918" t="s">
        <v>11903</v>
      </c>
      <c r="B1397" s="944" t="s">
        <v>3901</v>
      </c>
      <c r="C1397" s="919" t="s">
        <v>3902</v>
      </c>
      <c r="D1397" s="919" t="s">
        <v>6274</v>
      </c>
      <c r="E1397" s="920">
        <v>6000</v>
      </c>
      <c r="F1397" s="919" t="s">
        <v>6450</v>
      </c>
      <c r="G1397" s="919" t="s">
        <v>6451</v>
      </c>
      <c r="H1397" s="919" t="s">
        <v>6274</v>
      </c>
      <c r="I1397" s="919" t="s">
        <v>3724</v>
      </c>
      <c r="J1397" s="919"/>
      <c r="K1397" s="920">
        <v>1</v>
      </c>
      <c r="L1397" s="920">
        <v>12</v>
      </c>
      <c r="M1397" s="920">
        <f t="shared" si="42"/>
        <v>72000</v>
      </c>
      <c r="N1397" s="919"/>
      <c r="O1397" s="919"/>
      <c r="P1397" s="921">
        <f t="shared" si="43"/>
        <v>0</v>
      </c>
    </row>
    <row r="1398" spans="1:16" ht="20.100000000000001" customHeight="1" x14ac:dyDescent="0.25">
      <c r="A1398" s="918" t="s">
        <v>11903</v>
      </c>
      <c r="B1398" s="944" t="s">
        <v>3901</v>
      </c>
      <c r="C1398" s="919" t="s">
        <v>3902</v>
      </c>
      <c r="D1398" s="919" t="s">
        <v>6120</v>
      </c>
      <c r="E1398" s="920">
        <v>6000</v>
      </c>
      <c r="F1398" s="919" t="s">
        <v>6452</v>
      </c>
      <c r="G1398" s="919" t="s">
        <v>6453</v>
      </c>
      <c r="H1398" s="919" t="s">
        <v>6120</v>
      </c>
      <c r="I1398" s="919" t="s">
        <v>3724</v>
      </c>
      <c r="J1398" s="919"/>
      <c r="K1398" s="920">
        <v>1</v>
      </c>
      <c r="L1398" s="920">
        <v>12</v>
      </c>
      <c r="M1398" s="920">
        <f t="shared" si="42"/>
        <v>72000</v>
      </c>
      <c r="N1398" s="919"/>
      <c r="O1398" s="919"/>
      <c r="P1398" s="921">
        <f t="shared" si="43"/>
        <v>0</v>
      </c>
    </row>
    <row r="1399" spans="1:16" ht="20.100000000000001" customHeight="1" x14ac:dyDescent="0.25">
      <c r="A1399" s="918" t="s">
        <v>11903</v>
      </c>
      <c r="B1399" s="944" t="s">
        <v>3901</v>
      </c>
      <c r="C1399" s="919" t="s">
        <v>3902</v>
      </c>
      <c r="D1399" s="919" t="s">
        <v>6274</v>
      </c>
      <c r="E1399" s="920">
        <v>6000</v>
      </c>
      <c r="F1399" s="919" t="s">
        <v>6454</v>
      </c>
      <c r="G1399" s="919" t="s">
        <v>6455</v>
      </c>
      <c r="H1399" s="919" t="s">
        <v>6274</v>
      </c>
      <c r="I1399" s="919" t="s">
        <v>3724</v>
      </c>
      <c r="J1399" s="919"/>
      <c r="K1399" s="920">
        <v>1</v>
      </c>
      <c r="L1399" s="920">
        <v>12</v>
      </c>
      <c r="M1399" s="920">
        <f t="shared" si="42"/>
        <v>72000</v>
      </c>
      <c r="N1399" s="919"/>
      <c r="O1399" s="919"/>
      <c r="P1399" s="921">
        <f t="shared" si="43"/>
        <v>0</v>
      </c>
    </row>
    <row r="1400" spans="1:16" ht="20.100000000000001" customHeight="1" x14ac:dyDescent="0.25">
      <c r="A1400" s="918" t="s">
        <v>11903</v>
      </c>
      <c r="B1400" s="944" t="s">
        <v>3901</v>
      </c>
      <c r="C1400" s="919" t="s">
        <v>3902</v>
      </c>
      <c r="D1400" s="919" t="s">
        <v>6274</v>
      </c>
      <c r="E1400" s="920">
        <v>6000</v>
      </c>
      <c r="F1400" s="919" t="s">
        <v>6456</v>
      </c>
      <c r="G1400" s="919" t="s">
        <v>6457</v>
      </c>
      <c r="H1400" s="919" t="s">
        <v>6274</v>
      </c>
      <c r="I1400" s="919" t="s">
        <v>3724</v>
      </c>
      <c r="J1400" s="919"/>
      <c r="K1400" s="920">
        <v>1</v>
      </c>
      <c r="L1400" s="920">
        <v>12</v>
      </c>
      <c r="M1400" s="920">
        <f t="shared" si="42"/>
        <v>72000</v>
      </c>
      <c r="N1400" s="919"/>
      <c r="O1400" s="919"/>
      <c r="P1400" s="921">
        <f t="shared" si="43"/>
        <v>0</v>
      </c>
    </row>
    <row r="1401" spans="1:16" ht="20.100000000000001" customHeight="1" x14ac:dyDescent="0.25">
      <c r="A1401" s="918" t="s">
        <v>11903</v>
      </c>
      <c r="B1401" s="944" t="s">
        <v>3901</v>
      </c>
      <c r="C1401" s="919" t="s">
        <v>3902</v>
      </c>
      <c r="D1401" s="919" t="s">
        <v>6274</v>
      </c>
      <c r="E1401" s="920">
        <v>6000</v>
      </c>
      <c r="F1401" s="919" t="s">
        <v>4041</v>
      </c>
      <c r="G1401" s="919" t="s">
        <v>4042</v>
      </c>
      <c r="H1401" s="919" t="s">
        <v>6274</v>
      </c>
      <c r="I1401" s="919" t="s">
        <v>3724</v>
      </c>
      <c r="J1401" s="919"/>
      <c r="K1401" s="920">
        <v>1</v>
      </c>
      <c r="L1401" s="920">
        <v>12</v>
      </c>
      <c r="M1401" s="920">
        <f t="shared" si="42"/>
        <v>72000</v>
      </c>
      <c r="N1401" s="919"/>
      <c r="O1401" s="919"/>
      <c r="P1401" s="921">
        <f t="shared" si="43"/>
        <v>0</v>
      </c>
    </row>
    <row r="1402" spans="1:16" ht="20.100000000000001" customHeight="1" x14ac:dyDescent="0.25">
      <c r="A1402" s="918" t="s">
        <v>11903</v>
      </c>
      <c r="B1402" s="944" t="s">
        <v>3901</v>
      </c>
      <c r="C1402" s="919" t="s">
        <v>3902</v>
      </c>
      <c r="D1402" s="919" t="s">
        <v>6120</v>
      </c>
      <c r="E1402" s="920">
        <v>4600</v>
      </c>
      <c r="F1402" s="919" t="s">
        <v>6458</v>
      </c>
      <c r="G1402" s="919" t="s">
        <v>6459</v>
      </c>
      <c r="H1402" s="919" t="s">
        <v>6120</v>
      </c>
      <c r="I1402" s="919" t="s">
        <v>3724</v>
      </c>
      <c r="J1402" s="919"/>
      <c r="K1402" s="920">
        <v>1</v>
      </c>
      <c r="L1402" s="920">
        <v>12</v>
      </c>
      <c r="M1402" s="920">
        <f t="shared" si="42"/>
        <v>55200</v>
      </c>
      <c r="N1402" s="919"/>
      <c r="O1402" s="919"/>
      <c r="P1402" s="921">
        <f t="shared" si="43"/>
        <v>0</v>
      </c>
    </row>
    <row r="1403" spans="1:16" ht="20.100000000000001" customHeight="1" x14ac:dyDescent="0.25">
      <c r="A1403" s="918" t="s">
        <v>11903</v>
      </c>
      <c r="B1403" s="944" t="s">
        <v>3901</v>
      </c>
      <c r="C1403" s="919" t="s">
        <v>3902</v>
      </c>
      <c r="D1403" s="919" t="s">
        <v>6274</v>
      </c>
      <c r="E1403" s="920">
        <v>6000</v>
      </c>
      <c r="F1403" s="919" t="s">
        <v>6460</v>
      </c>
      <c r="G1403" s="919" t="s">
        <v>6461</v>
      </c>
      <c r="H1403" s="919" t="s">
        <v>6274</v>
      </c>
      <c r="I1403" s="919" t="s">
        <v>3724</v>
      </c>
      <c r="J1403" s="919"/>
      <c r="K1403" s="920">
        <v>1</v>
      </c>
      <c r="L1403" s="920">
        <v>12</v>
      </c>
      <c r="M1403" s="920">
        <f t="shared" si="42"/>
        <v>72000</v>
      </c>
      <c r="N1403" s="919"/>
      <c r="O1403" s="919"/>
      <c r="P1403" s="921">
        <f t="shared" si="43"/>
        <v>0</v>
      </c>
    </row>
    <row r="1404" spans="1:16" ht="20.100000000000001" customHeight="1" x14ac:dyDescent="0.25">
      <c r="A1404" s="918" t="s">
        <v>11903</v>
      </c>
      <c r="B1404" s="944" t="s">
        <v>3901</v>
      </c>
      <c r="C1404" s="919" t="s">
        <v>3902</v>
      </c>
      <c r="D1404" s="919" t="s">
        <v>6274</v>
      </c>
      <c r="E1404" s="920">
        <v>6000</v>
      </c>
      <c r="F1404" s="919" t="s">
        <v>6462</v>
      </c>
      <c r="G1404" s="919" t="s">
        <v>6463</v>
      </c>
      <c r="H1404" s="919" t="s">
        <v>6274</v>
      </c>
      <c r="I1404" s="919" t="s">
        <v>3724</v>
      </c>
      <c r="J1404" s="919"/>
      <c r="K1404" s="920">
        <v>1</v>
      </c>
      <c r="L1404" s="920">
        <v>12</v>
      </c>
      <c r="M1404" s="920">
        <f t="shared" si="42"/>
        <v>72000</v>
      </c>
      <c r="N1404" s="919"/>
      <c r="O1404" s="919"/>
      <c r="P1404" s="921">
        <f t="shared" si="43"/>
        <v>0</v>
      </c>
    </row>
    <row r="1405" spans="1:16" ht="20.100000000000001" customHeight="1" x14ac:dyDescent="0.25">
      <c r="A1405" s="918" t="s">
        <v>11903</v>
      </c>
      <c r="B1405" s="944" t="s">
        <v>3901</v>
      </c>
      <c r="C1405" s="919" t="s">
        <v>3902</v>
      </c>
      <c r="D1405" s="919" t="s">
        <v>6120</v>
      </c>
      <c r="E1405" s="920">
        <v>4600</v>
      </c>
      <c r="F1405" s="919" t="s">
        <v>4041</v>
      </c>
      <c r="G1405" s="919" t="s">
        <v>4042</v>
      </c>
      <c r="H1405" s="919" t="s">
        <v>6120</v>
      </c>
      <c r="I1405" s="919" t="s">
        <v>3724</v>
      </c>
      <c r="J1405" s="919"/>
      <c r="K1405" s="920">
        <v>1</v>
      </c>
      <c r="L1405" s="920">
        <v>12</v>
      </c>
      <c r="M1405" s="920">
        <f t="shared" si="42"/>
        <v>55200</v>
      </c>
      <c r="N1405" s="919"/>
      <c r="O1405" s="919"/>
      <c r="P1405" s="921">
        <f t="shared" si="43"/>
        <v>0</v>
      </c>
    </row>
    <row r="1406" spans="1:16" ht="20.100000000000001" customHeight="1" x14ac:dyDescent="0.25">
      <c r="A1406" s="918" t="s">
        <v>11903</v>
      </c>
      <c r="B1406" s="944" t="s">
        <v>3901</v>
      </c>
      <c r="C1406" s="919" t="s">
        <v>3902</v>
      </c>
      <c r="D1406" s="919" t="s">
        <v>3999</v>
      </c>
      <c r="E1406" s="920">
        <v>2100</v>
      </c>
      <c r="F1406" s="919" t="s">
        <v>6464</v>
      </c>
      <c r="G1406" s="919" t="s">
        <v>6465</v>
      </c>
      <c r="H1406" s="919" t="s">
        <v>3999</v>
      </c>
      <c r="I1406" s="919" t="s">
        <v>3724</v>
      </c>
      <c r="J1406" s="919"/>
      <c r="K1406" s="920">
        <v>1</v>
      </c>
      <c r="L1406" s="920">
        <v>12</v>
      </c>
      <c r="M1406" s="920">
        <f t="shared" si="42"/>
        <v>25200</v>
      </c>
      <c r="N1406" s="919"/>
      <c r="O1406" s="919"/>
      <c r="P1406" s="921">
        <f t="shared" si="43"/>
        <v>0</v>
      </c>
    </row>
    <row r="1407" spans="1:16" ht="20.100000000000001" customHeight="1" x14ac:dyDescent="0.25">
      <c r="A1407" s="918" t="s">
        <v>11903</v>
      </c>
      <c r="B1407" s="944" t="s">
        <v>3901</v>
      </c>
      <c r="C1407" s="919" t="s">
        <v>3902</v>
      </c>
      <c r="D1407" s="919" t="s">
        <v>3999</v>
      </c>
      <c r="E1407" s="920">
        <v>2100</v>
      </c>
      <c r="F1407" s="919" t="s">
        <v>6466</v>
      </c>
      <c r="G1407" s="919" t="s">
        <v>6467</v>
      </c>
      <c r="H1407" s="919" t="s">
        <v>3999</v>
      </c>
      <c r="I1407" s="919" t="s">
        <v>3679</v>
      </c>
      <c r="J1407" s="919"/>
      <c r="K1407" s="920">
        <v>1</v>
      </c>
      <c r="L1407" s="920">
        <v>12</v>
      </c>
      <c r="M1407" s="920">
        <f t="shared" si="42"/>
        <v>25200</v>
      </c>
      <c r="N1407" s="919"/>
      <c r="O1407" s="919"/>
      <c r="P1407" s="921">
        <f t="shared" si="43"/>
        <v>0</v>
      </c>
    </row>
    <row r="1408" spans="1:16" ht="20.100000000000001" customHeight="1" x14ac:dyDescent="0.25">
      <c r="A1408" s="918" t="s">
        <v>11903</v>
      </c>
      <c r="B1408" s="944" t="s">
        <v>3901</v>
      </c>
      <c r="C1408" s="919" t="s">
        <v>3902</v>
      </c>
      <c r="D1408" s="919" t="s">
        <v>6468</v>
      </c>
      <c r="E1408" s="920">
        <v>2300</v>
      </c>
      <c r="F1408" s="919" t="s">
        <v>6469</v>
      </c>
      <c r="G1408" s="919" t="s">
        <v>6470</v>
      </c>
      <c r="H1408" s="919" t="s">
        <v>6468</v>
      </c>
      <c r="I1408" s="919" t="s">
        <v>3724</v>
      </c>
      <c r="J1408" s="919"/>
      <c r="K1408" s="920">
        <v>1</v>
      </c>
      <c r="L1408" s="920">
        <v>12</v>
      </c>
      <c r="M1408" s="920">
        <f t="shared" si="42"/>
        <v>27600</v>
      </c>
      <c r="N1408" s="919"/>
      <c r="O1408" s="919"/>
      <c r="P1408" s="921">
        <f t="shared" si="43"/>
        <v>0</v>
      </c>
    </row>
    <row r="1409" spans="1:16" ht="20.100000000000001" customHeight="1" x14ac:dyDescent="0.25">
      <c r="A1409" s="918" t="s">
        <v>11903</v>
      </c>
      <c r="B1409" s="944" t="s">
        <v>3901</v>
      </c>
      <c r="C1409" s="919" t="s">
        <v>3902</v>
      </c>
      <c r="D1409" s="919" t="s">
        <v>3999</v>
      </c>
      <c r="E1409" s="920">
        <v>2300</v>
      </c>
      <c r="F1409" s="919" t="s">
        <v>6471</v>
      </c>
      <c r="G1409" s="919" t="s">
        <v>6472</v>
      </c>
      <c r="H1409" s="919" t="s">
        <v>3999</v>
      </c>
      <c r="I1409" s="919" t="s">
        <v>3724</v>
      </c>
      <c r="J1409" s="919"/>
      <c r="K1409" s="920">
        <v>1</v>
      </c>
      <c r="L1409" s="920">
        <v>12</v>
      </c>
      <c r="M1409" s="920">
        <f t="shared" si="42"/>
        <v>27600</v>
      </c>
      <c r="N1409" s="919"/>
      <c r="O1409" s="919"/>
      <c r="P1409" s="921">
        <f t="shared" si="43"/>
        <v>0</v>
      </c>
    </row>
    <row r="1410" spans="1:16" ht="20.100000000000001" customHeight="1" x14ac:dyDescent="0.25">
      <c r="A1410" s="918" t="s">
        <v>11903</v>
      </c>
      <c r="B1410" s="944" t="s">
        <v>3901</v>
      </c>
      <c r="C1410" s="919" t="s">
        <v>3902</v>
      </c>
      <c r="D1410" s="919" t="s">
        <v>3999</v>
      </c>
      <c r="E1410" s="920">
        <v>2300</v>
      </c>
      <c r="F1410" s="919" t="s">
        <v>6473</v>
      </c>
      <c r="G1410" s="919" t="s">
        <v>6474</v>
      </c>
      <c r="H1410" s="919" t="s">
        <v>3999</v>
      </c>
      <c r="I1410" s="919" t="s">
        <v>3724</v>
      </c>
      <c r="J1410" s="919"/>
      <c r="K1410" s="920">
        <v>1</v>
      </c>
      <c r="L1410" s="920">
        <v>12</v>
      </c>
      <c r="M1410" s="920">
        <f t="shared" si="42"/>
        <v>27600</v>
      </c>
      <c r="N1410" s="919"/>
      <c r="O1410" s="919"/>
      <c r="P1410" s="921">
        <f t="shared" si="43"/>
        <v>0</v>
      </c>
    </row>
    <row r="1411" spans="1:16" ht="20.100000000000001" customHeight="1" x14ac:dyDescent="0.25">
      <c r="A1411" s="918" t="s">
        <v>11903</v>
      </c>
      <c r="B1411" s="944" t="s">
        <v>3901</v>
      </c>
      <c r="C1411" s="919" t="s">
        <v>3902</v>
      </c>
      <c r="D1411" s="919" t="s">
        <v>3999</v>
      </c>
      <c r="E1411" s="920">
        <v>2100</v>
      </c>
      <c r="F1411" s="919" t="s">
        <v>6475</v>
      </c>
      <c r="G1411" s="919" t="s">
        <v>6476</v>
      </c>
      <c r="H1411" s="919" t="s">
        <v>3999</v>
      </c>
      <c r="I1411" s="919" t="s">
        <v>3724</v>
      </c>
      <c r="J1411" s="919"/>
      <c r="K1411" s="920">
        <v>1</v>
      </c>
      <c r="L1411" s="920">
        <v>12</v>
      </c>
      <c r="M1411" s="920">
        <f t="shared" si="42"/>
        <v>25200</v>
      </c>
      <c r="N1411" s="919"/>
      <c r="O1411" s="919"/>
      <c r="P1411" s="921">
        <f t="shared" si="43"/>
        <v>0</v>
      </c>
    </row>
    <row r="1412" spans="1:16" ht="20.100000000000001" customHeight="1" x14ac:dyDescent="0.25">
      <c r="A1412" s="918" t="s">
        <v>11903</v>
      </c>
      <c r="B1412" s="944" t="s">
        <v>3901</v>
      </c>
      <c r="C1412" s="919" t="s">
        <v>3902</v>
      </c>
      <c r="D1412" s="919" t="s">
        <v>3999</v>
      </c>
      <c r="E1412" s="920">
        <v>2300</v>
      </c>
      <c r="F1412" s="919" t="s">
        <v>6477</v>
      </c>
      <c r="G1412" s="919" t="s">
        <v>6478</v>
      </c>
      <c r="H1412" s="919" t="s">
        <v>3999</v>
      </c>
      <c r="I1412" s="919" t="s">
        <v>3724</v>
      </c>
      <c r="J1412" s="919"/>
      <c r="K1412" s="920">
        <v>1</v>
      </c>
      <c r="L1412" s="920">
        <v>12</v>
      </c>
      <c r="M1412" s="920">
        <f t="shared" si="42"/>
        <v>27600</v>
      </c>
      <c r="N1412" s="919"/>
      <c r="O1412" s="919"/>
      <c r="P1412" s="921">
        <f t="shared" si="43"/>
        <v>0</v>
      </c>
    </row>
    <row r="1413" spans="1:16" ht="20.100000000000001" customHeight="1" x14ac:dyDescent="0.25">
      <c r="A1413" s="918" t="s">
        <v>11903</v>
      </c>
      <c r="B1413" s="944" t="s">
        <v>3901</v>
      </c>
      <c r="C1413" s="919" t="s">
        <v>3902</v>
      </c>
      <c r="D1413" s="919" t="s">
        <v>3999</v>
      </c>
      <c r="E1413" s="920">
        <v>2100</v>
      </c>
      <c r="F1413" s="919" t="s">
        <v>6479</v>
      </c>
      <c r="G1413" s="919" t="s">
        <v>6480</v>
      </c>
      <c r="H1413" s="919" t="s">
        <v>3999</v>
      </c>
      <c r="I1413" s="919" t="s">
        <v>3724</v>
      </c>
      <c r="J1413" s="919"/>
      <c r="K1413" s="920">
        <v>1</v>
      </c>
      <c r="L1413" s="920">
        <v>12</v>
      </c>
      <c r="M1413" s="920">
        <f t="shared" si="42"/>
        <v>25200</v>
      </c>
      <c r="N1413" s="919"/>
      <c r="O1413" s="919"/>
      <c r="P1413" s="921">
        <f t="shared" si="43"/>
        <v>0</v>
      </c>
    </row>
    <row r="1414" spans="1:16" ht="20.100000000000001" customHeight="1" x14ac:dyDescent="0.25">
      <c r="A1414" s="918" t="s">
        <v>11903</v>
      </c>
      <c r="B1414" s="944" t="s">
        <v>3901</v>
      </c>
      <c r="C1414" s="919" t="s">
        <v>3902</v>
      </c>
      <c r="D1414" s="919" t="s">
        <v>3999</v>
      </c>
      <c r="E1414" s="920">
        <v>2300</v>
      </c>
      <c r="F1414" s="919" t="s">
        <v>6481</v>
      </c>
      <c r="G1414" s="919" t="s">
        <v>6482</v>
      </c>
      <c r="H1414" s="919" t="s">
        <v>3999</v>
      </c>
      <c r="I1414" s="919" t="s">
        <v>3724</v>
      </c>
      <c r="J1414" s="919"/>
      <c r="K1414" s="920">
        <v>1</v>
      </c>
      <c r="L1414" s="920">
        <v>12</v>
      </c>
      <c r="M1414" s="920">
        <f t="shared" ref="M1414:M1477" si="44">E1414*L1414</f>
        <v>27600</v>
      </c>
      <c r="N1414" s="919"/>
      <c r="O1414" s="919"/>
      <c r="P1414" s="921">
        <f t="shared" ref="P1414:P1477" si="45">E1414*O1414</f>
        <v>0</v>
      </c>
    </row>
    <row r="1415" spans="1:16" ht="20.100000000000001" customHeight="1" x14ac:dyDescent="0.25">
      <c r="A1415" s="918" t="s">
        <v>11903</v>
      </c>
      <c r="B1415" s="944" t="s">
        <v>3901</v>
      </c>
      <c r="C1415" s="919" t="s">
        <v>3902</v>
      </c>
      <c r="D1415" s="919" t="s">
        <v>3999</v>
      </c>
      <c r="E1415" s="920">
        <v>2100</v>
      </c>
      <c r="F1415" s="919" t="s">
        <v>6483</v>
      </c>
      <c r="G1415" s="919" t="s">
        <v>6484</v>
      </c>
      <c r="H1415" s="919" t="s">
        <v>3999</v>
      </c>
      <c r="I1415" s="919" t="s">
        <v>3724</v>
      </c>
      <c r="J1415" s="919"/>
      <c r="K1415" s="920">
        <v>1</v>
      </c>
      <c r="L1415" s="920">
        <v>12</v>
      </c>
      <c r="M1415" s="920">
        <f t="shared" si="44"/>
        <v>25200</v>
      </c>
      <c r="N1415" s="919"/>
      <c r="O1415" s="919"/>
      <c r="P1415" s="921">
        <f t="shared" si="45"/>
        <v>0</v>
      </c>
    </row>
    <row r="1416" spans="1:16" ht="20.100000000000001" customHeight="1" x14ac:dyDescent="0.25">
      <c r="A1416" s="918" t="s">
        <v>11903</v>
      </c>
      <c r="B1416" s="944" t="s">
        <v>3901</v>
      </c>
      <c r="C1416" s="919" t="s">
        <v>3902</v>
      </c>
      <c r="D1416" s="919" t="s">
        <v>3999</v>
      </c>
      <c r="E1416" s="920">
        <v>2100</v>
      </c>
      <c r="F1416" s="919" t="s">
        <v>6485</v>
      </c>
      <c r="G1416" s="919" t="s">
        <v>6486</v>
      </c>
      <c r="H1416" s="919" t="s">
        <v>3999</v>
      </c>
      <c r="I1416" s="919" t="s">
        <v>3724</v>
      </c>
      <c r="J1416" s="919"/>
      <c r="K1416" s="920">
        <v>1</v>
      </c>
      <c r="L1416" s="920">
        <v>12</v>
      </c>
      <c r="M1416" s="920">
        <f t="shared" si="44"/>
        <v>25200</v>
      </c>
      <c r="N1416" s="919"/>
      <c r="O1416" s="919"/>
      <c r="P1416" s="921">
        <f t="shared" si="45"/>
        <v>0</v>
      </c>
    </row>
    <row r="1417" spans="1:16" ht="20.100000000000001" customHeight="1" x14ac:dyDescent="0.25">
      <c r="A1417" s="918" t="s">
        <v>11903</v>
      </c>
      <c r="B1417" s="944" t="s">
        <v>3901</v>
      </c>
      <c r="C1417" s="919" t="s">
        <v>3902</v>
      </c>
      <c r="D1417" s="919" t="s">
        <v>3999</v>
      </c>
      <c r="E1417" s="920">
        <v>2300</v>
      </c>
      <c r="F1417" s="919" t="s">
        <v>6487</v>
      </c>
      <c r="G1417" s="919" t="s">
        <v>6488</v>
      </c>
      <c r="H1417" s="919" t="s">
        <v>3999</v>
      </c>
      <c r="I1417" s="919" t="s">
        <v>3724</v>
      </c>
      <c r="J1417" s="919"/>
      <c r="K1417" s="920">
        <v>1</v>
      </c>
      <c r="L1417" s="920">
        <v>12</v>
      </c>
      <c r="M1417" s="920">
        <f t="shared" si="44"/>
        <v>27600</v>
      </c>
      <c r="N1417" s="919"/>
      <c r="O1417" s="919"/>
      <c r="P1417" s="921">
        <f t="shared" si="45"/>
        <v>0</v>
      </c>
    </row>
    <row r="1418" spans="1:16" ht="20.100000000000001" customHeight="1" x14ac:dyDescent="0.25">
      <c r="A1418" s="918" t="s">
        <v>11903</v>
      </c>
      <c r="B1418" s="944" t="s">
        <v>3901</v>
      </c>
      <c r="C1418" s="919" t="s">
        <v>3902</v>
      </c>
      <c r="D1418" s="919" t="s">
        <v>6468</v>
      </c>
      <c r="E1418" s="920">
        <v>2300</v>
      </c>
      <c r="F1418" s="919" t="s">
        <v>6489</v>
      </c>
      <c r="G1418" s="919" t="s">
        <v>6490</v>
      </c>
      <c r="H1418" s="919" t="s">
        <v>6468</v>
      </c>
      <c r="I1418" s="919" t="s">
        <v>3724</v>
      </c>
      <c r="J1418" s="919"/>
      <c r="K1418" s="920">
        <v>1</v>
      </c>
      <c r="L1418" s="920">
        <v>12</v>
      </c>
      <c r="M1418" s="920">
        <f t="shared" si="44"/>
        <v>27600</v>
      </c>
      <c r="N1418" s="919"/>
      <c r="O1418" s="919"/>
      <c r="P1418" s="921">
        <f t="shared" si="45"/>
        <v>0</v>
      </c>
    </row>
    <row r="1419" spans="1:16" ht="20.100000000000001" customHeight="1" x14ac:dyDescent="0.25">
      <c r="A1419" s="918" t="s">
        <v>11903</v>
      </c>
      <c r="B1419" s="944" t="s">
        <v>3901</v>
      </c>
      <c r="C1419" s="919" t="s">
        <v>3902</v>
      </c>
      <c r="D1419" s="919" t="s">
        <v>6468</v>
      </c>
      <c r="E1419" s="920">
        <v>2100</v>
      </c>
      <c r="F1419" s="919" t="s">
        <v>6491</v>
      </c>
      <c r="G1419" s="919" t="s">
        <v>6492</v>
      </c>
      <c r="H1419" s="919" t="s">
        <v>6468</v>
      </c>
      <c r="I1419" s="919" t="s">
        <v>3724</v>
      </c>
      <c r="J1419" s="919"/>
      <c r="K1419" s="920">
        <v>1</v>
      </c>
      <c r="L1419" s="920">
        <v>12</v>
      </c>
      <c r="M1419" s="920">
        <f t="shared" si="44"/>
        <v>25200</v>
      </c>
      <c r="N1419" s="919"/>
      <c r="O1419" s="919"/>
      <c r="P1419" s="921">
        <f t="shared" si="45"/>
        <v>0</v>
      </c>
    </row>
    <row r="1420" spans="1:16" ht="20.100000000000001" customHeight="1" x14ac:dyDescent="0.25">
      <c r="A1420" s="918" t="s">
        <v>11903</v>
      </c>
      <c r="B1420" s="944" t="s">
        <v>3901</v>
      </c>
      <c r="C1420" s="919" t="s">
        <v>3902</v>
      </c>
      <c r="D1420" s="919" t="s">
        <v>3999</v>
      </c>
      <c r="E1420" s="920">
        <v>2300</v>
      </c>
      <c r="F1420" s="919" t="s">
        <v>6493</v>
      </c>
      <c r="G1420" s="919" t="s">
        <v>6494</v>
      </c>
      <c r="H1420" s="919" t="s">
        <v>3999</v>
      </c>
      <c r="I1420" s="919" t="s">
        <v>3724</v>
      </c>
      <c r="J1420" s="919"/>
      <c r="K1420" s="920">
        <v>1</v>
      </c>
      <c r="L1420" s="920">
        <v>12</v>
      </c>
      <c r="M1420" s="920">
        <f t="shared" si="44"/>
        <v>27600</v>
      </c>
      <c r="N1420" s="919"/>
      <c r="O1420" s="919"/>
      <c r="P1420" s="921">
        <f t="shared" si="45"/>
        <v>0</v>
      </c>
    </row>
    <row r="1421" spans="1:16" ht="20.100000000000001" customHeight="1" x14ac:dyDescent="0.25">
      <c r="A1421" s="918" t="s">
        <v>11903</v>
      </c>
      <c r="B1421" s="944" t="s">
        <v>3901</v>
      </c>
      <c r="C1421" s="919" t="s">
        <v>3902</v>
      </c>
      <c r="D1421" s="919" t="s">
        <v>3999</v>
      </c>
      <c r="E1421" s="920">
        <v>2300</v>
      </c>
      <c r="F1421" s="919" t="s">
        <v>6495</v>
      </c>
      <c r="G1421" s="919" t="s">
        <v>6496</v>
      </c>
      <c r="H1421" s="919" t="s">
        <v>3999</v>
      </c>
      <c r="I1421" s="919" t="s">
        <v>3724</v>
      </c>
      <c r="J1421" s="919"/>
      <c r="K1421" s="920">
        <v>1</v>
      </c>
      <c r="L1421" s="920">
        <v>12</v>
      </c>
      <c r="M1421" s="920">
        <f t="shared" si="44"/>
        <v>27600</v>
      </c>
      <c r="N1421" s="919"/>
      <c r="O1421" s="919"/>
      <c r="P1421" s="921">
        <f t="shared" si="45"/>
        <v>0</v>
      </c>
    </row>
    <row r="1422" spans="1:16" ht="20.100000000000001" customHeight="1" x14ac:dyDescent="0.25">
      <c r="A1422" s="918" t="s">
        <v>11903</v>
      </c>
      <c r="B1422" s="944" t="s">
        <v>3901</v>
      </c>
      <c r="C1422" s="919" t="s">
        <v>3902</v>
      </c>
      <c r="D1422" s="919" t="s">
        <v>3999</v>
      </c>
      <c r="E1422" s="920">
        <v>2300</v>
      </c>
      <c r="F1422" s="919" t="s">
        <v>6497</v>
      </c>
      <c r="G1422" s="919" t="s">
        <v>6498</v>
      </c>
      <c r="H1422" s="919" t="s">
        <v>3999</v>
      </c>
      <c r="I1422" s="919" t="s">
        <v>3724</v>
      </c>
      <c r="J1422" s="919"/>
      <c r="K1422" s="920">
        <v>1</v>
      </c>
      <c r="L1422" s="920">
        <v>12</v>
      </c>
      <c r="M1422" s="920">
        <f t="shared" si="44"/>
        <v>27600</v>
      </c>
      <c r="N1422" s="919"/>
      <c r="O1422" s="919"/>
      <c r="P1422" s="921">
        <f t="shared" si="45"/>
        <v>0</v>
      </c>
    </row>
    <row r="1423" spans="1:16" ht="20.100000000000001" customHeight="1" x14ac:dyDescent="0.25">
      <c r="A1423" s="918" t="s">
        <v>11903</v>
      </c>
      <c r="B1423" s="944" t="s">
        <v>3901</v>
      </c>
      <c r="C1423" s="919" t="s">
        <v>3902</v>
      </c>
      <c r="D1423" s="919" t="s">
        <v>3999</v>
      </c>
      <c r="E1423" s="920">
        <v>2300</v>
      </c>
      <c r="F1423" s="919" t="s">
        <v>6499</v>
      </c>
      <c r="G1423" s="919" t="s">
        <v>6500</v>
      </c>
      <c r="H1423" s="919" t="s">
        <v>3999</v>
      </c>
      <c r="I1423" s="919" t="s">
        <v>3724</v>
      </c>
      <c r="J1423" s="919"/>
      <c r="K1423" s="920">
        <v>1</v>
      </c>
      <c r="L1423" s="920">
        <v>12</v>
      </c>
      <c r="M1423" s="920">
        <f t="shared" si="44"/>
        <v>27600</v>
      </c>
      <c r="N1423" s="919"/>
      <c r="O1423" s="919"/>
      <c r="P1423" s="921">
        <f t="shared" si="45"/>
        <v>0</v>
      </c>
    </row>
    <row r="1424" spans="1:16" ht="20.100000000000001" customHeight="1" x14ac:dyDescent="0.25">
      <c r="A1424" s="918" t="s">
        <v>11903</v>
      </c>
      <c r="B1424" s="944" t="s">
        <v>3901</v>
      </c>
      <c r="C1424" s="919" t="s">
        <v>3902</v>
      </c>
      <c r="D1424" s="919" t="s">
        <v>3999</v>
      </c>
      <c r="E1424" s="920">
        <v>2100</v>
      </c>
      <c r="F1424" s="919" t="s">
        <v>6501</v>
      </c>
      <c r="G1424" s="919" t="s">
        <v>6502</v>
      </c>
      <c r="H1424" s="919" t="s">
        <v>3999</v>
      </c>
      <c r="I1424" s="919" t="s">
        <v>3724</v>
      </c>
      <c r="J1424" s="919"/>
      <c r="K1424" s="920">
        <v>1</v>
      </c>
      <c r="L1424" s="920">
        <v>12</v>
      </c>
      <c r="M1424" s="920">
        <f t="shared" si="44"/>
        <v>25200</v>
      </c>
      <c r="N1424" s="919"/>
      <c r="O1424" s="919"/>
      <c r="P1424" s="921">
        <f t="shared" si="45"/>
        <v>0</v>
      </c>
    </row>
    <row r="1425" spans="1:16" ht="20.100000000000001" customHeight="1" x14ac:dyDescent="0.25">
      <c r="A1425" s="918" t="s">
        <v>11903</v>
      </c>
      <c r="B1425" s="944" t="s">
        <v>3901</v>
      </c>
      <c r="C1425" s="919" t="s">
        <v>3902</v>
      </c>
      <c r="D1425" s="919" t="s">
        <v>6468</v>
      </c>
      <c r="E1425" s="920">
        <v>2100</v>
      </c>
      <c r="F1425" s="919" t="s">
        <v>6503</v>
      </c>
      <c r="G1425" s="919" t="s">
        <v>6504</v>
      </c>
      <c r="H1425" s="919" t="s">
        <v>6468</v>
      </c>
      <c r="I1425" s="919" t="s">
        <v>3724</v>
      </c>
      <c r="J1425" s="919"/>
      <c r="K1425" s="920">
        <v>1</v>
      </c>
      <c r="L1425" s="920">
        <v>12</v>
      </c>
      <c r="M1425" s="920">
        <f t="shared" si="44"/>
        <v>25200</v>
      </c>
      <c r="N1425" s="919"/>
      <c r="O1425" s="919"/>
      <c r="P1425" s="921">
        <f t="shared" si="45"/>
        <v>0</v>
      </c>
    </row>
    <row r="1426" spans="1:16" ht="20.100000000000001" customHeight="1" x14ac:dyDescent="0.25">
      <c r="A1426" s="918" t="s">
        <v>11903</v>
      </c>
      <c r="B1426" s="944" t="s">
        <v>3901</v>
      </c>
      <c r="C1426" s="919" t="s">
        <v>3902</v>
      </c>
      <c r="D1426" s="919" t="s">
        <v>6468</v>
      </c>
      <c r="E1426" s="920">
        <v>2100</v>
      </c>
      <c r="F1426" s="919" t="s">
        <v>6505</v>
      </c>
      <c r="G1426" s="919" t="s">
        <v>6506</v>
      </c>
      <c r="H1426" s="919" t="s">
        <v>6468</v>
      </c>
      <c r="I1426" s="919" t="s">
        <v>3724</v>
      </c>
      <c r="J1426" s="919"/>
      <c r="K1426" s="920">
        <v>1</v>
      </c>
      <c r="L1426" s="920">
        <v>12</v>
      </c>
      <c r="M1426" s="920">
        <f t="shared" si="44"/>
        <v>25200</v>
      </c>
      <c r="N1426" s="919"/>
      <c r="O1426" s="919"/>
      <c r="P1426" s="921">
        <f t="shared" si="45"/>
        <v>0</v>
      </c>
    </row>
    <row r="1427" spans="1:16" ht="20.100000000000001" customHeight="1" x14ac:dyDescent="0.25">
      <c r="A1427" s="918" t="s">
        <v>11903</v>
      </c>
      <c r="B1427" s="944" t="s">
        <v>3901</v>
      </c>
      <c r="C1427" s="919" t="s">
        <v>3902</v>
      </c>
      <c r="D1427" s="919" t="s">
        <v>6468</v>
      </c>
      <c r="E1427" s="920">
        <v>2100</v>
      </c>
      <c r="F1427" s="919" t="s">
        <v>6507</v>
      </c>
      <c r="G1427" s="919" t="s">
        <v>6508</v>
      </c>
      <c r="H1427" s="919" t="s">
        <v>6468</v>
      </c>
      <c r="I1427" s="919" t="s">
        <v>3724</v>
      </c>
      <c r="J1427" s="919"/>
      <c r="K1427" s="920">
        <v>1</v>
      </c>
      <c r="L1427" s="920">
        <v>12</v>
      </c>
      <c r="M1427" s="920">
        <f t="shared" si="44"/>
        <v>25200</v>
      </c>
      <c r="N1427" s="919"/>
      <c r="O1427" s="919"/>
      <c r="P1427" s="921">
        <f t="shared" si="45"/>
        <v>0</v>
      </c>
    </row>
    <row r="1428" spans="1:16" ht="20.100000000000001" customHeight="1" x14ac:dyDescent="0.25">
      <c r="A1428" s="918" t="s">
        <v>11903</v>
      </c>
      <c r="B1428" s="944" t="s">
        <v>3901</v>
      </c>
      <c r="C1428" s="919" t="s">
        <v>3902</v>
      </c>
      <c r="D1428" s="919" t="s">
        <v>3999</v>
      </c>
      <c r="E1428" s="920">
        <v>2100</v>
      </c>
      <c r="F1428" s="919" t="s">
        <v>6509</v>
      </c>
      <c r="G1428" s="919" t="s">
        <v>6510</v>
      </c>
      <c r="H1428" s="919" t="s">
        <v>3999</v>
      </c>
      <c r="I1428" s="919" t="s">
        <v>3724</v>
      </c>
      <c r="J1428" s="919"/>
      <c r="K1428" s="920">
        <v>1</v>
      </c>
      <c r="L1428" s="920">
        <v>12</v>
      </c>
      <c r="M1428" s="920">
        <f t="shared" si="44"/>
        <v>25200</v>
      </c>
      <c r="N1428" s="919"/>
      <c r="O1428" s="919"/>
      <c r="P1428" s="921">
        <f t="shared" si="45"/>
        <v>0</v>
      </c>
    </row>
    <row r="1429" spans="1:16" ht="20.100000000000001" customHeight="1" x14ac:dyDescent="0.25">
      <c r="A1429" s="918" t="s">
        <v>11903</v>
      </c>
      <c r="B1429" s="944" t="s">
        <v>3901</v>
      </c>
      <c r="C1429" s="919" t="s">
        <v>3902</v>
      </c>
      <c r="D1429" s="919" t="s">
        <v>3999</v>
      </c>
      <c r="E1429" s="920">
        <v>2300</v>
      </c>
      <c r="F1429" s="919" t="s">
        <v>6511</v>
      </c>
      <c r="G1429" s="919" t="s">
        <v>6512</v>
      </c>
      <c r="H1429" s="919" t="s">
        <v>3999</v>
      </c>
      <c r="I1429" s="919" t="s">
        <v>3724</v>
      </c>
      <c r="J1429" s="919"/>
      <c r="K1429" s="920">
        <v>1</v>
      </c>
      <c r="L1429" s="920">
        <v>12</v>
      </c>
      <c r="M1429" s="920">
        <f t="shared" si="44"/>
        <v>27600</v>
      </c>
      <c r="N1429" s="919"/>
      <c r="O1429" s="919"/>
      <c r="P1429" s="921">
        <f t="shared" si="45"/>
        <v>0</v>
      </c>
    </row>
    <row r="1430" spans="1:16" ht="20.100000000000001" customHeight="1" x14ac:dyDescent="0.25">
      <c r="A1430" s="918" t="s">
        <v>11903</v>
      </c>
      <c r="B1430" s="944" t="s">
        <v>3901</v>
      </c>
      <c r="C1430" s="919" t="s">
        <v>3902</v>
      </c>
      <c r="D1430" s="919" t="s">
        <v>4352</v>
      </c>
      <c r="E1430" s="920">
        <v>2100</v>
      </c>
      <c r="F1430" s="919" t="s">
        <v>6513</v>
      </c>
      <c r="G1430" s="919" t="s">
        <v>6514</v>
      </c>
      <c r="H1430" s="919" t="s">
        <v>4352</v>
      </c>
      <c r="I1430" s="919" t="s">
        <v>3724</v>
      </c>
      <c r="J1430" s="919"/>
      <c r="K1430" s="920">
        <v>1</v>
      </c>
      <c r="L1430" s="920">
        <v>12</v>
      </c>
      <c r="M1430" s="920">
        <f t="shared" si="44"/>
        <v>25200</v>
      </c>
      <c r="N1430" s="919"/>
      <c r="O1430" s="919"/>
      <c r="P1430" s="921">
        <f t="shared" si="45"/>
        <v>0</v>
      </c>
    </row>
    <row r="1431" spans="1:16" ht="20.100000000000001" customHeight="1" x14ac:dyDescent="0.25">
      <c r="A1431" s="918" t="s">
        <v>11903</v>
      </c>
      <c r="B1431" s="944" t="s">
        <v>3901</v>
      </c>
      <c r="C1431" s="919" t="s">
        <v>3902</v>
      </c>
      <c r="D1431" s="919" t="s">
        <v>4352</v>
      </c>
      <c r="E1431" s="920">
        <v>2100</v>
      </c>
      <c r="F1431" s="919" t="s">
        <v>6515</v>
      </c>
      <c r="G1431" s="919" t="s">
        <v>6516</v>
      </c>
      <c r="H1431" s="919" t="s">
        <v>4352</v>
      </c>
      <c r="I1431" s="919" t="s">
        <v>3724</v>
      </c>
      <c r="J1431" s="919"/>
      <c r="K1431" s="920">
        <v>1</v>
      </c>
      <c r="L1431" s="920">
        <v>12</v>
      </c>
      <c r="M1431" s="920">
        <f t="shared" si="44"/>
        <v>25200</v>
      </c>
      <c r="N1431" s="919"/>
      <c r="O1431" s="919"/>
      <c r="P1431" s="921">
        <f t="shared" si="45"/>
        <v>0</v>
      </c>
    </row>
    <row r="1432" spans="1:16" ht="20.100000000000001" customHeight="1" x14ac:dyDescent="0.25">
      <c r="A1432" s="918" t="s">
        <v>11903</v>
      </c>
      <c r="B1432" s="944" t="s">
        <v>3901</v>
      </c>
      <c r="C1432" s="919" t="s">
        <v>3902</v>
      </c>
      <c r="D1432" s="919" t="s">
        <v>4352</v>
      </c>
      <c r="E1432" s="920">
        <v>2100</v>
      </c>
      <c r="F1432" s="919" t="s">
        <v>6517</v>
      </c>
      <c r="G1432" s="919" t="s">
        <v>6518</v>
      </c>
      <c r="H1432" s="919" t="s">
        <v>4352</v>
      </c>
      <c r="I1432" s="919" t="s">
        <v>3724</v>
      </c>
      <c r="J1432" s="919"/>
      <c r="K1432" s="920">
        <v>1</v>
      </c>
      <c r="L1432" s="920">
        <v>12</v>
      </c>
      <c r="M1432" s="920">
        <f t="shared" si="44"/>
        <v>25200</v>
      </c>
      <c r="N1432" s="919"/>
      <c r="O1432" s="919"/>
      <c r="P1432" s="921">
        <f t="shared" si="45"/>
        <v>0</v>
      </c>
    </row>
    <row r="1433" spans="1:16" ht="20.100000000000001" customHeight="1" x14ac:dyDescent="0.25">
      <c r="A1433" s="918" t="s">
        <v>11903</v>
      </c>
      <c r="B1433" s="944" t="s">
        <v>3901</v>
      </c>
      <c r="C1433" s="919" t="s">
        <v>3902</v>
      </c>
      <c r="D1433" s="919" t="s">
        <v>4352</v>
      </c>
      <c r="E1433" s="920">
        <v>2100</v>
      </c>
      <c r="F1433" s="919" t="s">
        <v>6519</v>
      </c>
      <c r="G1433" s="919" t="s">
        <v>6520</v>
      </c>
      <c r="H1433" s="919" t="s">
        <v>4352</v>
      </c>
      <c r="I1433" s="919" t="s">
        <v>3724</v>
      </c>
      <c r="J1433" s="919"/>
      <c r="K1433" s="920">
        <v>1</v>
      </c>
      <c r="L1433" s="920">
        <v>12</v>
      </c>
      <c r="M1433" s="920">
        <f t="shared" si="44"/>
        <v>25200</v>
      </c>
      <c r="N1433" s="919"/>
      <c r="O1433" s="919"/>
      <c r="P1433" s="921">
        <f t="shared" si="45"/>
        <v>0</v>
      </c>
    </row>
    <row r="1434" spans="1:16" ht="20.100000000000001" customHeight="1" x14ac:dyDescent="0.25">
      <c r="A1434" s="918" t="s">
        <v>11903</v>
      </c>
      <c r="B1434" s="944" t="s">
        <v>3901</v>
      </c>
      <c r="C1434" s="919" t="s">
        <v>3902</v>
      </c>
      <c r="D1434" s="919" t="s">
        <v>4352</v>
      </c>
      <c r="E1434" s="920">
        <v>2100</v>
      </c>
      <c r="F1434" s="919" t="s">
        <v>6521</v>
      </c>
      <c r="G1434" s="919" t="s">
        <v>6522</v>
      </c>
      <c r="H1434" s="919" t="s">
        <v>4352</v>
      </c>
      <c r="I1434" s="919" t="s">
        <v>3724</v>
      </c>
      <c r="J1434" s="919"/>
      <c r="K1434" s="920">
        <v>1</v>
      </c>
      <c r="L1434" s="920">
        <v>12</v>
      </c>
      <c r="M1434" s="920">
        <f t="shared" si="44"/>
        <v>25200</v>
      </c>
      <c r="N1434" s="919"/>
      <c r="O1434" s="919"/>
      <c r="P1434" s="921">
        <f t="shared" si="45"/>
        <v>0</v>
      </c>
    </row>
    <row r="1435" spans="1:16" ht="20.100000000000001" customHeight="1" x14ac:dyDescent="0.25">
      <c r="A1435" s="918" t="s">
        <v>11903</v>
      </c>
      <c r="B1435" s="944" t="s">
        <v>3901</v>
      </c>
      <c r="C1435" s="919" t="s">
        <v>3902</v>
      </c>
      <c r="D1435" s="919" t="s">
        <v>4352</v>
      </c>
      <c r="E1435" s="920">
        <v>2100</v>
      </c>
      <c r="F1435" s="919" t="s">
        <v>6523</v>
      </c>
      <c r="G1435" s="919" t="s">
        <v>6524</v>
      </c>
      <c r="H1435" s="919" t="s">
        <v>4352</v>
      </c>
      <c r="I1435" s="919" t="s">
        <v>3724</v>
      </c>
      <c r="J1435" s="919"/>
      <c r="K1435" s="920">
        <v>1</v>
      </c>
      <c r="L1435" s="920">
        <v>12</v>
      </c>
      <c r="M1435" s="920">
        <f t="shared" si="44"/>
        <v>25200</v>
      </c>
      <c r="N1435" s="919"/>
      <c r="O1435" s="919"/>
      <c r="P1435" s="921">
        <f t="shared" si="45"/>
        <v>0</v>
      </c>
    </row>
    <row r="1436" spans="1:16" ht="20.100000000000001" customHeight="1" x14ac:dyDescent="0.25">
      <c r="A1436" s="918" t="s">
        <v>11903</v>
      </c>
      <c r="B1436" s="944" t="s">
        <v>3901</v>
      </c>
      <c r="C1436" s="919" t="s">
        <v>3902</v>
      </c>
      <c r="D1436" s="919" t="s">
        <v>4352</v>
      </c>
      <c r="E1436" s="920">
        <v>2100</v>
      </c>
      <c r="F1436" s="919" t="s">
        <v>6525</v>
      </c>
      <c r="G1436" s="919" t="s">
        <v>6526</v>
      </c>
      <c r="H1436" s="919" t="s">
        <v>4352</v>
      </c>
      <c r="I1436" s="919" t="s">
        <v>3679</v>
      </c>
      <c r="J1436" s="919"/>
      <c r="K1436" s="920">
        <v>1</v>
      </c>
      <c r="L1436" s="920">
        <v>12</v>
      </c>
      <c r="M1436" s="920">
        <f t="shared" si="44"/>
        <v>25200</v>
      </c>
      <c r="N1436" s="919"/>
      <c r="O1436" s="919"/>
      <c r="P1436" s="921">
        <f t="shared" si="45"/>
        <v>0</v>
      </c>
    </row>
    <row r="1437" spans="1:16" ht="20.100000000000001" customHeight="1" x14ac:dyDescent="0.25">
      <c r="A1437" s="918" t="s">
        <v>11903</v>
      </c>
      <c r="B1437" s="944" t="s">
        <v>3901</v>
      </c>
      <c r="C1437" s="919" t="s">
        <v>3902</v>
      </c>
      <c r="D1437" s="919" t="s">
        <v>4383</v>
      </c>
      <c r="E1437" s="920">
        <v>2100</v>
      </c>
      <c r="F1437" s="919" t="s">
        <v>6527</v>
      </c>
      <c r="G1437" s="919" t="s">
        <v>6528</v>
      </c>
      <c r="H1437" s="919" t="s">
        <v>4383</v>
      </c>
      <c r="I1437" s="919" t="s">
        <v>3724</v>
      </c>
      <c r="J1437" s="919"/>
      <c r="K1437" s="920">
        <v>1</v>
      </c>
      <c r="L1437" s="920">
        <v>12</v>
      </c>
      <c r="M1437" s="920">
        <f t="shared" si="44"/>
        <v>25200</v>
      </c>
      <c r="N1437" s="919"/>
      <c r="O1437" s="919"/>
      <c r="P1437" s="921">
        <f t="shared" si="45"/>
        <v>0</v>
      </c>
    </row>
    <row r="1438" spans="1:16" ht="20.100000000000001" customHeight="1" x14ac:dyDescent="0.25">
      <c r="A1438" s="918" t="s">
        <v>11903</v>
      </c>
      <c r="B1438" s="944" t="s">
        <v>3901</v>
      </c>
      <c r="C1438" s="919" t="s">
        <v>3902</v>
      </c>
      <c r="D1438" s="919" t="s">
        <v>6529</v>
      </c>
      <c r="E1438" s="920">
        <v>2000</v>
      </c>
      <c r="F1438" s="919" t="s">
        <v>6530</v>
      </c>
      <c r="G1438" s="919" t="s">
        <v>6531</v>
      </c>
      <c r="H1438" s="919" t="s">
        <v>6529</v>
      </c>
      <c r="I1438" s="919" t="s">
        <v>3686</v>
      </c>
      <c r="J1438" s="919"/>
      <c r="K1438" s="920">
        <v>1</v>
      </c>
      <c r="L1438" s="920">
        <v>12</v>
      </c>
      <c r="M1438" s="920">
        <f t="shared" si="44"/>
        <v>24000</v>
      </c>
      <c r="N1438" s="919"/>
      <c r="O1438" s="919"/>
      <c r="P1438" s="921">
        <f t="shared" si="45"/>
        <v>0</v>
      </c>
    </row>
    <row r="1439" spans="1:16" ht="20.100000000000001" customHeight="1" x14ac:dyDescent="0.25">
      <c r="A1439" s="918" t="s">
        <v>11903</v>
      </c>
      <c r="B1439" s="944" t="s">
        <v>3901</v>
      </c>
      <c r="C1439" s="919" t="s">
        <v>3902</v>
      </c>
      <c r="D1439" s="919" t="s">
        <v>4462</v>
      </c>
      <c r="E1439" s="920">
        <v>1400</v>
      </c>
      <c r="F1439" s="919" t="s">
        <v>6532</v>
      </c>
      <c r="G1439" s="919" t="s">
        <v>6533</v>
      </c>
      <c r="H1439" s="919" t="s">
        <v>4462</v>
      </c>
      <c r="I1439" s="919" t="s">
        <v>3686</v>
      </c>
      <c r="J1439" s="919"/>
      <c r="K1439" s="920">
        <v>1</v>
      </c>
      <c r="L1439" s="920">
        <v>12</v>
      </c>
      <c r="M1439" s="920">
        <f t="shared" si="44"/>
        <v>16800</v>
      </c>
      <c r="N1439" s="919"/>
      <c r="O1439" s="919"/>
      <c r="P1439" s="921">
        <f t="shared" si="45"/>
        <v>0</v>
      </c>
    </row>
    <row r="1440" spans="1:16" ht="20.100000000000001" customHeight="1" x14ac:dyDescent="0.25">
      <c r="A1440" s="918" t="s">
        <v>11903</v>
      </c>
      <c r="B1440" s="944" t="s">
        <v>3901</v>
      </c>
      <c r="C1440" s="919" t="s">
        <v>3902</v>
      </c>
      <c r="D1440" s="919" t="s">
        <v>4462</v>
      </c>
      <c r="E1440" s="920">
        <v>1400</v>
      </c>
      <c r="F1440" s="919" t="s">
        <v>6534</v>
      </c>
      <c r="G1440" s="919" t="s">
        <v>6535</v>
      </c>
      <c r="H1440" s="919" t="s">
        <v>4462</v>
      </c>
      <c r="I1440" s="919" t="s">
        <v>3686</v>
      </c>
      <c r="J1440" s="919"/>
      <c r="K1440" s="920">
        <v>1</v>
      </c>
      <c r="L1440" s="920">
        <v>12</v>
      </c>
      <c r="M1440" s="920">
        <f t="shared" si="44"/>
        <v>16800</v>
      </c>
      <c r="N1440" s="919"/>
      <c r="O1440" s="919"/>
      <c r="P1440" s="921">
        <f t="shared" si="45"/>
        <v>0</v>
      </c>
    </row>
    <row r="1441" spans="1:16" ht="20.100000000000001" customHeight="1" x14ac:dyDescent="0.25">
      <c r="A1441" s="918" t="s">
        <v>11903</v>
      </c>
      <c r="B1441" s="944" t="s">
        <v>3901</v>
      </c>
      <c r="C1441" s="919" t="s">
        <v>3902</v>
      </c>
      <c r="D1441" s="919" t="s">
        <v>4462</v>
      </c>
      <c r="E1441" s="920">
        <v>1400</v>
      </c>
      <c r="F1441" s="919" t="s">
        <v>6536</v>
      </c>
      <c r="G1441" s="919" t="s">
        <v>6537</v>
      </c>
      <c r="H1441" s="919" t="s">
        <v>4462</v>
      </c>
      <c r="I1441" s="919" t="s">
        <v>3686</v>
      </c>
      <c r="J1441" s="919"/>
      <c r="K1441" s="920">
        <v>1</v>
      </c>
      <c r="L1441" s="920">
        <v>12</v>
      </c>
      <c r="M1441" s="920">
        <f t="shared" si="44"/>
        <v>16800</v>
      </c>
      <c r="N1441" s="919"/>
      <c r="O1441" s="919"/>
      <c r="P1441" s="921">
        <f t="shared" si="45"/>
        <v>0</v>
      </c>
    </row>
    <row r="1442" spans="1:16" ht="20.100000000000001" customHeight="1" x14ac:dyDescent="0.25">
      <c r="A1442" s="918" t="s">
        <v>11903</v>
      </c>
      <c r="B1442" s="944" t="s">
        <v>3901</v>
      </c>
      <c r="C1442" s="919" t="s">
        <v>3902</v>
      </c>
      <c r="D1442" s="919" t="s">
        <v>4462</v>
      </c>
      <c r="E1442" s="920">
        <v>1400</v>
      </c>
      <c r="F1442" s="919" t="s">
        <v>6538</v>
      </c>
      <c r="G1442" s="919" t="s">
        <v>6539</v>
      </c>
      <c r="H1442" s="919" t="s">
        <v>4462</v>
      </c>
      <c r="I1442" s="919" t="s">
        <v>3686</v>
      </c>
      <c r="J1442" s="919"/>
      <c r="K1442" s="920">
        <v>1</v>
      </c>
      <c r="L1442" s="920">
        <v>12</v>
      </c>
      <c r="M1442" s="920">
        <f t="shared" si="44"/>
        <v>16800</v>
      </c>
      <c r="N1442" s="919"/>
      <c r="O1442" s="919"/>
      <c r="P1442" s="921">
        <f t="shared" si="45"/>
        <v>0</v>
      </c>
    </row>
    <row r="1443" spans="1:16" ht="20.100000000000001" customHeight="1" x14ac:dyDescent="0.25">
      <c r="A1443" s="918" t="s">
        <v>11903</v>
      </c>
      <c r="B1443" s="944" t="s">
        <v>3901</v>
      </c>
      <c r="C1443" s="919" t="s">
        <v>3902</v>
      </c>
      <c r="D1443" s="919" t="s">
        <v>4462</v>
      </c>
      <c r="E1443" s="920">
        <v>1400</v>
      </c>
      <c r="F1443" s="919" t="s">
        <v>6540</v>
      </c>
      <c r="G1443" s="919" t="s">
        <v>6541</v>
      </c>
      <c r="H1443" s="919" t="s">
        <v>4462</v>
      </c>
      <c r="I1443" s="919" t="s">
        <v>3686</v>
      </c>
      <c r="J1443" s="919"/>
      <c r="K1443" s="920">
        <v>1</v>
      </c>
      <c r="L1443" s="920">
        <v>12</v>
      </c>
      <c r="M1443" s="920">
        <f t="shared" si="44"/>
        <v>16800</v>
      </c>
      <c r="N1443" s="919"/>
      <c r="O1443" s="919"/>
      <c r="P1443" s="921">
        <f t="shared" si="45"/>
        <v>0</v>
      </c>
    </row>
    <row r="1444" spans="1:16" ht="20.100000000000001" customHeight="1" x14ac:dyDescent="0.25">
      <c r="A1444" s="918" t="s">
        <v>11903</v>
      </c>
      <c r="B1444" s="944" t="s">
        <v>3901</v>
      </c>
      <c r="C1444" s="919" t="s">
        <v>3902</v>
      </c>
      <c r="D1444" s="919" t="s">
        <v>4462</v>
      </c>
      <c r="E1444" s="920">
        <v>1400</v>
      </c>
      <c r="F1444" s="919" t="s">
        <v>6542</v>
      </c>
      <c r="G1444" s="919" t="s">
        <v>6543</v>
      </c>
      <c r="H1444" s="919" t="s">
        <v>4462</v>
      </c>
      <c r="I1444" s="919" t="s">
        <v>3686</v>
      </c>
      <c r="J1444" s="919"/>
      <c r="K1444" s="920">
        <v>1</v>
      </c>
      <c r="L1444" s="920">
        <v>12</v>
      </c>
      <c r="M1444" s="920">
        <f t="shared" si="44"/>
        <v>16800</v>
      </c>
      <c r="N1444" s="919"/>
      <c r="O1444" s="919"/>
      <c r="P1444" s="921">
        <f t="shared" si="45"/>
        <v>0</v>
      </c>
    </row>
    <row r="1445" spans="1:16" ht="20.100000000000001" customHeight="1" x14ac:dyDescent="0.25">
      <c r="A1445" s="918" t="s">
        <v>11903</v>
      </c>
      <c r="B1445" s="944" t="s">
        <v>3901</v>
      </c>
      <c r="C1445" s="919" t="s">
        <v>3902</v>
      </c>
      <c r="D1445" s="919" t="s">
        <v>4462</v>
      </c>
      <c r="E1445" s="920">
        <v>1400</v>
      </c>
      <c r="F1445" s="919" t="s">
        <v>6544</v>
      </c>
      <c r="G1445" s="919" t="s">
        <v>6545</v>
      </c>
      <c r="H1445" s="919" t="s">
        <v>4462</v>
      </c>
      <c r="I1445" s="919" t="s">
        <v>3686</v>
      </c>
      <c r="J1445" s="919"/>
      <c r="K1445" s="920">
        <v>1</v>
      </c>
      <c r="L1445" s="920">
        <v>12</v>
      </c>
      <c r="M1445" s="920">
        <f t="shared" si="44"/>
        <v>16800</v>
      </c>
      <c r="N1445" s="919"/>
      <c r="O1445" s="919"/>
      <c r="P1445" s="921">
        <f t="shared" si="45"/>
        <v>0</v>
      </c>
    </row>
    <row r="1446" spans="1:16" ht="20.100000000000001" customHeight="1" x14ac:dyDescent="0.25">
      <c r="A1446" s="918" t="s">
        <v>11903</v>
      </c>
      <c r="B1446" s="944" t="s">
        <v>3901</v>
      </c>
      <c r="C1446" s="919" t="s">
        <v>3902</v>
      </c>
      <c r="D1446" s="919" t="s">
        <v>4462</v>
      </c>
      <c r="E1446" s="920">
        <v>1400</v>
      </c>
      <c r="F1446" s="919" t="s">
        <v>6546</v>
      </c>
      <c r="G1446" s="919" t="s">
        <v>6547</v>
      </c>
      <c r="H1446" s="919" t="s">
        <v>4462</v>
      </c>
      <c r="I1446" s="919" t="s">
        <v>3686</v>
      </c>
      <c r="J1446" s="919"/>
      <c r="K1446" s="920">
        <v>1</v>
      </c>
      <c r="L1446" s="920">
        <v>12</v>
      </c>
      <c r="M1446" s="920">
        <f t="shared" si="44"/>
        <v>16800</v>
      </c>
      <c r="N1446" s="919"/>
      <c r="O1446" s="919"/>
      <c r="P1446" s="921">
        <f t="shared" si="45"/>
        <v>0</v>
      </c>
    </row>
    <row r="1447" spans="1:16" ht="20.100000000000001" customHeight="1" x14ac:dyDescent="0.25">
      <c r="A1447" s="918" t="s">
        <v>11903</v>
      </c>
      <c r="B1447" s="944" t="s">
        <v>3901</v>
      </c>
      <c r="C1447" s="919" t="s">
        <v>3902</v>
      </c>
      <c r="D1447" s="919" t="s">
        <v>4462</v>
      </c>
      <c r="E1447" s="920">
        <v>1400</v>
      </c>
      <c r="F1447" s="919" t="s">
        <v>6548</v>
      </c>
      <c r="G1447" s="919" t="s">
        <v>6549</v>
      </c>
      <c r="H1447" s="919" t="s">
        <v>4462</v>
      </c>
      <c r="I1447" s="919" t="s">
        <v>3686</v>
      </c>
      <c r="J1447" s="919"/>
      <c r="K1447" s="920">
        <v>1</v>
      </c>
      <c r="L1447" s="920">
        <v>12</v>
      </c>
      <c r="M1447" s="920">
        <f t="shared" si="44"/>
        <v>16800</v>
      </c>
      <c r="N1447" s="919"/>
      <c r="O1447" s="919"/>
      <c r="P1447" s="921">
        <f t="shared" si="45"/>
        <v>0</v>
      </c>
    </row>
    <row r="1448" spans="1:16" ht="20.100000000000001" customHeight="1" x14ac:dyDescent="0.25">
      <c r="A1448" s="918" t="s">
        <v>11903</v>
      </c>
      <c r="B1448" s="944" t="s">
        <v>3901</v>
      </c>
      <c r="C1448" s="919" t="s">
        <v>3902</v>
      </c>
      <c r="D1448" s="919" t="s">
        <v>4462</v>
      </c>
      <c r="E1448" s="920">
        <v>1400</v>
      </c>
      <c r="F1448" s="919" t="s">
        <v>6550</v>
      </c>
      <c r="G1448" s="919" t="s">
        <v>6551</v>
      </c>
      <c r="H1448" s="919" t="s">
        <v>4462</v>
      </c>
      <c r="I1448" s="919" t="s">
        <v>3686</v>
      </c>
      <c r="J1448" s="919"/>
      <c r="K1448" s="920">
        <v>1</v>
      </c>
      <c r="L1448" s="920">
        <v>12</v>
      </c>
      <c r="M1448" s="920">
        <f t="shared" si="44"/>
        <v>16800</v>
      </c>
      <c r="N1448" s="919"/>
      <c r="O1448" s="919"/>
      <c r="P1448" s="921">
        <f t="shared" si="45"/>
        <v>0</v>
      </c>
    </row>
    <row r="1449" spans="1:16" ht="20.100000000000001" customHeight="1" x14ac:dyDescent="0.25">
      <c r="A1449" s="918" t="s">
        <v>11903</v>
      </c>
      <c r="B1449" s="944" t="s">
        <v>3901</v>
      </c>
      <c r="C1449" s="919" t="s">
        <v>3902</v>
      </c>
      <c r="D1449" s="919" t="s">
        <v>4462</v>
      </c>
      <c r="E1449" s="920">
        <v>1400</v>
      </c>
      <c r="F1449" s="919" t="s">
        <v>6552</v>
      </c>
      <c r="G1449" s="919" t="s">
        <v>6553</v>
      </c>
      <c r="H1449" s="919" t="s">
        <v>4462</v>
      </c>
      <c r="I1449" s="919" t="s">
        <v>3686</v>
      </c>
      <c r="J1449" s="919"/>
      <c r="K1449" s="920">
        <v>1</v>
      </c>
      <c r="L1449" s="920">
        <v>12</v>
      </c>
      <c r="M1449" s="920">
        <f t="shared" si="44"/>
        <v>16800</v>
      </c>
      <c r="N1449" s="919"/>
      <c r="O1449" s="919"/>
      <c r="P1449" s="921">
        <f t="shared" si="45"/>
        <v>0</v>
      </c>
    </row>
    <row r="1450" spans="1:16" ht="20.100000000000001" customHeight="1" x14ac:dyDescent="0.25">
      <c r="A1450" s="918" t="s">
        <v>11903</v>
      </c>
      <c r="B1450" s="944" t="s">
        <v>3901</v>
      </c>
      <c r="C1450" s="919" t="s">
        <v>3902</v>
      </c>
      <c r="D1450" s="919" t="s">
        <v>4462</v>
      </c>
      <c r="E1450" s="920">
        <v>1400</v>
      </c>
      <c r="F1450" s="919" t="s">
        <v>6554</v>
      </c>
      <c r="G1450" s="919" t="s">
        <v>6555</v>
      </c>
      <c r="H1450" s="919" t="s">
        <v>4462</v>
      </c>
      <c r="I1450" s="919" t="s">
        <v>3686</v>
      </c>
      <c r="J1450" s="919"/>
      <c r="K1450" s="920">
        <v>1</v>
      </c>
      <c r="L1450" s="920">
        <v>12</v>
      </c>
      <c r="M1450" s="920">
        <f t="shared" si="44"/>
        <v>16800</v>
      </c>
      <c r="N1450" s="919"/>
      <c r="O1450" s="919"/>
      <c r="P1450" s="921">
        <f t="shared" si="45"/>
        <v>0</v>
      </c>
    </row>
    <row r="1451" spans="1:16" ht="20.100000000000001" customHeight="1" x14ac:dyDescent="0.25">
      <c r="A1451" s="918" t="s">
        <v>11903</v>
      </c>
      <c r="B1451" s="944" t="s">
        <v>3901</v>
      </c>
      <c r="C1451" s="919" t="s">
        <v>3902</v>
      </c>
      <c r="D1451" s="919" t="s">
        <v>4462</v>
      </c>
      <c r="E1451" s="920">
        <v>1400</v>
      </c>
      <c r="F1451" s="919" t="s">
        <v>6556</v>
      </c>
      <c r="G1451" s="919" t="s">
        <v>6557</v>
      </c>
      <c r="H1451" s="919" t="s">
        <v>4462</v>
      </c>
      <c r="I1451" s="919" t="s">
        <v>3686</v>
      </c>
      <c r="J1451" s="919"/>
      <c r="K1451" s="920">
        <v>1</v>
      </c>
      <c r="L1451" s="920">
        <v>12</v>
      </c>
      <c r="M1451" s="920">
        <f t="shared" si="44"/>
        <v>16800</v>
      </c>
      <c r="N1451" s="919"/>
      <c r="O1451" s="919"/>
      <c r="P1451" s="921">
        <f t="shared" si="45"/>
        <v>0</v>
      </c>
    </row>
    <row r="1452" spans="1:16" ht="20.100000000000001" customHeight="1" x14ac:dyDescent="0.25">
      <c r="A1452" s="918" t="s">
        <v>11903</v>
      </c>
      <c r="B1452" s="944" t="s">
        <v>3901</v>
      </c>
      <c r="C1452" s="919" t="s">
        <v>3902</v>
      </c>
      <c r="D1452" s="919" t="s">
        <v>4462</v>
      </c>
      <c r="E1452" s="920">
        <v>1400</v>
      </c>
      <c r="F1452" s="919" t="s">
        <v>6558</v>
      </c>
      <c r="G1452" s="919" t="s">
        <v>6559</v>
      </c>
      <c r="H1452" s="919" t="s">
        <v>4462</v>
      </c>
      <c r="I1452" s="919" t="s">
        <v>3686</v>
      </c>
      <c r="J1452" s="919"/>
      <c r="K1452" s="920">
        <v>1</v>
      </c>
      <c r="L1452" s="920">
        <v>12</v>
      </c>
      <c r="M1452" s="920">
        <f t="shared" si="44"/>
        <v>16800</v>
      </c>
      <c r="N1452" s="919"/>
      <c r="O1452" s="919"/>
      <c r="P1452" s="921">
        <f t="shared" si="45"/>
        <v>0</v>
      </c>
    </row>
    <row r="1453" spans="1:16" ht="20.100000000000001" customHeight="1" x14ac:dyDescent="0.25">
      <c r="A1453" s="918" t="s">
        <v>11903</v>
      </c>
      <c r="B1453" s="944" t="s">
        <v>3901</v>
      </c>
      <c r="C1453" s="919" t="s">
        <v>3902</v>
      </c>
      <c r="D1453" s="919" t="s">
        <v>4462</v>
      </c>
      <c r="E1453" s="920">
        <v>1400</v>
      </c>
      <c r="F1453" s="919" t="s">
        <v>6560</v>
      </c>
      <c r="G1453" s="919" t="s">
        <v>6561</v>
      </c>
      <c r="H1453" s="919" t="s">
        <v>4462</v>
      </c>
      <c r="I1453" s="919" t="s">
        <v>3686</v>
      </c>
      <c r="J1453" s="919"/>
      <c r="K1453" s="920">
        <v>1</v>
      </c>
      <c r="L1453" s="920">
        <v>12</v>
      </c>
      <c r="M1453" s="920">
        <f t="shared" si="44"/>
        <v>16800</v>
      </c>
      <c r="N1453" s="919"/>
      <c r="O1453" s="919"/>
      <c r="P1453" s="921">
        <f t="shared" si="45"/>
        <v>0</v>
      </c>
    </row>
    <row r="1454" spans="1:16" ht="20.100000000000001" customHeight="1" x14ac:dyDescent="0.25">
      <c r="A1454" s="918" t="s">
        <v>11903</v>
      </c>
      <c r="B1454" s="944" t="s">
        <v>3901</v>
      </c>
      <c r="C1454" s="919" t="s">
        <v>3902</v>
      </c>
      <c r="D1454" s="919" t="s">
        <v>4462</v>
      </c>
      <c r="E1454" s="920">
        <v>1400</v>
      </c>
      <c r="F1454" s="919" t="s">
        <v>6562</v>
      </c>
      <c r="G1454" s="919" t="s">
        <v>6563</v>
      </c>
      <c r="H1454" s="919" t="s">
        <v>4462</v>
      </c>
      <c r="I1454" s="919" t="s">
        <v>3686</v>
      </c>
      <c r="J1454" s="919"/>
      <c r="K1454" s="920">
        <v>1</v>
      </c>
      <c r="L1454" s="920">
        <v>12</v>
      </c>
      <c r="M1454" s="920">
        <f t="shared" si="44"/>
        <v>16800</v>
      </c>
      <c r="N1454" s="919"/>
      <c r="O1454" s="919"/>
      <c r="P1454" s="921">
        <f t="shared" si="45"/>
        <v>0</v>
      </c>
    </row>
    <row r="1455" spans="1:16" ht="20.100000000000001" customHeight="1" x14ac:dyDescent="0.25">
      <c r="A1455" s="918" t="s">
        <v>11903</v>
      </c>
      <c r="B1455" s="944" t="s">
        <v>3901</v>
      </c>
      <c r="C1455" s="919" t="s">
        <v>3902</v>
      </c>
      <c r="D1455" s="919" t="s">
        <v>4462</v>
      </c>
      <c r="E1455" s="920">
        <v>1400</v>
      </c>
      <c r="F1455" s="919" t="s">
        <v>6564</v>
      </c>
      <c r="G1455" s="919" t="s">
        <v>6565</v>
      </c>
      <c r="H1455" s="919" t="s">
        <v>4462</v>
      </c>
      <c r="I1455" s="919" t="s">
        <v>3686</v>
      </c>
      <c r="J1455" s="919"/>
      <c r="K1455" s="920">
        <v>1</v>
      </c>
      <c r="L1455" s="920">
        <v>12</v>
      </c>
      <c r="M1455" s="920">
        <f t="shared" si="44"/>
        <v>16800</v>
      </c>
      <c r="N1455" s="919"/>
      <c r="O1455" s="919"/>
      <c r="P1455" s="921">
        <f t="shared" si="45"/>
        <v>0</v>
      </c>
    </row>
    <row r="1456" spans="1:16" ht="20.100000000000001" customHeight="1" x14ac:dyDescent="0.25">
      <c r="A1456" s="918" t="s">
        <v>11903</v>
      </c>
      <c r="B1456" s="944" t="s">
        <v>3901</v>
      </c>
      <c r="C1456" s="919" t="s">
        <v>3902</v>
      </c>
      <c r="D1456" s="919" t="s">
        <v>4462</v>
      </c>
      <c r="E1456" s="920">
        <v>1400</v>
      </c>
      <c r="F1456" s="919" t="s">
        <v>6566</v>
      </c>
      <c r="G1456" s="919" t="s">
        <v>6567</v>
      </c>
      <c r="H1456" s="919" t="s">
        <v>4462</v>
      </c>
      <c r="I1456" s="919" t="s">
        <v>3686</v>
      </c>
      <c r="J1456" s="919"/>
      <c r="K1456" s="920">
        <v>1</v>
      </c>
      <c r="L1456" s="920">
        <v>12</v>
      </c>
      <c r="M1456" s="920">
        <f t="shared" si="44"/>
        <v>16800</v>
      </c>
      <c r="N1456" s="919"/>
      <c r="O1456" s="919"/>
      <c r="P1456" s="921">
        <f t="shared" si="45"/>
        <v>0</v>
      </c>
    </row>
    <row r="1457" spans="1:16" ht="20.100000000000001" customHeight="1" x14ac:dyDescent="0.25">
      <c r="A1457" s="918" t="s">
        <v>11903</v>
      </c>
      <c r="B1457" s="944" t="s">
        <v>3901</v>
      </c>
      <c r="C1457" s="919" t="s">
        <v>3902</v>
      </c>
      <c r="D1457" s="919" t="s">
        <v>4462</v>
      </c>
      <c r="E1457" s="920">
        <v>1400</v>
      </c>
      <c r="F1457" s="919" t="s">
        <v>6568</v>
      </c>
      <c r="G1457" s="919" t="s">
        <v>6569</v>
      </c>
      <c r="H1457" s="919" t="s">
        <v>4462</v>
      </c>
      <c r="I1457" s="919" t="s">
        <v>3686</v>
      </c>
      <c r="J1457" s="919"/>
      <c r="K1457" s="920">
        <v>1</v>
      </c>
      <c r="L1457" s="920">
        <v>12</v>
      </c>
      <c r="M1457" s="920">
        <f t="shared" si="44"/>
        <v>16800</v>
      </c>
      <c r="N1457" s="919"/>
      <c r="O1457" s="919"/>
      <c r="P1457" s="921">
        <f t="shared" si="45"/>
        <v>0</v>
      </c>
    </row>
    <row r="1458" spans="1:16" ht="20.100000000000001" customHeight="1" x14ac:dyDescent="0.25">
      <c r="A1458" s="918" t="s">
        <v>11903</v>
      </c>
      <c r="B1458" s="944" t="s">
        <v>3901</v>
      </c>
      <c r="C1458" s="919" t="s">
        <v>3902</v>
      </c>
      <c r="D1458" s="919" t="s">
        <v>4462</v>
      </c>
      <c r="E1458" s="920">
        <v>1400</v>
      </c>
      <c r="F1458" s="919" t="s">
        <v>6570</v>
      </c>
      <c r="G1458" s="919" t="s">
        <v>6571</v>
      </c>
      <c r="H1458" s="919" t="s">
        <v>4462</v>
      </c>
      <c r="I1458" s="919" t="s">
        <v>3686</v>
      </c>
      <c r="J1458" s="919"/>
      <c r="K1458" s="920">
        <v>1</v>
      </c>
      <c r="L1458" s="920">
        <v>12</v>
      </c>
      <c r="M1458" s="920">
        <f t="shared" si="44"/>
        <v>16800</v>
      </c>
      <c r="N1458" s="919"/>
      <c r="O1458" s="919"/>
      <c r="P1458" s="921">
        <f t="shared" si="45"/>
        <v>0</v>
      </c>
    </row>
    <row r="1459" spans="1:16" ht="20.100000000000001" customHeight="1" x14ac:dyDescent="0.25">
      <c r="A1459" s="918" t="s">
        <v>11903</v>
      </c>
      <c r="B1459" s="944" t="s">
        <v>3901</v>
      </c>
      <c r="C1459" s="919" t="s">
        <v>3902</v>
      </c>
      <c r="D1459" s="919" t="s">
        <v>4462</v>
      </c>
      <c r="E1459" s="920">
        <v>1400</v>
      </c>
      <c r="F1459" s="919" t="s">
        <v>6572</v>
      </c>
      <c r="G1459" s="919" t="s">
        <v>6573</v>
      </c>
      <c r="H1459" s="919" t="s">
        <v>4462</v>
      </c>
      <c r="I1459" s="919" t="s">
        <v>3686</v>
      </c>
      <c r="J1459" s="919"/>
      <c r="K1459" s="920">
        <v>1</v>
      </c>
      <c r="L1459" s="920">
        <v>12</v>
      </c>
      <c r="M1459" s="920">
        <f t="shared" si="44"/>
        <v>16800</v>
      </c>
      <c r="N1459" s="919"/>
      <c r="O1459" s="919"/>
      <c r="P1459" s="921">
        <f t="shared" si="45"/>
        <v>0</v>
      </c>
    </row>
    <row r="1460" spans="1:16" ht="20.100000000000001" customHeight="1" x14ac:dyDescent="0.25">
      <c r="A1460" s="918" t="s">
        <v>11903</v>
      </c>
      <c r="B1460" s="944" t="s">
        <v>3901</v>
      </c>
      <c r="C1460" s="919" t="s">
        <v>3902</v>
      </c>
      <c r="D1460" s="919" t="s">
        <v>4462</v>
      </c>
      <c r="E1460" s="920">
        <v>1400</v>
      </c>
      <c r="F1460" s="919" t="s">
        <v>6574</v>
      </c>
      <c r="G1460" s="919" t="s">
        <v>6575</v>
      </c>
      <c r="H1460" s="919" t="s">
        <v>4462</v>
      </c>
      <c r="I1460" s="919" t="s">
        <v>3686</v>
      </c>
      <c r="J1460" s="919"/>
      <c r="K1460" s="920">
        <v>1</v>
      </c>
      <c r="L1460" s="920">
        <v>12</v>
      </c>
      <c r="M1460" s="920">
        <f t="shared" si="44"/>
        <v>16800</v>
      </c>
      <c r="N1460" s="919"/>
      <c r="O1460" s="919"/>
      <c r="P1460" s="921">
        <f t="shared" si="45"/>
        <v>0</v>
      </c>
    </row>
    <row r="1461" spans="1:16" ht="20.100000000000001" customHeight="1" x14ac:dyDescent="0.25">
      <c r="A1461" s="918" t="s">
        <v>11903</v>
      </c>
      <c r="B1461" s="944" t="s">
        <v>3901</v>
      </c>
      <c r="C1461" s="919" t="s">
        <v>3902</v>
      </c>
      <c r="D1461" s="919" t="s">
        <v>4462</v>
      </c>
      <c r="E1461" s="920">
        <v>1400</v>
      </c>
      <c r="F1461" s="919" t="s">
        <v>6576</v>
      </c>
      <c r="G1461" s="919" t="s">
        <v>6577</v>
      </c>
      <c r="H1461" s="919" t="s">
        <v>4462</v>
      </c>
      <c r="I1461" s="919" t="s">
        <v>3686</v>
      </c>
      <c r="J1461" s="919"/>
      <c r="K1461" s="920">
        <v>1</v>
      </c>
      <c r="L1461" s="920">
        <v>12</v>
      </c>
      <c r="M1461" s="920">
        <f t="shared" si="44"/>
        <v>16800</v>
      </c>
      <c r="N1461" s="919"/>
      <c r="O1461" s="919"/>
      <c r="P1461" s="921">
        <f t="shared" si="45"/>
        <v>0</v>
      </c>
    </row>
    <row r="1462" spans="1:16" ht="20.100000000000001" customHeight="1" x14ac:dyDescent="0.25">
      <c r="A1462" s="918" t="s">
        <v>11903</v>
      </c>
      <c r="B1462" s="944" t="s">
        <v>3901</v>
      </c>
      <c r="C1462" s="919" t="s">
        <v>3902</v>
      </c>
      <c r="D1462" s="919" t="s">
        <v>4467</v>
      </c>
      <c r="E1462" s="920">
        <v>1400</v>
      </c>
      <c r="F1462" s="919" t="s">
        <v>6578</v>
      </c>
      <c r="G1462" s="919" t="s">
        <v>6579</v>
      </c>
      <c r="H1462" s="919" t="s">
        <v>4467</v>
      </c>
      <c r="I1462" s="919" t="s">
        <v>3686</v>
      </c>
      <c r="J1462" s="919"/>
      <c r="K1462" s="920">
        <v>1</v>
      </c>
      <c r="L1462" s="920">
        <v>12</v>
      </c>
      <c r="M1462" s="920">
        <f t="shared" si="44"/>
        <v>16800</v>
      </c>
      <c r="N1462" s="919"/>
      <c r="O1462" s="919"/>
      <c r="P1462" s="921">
        <f t="shared" si="45"/>
        <v>0</v>
      </c>
    </row>
    <row r="1463" spans="1:16" ht="20.100000000000001" customHeight="1" x14ac:dyDescent="0.25">
      <c r="A1463" s="918" t="s">
        <v>11903</v>
      </c>
      <c r="B1463" s="944" t="s">
        <v>3901</v>
      </c>
      <c r="C1463" s="919" t="s">
        <v>3902</v>
      </c>
      <c r="D1463" s="919" t="s">
        <v>4467</v>
      </c>
      <c r="E1463" s="920">
        <v>1400</v>
      </c>
      <c r="F1463" s="919" t="s">
        <v>6580</v>
      </c>
      <c r="G1463" s="919" t="s">
        <v>6581</v>
      </c>
      <c r="H1463" s="919" t="s">
        <v>4467</v>
      </c>
      <c r="I1463" s="919" t="s">
        <v>3686</v>
      </c>
      <c r="J1463" s="919"/>
      <c r="K1463" s="920">
        <v>1</v>
      </c>
      <c r="L1463" s="920">
        <v>12</v>
      </c>
      <c r="M1463" s="920">
        <f t="shared" si="44"/>
        <v>16800</v>
      </c>
      <c r="N1463" s="919"/>
      <c r="O1463" s="919"/>
      <c r="P1463" s="921">
        <f t="shared" si="45"/>
        <v>0</v>
      </c>
    </row>
    <row r="1464" spans="1:16" ht="20.100000000000001" customHeight="1" x14ac:dyDescent="0.25">
      <c r="A1464" s="918" t="s">
        <v>11903</v>
      </c>
      <c r="B1464" s="944" t="s">
        <v>3901</v>
      </c>
      <c r="C1464" s="919" t="s">
        <v>3902</v>
      </c>
      <c r="D1464" s="919" t="s">
        <v>4467</v>
      </c>
      <c r="E1464" s="920">
        <v>1400</v>
      </c>
      <c r="F1464" s="919" t="s">
        <v>6582</v>
      </c>
      <c r="G1464" s="919" t="s">
        <v>6583</v>
      </c>
      <c r="H1464" s="919" t="s">
        <v>4467</v>
      </c>
      <c r="I1464" s="919" t="s">
        <v>3686</v>
      </c>
      <c r="J1464" s="919"/>
      <c r="K1464" s="920">
        <v>1</v>
      </c>
      <c r="L1464" s="920">
        <v>12</v>
      </c>
      <c r="M1464" s="920">
        <f t="shared" si="44"/>
        <v>16800</v>
      </c>
      <c r="N1464" s="919"/>
      <c r="O1464" s="919"/>
      <c r="P1464" s="921">
        <f t="shared" si="45"/>
        <v>0</v>
      </c>
    </row>
    <row r="1465" spans="1:16" ht="20.100000000000001" customHeight="1" x14ac:dyDescent="0.25">
      <c r="A1465" s="918" t="s">
        <v>11903</v>
      </c>
      <c r="B1465" s="944" t="s">
        <v>3901</v>
      </c>
      <c r="C1465" s="919" t="s">
        <v>3902</v>
      </c>
      <c r="D1465" s="919" t="s">
        <v>4391</v>
      </c>
      <c r="E1465" s="920">
        <v>1400</v>
      </c>
      <c r="F1465" s="919" t="s">
        <v>6584</v>
      </c>
      <c r="G1465" s="919" t="s">
        <v>6585</v>
      </c>
      <c r="H1465" s="919" t="s">
        <v>4391</v>
      </c>
      <c r="I1465" s="919" t="s">
        <v>3686</v>
      </c>
      <c r="J1465" s="919"/>
      <c r="K1465" s="920">
        <v>1</v>
      </c>
      <c r="L1465" s="920">
        <v>12</v>
      </c>
      <c r="M1465" s="920">
        <f t="shared" si="44"/>
        <v>16800</v>
      </c>
      <c r="N1465" s="919"/>
      <c r="O1465" s="919"/>
      <c r="P1465" s="921">
        <f t="shared" si="45"/>
        <v>0</v>
      </c>
    </row>
    <row r="1466" spans="1:16" ht="20.100000000000001" customHeight="1" x14ac:dyDescent="0.25">
      <c r="A1466" s="918" t="s">
        <v>11903</v>
      </c>
      <c r="B1466" s="944" t="s">
        <v>3901</v>
      </c>
      <c r="C1466" s="919" t="s">
        <v>3902</v>
      </c>
      <c r="D1466" s="919" t="s">
        <v>4470</v>
      </c>
      <c r="E1466" s="920">
        <v>1400</v>
      </c>
      <c r="F1466" s="919" t="s">
        <v>6586</v>
      </c>
      <c r="G1466" s="919" t="s">
        <v>6587</v>
      </c>
      <c r="H1466" s="919" t="s">
        <v>4470</v>
      </c>
      <c r="I1466" s="919" t="s">
        <v>3686</v>
      </c>
      <c r="J1466" s="919"/>
      <c r="K1466" s="920">
        <v>1</v>
      </c>
      <c r="L1466" s="920">
        <v>12</v>
      </c>
      <c r="M1466" s="920">
        <f t="shared" si="44"/>
        <v>16800</v>
      </c>
      <c r="N1466" s="919"/>
      <c r="O1466" s="919"/>
      <c r="P1466" s="921">
        <f t="shared" si="45"/>
        <v>0</v>
      </c>
    </row>
    <row r="1467" spans="1:16" ht="20.100000000000001" customHeight="1" x14ac:dyDescent="0.25">
      <c r="A1467" s="918" t="s">
        <v>11903</v>
      </c>
      <c r="B1467" s="944" t="s">
        <v>3901</v>
      </c>
      <c r="C1467" s="919" t="s">
        <v>3902</v>
      </c>
      <c r="D1467" s="919" t="s">
        <v>4470</v>
      </c>
      <c r="E1467" s="920">
        <v>1400</v>
      </c>
      <c r="F1467" s="919" t="s">
        <v>6588</v>
      </c>
      <c r="G1467" s="919" t="s">
        <v>6589</v>
      </c>
      <c r="H1467" s="919" t="s">
        <v>4470</v>
      </c>
      <c r="I1467" s="919" t="s">
        <v>3686</v>
      </c>
      <c r="J1467" s="919"/>
      <c r="K1467" s="920">
        <v>1</v>
      </c>
      <c r="L1467" s="920">
        <v>12</v>
      </c>
      <c r="M1467" s="920">
        <f t="shared" si="44"/>
        <v>16800</v>
      </c>
      <c r="N1467" s="919"/>
      <c r="O1467" s="919"/>
      <c r="P1467" s="921">
        <f t="shared" si="45"/>
        <v>0</v>
      </c>
    </row>
    <row r="1468" spans="1:16" ht="20.100000000000001" customHeight="1" x14ac:dyDescent="0.25">
      <c r="A1468" s="918" t="s">
        <v>11903</v>
      </c>
      <c r="B1468" s="944" t="s">
        <v>3901</v>
      </c>
      <c r="C1468" s="919" t="s">
        <v>3902</v>
      </c>
      <c r="D1468" s="919" t="s">
        <v>3911</v>
      </c>
      <c r="E1468" s="920">
        <v>1400</v>
      </c>
      <c r="F1468" s="919" t="s">
        <v>6590</v>
      </c>
      <c r="G1468" s="919" t="s">
        <v>6591</v>
      </c>
      <c r="H1468" s="919" t="s">
        <v>3911</v>
      </c>
      <c r="I1468" s="919" t="s">
        <v>3686</v>
      </c>
      <c r="J1468" s="919"/>
      <c r="K1468" s="920">
        <v>1</v>
      </c>
      <c r="L1468" s="920">
        <v>12</v>
      </c>
      <c r="M1468" s="920">
        <f t="shared" si="44"/>
        <v>16800</v>
      </c>
      <c r="N1468" s="919"/>
      <c r="O1468" s="919"/>
      <c r="P1468" s="921">
        <f t="shared" si="45"/>
        <v>0</v>
      </c>
    </row>
    <row r="1469" spans="1:16" ht="20.100000000000001" customHeight="1" x14ac:dyDescent="0.25">
      <c r="A1469" s="918" t="s">
        <v>11903</v>
      </c>
      <c r="B1469" s="944" t="s">
        <v>3901</v>
      </c>
      <c r="C1469" s="919" t="s">
        <v>3902</v>
      </c>
      <c r="D1469" s="919" t="s">
        <v>6592</v>
      </c>
      <c r="E1469" s="920">
        <v>1000</v>
      </c>
      <c r="F1469" s="919" t="s">
        <v>6593</v>
      </c>
      <c r="G1469" s="919" t="s">
        <v>6594</v>
      </c>
      <c r="H1469" s="919" t="s">
        <v>6592</v>
      </c>
      <c r="I1469" s="919" t="s">
        <v>3693</v>
      </c>
      <c r="J1469" s="919"/>
      <c r="K1469" s="920">
        <v>1</v>
      </c>
      <c r="L1469" s="920">
        <v>12</v>
      </c>
      <c r="M1469" s="920">
        <f t="shared" si="44"/>
        <v>12000</v>
      </c>
      <c r="N1469" s="919"/>
      <c r="O1469" s="919"/>
      <c r="P1469" s="921">
        <f t="shared" si="45"/>
        <v>0</v>
      </c>
    </row>
    <row r="1470" spans="1:16" ht="20.100000000000001" customHeight="1" x14ac:dyDescent="0.25">
      <c r="A1470" s="918" t="s">
        <v>11903</v>
      </c>
      <c r="B1470" s="944" t="s">
        <v>3901</v>
      </c>
      <c r="C1470" s="919" t="s">
        <v>3902</v>
      </c>
      <c r="D1470" s="919" t="s">
        <v>6592</v>
      </c>
      <c r="E1470" s="920">
        <v>1000</v>
      </c>
      <c r="F1470" s="919" t="s">
        <v>6595</v>
      </c>
      <c r="G1470" s="919" t="s">
        <v>6596</v>
      </c>
      <c r="H1470" s="919" t="s">
        <v>6592</v>
      </c>
      <c r="I1470" s="919" t="s">
        <v>3693</v>
      </c>
      <c r="J1470" s="919"/>
      <c r="K1470" s="920">
        <v>1</v>
      </c>
      <c r="L1470" s="920">
        <v>12</v>
      </c>
      <c r="M1470" s="920">
        <f t="shared" si="44"/>
        <v>12000</v>
      </c>
      <c r="N1470" s="919"/>
      <c r="O1470" s="919"/>
      <c r="P1470" s="921">
        <f t="shared" si="45"/>
        <v>0</v>
      </c>
    </row>
    <row r="1471" spans="1:16" ht="20.100000000000001" customHeight="1" x14ac:dyDescent="0.25">
      <c r="A1471" s="918" t="s">
        <v>11903</v>
      </c>
      <c r="B1471" s="944" t="s">
        <v>3901</v>
      </c>
      <c r="C1471" s="919" t="s">
        <v>3902</v>
      </c>
      <c r="D1471" s="919" t="s">
        <v>6592</v>
      </c>
      <c r="E1471" s="920">
        <v>1000</v>
      </c>
      <c r="F1471" s="919" t="s">
        <v>6597</v>
      </c>
      <c r="G1471" s="919" t="s">
        <v>6598</v>
      </c>
      <c r="H1471" s="919" t="s">
        <v>6592</v>
      </c>
      <c r="I1471" s="919" t="s">
        <v>3693</v>
      </c>
      <c r="J1471" s="919"/>
      <c r="K1471" s="920">
        <v>1</v>
      </c>
      <c r="L1471" s="920">
        <v>12</v>
      </c>
      <c r="M1471" s="920">
        <f t="shared" si="44"/>
        <v>12000</v>
      </c>
      <c r="N1471" s="919"/>
      <c r="O1471" s="919"/>
      <c r="P1471" s="921">
        <f t="shared" si="45"/>
        <v>0</v>
      </c>
    </row>
    <row r="1472" spans="1:16" ht="20.100000000000001" customHeight="1" x14ac:dyDescent="0.25">
      <c r="A1472" s="918" t="s">
        <v>11903</v>
      </c>
      <c r="B1472" s="944" t="s">
        <v>3901</v>
      </c>
      <c r="C1472" s="919" t="s">
        <v>3902</v>
      </c>
      <c r="D1472" s="919" t="s">
        <v>6592</v>
      </c>
      <c r="E1472" s="920">
        <v>1000</v>
      </c>
      <c r="F1472" s="919" t="s">
        <v>6599</v>
      </c>
      <c r="G1472" s="919" t="s">
        <v>6600</v>
      </c>
      <c r="H1472" s="919" t="s">
        <v>6592</v>
      </c>
      <c r="I1472" s="919" t="s">
        <v>3693</v>
      </c>
      <c r="J1472" s="919"/>
      <c r="K1472" s="920">
        <v>1</v>
      </c>
      <c r="L1472" s="920">
        <v>12</v>
      </c>
      <c r="M1472" s="920">
        <f t="shared" si="44"/>
        <v>12000</v>
      </c>
      <c r="N1472" s="919"/>
      <c r="O1472" s="919"/>
      <c r="P1472" s="921">
        <f t="shared" si="45"/>
        <v>0</v>
      </c>
    </row>
    <row r="1473" spans="1:16" ht="20.100000000000001" customHeight="1" x14ac:dyDescent="0.25">
      <c r="A1473" s="918" t="s">
        <v>11903</v>
      </c>
      <c r="B1473" s="944" t="s">
        <v>3901</v>
      </c>
      <c r="C1473" s="919" t="s">
        <v>3902</v>
      </c>
      <c r="D1473" s="919" t="s">
        <v>4120</v>
      </c>
      <c r="E1473" s="920">
        <v>3000</v>
      </c>
      <c r="F1473" s="919" t="s">
        <v>4041</v>
      </c>
      <c r="G1473" s="919" t="s">
        <v>4042</v>
      </c>
      <c r="H1473" s="919" t="s">
        <v>4120</v>
      </c>
      <c r="I1473" s="919" t="s">
        <v>3686</v>
      </c>
      <c r="J1473" s="919"/>
      <c r="K1473" s="920">
        <v>1</v>
      </c>
      <c r="L1473" s="920">
        <v>12</v>
      </c>
      <c r="M1473" s="920">
        <f t="shared" si="44"/>
        <v>36000</v>
      </c>
      <c r="N1473" s="919"/>
      <c r="O1473" s="919"/>
      <c r="P1473" s="921">
        <f t="shared" si="45"/>
        <v>0</v>
      </c>
    </row>
    <row r="1474" spans="1:16" ht="20.100000000000001" customHeight="1" x14ac:dyDescent="0.25">
      <c r="A1474" s="918" t="s">
        <v>11903</v>
      </c>
      <c r="B1474" s="944" t="s">
        <v>3901</v>
      </c>
      <c r="C1474" s="919" t="s">
        <v>3902</v>
      </c>
      <c r="D1474" s="919" t="s">
        <v>6601</v>
      </c>
      <c r="E1474" s="920">
        <v>2500</v>
      </c>
      <c r="F1474" s="919" t="s">
        <v>6602</v>
      </c>
      <c r="G1474" s="919" t="s">
        <v>6603</v>
      </c>
      <c r="H1474" s="919" t="s">
        <v>6601</v>
      </c>
      <c r="I1474" s="919" t="s">
        <v>3679</v>
      </c>
      <c r="J1474" s="919"/>
      <c r="K1474" s="920">
        <v>1</v>
      </c>
      <c r="L1474" s="920">
        <v>12</v>
      </c>
      <c r="M1474" s="920">
        <f t="shared" si="44"/>
        <v>30000</v>
      </c>
      <c r="N1474" s="919"/>
      <c r="O1474" s="919"/>
      <c r="P1474" s="921">
        <f t="shared" si="45"/>
        <v>0</v>
      </c>
    </row>
    <row r="1475" spans="1:16" ht="20.100000000000001" customHeight="1" x14ac:dyDescent="0.25">
      <c r="A1475" s="918" t="s">
        <v>11903</v>
      </c>
      <c r="B1475" s="944" t="s">
        <v>3901</v>
      </c>
      <c r="C1475" s="919" t="s">
        <v>3902</v>
      </c>
      <c r="D1475" s="919" t="s">
        <v>4244</v>
      </c>
      <c r="E1475" s="920">
        <v>2300</v>
      </c>
      <c r="F1475" s="919" t="s">
        <v>6604</v>
      </c>
      <c r="G1475" s="919" t="s">
        <v>6605</v>
      </c>
      <c r="H1475" s="919" t="s">
        <v>4244</v>
      </c>
      <c r="I1475" s="919" t="s">
        <v>3679</v>
      </c>
      <c r="J1475" s="919"/>
      <c r="K1475" s="920">
        <v>1</v>
      </c>
      <c r="L1475" s="920">
        <v>12</v>
      </c>
      <c r="M1475" s="920">
        <f t="shared" si="44"/>
        <v>27600</v>
      </c>
      <c r="N1475" s="919"/>
      <c r="O1475" s="919"/>
      <c r="P1475" s="921">
        <f t="shared" si="45"/>
        <v>0</v>
      </c>
    </row>
    <row r="1476" spans="1:16" ht="20.100000000000001" customHeight="1" x14ac:dyDescent="0.25">
      <c r="A1476" s="918" t="s">
        <v>11903</v>
      </c>
      <c r="B1476" s="944" t="s">
        <v>3901</v>
      </c>
      <c r="C1476" s="919" t="s">
        <v>3902</v>
      </c>
      <c r="D1476" s="919" t="s">
        <v>6606</v>
      </c>
      <c r="E1476" s="920">
        <v>1400</v>
      </c>
      <c r="F1476" s="919" t="s">
        <v>6607</v>
      </c>
      <c r="G1476" s="919" t="s">
        <v>6608</v>
      </c>
      <c r="H1476" s="919" t="s">
        <v>6606</v>
      </c>
      <c r="I1476" s="919" t="s">
        <v>3686</v>
      </c>
      <c r="J1476" s="919"/>
      <c r="K1476" s="920">
        <v>1</v>
      </c>
      <c r="L1476" s="920">
        <v>12</v>
      </c>
      <c r="M1476" s="920">
        <f t="shared" si="44"/>
        <v>16800</v>
      </c>
      <c r="N1476" s="919"/>
      <c r="O1476" s="919"/>
      <c r="P1476" s="921">
        <f t="shared" si="45"/>
        <v>0</v>
      </c>
    </row>
    <row r="1477" spans="1:16" ht="20.100000000000001" customHeight="1" x14ac:dyDescent="0.25">
      <c r="A1477" s="918" t="s">
        <v>11903</v>
      </c>
      <c r="B1477" s="944" t="s">
        <v>3901</v>
      </c>
      <c r="C1477" s="919" t="s">
        <v>3902</v>
      </c>
      <c r="D1477" s="919" t="s">
        <v>6606</v>
      </c>
      <c r="E1477" s="920">
        <v>1400</v>
      </c>
      <c r="F1477" s="919" t="s">
        <v>6609</v>
      </c>
      <c r="G1477" s="919" t="s">
        <v>6610</v>
      </c>
      <c r="H1477" s="919" t="s">
        <v>6606</v>
      </c>
      <c r="I1477" s="919" t="s">
        <v>3686</v>
      </c>
      <c r="J1477" s="919"/>
      <c r="K1477" s="920">
        <v>1</v>
      </c>
      <c r="L1477" s="920">
        <v>12</v>
      </c>
      <c r="M1477" s="920">
        <f t="shared" si="44"/>
        <v>16800</v>
      </c>
      <c r="N1477" s="919"/>
      <c r="O1477" s="919"/>
      <c r="P1477" s="921">
        <f t="shared" si="45"/>
        <v>0</v>
      </c>
    </row>
    <row r="1478" spans="1:16" ht="20.100000000000001" customHeight="1" x14ac:dyDescent="0.25">
      <c r="A1478" s="918" t="s">
        <v>11903</v>
      </c>
      <c r="B1478" s="944" t="s">
        <v>3901</v>
      </c>
      <c r="C1478" s="919" t="s">
        <v>3902</v>
      </c>
      <c r="D1478" s="919" t="s">
        <v>6606</v>
      </c>
      <c r="E1478" s="920">
        <v>1400</v>
      </c>
      <c r="F1478" s="919" t="s">
        <v>6611</v>
      </c>
      <c r="G1478" s="919" t="s">
        <v>6612</v>
      </c>
      <c r="H1478" s="919" t="s">
        <v>6606</v>
      </c>
      <c r="I1478" s="919" t="s">
        <v>3686</v>
      </c>
      <c r="J1478" s="919"/>
      <c r="K1478" s="920">
        <v>1</v>
      </c>
      <c r="L1478" s="920">
        <v>12</v>
      </c>
      <c r="M1478" s="920">
        <f t="shared" ref="M1478:M1541" si="46">E1478*L1478</f>
        <v>16800</v>
      </c>
      <c r="N1478" s="919"/>
      <c r="O1478" s="919"/>
      <c r="P1478" s="921">
        <f t="shared" ref="P1478:P1541" si="47">E1478*O1478</f>
        <v>0</v>
      </c>
    </row>
    <row r="1479" spans="1:16" ht="20.100000000000001" customHeight="1" x14ac:dyDescent="0.25">
      <c r="A1479" s="918" t="s">
        <v>11903</v>
      </c>
      <c r="B1479" s="944" t="s">
        <v>3901</v>
      </c>
      <c r="C1479" s="919" t="s">
        <v>3902</v>
      </c>
      <c r="D1479" s="919" t="s">
        <v>6606</v>
      </c>
      <c r="E1479" s="920">
        <v>1400</v>
      </c>
      <c r="F1479" s="919" t="s">
        <v>6613</v>
      </c>
      <c r="G1479" s="919" t="s">
        <v>6614</v>
      </c>
      <c r="H1479" s="919" t="s">
        <v>6606</v>
      </c>
      <c r="I1479" s="919" t="s">
        <v>3686</v>
      </c>
      <c r="J1479" s="919"/>
      <c r="K1479" s="920">
        <v>1</v>
      </c>
      <c r="L1479" s="920">
        <v>12</v>
      </c>
      <c r="M1479" s="920">
        <f t="shared" si="46"/>
        <v>16800</v>
      </c>
      <c r="N1479" s="919"/>
      <c r="O1479" s="919"/>
      <c r="P1479" s="921">
        <f t="shared" si="47"/>
        <v>0</v>
      </c>
    </row>
    <row r="1480" spans="1:16" ht="20.100000000000001" customHeight="1" x14ac:dyDescent="0.25">
      <c r="A1480" s="918" t="s">
        <v>11903</v>
      </c>
      <c r="B1480" s="944" t="s">
        <v>3901</v>
      </c>
      <c r="C1480" s="919" t="s">
        <v>3902</v>
      </c>
      <c r="D1480" s="919" t="s">
        <v>6606</v>
      </c>
      <c r="E1480" s="920">
        <v>1400</v>
      </c>
      <c r="F1480" s="919" t="s">
        <v>6615</v>
      </c>
      <c r="G1480" s="919" t="s">
        <v>6616</v>
      </c>
      <c r="H1480" s="919" t="s">
        <v>6606</v>
      </c>
      <c r="I1480" s="919" t="s">
        <v>3686</v>
      </c>
      <c r="J1480" s="919"/>
      <c r="K1480" s="920">
        <v>1</v>
      </c>
      <c r="L1480" s="920">
        <v>12</v>
      </c>
      <c r="M1480" s="920">
        <f t="shared" si="46"/>
        <v>16800</v>
      </c>
      <c r="N1480" s="919"/>
      <c r="O1480" s="919"/>
      <c r="P1480" s="921">
        <f t="shared" si="47"/>
        <v>0</v>
      </c>
    </row>
    <row r="1481" spans="1:16" ht="20.100000000000001" customHeight="1" x14ac:dyDescent="0.25">
      <c r="A1481" s="918" t="s">
        <v>11903</v>
      </c>
      <c r="B1481" s="944" t="s">
        <v>3901</v>
      </c>
      <c r="C1481" s="919" t="s">
        <v>3902</v>
      </c>
      <c r="D1481" s="919" t="s">
        <v>6606</v>
      </c>
      <c r="E1481" s="920">
        <v>1400</v>
      </c>
      <c r="F1481" s="919" t="s">
        <v>4041</v>
      </c>
      <c r="G1481" s="919" t="s">
        <v>4042</v>
      </c>
      <c r="H1481" s="919" t="s">
        <v>6606</v>
      </c>
      <c r="I1481" s="919" t="s">
        <v>3686</v>
      </c>
      <c r="J1481" s="919"/>
      <c r="K1481" s="920">
        <v>1</v>
      </c>
      <c r="L1481" s="920">
        <v>12</v>
      </c>
      <c r="M1481" s="920">
        <f t="shared" si="46"/>
        <v>16800</v>
      </c>
      <c r="N1481" s="919"/>
      <c r="O1481" s="919"/>
      <c r="P1481" s="921">
        <f t="shared" si="47"/>
        <v>0</v>
      </c>
    </row>
    <row r="1482" spans="1:16" ht="20.100000000000001" customHeight="1" x14ac:dyDescent="0.25">
      <c r="A1482" s="918" t="s">
        <v>11903</v>
      </c>
      <c r="B1482" s="944" t="s">
        <v>3901</v>
      </c>
      <c r="C1482" s="919" t="s">
        <v>3902</v>
      </c>
      <c r="D1482" s="919" t="s">
        <v>6617</v>
      </c>
      <c r="E1482" s="920">
        <v>1000</v>
      </c>
      <c r="F1482" s="919" t="s">
        <v>6618</v>
      </c>
      <c r="G1482" s="919" t="s">
        <v>6619</v>
      </c>
      <c r="H1482" s="919" t="s">
        <v>6617</v>
      </c>
      <c r="I1482" s="919" t="s">
        <v>3686</v>
      </c>
      <c r="J1482" s="919"/>
      <c r="K1482" s="920"/>
      <c r="L1482" s="920"/>
      <c r="M1482" s="920">
        <f t="shared" si="46"/>
        <v>0</v>
      </c>
      <c r="N1482" s="919">
        <v>1</v>
      </c>
      <c r="O1482" s="919">
        <v>1</v>
      </c>
      <c r="P1482" s="921">
        <f t="shared" si="47"/>
        <v>1000</v>
      </c>
    </row>
    <row r="1483" spans="1:16" ht="20.100000000000001" customHeight="1" x14ac:dyDescent="0.25">
      <c r="A1483" s="918" t="s">
        <v>11903</v>
      </c>
      <c r="B1483" s="944" t="s">
        <v>3901</v>
      </c>
      <c r="C1483" s="919" t="s">
        <v>3902</v>
      </c>
      <c r="D1483" s="919" t="s">
        <v>6617</v>
      </c>
      <c r="E1483" s="920">
        <v>1000</v>
      </c>
      <c r="F1483" s="919" t="s">
        <v>6620</v>
      </c>
      <c r="G1483" s="919" t="s">
        <v>6621</v>
      </c>
      <c r="H1483" s="919" t="s">
        <v>6617</v>
      </c>
      <c r="I1483" s="919" t="s">
        <v>3686</v>
      </c>
      <c r="J1483" s="919"/>
      <c r="K1483" s="920">
        <v>1</v>
      </c>
      <c r="L1483" s="920">
        <v>12</v>
      </c>
      <c r="M1483" s="920">
        <f t="shared" si="46"/>
        <v>12000</v>
      </c>
      <c r="N1483" s="919"/>
      <c r="O1483" s="919"/>
      <c r="P1483" s="921">
        <f t="shared" si="47"/>
        <v>0</v>
      </c>
    </row>
    <row r="1484" spans="1:16" ht="20.100000000000001" customHeight="1" x14ac:dyDescent="0.25">
      <c r="A1484" s="918" t="s">
        <v>11903</v>
      </c>
      <c r="B1484" s="944" t="s">
        <v>3901</v>
      </c>
      <c r="C1484" s="919" t="s">
        <v>3902</v>
      </c>
      <c r="D1484" s="919" t="s">
        <v>6617</v>
      </c>
      <c r="E1484" s="920">
        <v>1000</v>
      </c>
      <c r="F1484" s="919" t="s">
        <v>6622</v>
      </c>
      <c r="G1484" s="919" t="s">
        <v>6623</v>
      </c>
      <c r="H1484" s="919" t="s">
        <v>6617</v>
      </c>
      <c r="I1484" s="919" t="s">
        <v>3686</v>
      </c>
      <c r="J1484" s="919"/>
      <c r="K1484" s="920">
        <v>1</v>
      </c>
      <c r="L1484" s="920">
        <v>12</v>
      </c>
      <c r="M1484" s="920">
        <f t="shared" si="46"/>
        <v>12000</v>
      </c>
      <c r="N1484" s="919"/>
      <c r="O1484" s="919"/>
      <c r="P1484" s="921">
        <f t="shared" si="47"/>
        <v>0</v>
      </c>
    </row>
    <row r="1485" spans="1:16" ht="20.100000000000001" customHeight="1" x14ac:dyDescent="0.25">
      <c r="A1485" s="918" t="s">
        <v>11903</v>
      </c>
      <c r="B1485" s="944" t="s">
        <v>3901</v>
      </c>
      <c r="C1485" s="919" t="s">
        <v>3902</v>
      </c>
      <c r="D1485" s="919" t="s">
        <v>6617</v>
      </c>
      <c r="E1485" s="920">
        <v>1000</v>
      </c>
      <c r="F1485" s="919" t="s">
        <v>6624</v>
      </c>
      <c r="G1485" s="919" t="s">
        <v>6625</v>
      </c>
      <c r="H1485" s="919" t="s">
        <v>6617</v>
      </c>
      <c r="I1485" s="919" t="s">
        <v>3686</v>
      </c>
      <c r="J1485" s="919"/>
      <c r="K1485" s="920">
        <v>1</v>
      </c>
      <c r="L1485" s="920">
        <v>12</v>
      </c>
      <c r="M1485" s="920">
        <f t="shared" si="46"/>
        <v>12000</v>
      </c>
      <c r="N1485" s="919"/>
      <c r="O1485" s="919"/>
      <c r="P1485" s="921">
        <f t="shared" si="47"/>
        <v>0</v>
      </c>
    </row>
    <row r="1486" spans="1:16" ht="20.100000000000001" customHeight="1" x14ac:dyDescent="0.25">
      <c r="A1486" s="918" t="s">
        <v>11903</v>
      </c>
      <c r="B1486" s="944" t="s">
        <v>3901</v>
      </c>
      <c r="C1486" s="919" t="s">
        <v>3902</v>
      </c>
      <c r="D1486" s="919" t="s">
        <v>6617</v>
      </c>
      <c r="E1486" s="920">
        <v>1000</v>
      </c>
      <c r="F1486" s="919" t="s">
        <v>6626</v>
      </c>
      <c r="G1486" s="919" t="s">
        <v>6627</v>
      </c>
      <c r="H1486" s="919" t="s">
        <v>6617</v>
      </c>
      <c r="I1486" s="919" t="s">
        <v>3686</v>
      </c>
      <c r="J1486" s="919"/>
      <c r="K1486" s="920">
        <v>1</v>
      </c>
      <c r="L1486" s="920">
        <v>12</v>
      </c>
      <c r="M1486" s="920">
        <f t="shared" si="46"/>
        <v>12000</v>
      </c>
      <c r="N1486" s="919"/>
      <c r="O1486" s="919"/>
      <c r="P1486" s="921">
        <f t="shared" si="47"/>
        <v>0</v>
      </c>
    </row>
    <row r="1487" spans="1:16" ht="20.100000000000001" customHeight="1" x14ac:dyDescent="0.25">
      <c r="A1487" s="918" t="s">
        <v>11903</v>
      </c>
      <c r="B1487" s="944" t="s">
        <v>3901</v>
      </c>
      <c r="C1487" s="919" t="s">
        <v>3902</v>
      </c>
      <c r="D1487" s="919" t="s">
        <v>6617</v>
      </c>
      <c r="E1487" s="920">
        <v>1000</v>
      </c>
      <c r="F1487" s="919" t="s">
        <v>6628</v>
      </c>
      <c r="G1487" s="919" t="s">
        <v>6629</v>
      </c>
      <c r="H1487" s="919" t="s">
        <v>6617</v>
      </c>
      <c r="I1487" s="919" t="s">
        <v>3686</v>
      </c>
      <c r="J1487" s="919"/>
      <c r="K1487" s="920">
        <v>1</v>
      </c>
      <c r="L1487" s="920">
        <v>12</v>
      </c>
      <c r="M1487" s="920">
        <f t="shared" si="46"/>
        <v>12000</v>
      </c>
      <c r="N1487" s="919"/>
      <c r="O1487" s="919"/>
      <c r="P1487" s="921">
        <f t="shared" si="47"/>
        <v>0</v>
      </c>
    </row>
    <row r="1488" spans="1:16" ht="20.100000000000001" customHeight="1" x14ac:dyDescent="0.25">
      <c r="A1488" s="918" t="s">
        <v>11903</v>
      </c>
      <c r="B1488" s="944" t="s">
        <v>3901</v>
      </c>
      <c r="C1488" s="919" t="s">
        <v>3902</v>
      </c>
      <c r="D1488" s="919" t="s">
        <v>6617</v>
      </c>
      <c r="E1488" s="920">
        <v>1000</v>
      </c>
      <c r="F1488" s="919" t="s">
        <v>6630</v>
      </c>
      <c r="G1488" s="919" t="s">
        <v>6631</v>
      </c>
      <c r="H1488" s="919" t="s">
        <v>6617</v>
      </c>
      <c r="I1488" s="919" t="s">
        <v>3686</v>
      </c>
      <c r="J1488" s="919"/>
      <c r="K1488" s="920">
        <v>1</v>
      </c>
      <c r="L1488" s="920">
        <v>12</v>
      </c>
      <c r="M1488" s="920">
        <f t="shared" si="46"/>
        <v>12000</v>
      </c>
      <c r="N1488" s="919"/>
      <c r="O1488" s="919"/>
      <c r="P1488" s="921">
        <f t="shared" si="47"/>
        <v>0</v>
      </c>
    </row>
    <row r="1489" spans="1:16" ht="20.100000000000001" customHeight="1" x14ac:dyDescent="0.25">
      <c r="A1489" s="918" t="s">
        <v>11903</v>
      </c>
      <c r="B1489" s="944" t="s">
        <v>3901</v>
      </c>
      <c r="C1489" s="919" t="s">
        <v>3902</v>
      </c>
      <c r="D1489" s="919" t="s">
        <v>6617</v>
      </c>
      <c r="E1489" s="920">
        <v>1000</v>
      </c>
      <c r="F1489" s="919" t="s">
        <v>6632</v>
      </c>
      <c r="G1489" s="919" t="s">
        <v>6633</v>
      </c>
      <c r="H1489" s="919" t="s">
        <v>6617</v>
      </c>
      <c r="I1489" s="919" t="s">
        <v>3686</v>
      </c>
      <c r="J1489" s="919"/>
      <c r="K1489" s="920">
        <v>1</v>
      </c>
      <c r="L1489" s="920">
        <v>12</v>
      </c>
      <c r="M1489" s="920">
        <f t="shared" si="46"/>
        <v>12000</v>
      </c>
      <c r="N1489" s="919"/>
      <c r="O1489" s="919"/>
      <c r="P1489" s="921">
        <f t="shared" si="47"/>
        <v>0</v>
      </c>
    </row>
    <row r="1490" spans="1:16" ht="20.100000000000001" customHeight="1" x14ac:dyDescent="0.25">
      <c r="A1490" s="918" t="s">
        <v>11903</v>
      </c>
      <c r="B1490" s="944" t="s">
        <v>3901</v>
      </c>
      <c r="C1490" s="919" t="s">
        <v>3902</v>
      </c>
      <c r="D1490" s="919" t="s">
        <v>6617</v>
      </c>
      <c r="E1490" s="920">
        <v>1000</v>
      </c>
      <c r="F1490" s="919" t="s">
        <v>6634</v>
      </c>
      <c r="G1490" s="919" t="s">
        <v>6635</v>
      </c>
      <c r="H1490" s="919" t="s">
        <v>6617</v>
      </c>
      <c r="I1490" s="919" t="s">
        <v>3686</v>
      </c>
      <c r="J1490" s="919"/>
      <c r="K1490" s="920">
        <v>1</v>
      </c>
      <c r="L1490" s="920">
        <v>12</v>
      </c>
      <c r="M1490" s="920">
        <f t="shared" si="46"/>
        <v>12000</v>
      </c>
      <c r="N1490" s="919"/>
      <c r="O1490" s="919"/>
      <c r="P1490" s="921">
        <f t="shared" si="47"/>
        <v>0</v>
      </c>
    </row>
    <row r="1491" spans="1:16" ht="20.100000000000001" customHeight="1" x14ac:dyDescent="0.25">
      <c r="A1491" s="918" t="s">
        <v>11903</v>
      </c>
      <c r="B1491" s="944" t="s">
        <v>3901</v>
      </c>
      <c r="C1491" s="919" t="s">
        <v>3902</v>
      </c>
      <c r="D1491" s="919" t="s">
        <v>6617</v>
      </c>
      <c r="E1491" s="920">
        <v>1000</v>
      </c>
      <c r="F1491" s="919" t="s">
        <v>6636</v>
      </c>
      <c r="G1491" s="919" t="s">
        <v>6637</v>
      </c>
      <c r="H1491" s="919" t="s">
        <v>6617</v>
      </c>
      <c r="I1491" s="919" t="s">
        <v>3686</v>
      </c>
      <c r="J1491" s="919"/>
      <c r="K1491" s="920">
        <v>1</v>
      </c>
      <c r="L1491" s="920">
        <v>12</v>
      </c>
      <c r="M1491" s="920">
        <f t="shared" si="46"/>
        <v>12000</v>
      </c>
      <c r="N1491" s="919"/>
      <c r="O1491" s="919"/>
      <c r="P1491" s="921">
        <f t="shared" si="47"/>
        <v>0</v>
      </c>
    </row>
    <row r="1492" spans="1:16" ht="20.100000000000001" customHeight="1" x14ac:dyDescent="0.25">
      <c r="A1492" s="918" t="s">
        <v>11903</v>
      </c>
      <c r="B1492" s="944" t="s">
        <v>3901</v>
      </c>
      <c r="C1492" s="919" t="s">
        <v>3902</v>
      </c>
      <c r="D1492" s="919" t="s">
        <v>6617</v>
      </c>
      <c r="E1492" s="920">
        <v>1000</v>
      </c>
      <c r="F1492" s="919" t="s">
        <v>6638</v>
      </c>
      <c r="G1492" s="919" t="s">
        <v>6639</v>
      </c>
      <c r="H1492" s="919" t="s">
        <v>6617</v>
      </c>
      <c r="I1492" s="919" t="s">
        <v>3686</v>
      </c>
      <c r="J1492" s="919"/>
      <c r="K1492" s="920">
        <v>1</v>
      </c>
      <c r="L1492" s="920">
        <v>12</v>
      </c>
      <c r="M1492" s="920">
        <f t="shared" si="46"/>
        <v>12000</v>
      </c>
      <c r="N1492" s="919"/>
      <c r="O1492" s="919"/>
      <c r="P1492" s="921">
        <f t="shared" si="47"/>
        <v>0</v>
      </c>
    </row>
    <row r="1493" spans="1:16" ht="20.100000000000001" customHeight="1" x14ac:dyDescent="0.25">
      <c r="A1493" s="918" t="s">
        <v>11903</v>
      </c>
      <c r="B1493" s="944" t="s">
        <v>3901</v>
      </c>
      <c r="C1493" s="919" t="s">
        <v>3902</v>
      </c>
      <c r="D1493" s="919" t="s">
        <v>6617</v>
      </c>
      <c r="E1493" s="920">
        <v>1000</v>
      </c>
      <c r="F1493" s="919" t="s">
        <v>6640</v>
      </c>
      <c r="G1493" s="919" t="s">
        <v>6641</v>
      </c>
      <c r="H1493" s="919" t="s">
        <v>6617</v>
      </c>
      <c r="I1493" s="919" t="s">
        <v>3686</v>
      </c>
      <c r="J1493" s="919"/>
      <c r="K1493" s="920">
        <v>1</v>
      </c>
      <c r="L1493" s="920">
        <v>12</v>
      </c>
      <c r="M1493" s="920">
        <f t="shared" si="46"/>
        <v>12000</v>
      </c>
      <c r="N1493" s="919"/>
      <c r="O1493" s="919"/>
      <c r="P1493" s="921">
        <f t="shared" si="47"/>
        <v>0</v>
      </c>
    </row>
    <row r="1494" spans="1:16" ht="20.100000000000001" customHeight="1" x14ac:dyDescent="0.25">
      <c r="A1494" s="918" t="s">
        <v>11903</v>
      </c>
      <c r="B1494" s="944" t="s">
        <v>3901</v>
      </c>
      <c r="C1494" s="919" t="s">
        <v>3902</v>
      </c>
      <c r="D1494" s="919" t="s">
        <v>6617</v>
      </c>
      <c r="E1494" s="920">
        <v>1000</v>
      </c>
      <c r="F1494" s="919" t="s">
        <v>6642</v>
      </c>
      <c r="G1494" s="919" t="s">
        <v>6643</v>
      </c>
      <c r="H1494" s="919" t="s">
        <v>6617</v>
      </c>
      <c r="I1494" s="919" t="s">
        <v>3686</v>
      </c>
      <c r="J1494" s="919"/>
      <c r="K1494" s="920">
        <v>1</v>
      </c>
      <c r="L1494" s="920">
        <v>12</v>
      </c>
      <c r="M1494" s="920">
        <f t="shared" si="46"/>
        <v>12000</v>
      </c>
      <c r="N1494" s="919"/>
      <c r="O1494" s="919"/>
      <c r="P1494" s="921">
        <f t="shared" si="47"/>
        <v>0</v>
      </c>
    </row>
    <row r="1495" spans="1:16" ht="20.100000000000001" customHeight="1" x14ac:dyDescent="0.25">
      <c r="A1495" s="918" t="s">
        <v>11903</v>
      </c>
      <c r="B1495" s="944" t="s">
        <v>3901</v>
      </c>
      <c r="C1495" s="919" t="s">
        <v>3902</v>
      </c>
      <c r="D1495" s="919" t="s">
        <v>6617</v>
      </c>
      <c r="E1495" s="920">
        <v>1000</v>
      </c>
      <c r="F1495" s="919" t="s">
        <v>6644</v>
      </c>
      <c r="G1495" s="919" t="s">
        <v>6645</v>
      </c>
      <c r="H1495" s="919" t="s">
        <v>6617</v>
      </c>
      <c r="I1495" s="919" t="s">
        <v>3686</v>
      </c>
      <c r="J1495" s="919"/>
      <c r="K1495" s="920">
        <v>1</v>
      </c>
      <c r="L1495" s="920">
        <v>12</v>
      </c>
      <c r="M1495" s="920">
        <f t="shared" si="46"/>
        <v>12000</v>
      </c>
      <c r="N1495" s="919"/>
      <c r="O1495" s="919"/>
      <c r="P1495" s="921">
        <f t="shared" si="47"/>
        <v>0</v>
      </c>
    </row>
    <row r="1496" spans="1:16" ht="20.100000000000001" customHeight="1" x14ac:dyDescent="0.25">
      <c r="A1496" s="918" t="s">
        <v>11903</v>
      </c>
      <c r="B1496" s="944" t="s">
        <v>3901</v>
      </c>
      <c r="C1496" s="919" t="s">
        <v>3902</v>
      </c>
      <c r="D1496" s="919" t="s">
        <v>6617</v>
      </c>
      <c r="E1496" s="920">
        <v>1000</v>
      </c>
      <c r="F1496" s="919" t="s">
        <v>6646</v>
      </c>
      <c r="G1496" s="919" t="s">
        <v>6647</v>
      </c>
      <c r="H1496" s="919" t="s">
        <v>6617</v>
      </c>
      <c r="I1496" s="919" t="s">
        <v>3686</v>
      </c>
      <c r="J1496" s="919"/>
      <c r="K1496" s="920"/>
      <c r="L1496" s="920"/>
      <c r="M1496" s="920">
        <f t="shared" si="46"/>
        <v>0</v>
      </c>
      <c r="N1496" s="919">
        <v>1</v>
      </c>
      <c r="O1496" s="919">
        <v>1</v>
      </c>
      <c r="P1496" s="921">
        <f t="shared" si="47"/>
        <v>1000</v>
      </c>
    </row>
    <row r="1497" spans="1:16" ht="20.100000000000001" customHeight="1" x14ac:dyDescent="0.25">
      <c r="A1497" s="918" t="s">
        <v>11903</v>
      </c>
      <c r="B1497" s="944" t="s">
        <v>3901</v>
      </c>
      <c r="C1497" s="919" t="s">
        <v>3902</v>
      </c>
      <c r="D1497" s="919" t="s">
        <v>6617</v>
      </c>
      <c r="E1497" s="920">
        <v>1000</v>
      </c>
      <c r="F1497" s="919" t="s">
        <v>6648</v>
      </c>
      <c r="G1497" s="919" t="s">
        <v>6649</v>
      </c>
      <c r="H1497" s="919" t="s">
        <v>6617</v>
      </c>
      <c r="I1497" s="919" t="s">
        <v>3686</v>
      </c>
      <c r="J1497" s="919"/>
      <c r="K1497" s="920">
        <v>1</v>
      </c>
      <c r="L1497" s="920">
        <v>12</v>
      </c>
      <c r="M1497" s="920">
        <f t="shared" si="46"/>
        <v>12000</v>
      </c>
      <c r="N1497" s="919"/>
      <c r="O1497" s="919"/>
      <c r="P1497" s="921">
        <f t="shared" si="47"/>
        <v>0</v>
      </c>
    </row>
    <row r="1498" spans="1:16" ht="20.100000000000001" customHeight="1" x14ac:dyDescent="0.25">
      <c r="A1498" s="918" t="s">
        <v>11903</v>
      </c>
      <c r="B1498" s="944" t="s">
        <v>3901</v>
      </c>
      <c r="C1498" s="919" t="s">
        <v>3902</v>
      </c>
      <c r="D1498" s="919" t="s">
        <v>6617</v>
      </c>
      <c r="E1498" s="920">
        <v>1000</v>
      </c>
      <c r="F1498" s="919" t="s">
        <v>6650</v>
      </c>
      <c r="G1498" s="919" t="s">
        <v>6651</v>
      </c>
      <c r="H1498" s="919" t="s">
        <v>6617</v>
      </c>
      <c r="I1498" s="919" t="s">
        <v>3686</v>
      </c>
      <c r="J1498" s="919"/>
      <c r="K1498" s="920">
        <v>1</v>
      </c>
      <c r="L1498" s="920">
        <v>12</v>
      </c>
      <c r="M1498" s="920">
        <f t="shared" si="46"/>
        <v>12000</v>
      </c>
      <c r="N1498" s="919"/>
      <c r="O1498" s="919"/>
      <c r="P1498" s="921">
        <f t="shared" si="47"/>
        <v>0</v>
      </c>
    </row>
    <row r="1499" spans="1:16" ht="20.100000000000001" customHeight="1" x14ac:dyDescent="0.25">
      <c r="A1499" s="918" t="s">
        <v>11903</v>
      </c>
      <c r="B1499" s="944" t="s">
        <v>3901</v>
      </c>
      <c r="C1499" s="919" t="s">
        <v>3902</v>
      </c>
      <c r="D1499" s="919" t="s">
        <v>6617</v>
      </c>
      <c r="E1499" s="920">
        <v>1000</v>
      </c>
      <c r="F1499" s="919" t="s">
        <v>6652</v>
      </c>
      <c r="G1499" s="919" t="s">
        <v>6653</v>
      </c>
      <c r="H1499" s="919" t="s">
        <v>6617</v>
      </c>
      <c r="I1499" s="919" t="s">
        <v>3686</v>
      </c>
      <c r="J1499" s="919"/>
      <c r="K1499" s="920">
        <v>1</v>
      </c>
      <c r="L1499" s="920">
        <v>12</v>
      </c>
      <c r="M1499" s="920">
        <f t="shared" si="46"/>
        <v>12000</v>
      </c>
      <c r="N1499" s="919"/>
      <c r="O1499" s="919"/>
      <c r="P1499" s="921">
        <f t="shared" si="47"/>
        <v>0</v>
      </c>
    </row>
    <row r="1500" spans="1:16" ht="20.100000000000001" customHeight="1" x14ac:dyDescent="0.25">
      <c r="A1500" s="918" t="s">
        <v>11903</v>
      </c>
      <c r="B1500" s="944" t="s">
        <v>3901</v>
      </c>
      <c r="C1500" s="919" t="s">
        <v>3902</v>
      </c>
      <c r="D1500" s="919" t="s">
        <v>6617</v>
      </c>
      <c r="E1500" s="920">
        <v>1000</v>
      </c>
      <c r="F1500" s="919" t="s">
        <v>6654</v>
      </c>
      <c r="G1500" s="919" t="s">
        <v>6655</v>
      </c>
      <c r="H1500" s="919" t="s">
        <v>6617</v>
      </c>
      <c r="I1500" s="919" t="s">
        <v>3686</v>
      </c>
      <c r="J1500" s="919"/>
      <c r="K1500" s="920"/>
      <c r="L1500" s="920"/>
      <c r="M1500" s="920">
        <f t="shared" si="46"/>
        <v>0</v>
      </c>
      <c r="N1500" s="919">
        <v>1</v>
      </c>
      <c r="O1500" s="919">
        <v>1</v>
      </c>
      <c r="P1500" s="921">
        <f t="shared" si="47"/>
        <v>1000</v>
      </c>
    </row>
    <row r="1501" spans="1:16" ht="20.100000000000001" customHeight="1" x14ac:dyDescent="0.25">
      <c r="A1501" s="918" t="s">
        <v>11903</v>
      </c>
      <c r="B1501" s="944" t="s">
        <v>3901</v>
      </c>
      <c r="C1501" s="919" t="s">
        <v>3902</v>
      </c>
      <c r="D1501" s="919" t="s">
        <v>6617</v>
      </c>
      <c r="E1501" s="920">
        <v>1000</v>
      </c>
      <c r="F1501" s="919" t="s">
        <v>6656</v>
      </c>
      <c r="G1501" s="919" t="s">
        <v>6657</v>
      </c>
      <c r="H1501" s="919" t="s">
        <v>6617</v>
      </c>
      <c r="I1501" s="919" t="s">
        <v>3686</v>
      </c>
      <c r="J1501" s="919"/>
      <c r="K1501" s="920">
        <v>1</v>
      </c>
      <c r="L1501" s="920">
        <v>12</v>
      </c>
      <c r="M1501" s="920">
        <f t="shared" si="46"/>
        <v>12000</v>
      </c>
      <c r="N1501" s="919"/>
      <c r="O1501" s="919"/>
      <c r="P1501" s="921">
        <f t="shared" si="47"/>
        <v>0</v>
      </c>
    </row>
    <row r="1502" spans="1:16" ht="20.100000000000001" customHeight="1" x14ac:dyDescent="0.25">
      <c r="A1502" s="918" t="s">
        <v>11903</v>
      </c>
      <c r="B1502" s="944" t="s">
        <v>3901</v>
      </c>
      <c r="C1502" s="919" t="s">
        <v>3902</v>
      </c>
      <c r="D1502" s="919" t="s">
        <v>6617</v>
      </c>
      <c r="E1502" s="920">
        <v>1000</v>
      </c>
      <c r="F1502" s="919" t="s">
        <v>6658</v>
      </c>
      <c r="G1502" s="919" t="s">
        <v>6659</v>
      </c>
      <c r="H1502" s="919" t="s">
        <v>6617</v>
      </c>
      <c r="I1502" s="919" t="s">
        <v>3686</v>
      </c>
      <c r="J1502" s="919"/>
      <c r="K1502" s="920">
        <v>1</v>
      </c>
      <c r="L1502" s="920">
        <v>12</v>
      </c>
      <c r="M1502" s="920">
        <f t="shared" si="46"/>
        <v>12000</v>
      </c>
      <c r="N1502" s="919"/>
      <c r="O1502" s="919"/>
      <c r="P1502" s="921">
        <f t="shared" si="47"/>
        <v>0</v>
      </c>
    </row>
    <row r="1503" spans="1:16" ht="20.100000000000001" customHeight="1" x14ac:dyDescent="0.25">
      <c r="A1503" s="918" t="s">
        <v>11903</v>
      </c>
      <c r="B1503" s="944" t="s">
        <v>3901</v>
      </c>
      <c r="C1503" s="919" t="s">
        <v>3902</v>
      </c>
      <c r="D1503" s="919" t="s">
        <v>6617</v>
      </c>
      <c r="E1503" s="920">
        <v>1000</v>
      </c>
      <c r="F1503" s="919" t="s">
        <v>6660</v>
      </c>
      <c r="G1503" s="919" t="s">
        <v>6661</v>
      </c>
      <c r="H1503" s="919" t="s">
        <v>6617</v>
      </c>
      <c r="I1503" s="919" t="s">
        <v>3686</v>
      </c>
      <c r="J1503" s="919"/>
      <c r="K1503" s="920">
        <v>1</v>
      </c>
      <c r="L1503" s="920">
        <v>12</v>
      </c>
      <c r="M1503" s="920">
        <f t="shared" si="46"/>
        <v>12000</v>
      </c>
      <c r="N1503" s="919"/>
      <c r="O1503" s="919"/>
      <c r="P1503" s="921">
        <f t="shared" si="47"/>
        <v>0</v>
      </c>
    </row>
    <row r="1504" spans="1:16" ht="20.100000000000001" customHeight="1" x14ac:dyDescent="0.25">
      <c r="A1504" s="918" t="s">
        <v>11903</v>
      </c>
      <c r="B1504" s="944" t="s">
        <v>3901</v>
      </c>
      <c r="C1504" s="919" t="s">
        <v>3902</v>
      </c>
      <c r="D1504" s="919" t="s">
        <v>6617</v>
      </c>
      <c r="E1504" s="920">
        <v>1000</v>
      </c>
      <c r="F1504" s="919" t="s">
        <v>6662</v>
      </c>
      <c r="G1504" s="919" t="s">
        <v>6663</v>
      </c>
      <c r="H1504" s="919" t="s">
        <v>6617</v>
      </c>
      <c r="I1504" s="919" t="s">
        <v>3686</v>
      </c>
      <c r="J1504" s="919"/>
      <c r="K1504" s="920">
        <v>1</v>
      </c>
      <c r="L1504" s="920">
        <v>12</v>
      </c>
      <c r="M1504" s="920">
        <f t="shared" si="46"/>
        <v>12000</v>
      </c>
      <c r="N1504" s="919"/>
      <c r="O1504" s="919"/>
      <c r="P1504" s="921">
        <f t="shared" si="47"/>
        <v>0</v>
      </c>
    </row>
    <row r="1505" spans="1:16" ht="20.100000000000001" customHeight="1" x14ac:dyDescent="0.25">
      <c r="A1505" s="918" t="s">
        <v>11903</v>
      </c>
      <c r="B1505" s="944" t="s">
        <v>3901</v>
      </c>
      <c r="C1505" s="919" t="s">
        <v>3902</v>
      </c>
      <c r="D1505" s="919" t="s">
        <v>6617</v>
      </c>
      <c r="E1505" s="920">
        <v>1000</v>
      </c>
      <c r="F1505" s="919" t="s">
        <v>6664</v>
      </c>
      <c r="G1505" s="919" t="s">
        <v>6665</v>
      </c>
      <c r="H1505" s="919" t="s">
        <v>6617</v>
      </c>
      <c r="I1505" s="919" t="s">
        <v>3686</v>
      </c>
      <c r="J1505" s="919"/>
      <c r="K1505" s="920">
        <v>1</v>
      </c>
      <c r="L1505" s="920">
        <v>12</v>
      </c>
      <c r="M1505" s="920">
        <f t="shared" si="46"/>
        <v>12000</v>
      </c>
      <c r="N1505" s="919"/>
      <c r="O1505" s="919"/>
      <c r="P1505" s="921">
        <f t="shared" si="47"/>
        <v>0</v>
      </c>
    </row>
    <row r="1506" spans="1:16" ht="20.100000000000001" customHeight="1" x14ac:dyDescent="0.25">
      <c r="A1506" s="918" t="s">
        <v>11903</v>
      </c>
      <c r="B1506" s="944" t="s">
        <v>3929</v>
      </c>
      <c r="C1506" s="919" t="s">
        <v>3902</v>
      </c>
      <c r="D1506" s="919" t="s">
        <v>4244</v>
      </c>
      <c r="E1506" s="920">
        <v>2300</v>
      </c>
      <c r="F1506" s="922" t="s">
        <v>6666</v>
      </c>
      <c r="G1506" s="919" t="s">
        <v>6667</v>
      </c>
      <c r="H1506" s="919" t="s">
        <v>4244</v>
      </c>
      <c r="I1506" s="919" t="s">
        <v>3679</v>
      </c>
      <c r="J1506" s="919"/>
      <c r="K1506" s="920">
        <v>1</v>
      </c>
      <c r="L1506" s="920">
        <v>12</v>
      </c>
      <c r="M1506" s="920">
        <f t="shared" si="46"/>
        <v>27600</v>
      </c>
      <c r="N1506" s="919"/>
      <c r="O1506" s="919"/>
      <c r="P1506" s="921">
        <f t="shared" si="47"/>
        <v>0</v>
      </c>
    </row>
    <row r="1507" spans="1:16" ht="20.100000000000001" customHeight="1" x14ac:dyDescent="0.25">
      <c r="A1507" s="918" t="s">
        <v>11903</v>
      </c>
      <c r="B1507" s="944" t="s">
        <v>3929</v>
      </c>
      <c r="C1507" s="919" t="s">
        <v>3902</v>
      </c>
      <c r="D1507" s="919" t="s">
        <v>6668</v>
      </c>
      <c r="E1507" s="920">
        <v>3500</v>
      </c>
      <c r="F1507" s="922" t="s">
        <v>6669</v>
      </c>
      <c r="G1507" s="919" t="s">
        <v>6670</v>
      </c>
      <c r="H1507" s="919" t="s">
        <v>6668</v>
      </c>
      <c r="I1507" s="919" t="s">
        <v>3724</v>
      </c>
      <c r="J1507" s="919"/>
      <c r="K1507" s="920">
        <v>1</v>
      </c>
      <c r="L1507" s="920">
        <v>12</v>
      </c>
      <c r="M1507" s="920">
        <f t="shared" si="46"/>
        <v>42000</v>
      </c>
      <c r="N1507" s="919"/>
      <c r="O1507" s="919"/>
      <c r="P1507" s="921">
        <f t="shared" si="47"/>
        <v>0</v>
      </c>
    </row>
    <row r="1508" spans="1:16" ht="20.100000000000001" customHeight="1" x14ac:dyDescent="0.25">
      <c r="A1508" s="918" t="s">
        <v>11903</v>
      </c>
      <c r="B1508" s="944" t="s">
        <v>3929</v>
      </c>
      <c r="C1508" s="919" t="s">
        <v>3902</v>
      </c>
      <c r="D1508" s="919" t="s">
        <v>4383</v>
      </c>
      <c r="E1508" s="920">
        <v>2100</v>
      </c>
      <c r="F1508" s="922" t="s">
        <v>6671</v>
      </c>
      <c r="G1508" s="919" t="s">
        <v>6672</v>
      </c>
      <c r="H1508" s="919" t="s">
        <v>4383</v>
      </c>
      <c r="I1508" s="919" t="s">
        <v>3724</v>
      </c>
      <c r="J1508" s="919"/>
      <c r="K1508" s="920">
        <v>1</v>
      </c>
      <c r="L1508" s="920">
        <v>12</v>
      </c>
      <c r="M1508" s="920">
        <f t="shared" si="46"/>
        <v>25200</v>
      </c>
      <c r="N1508" s="919"/>
      <c r="O1508" s="919"/>
      <c r="P1508" s="921">
        <f t="shared" si="47"/>
        <v>0</v>
      </c>
    </row>
    <row r="1509" spans="1:16" ht="20.100000000000001" customHeight="1" x14ac:dyDescent="0.25">
      <c r="A1509" s="918" t="s">
        <v>11903</v>
      </c>
      <c r="B1509" s="944" t="s">
        <v>3929</v>
      </c>
      <c r="C1509" s="919" t="s">
        <v>3902</v>
      </c>
      <c r="D1509" s="919" t="s">
        <v>4462</v>
      </c>
      <c r="E1509" s="920">
        <v>1400</v>
      </c>
      <c r="F1509" s="922" t="s">
        <v>6673</v>
      </c>
      <c r="G1509" s="919" t="s">
        <v>6674</v>
      </c>
      <c r="H1509" s="919" t="s">
        <v>4462</v>
      </c>
      <c r="I1509" s="919" t="s">
        <v>3686</v>
      </c>
      <c r="J1509" s="919"/>
      <c r="K1509" s="920">
        <v>1</v>
      </c>
      <c r="L1509" s="920">
        <v>12</v>
      </c>
      <c r="M1509" s="920">
        <f t="shared" si="46"/>
        <v>16800</v>
      </c>
      <c r="N1509" s="919"/>
      <c r="O1509" s="919"/>
      <c r="P1509" s="921">
        <f t="shared" si="47"/>
        <v>0</v>
      </c>
    </row>
    <row r="1510" spans="1:16" ht="20.100000000000001" customHeight="1" x14ac:dyDescent="0.25">
      <c r="A1510" s="918" t="s">
        <v>11903</v>
      </c>
      <c r="B1510" s="944" t="s">
        <v>3929</v>
      </c>
      <c r="C1510" s="919" t="s">
        <v>3902</v>
      </c>
      <c r="D1510" s="919" t="s">
        <v>6074</v>
      </c>
      <c r="E1510" s="920">
        <v>1400</v>
      </c>
      <c r="F1510" s="922" t="s">
        <v>6675</v>
      </c>
      <c r="G1510" s="919" t="s">
        <v>6676</v>
      </c>
      <c r="H1510" s="919" t="s">
        <v>6074</v>
      </c>
      <c r="I1510" s="919" t="s">
        <v>3686</v>
      </c>
      <c r="J1510" s="919"/>
      <c r="K1510" s="920">
        <v>1</v>
      </c>
      <c r="L1510" s="920">
        <v>12</v>
      </c>
      <c r="M1510" s="920">
        <f t="shared" si="46"/>
        <v>16800</v>
      </c>
      <c r="N1510" s="919"/>
      <c r="O1510" s="919"/>
      <c r="P1510" s="921">
        <f t="shared" si="47"/>
        <v>0</v>
      </c>
    </row>
    <row r="1511" spans="1:16" ht="20.100000000000001" customHeight="1" x14ac:dyDescent="0.25">
      <c r="A1511" s="918" t="s">
        <v>11903</v>
      </c>
      <c r="B1511" s="944" t="s">
        <v>3901</v>
      </c>
      <c r="C1511" s="919" t="s">
        <v>3902</v>
      </c>
      <c r="D1511" s="919" t="s">
        <v>6668</v>
      </c>
      <c r="E1511" s="920">
        <v>3500</v>
      </c>
      <c r="F1511" s="919" t="s">
        <v>4041</v>
      </c>
      <c r="G1511" s="919" t="s">
        <v>4042</v>
      </c>
      <c r="H1511" s="919" t="s">
        <v>6668</v>
      </c>
      <c r="I1511" s="919" t="s">
        <v>3724</v>
      </c>
      <c r="J1511" s="919"/>
      <c r="K1511" s="920">
        <v>1</v>
      </c>
      <c r="L1511" s="920">
        <v>12</v>
      </c>
      <c r="M1511" s="920">
        <f t="shared" si="46"/>
        <v>42000</v>
      </c>
      <c r="N1511" s="919"/>
      <c r="O1511" s="919"/>
      <c r="P1511" s="921">
        <f t="shared" si="47"/>
        <v>0</v>
      </c>
    </row>
    <row r="1512" spans="1:16" ht="20.100000000000001" customHeight="1" x14ac:dyDescent="0.25">
      <c r="A1512" s="918" t="s">
        <v>11903</v>
      </c>
      <c r="B1512" s="944" t="s">
        <v>3901</v>
      </c>
      <c r="C1512" s="919" t="s">
        <v>3902</v>
      </c>
      <c r="D1512" s="919" t="s">
        <v>6468</v>
      </c>
      <c r="E1512" s="920">
        <v>2300</v>
      </c>
      <c r="F1512" s="919" t="s">
        <v>6677</v>
      </c>
      <c r="G1512" s="919" t="s">
        <v>6678</v>
      </c>
      <c r="H1512" s="919" t="s">
        <v>6468</v>
      </c>
      <c r="I1512" s="919" t="s">
        <v>3724</v>
      </c>
      <c r="J1512" s="919"/>
      <c r="K1512" s="920">
        <v>1</v>
      </c>
      <c r="L1512" s="920">
        <v>12</v>
      </c>
      <c r="M1512" s="920">
        <f t="shared" si="46"/>
        <v>27600</v>
      </c>
      <c r="N1512" s="919"/>
      <c r="O1512" s="919"/>
      <c r="P1512" s="921">
        <f t="shared" si="47"/>
        <v>0</v>
      </c>
    </row>
    <row r="1513" spans="1:16" ht="20.100000000000001" customHeight="1" x14ac:dyDescent="0.25">
      <c r="A1513" s="918" t="s">
        <v>11903</v>
      </c>
      <c r="B1513" s="944" t="s">
        <v>3901</v>
      </c>
      <c r="C1513" s="919" t="s">
        <v>3902</v>
      </c>
      <c r="D1513" s="919" t="s">
        <v>6468</v>
      </c>
      <c r="E1513" s="920">
        <v>2300</v>
      </c>
      <c r="F1513" s="919" t="s">
        <v>6679</v>
      </c>
      <c r="G1513" s="919" t="s">
        <v>6680</v>
      </c>
      <c r="H1513" s="919" t="s">
        <v>6468</v>
      </c>
      <c r="I1513" s="919" t="s">
        <v>3724</v>
      </c>
      <c r="J1513" s="919"/>
      <c r="K1513" s="920">
        <v>1</v>
      </c>
      <c r="L1513" s="920">
        <v>12</v>
      </c>
      <c r="M1513" s="920">
        <f t="shared" si="46"/>
        <v>27600</v>
      </c>
      <c r="N1513" s="919"/>
      <c r="O1513" s="919"/>
      <c r="P1513" s="921">
        <f t="shared" si="47"/>
        <v>0</v>
      </c>
    </row>
    <row r="1514" spans="1:16" ht="20.100000000000001" customHeight="1" x14ac:dyDescent="0.25">
      <c r="A1514" s="918" t="s">
        <v>11903</v>
      </c>
      <c r="B1514" s="944" t="s">
        <v>3901</v>
      </c>
      <c r="C1514" s="919" t="s">
        <v>3902</v>
      </c>
      <c r="D1514" s="919" t="s">
        <v>6468</v>
      </c>
      <c r="E1514" s="920">
        <v>2300</v>
      </c>
      <c r="F1514" s="919" t="s">
        <v>6681</v>
      </c>
      <c r="G1514" s="919" t="s">
        <v>6682</v>
      </c>
      <c r="H1514" s="919" t="s">
        <v>6468</v>
      </c>
      <c r="I1514" s="919" t="s">
        <v>3724</v>
      </c>
      <c r="J1514" s="919"/>
      <c r="K1514" s="920">
        <v>1</v>
      </c>
      <c r="L1514" s="920">
        <v>12</v>
      </c>
      <c r="M1514" s="920">
        <f t="shared" si="46"/>
        <v>27600</v>
      </c>
      <c r="N1514" s="919"/>
      <c r="O1514" s="919"/>
      <c r="P1514" s="921">
        <f t="shared" si="47"/>
        <v>0</v>
      </c>
    </row>
    <row r="1515" spans="1:16" ht="20.100000000000001" customHeight="1" x14ac:dyDescent="0.25">
      <c r="A1515" s="918" t="s">
        <v>11903</v>
      </c>
      <c r="B1515" s="944" t="s">
        <v>3901</v>
      </c>
      <c r="C1515" s="919" t="s">
        <v>3902</v>
      </c>
      <c r="D1515" s="919" t="s">
        <v>6468</v>
      </c>
      <c r="E1515" s="920">
        <v>2300</v>
      </c>
      <c r="F1515" s="919" t="s">
        <v>6683</v>
      </c>
      <c r="G1515" s="919" t="s">
        <v>6684</v>
      </c>
      <c r="H1515" s="919" t="s">
        <v>6468</v>
      </c>
      <c r="I1515" s="919" t="s">
        <v>3724</v>
      </c>
      <c r="J1515" s="919"/>
      <c r="K1515" s="920">
        <v>1</v>
      </c>
      <c r="L1515" s="920">
        <v>12</v>
      </c>
      <c r="M1515" s="920">
        <f t="shared" si="46"/>
        <v>27600</v>
      </c>
      <c r="N1515" s="919"/>
      <c r="O1515" s="919"/>
      <c r="P1515" s="921">
        <f t="shared" si="47"/>
        <v>0</v>
      </c>
    </row>
    <row r="1516" spans="1:16" ht="20.100000000000001" customHeight="1" x14ac:dyDescent="0.25">
      <c r="A1516" s="918" t="s">
        <v>11903</v>
      </c>
      <c r="B1516" s="944" t="s">
        <v>3901</v>
      </c>
      <c r="C1516" s="919" t="s">
        <v>3902</v>
      </c>
      <c r="D1516" s="919" t="s">
        <v>6468</v>
      </c>
      <c r="E1516" s="920">
        <v>2300</v>
      </c>
      <c r="F1516" s="919" t="s">
        <v>6685</v>
      </c>
      <c r="G1516" s="919" t="s">
        <v>6686</v>
      </c>
      <c r="H1516" s="919" t="s">
        <v>6468</v>
      </c>
      <c r="I1516" s="919" t="s">
        <v>3724</v>
      </c>
      <c r="J1516" s="919"/>
      <c r="K1516" s="920">
        <v>1</v>
      </c>
      <c r="L1516" s="920">
        <v>12</v>
      </c>
      <c r="M1516" s="920">
        <f t="shared" si="46"/>
        <v>27600</v>
      </c>
      <c r="N1516" s="919"/>
      <c r="O1516" s="919"/>
      <c r="P1516" s="921">
        <f t="shared" si="47"/>
        <v>0</v>
      </c>
    </row>
    <row r="1517" spans="1:16" ht="20.100000000000001" customHeight="1" x14ac:dyDescent="0.25">
      <c r="A1517" s="918" t="s">
        <v>11903</v>
      </c>
      <c r="B1517" s="944" t="s">
        <v>3901</v>
      </c>
      <c r="C1517" s="919" t="s">
        <v>3902</v>
      </c>
      <c r="D1517" s="919" t="s">
        <v>6468</v>
      </c>
      <c r="E1517" s="920">
        <v>2300</v>
      </c>
      <c r="F1517" s="919" t="s">
        <v>6687</v>
      </c>
      <c r="G1517" s="919" t="s">
        <v>6688</v>
      </c>
      <c r="H1517" s="919" t="s">
        <v>6468</v>
      </c>
      <c r="I1517" s="919" t="s">
        <v>3724</v>
      </c>
      <c r="J1517" s="919"/>
      <c r="K1517" s="920">
        <v>1</v>
      </c>
      <c r="L1517" s="920">
        <v>12</v>
      </c>
      <c r="M1517" s="920">
        <f t="shared" si="46"/>
        <v>27600</v>
      </c>
      <c r="N1517" s="919"/>
      <c r="O1517" s="919"/>
      <c r="P1517" s="921">
        <f t="shared" si="47"/>
        <v>0</v>
      </c>
    </row>
    <row r="1518" spans="1:16" ht="20.100000000000001" customHeight="1" x14ac:dyDescent="0.25">
      <c r="A1518" s="918" t="s">
        <v>11903</v>
      </c>
      <c r="B1518" s="944" t="s">
        <v>3901</v>
      </c>
      <c r="C1518" s="919" t="s">
        <v>3902</v>
      </c>
      <c r="D1518" s="919" t="s">
        <v>6468</v>
      </c>
      <c r="E1518" s="920">
        <v>2300</v>
      </c>
      <c r="F1518" s="919" t="s">
        <v>6689</v>
      </c>
      <c r="G1518" s="919" t="s">
        <v>6690</v>
      </c>
      <c r="H1518" s="919" t="s">
        <v>6468</v>
      </c>
      <c r="I1518" s="919" t="s">
        <v>3724</v>
      </c>
      <c r="J1518" s="919"/>
      <c r="K1518" s="920">
        <v>1</v>
      </c>
      <c r="L1518" s="920">
        <v>12</v>
      </c>
      <c r="M1518" s="920">
        <f t="shared" si="46"/>
        <v>27600</v>
      </c>
      <c r="N1518" s="919"/>
      <c r="O1518" s="919"/>
      <c r="P1518" s="921">
        <f t="shared" si="47"/>
        <v>0</v>
      </c>
    </row>
    <row r="1519" spans="1:16" ht="20.100000000000001" customHeight="1" x14ac:dyDescent="0.25">
      <c r="A1519" s="918" t="s">
        <v>11903</v>
      </c>
      <c r="B1519" s="944" t="s">
        <v>3901</v>
      </c>
      <c r="C1519" s="919" t="s">
        <v>3902</v>
      </c>
      <c r="D1519" s="919" t="s">
        <v>6074</v>
      </c>
      <c r="E1519" s="920">
        <v>1400</v>
      </c>
      <c r="F1519" s="919" t="s">
        <v>6691</v>
      </c>
      <c r="G1519" s="919" t="s">
        <v>6692</v>
      </c>
      <c r="H1519" s="919" t="s">
        <v>6074</v>
      </c>
      <c r="I1519" s="919" t="s">
        <v>3686</v>
      </c>
      <c r="J1519" s="919"/>
      <c r="K1519" s="920">
        <v>1</v>
      </c>
      <c r="L1519" s="920">
        <v>12</v>
      </c>
      <c r="M1519" s="920">
        <f t="shared" si="46"/>
        <v>16800</v>
      </c>
      <c r="N1519" s="919"/>
      <c r="O1519" s="919"/>
      <c r="P1519" s="921">
        <f t="shared" si="47"/>
        <v>0</v>
      </c>
    </row>
    <row r="1520" spans="1:16" ht="20.100000000000001" customHeight="1" x14ac:dyDescent="0.25">
      <c r="A1520" s="918" t="s">
        <v>11903</v>
      </c>
      <c r="B1520" s="944" t="s">
        <v>3901</v>
      </c>
      <c r="C1520" s="919" t="s">
        <v>3902</v>
      </c>
      <c r="D1520" s="919" t="s">
        <v>6074</v>
      </c>
      <c r="E1520" s="920">
        <v>1400</v>
      </c>
      <c r="F1520" s="919" t="s">
        <v>4041</v>
      </c>
      <c r="G1520" s="919" t="s">
        <v>4042</v>
      </c>
      <c r="H1520" s="919" t="s">
        <v>6074</v>
      </c>
      <c r="I1520" s="919" t="s">
        <v>3686</v>
      </c>
      <c r="J1520" s="919"/>
      <c r="K1520" s="920">
        <v>1</v>
      </c>
      <c r="L1520" s="920">
        <v>12</v>
      </c>
      <c r="M1520" s="920">
        <f t="shared" si="46"/>
        <v>16800</v>
      </c>
      <c r="N1520" s="919"/>
      <c r="O1520" s="919"/>
      <c r="P1520" s="921">
        <f t="shared" si="47"/>
        <v>0</v>
      </c>
    </row>
    <row r="1521" spans="1:16" ht="20.100000000000001" customHeight="1" x14ac:dyDescent="0.25">
      <c r="A1521" s="918" t="s">
        <v>11903</v>
      </c>
      <c r="B1521" s="944" t="s">
        <v>3901</v>
      </c>
      <c r="C1521" s="919" t="s">
        <v>3902</v>
      </c>
      <c r="D1521" s="919" t="s">
        <v>6074</v>
      </c>
      <c r="E1521" s="920">
        <v>1400</v>
      </c>
      <c r="F1521" s="919" t="s">
        <v>6693</v>
      </c>
      <c r="G1521" s="919" t="s">
        <v>6694</v>
      </c>
      <c r="H1521" s="919" t="s">
        <v>6074</v>
      </c>
      <c r="I1521" s="919" t="s">
        <v>3686</v>
      </c>
      <c r="J1521" s="919"/>
      <c r="K1521" s="920">
        <v>1</v>
      </c>
      <c r="L1521" s="920">
        <v>12</v>
      </c>
      <c r="M1521" s="920">
        <f t="shared" si="46"/>
        <v>16800</v>
      </c>
      <c r="N1521" s="919"/>
      <c r="O1521" s="919"/>
      <c r="P1521" s="921">
        <f t="shared" si="47"/>
        <v>0</v>
      </c>
    </row>
    <row r="1522" spans="1:16" ht="20.100000000000001" customHeight="1" x14ac:dyDescent="0.25">
      <c r="A1522" s="918" t="s">
        <v>11903</v>
      </c>
      <c r="B1522" s="944" t="s">
        <v>3901</v>
      </c>
      <c r="C1522" s="919" t="s">
        <v>3902</v>
      </c>
      <c r="D1522" s="919" t="s">
        <v>6074</v>
      </c>
      <c r="E1522" s="920">
        <v>1400</v>
      </c>
      <c r="F1522" s="919" t="s">
        <v>6695</v>
      </c>
      <c r="G1522" s="919" t="s">
        <v>6696</v>
      </c>
      <c r="H1522" s="919" t="s">
        <v>6074</v>
      </c>
      <c r="I1522" s="919" t="s">
        <v>3686</v>
      </c>
      <c r="J1522" s="919"/>
      <c r="K1522" s="920">
        <v>1</v>
      </c>
      <c r="L1522" s="920">
        <v>12</v>
      </c>
      <c r="M1522" s="920">
        <f t="shared" si="46"/>
        <v>16800</v>
      </c>
      <c r="N1522" s="919"/>
      <c r="O1522" s="919"/>
      <c r="P1522" s="921">
        <f t="shared" si="47"/>
        <v>0</v>
      </c>
    </row>
    <row r="1523" spans="1:16" ht="20.100000000000001" customHeight="1" x14ac:dyDescent="0.25">
      <c r="A1523" s="918" t="s">
        <v>11903</v>
      </c>
      <c r="B1523" s="944" t="s">
        <v>3901</v>
      </c>
      <c r="C1523" s="919" t="s">
        <v>3902</v>
      </c>
      <c r="D1523" s="919" t="s">
        <v>6074</v>
      </c>
      <c r="E1523" s="920">
        <v>1400</v>
      </c>
      <c r="F1523" s="919" t="s">
        <v>6697</v>
      </c>
      <c r="G1523" s="919" t="s">
        <v>6698</v>
      </c>
      <c r="H1523" s="919" t="s">
        <v>6074</v>
      </c>
      <c r="I1523" s="919" t="s">
        <v>3686</v>
      </c>
      <c r="J1523" s="919"/>
      <c r="K1523" s="920">
        <v>1</v>
      </c>
      <c r="L1523" s="920">
        <v>12</v>
      </c>
      <c r="M1523" s="920">
        <f t="shared" si="46"/>
        <v>16800</v>
      </c>
      <c r="N1523" s="919"/>
      <c r="O1523" s="919"/>
      <c r="P1523" s="921">
        <f t="shared" si="47"/>
        <v>0</v>
      </c>
    </row>
    <row r="1524" spans="1:16" ht="20.100000000000001" customHeight="1" x14ac:dyDescent="0.25">
      <c r="A1524" s="918" t="s">
        <v>11903</v>
      </c>
      <c r="B1524" s="944" t="s">
        <v>3901</v>
      </c>
      <c r="C1524" s="919" t="s">
        <v>3902</v>
      </c>
      <c r="D1524" s="919" t="s">
        <v>6074</v>
      </c>
      <c r="E1524" s="920">
        <v>1400</v>
      </c>
      <c r="F1524" s="919" t="s">
        <v>6699</v>
      </c>
      <c r="G1524" s="919" t="s">
        <v>6700</v>
      </c>
      <c r="H1524" s="919" t="s">
        <v>6074</v>
      </c>
      <c r="I1524" s="919" t="s">
        <v>3686</v>
      </c>
      <c r="J1524" s="919"/>
      <c r="K1524" s="920">
        <v>1</v>
      </c>
      <c r="L1524" s="920">
        <v>12</v>
      </c>
      <c r="M1524" s="920">
        <f t="shared" si="46"/>
        <v>16800</v>
      </c>
      <c r="N1524" s="919"/>
      <c r="O1524" s="919"/>
      <c r="P1524" s="921">
        <f t="shared" si="47"/>
        <v>0</v>
      </c>
    </row>
    <row r="1525" spans="1:16" ht="20.100000000000001" customHeight="1" x14ac:dyDescent="0.25">
      <c r="A1525" s="918" t="s">
        <v>11903</v>
      </c>
      <c r="B1525" s="944" t="s">
        <v>3901</v>
      </c>
      <c r="C1525" s="919" t="s">
        <v>3902</v>
      </c>
      <c r="D1525" s="919" t="s">
        <v>6274</v>
      </c>
      <c r="E1525" s="920">
        <v>6000</v>
      </c>
      <c r="F1525" s="919" t="s">
        <v>6701</v>
      </c>
      <c r="G1525" s="919" t="s">
        <v>6702</v>
      </c>
      <c r="H1525" s="919" t="s">
        <v>6274</v>
      </c>
      <c r="I1525" s="919" t="s">
        <v>3724</v>
      </c>
      <c r="J1525" s="919"/>
      <c r="K1525" s="920">
        <v>1</v>
      </c>
      <c r="L1525" s="920">
        <v>12</v>
      </c>
      <c r="M1525" s="920">
        <f t="shared" si="46"/>
        <v>72000</v>
      </c>
      <c r="N1525" s="919"/>
      <c r="O1525" s="919"/>
      <c r="P1525" s="921">
        <f t="shared" si="47"/>
        <v>0</v>
      </c>
    </row>
    <row r="1526" spans="1:16" ht="20.100000000000001" customHeight="1" x14ac:dyDescent="0.25">
      <c r="A1526" s="918" t="s">
        <v>11903</v>
      </c>
      <c r="B1526" s="944" t="s">
        <v>3901</v>
      </c>
      <c r="C1526" s="919" t="s">
        <v>3902</v>
      </c>
      <c r="D1526" s="919" t="s">
        <v>6071</v>
      </c>
      <c r="E1526" s="920">
        <v>1400</v>
      </c>
      <c r="F1526" s="919" t="s">
        <v>6703</v>
      </c>
      <c r="G1526" s="919" t="s">
        <v>6704</v>
      </c>
      <c r="H1526" s="919" t="s">
        <v>6071</v>
      </c>
      <c r="I1526" s="919" t="s">
        <v>3686</v>
      </c>
      <c r="J1526" s="919"/>
      <c r="K1526" s="920">
        <v>1</v>
      </c>
      <c r="L1526" s="920">
        <v>12</v>
      </c>
      <c r="M1526" s="920">
        <f t="shared" si="46"/>
        <v>16800</v>
      </c>
      <c r="N1526" s="919"/>
      <c r="O1526" s="919"/>
      <c r="P1526" s="921">
        <f t="shared" si="47"/>
        <v>0</v>
      </c>
    </row>
    <row r="1527" spans="1:16" ht="20.100000000000001" customHeight="1" x14ac:dyDescent="0.25">
      <c r="A1527" s="918" t="s">
        <v>11903</v>
      </c>
      <c r="B1527" s="944" t="s">
        <v>3901</v>
      </c>
      <c r="C1527" s="919" t="s">
        <v>3902</v>
      </c>
      <c r="D1527" s="919" t="s">
        <v>6705</v>
      </c>
      <c r="E1527" s="920">
        <v>1400</v>
      </c>
      <c r="F1527" s="919" t="s">
        <v>6706</v>
      </c>
      <c r="G1527" s="919" t="s">
        <v>6707</v>
      </c>
      <c r="H1527" s="919" t="s">
        <v>6705</v>
      </c>
      <c r="I1527" s="919" t="s">
        <v>3686</v>
      </c>
      <c r="J1527" s="919"/>
      <c r="K1527" s="920">
        <v>1</v>
      </c>
      <c r="L1527" s="920">
        <v>12</v>
      </c>
      <c r="M1527" s="920">
        <f t="shared" si="46"/>
        <v>16800</v>
      </c>
      <c r="N1527" s="919"/>
      <c r="O1527" s="919"/>
      <c r="P1527" s="921">
        <f t="shared" si="47"/>
        <v>0</v>
      </c>
    </row>
    <row r="1528" spans="1:16" ht="20.100000000000001" customHeight="1" x14ac:dyDescent="0.25">
      <c r="A1528" s="918" t="s">
        <v>11903</v>
      </c>
      <c r="B1528" s="944" t="s">
        <v>3901</v>
      </c>
      <c r="C1528" s="919" t="s">
        <v>3902</v>
      </c>
      <c r="D1528" s="919" t="s">
        <v>6705</v>
      </c>
      <c r="E1528" s="920">
        <v>1400</v>
      </c>
      <c r="F1528" s="919" t="s">
        <v>6708</v>
      </c>
      <c r="G1528" s="919" t="s">
        <v>6709</v>
      </c>
      <c r="H1528" s="919" t="s">
        <v>6705</v>
      </c>
      <c r="I1528" s="919" t="s">
        <v>3686</v>
      </c>
      <c r="J1528" s="919"/>
      <c r="K1528" s="920">
        <v>1</v>
      </c>
      <c r="L1528" s="920">
        <v>12</v>
      </c>
      <c r="M1528" s="920">
        <f t="shared" si="46"/>
        <v>16800</v>
      </c>
      <c r="N1528" s="919"/>
      <c r="O1528" s="919"/>
      <c r="P1528" s="921">
        <f t="shared" si="47"/>
        <v>0</v>
      </c>
    </row>
    <row r="1529" spans="1:16" ht="20.100000000000001" customHeight="1" x14ac:dyDescent="0.25">
      <c r="A1529" s="918" t="s">
        <v>11903</v>
      </c>
      <c r="B1529" s="944" t="s">
        <v>3901</v>
      </c>
      <c r="C1529" s="919" t="s">
        <v>3902</v>
      </c>
      <c r="D1529" s="919" t="s">
        <v>6705</v>
      </c>
      <c r="E1529" s="920">
        <v>1400</v>
      </c>
      <c r="F1529" s="919" t="s">
        <v>6710</v>
      </c>
      <c r="G1529" s="919" t="s">
        <v>6711</v>
      </c>
      <c r="H1529" s="919" t="s">
        <v>6705</v>
      </c>
      <c r="I1529" s="919" t="s">
        <v>3686</v>
      </c>
      <c r="J1529" s="919"/>
      <c r="K1529" s="920">
        <v>1</v>
      </c>
      <c r="L1529" s="920">
        <v>12</v>
      </c>
      <c r="M1529" s="920">
        <f t="shared" si="46"/>
        <v>16800</v>
      </c>
      <c r="N1529" s="919"/>
      <c r="O1529" s="919"/>
      <c r="P1529" s="921">
        <f t="shared" si="47"/>
        <v>0</v>
      </c>
    </row>
    <row r="1530" spans="1:16" ht="20.100000000000001" customHeight="1" x14ac:dyDescent="0.25">
      <c r="A1530" s="918" t="s">
        <v>11903</v>
      </c>
      <c r="B1530" s="944" t="s">
        <v>3901</v>
      </c>
      <c r="C1530" s="919" t="s">
        <v>3902</v>
      </c>
      <c r="D1530" s="919" t="s">
        <v>6705</v>
      </c>
      <c r="E1530" s="920">
        <v>1400</v>
      </c>
      <c r="F1530" s="919" t="s">
        <v>6712</v>
      </c>
      <c r="G1530" s="919" t="s">
        <v>6713</v>
      </c>
      <c r="H1530" s="919" t="s">
        <v>6705</v>
      </c>
      <c r="I1530" s="919" t="s">
        <v>3686</v>
      </c>
      <c r="J1530" s="919"/>
      <c r="K1530" s="920">
        <v>1</v>
      </c>
      <c r="L1530" s="920">
        <v>12</v>
      </c>
      <c r="M1530" s="920">
        <f t="shared" si="46"/>
        <v>16800</v>
      </c>
      <c r="N1530" s="919"/>
      <c r="O1530" s="919"/>
      <c r="P1530" s="921">
        <f t="shared" si="47"/>
        <v>0</v>
      </c>
    </row>
    <row r="1531" spans="1:16" ht="20.100000000000001" customHeight="1" x14ac:dyDescent="0.25">
      <c r="A1531" s="918" t="s">
        <v>11903</v>
      </c>
      <c r="B1531" s="944" t="s">
        <v>3901</v>
      </c>
      <c r="C1531" s="919" t="s">
        <v>3902</v>
      </c>
      <c r="D1531" s="919" t="s">
        <v>6705</v>
      </c>
      <c r="E1531" s="920">
        <v>1400</v>
      </c>
      <c r="F1531" s="919" t="s">
        <v>6714</v>
      </c>
      <c r="G1531" s="919" t="s">
        <v>6715</v>
      </c>
      <c r="H1531" s="919" t="s">
        <v>6705</v>
      </c>
      <c r="I1531" s="919" t="s">
        <v>3686</v>
      </c>
      <c r="J1531" s="919"/>
      <c r="K1531" s="920">
        <v>1</v>
      </c>
      <c r="L1531" s="920">
        <v>12</v>
      </c>
      <c r="M1531" s="920">
        <f t="shared" si="46"/>
        <v>16800</v>
      </c>
      <c r="N1531" s="919"/>
      <c r="O1531" s="919"/>
      <c r="P1531" s="921">
        <f t="shared" si="47"/>
        <v>0</v>
      </c>
    </row>
    <row r="1532" spans="1:16" ht="20.100000000000001" customHeight="1" x14ac:dyDescent="0.25">
      <c r="A1532" s="918" t="s">
        <v>11903</v>
      </c>
      <c r="B1532" s="944" t="s">
        <v>3901</v>
      </c>
      <c r="C1532" s="919" t="s">
        <v>3902</v>
      </c>
      <c r="D1532" s="919" t="s">
        <v>6468</v>
      </c>
      <c r="E1532" s="920">
        <v>2300</v>
      </c>
      <c r="F1532" s="919" t="s">
        <v>6716</v>
      </c>
      <c r="G1532" s="919" t="s">
        <v>6717</v>
      </c>
      <c r="H1532" s="919" t="s">
        <v>6468</v>
      </c>
      <c r="I1532" s="919" t="s">
        <v>3724</v>
      </c>
      <c r="J1532" s="919"/>
      <c r="K1532" s="920">
        <v>1</v>
      </c>
      <c r="L1532" s="920">
        <v>12</v>
      </c>
      <c r="M1532" s="920">
        <f t="shared" si="46"/>
        <v>27600</v>
      </c>
      <c r="N1532" s="919"/>
      <c r="O1532" s="919"/>
      <c r="P1532" s="921">
        <f t="shared" si="47"/>
        <v>0</v>
      </c>
    </row>
    <row r="1533" spans="1:16" ht="20.100000000000001" customHeight="1" x14ac:dyDescent="0.25">
      <c r="A1533" s="918" t="s">
        <v>11903</v>
      </c>
      <c r="B1533" s="944" t="s">
        <v>3901</v>
      </c>
      <c r="C1533" s="919" t="s">
        <v>3902</v>
      </c>
      <c r="D1533" s="919" t="s">
        <v>6468</v>
      </c>
      <c r="E1533" s="920">
        <v>2300</v>
      </c>
      <c r="F1533" s="919" t="s">
        <v>6718</v>
      </c>
      <c r="G1533" s="919" t="s">
        <v>6719</v>
      </c>
      <c r="H1533" s="919" t="s">
        <v>6468</v>
      </c>
      <c r="I1533" s="919" t="s">
        <v>3724</v>
      </c>
      <c r="J1533" s="919"/>
      <c r="K1533" s="920">
        <v>1</v>
      </c>
      <c r="L1533" s="920">
        <v>12</v>
      </c>
      <c r="M1533" s="920">
        <f t="shared" si="46"/>
        <v>27600</v>
      </c>
      <c r="N1533" s="919"/>
      <c r="O1533" s="919"/>
      <c r="P1533" s="921">
        <f t="shared" si="47"/>
        <v>0</v>
      </c>
    </row>
    <row r="1534" spans="1:16" ht="20.100000000000001" customHeight="1" x14ac:dyDescent="0.25">
      <c r="A1534" s="918" t="s">
        <v>11903</v>
      </c>
      <c r="B1534" s="944" t="s">
        <v>3901</v>
      </c>
      <c r="C1534" s="919" t="s">
        <v>3902</v>
      </c>
      <c r="D1534" s="919" t="s">
        <v>6468</v>
      </c>
      <c r="E1534" s="920">
        <v>2300</v>
      </c>
      <c r="F1534" s="919" t="s">
        <v>6720</v>
      </c>
      <c r="G1534" s="919" t="s">
        <v>6721</v>
      </c>
      <c r="H1534" s="919" t="s">
        <v>6468</v>
      </c>
      <c r="I1534" s="919" t="s">
        <v>3724</v>
      </c>
      <c r="J1534" s="919"/>
      <c r="K1534" s="920">
        <v>1</v>
      </c>
      <c r="L1534" s="920">
        <v>12</v>
      </c>
      <c r="M1534" s="920">
        <f t="shared" si="46"/>
        <v>27600</v>
      </c>
      <c r="N1534" s="919"/>
      <c r="O1534" s="919"/>
      <c r="P1534" s="921">
        <f t="shared" si="47"/>
        <v>0</v>
      </c>
    </row>
    <row r="1535" spans="1:16" ht="20.100000000000001" customHeight="1" x14ac:dyDescent="0.25">
      <c r="A1535" s="918" t="s">
        <v>11903</v>
      </c>
      <c r="B1535" s="944" t="s">
        <v>3901</v>
      </c>
      <c r="C1535" s="919" t="s">
        <v>3902</v>
      </c>
      <c r="D1535" s="919" t="s">
        <v>6468</v>
      </c>
      <c r="E1535" s="920">
        <v>2300</v>
      </c>
      <c r="F1535" s="919" t="s">
        <v>6722</v>
      </c>
      <c r="G1535" s="919" t="s">
        <v>6723</v>
      </c>
      <c r="H1535" s="919" t="s">
        <v>6468</v>
      </c>
      <c r="I1535" s="919" t="s">
        <v>3724</v>
      </c>
      <c r="J1535" s="919"/>
      <c r="K1535" s="920">
        <v>1</v>
      </c>
      <c r="L1535" s="920">
        <v>12</v>
      </c>
      <c r="M1535" s="920">
        <f t="shared" si="46"/>
        <v>27600</v>
      </c>
      <c r="N1535" s="919"/>
      <c r="O1535" s="919"/>
      <c r="P1535" s="921">
        <f t="shared" si="47"/>
        <v>0</v>
      </c>
    </row>
    <row r="1536" spans="1:16" ht="20.100000000000001" customHeight="1" x14ac:dyDescent="0.25">
      <c r="A1536" s="918" t="s">
        <v>11903</v>
      </c>
      <c r="B1536" s="944" t="s">
        <v>3901</v>
      </c>
      <c r="C1536" s="919" t="s">
        <v>3902</v>
      </c>
      <c r="D1536" s="919" t="s">
        <v>6274</v>
      </c>
      <c r="E1536" s="920">
        <v>6000</v>
      </c>
      <c r="F1536" s="919" t="s">
        <v>4041</v>
      </c>
      <c r="G1536" s="919" t="s">
        <v>4042</v>
      </c>
      <c r="H1536" s="919" t="s">
        <v>6274</v>
      </c>
      <c r="I1536" s="919" t="s">
        <v>3724</v>
      </c>
      <c r="J1536" s="919"/>
      <c r="K1536" s="920">
        <v>1</v>
      </c>
      <c r="L1536" s="920">
        <v>12</v>
      </c>
      <c r="M1536" s="920">
        <f t="shared" si="46"/>
        <v>72000</v>
      </c>
      <c r="N1536" s="919"/>
      <c r="O1536" s="919"/>
      <c r="P1536" s="921">
        <f t="shared" si="47"/>
        <v>0</v>
      </c>
    </row>
    <row r="1537" spans="1:16" ht="20.100000000000001" customHeight="1" x14ac:dyDescent="0.25">
      <c r="A1537" s="918" t="s">
        <v>11903</v>
      </c>
      <c r="B1537" s="944" t="s">
        <v>3901</v>
      </c>
      <c r="C1537" s="919" t="s">
        <v>3902</v>
      </c>
      <c r="D1537" s="919" t="s">
        <v>6274</v>
      </c>
      <c r="E1537" s="920">
        <v>6000</v>
      </c>
      <c r="F1537" s="919" t="s">
        <v>4041</v>
      </c>
      <c r="G1537" s="919" t="s">
        <v>4042</v>
      </c>
      <c r="H1537" s="919" t="s">
        <v>6274</v>
      </c>
      <c r="I1537" s="919" t="s">
        <v>3724</v>
      </c>
      <c r="J1537" s="919"/>
      <c r="K1537" s="920">
        <v>1</v>
      </c>
      <c r="L1537" s="920">
        <v>12</v>
      </c>
      <c r="M1537" s="920">
        <f t="shared" si="46"/>
        <v>72000</v>
      </c>
      <c r="N1537" s="919"/>
      <c r="O1537" s="919"/>
      <c r="P1537" s="921">
        <f t="shared" si="47"/>
        <v>0</v>
      </c>
    </row>
    <row r="1538" spans="1:16" ht="20.100000000000001" customHeight="1" x14ac:dyDescent="0.25">
      <c r="A1538" s="918" t="s">
        <v>11903</v>
      </c>
      <c r="B1538" s="944" t="s">
        <v>3901</v>
      </c>
      <c r="C1538" s="919" t="s">
        <v>3902</v>
      </c>
      <c r="D1538" s="919" t="s">
        <v>6274</v>
      </c>
      <c r="E1538" s="920">
        <v>6000</v>
      </c>
      <c r="F1538" s="919" t="s">
        <v>6724</v>
      </c>
      <c r="G1538" s="919" t="s">
        <v>6725</v>
      </c>
      <c r="H1538" s="919" t="s">
        <v>6274</v>
      </c>
      <c r="I1538" s="919" t="s">
        <v>3724</v>
      </c>
      <c r="J1538" s="919"/>
      <c r="K1538" s="920">
        <v>1</v>
      </c>
      <c r="L1538" s="920">
        <v>12</v>
      </c>
      <c r="M1538" s="920">
        <f t="shared" si="46"/>
        <v>72000</v>
      </c>
      <c r="N1538" s="919"/>
      <c r="O1538" s="919"/>
      <c r="P1538" s="921">
        <f t="shared" si="47"/>
        <v>0</v>
      </c>
    </row>
    <row r="1539" spans="1:16" ht="20.100000000000001" customHeight="1" x14ac:dyDescent="0.25">
      <c r="A1539" s="918" t="s">
        <v>11903</v>
      </c>
      <c r="B1539" s="944" t="s">
        <v>3901</v>
      </c>
      <c r="C1539" s="919" t="s">
        <v>3902</v>
      </c>
      <c r="D1539" s="919" t="s">
        <v>6274</v>
      </c>
      <c r="E1539" s="920">
        <v>4600</v>
      </c>
      <c r="F1539" s="919" t="s">
        <v>6726</v>
      </c>
      <c r="G1539" s="919" t="s">
        <v>6727</v>
      </c>
      <c r="H1539" s="919" t="s">
        <v>6274</v>
      </c>
      <c r="I1539" s="919" t="s">
        <v>3724</v>
      </c>
      <c r="J1539" s="919"/>
      <c r="K1539" s="920">
        <v>1</v>
      </c>
      <c r="L1539" s="920">
        <v>12</v>
      </c>
      <c r="M1539" s="920">
        <f t="shared" si="46"/>
        <v>55200</v>
      </c>
      <c r="N1539" s="919"/>
      <c r="O1539" s="919"/>
      <c r="P1539" s="921">
        <f t="shared" si="47"/>
        <v>0</v>
      </c>
    </row>
    <row r="1540" spans="1:16" ht="20.100000000000001" customHeight="1" x14ac:dyDescent="0.25">
      <c r="A1540" s="918" t="s">
        <v>11903</v>
      </c>
      <c r="B1540" s="944" t="s">
        <v>3901</v>
      </c>
      <c r="C1540" s="919" t="s">
        <v>3902</v>
      </c>
      <c r="D1540" s="919" t="s">
        <v>6668</v>
      </c>
      <c r="E1540" s="920">
        <v>3500</v>
      </c>
      <c r="F1540" s="919" t="s">
        <v>6728</v>
      </c>
      <c r="G1540" s="919" t="s">
        <v>6729</v>
      </c>
      <c r="H1540" s="919" t="s">
        <v>6668</v>
      </c>
      <c r="I1540" s="919" t="s">
        <v>3724</v>
      </c>
      <c r="J1540" s="919"/>
      <c r="K1540" s="920">
        <v>1</v>
      </c>
      <c r="L1540" s="920">
        <v>12</v>
      </c>
      <c r="M1540" s="920">
        <f t="shared" si="46"/>
        <v>42000</v>
      </c>
      <c r="N1540" s="919"/>
      <c r="O1540" s="919"/>
      <c r="P1540" s="921">
        <f t="shared" si="47"/>
        <v>0</v>
      </c>
    </row>
    <row r="1541" spans="1:16" ht="20.100000000000001" customHeight="1" x14ac:dyDescent="0.25">
      <c r="A1541" s="918" t="s">
        <v>11903</v>
      </c>
      <c r="B1541" s="944" t="s">
        <v>3901</v>
      </c>
      <c r="C1541" s="919" t="s">
        <v>3902</v>
      </c>
      <c r="D1541" s="919" t="s">
        <v>6468</v>
      </c>
      <c r="E1541" s="920">
        <v>2300</v>
      </c>
      <c r="F1541" s="919" t="s">
        <v>6730</v>
      </c>
      <c r="G1541" s="919" t="s">
        <v>6731</v>
      </c>
      <c r="H1541" s="919" t="s">
        <v>6468</v>
      </c>
      <c r="I1541" s="919" t="s">
        <v>3724</v>
      </c>
      <c r="J1541" s="919"/>
      <c r="K1541" s="920">
        <v>1</v>
      </c>
      <c r="L1541" s="920">
        <v>12</v>
      </c>
      <c r="M1541" s="920">
        <f t="shared" si="46"/>
        <v>27600</v>
      </c>
      <c r="N1541" s="919"/>
      <c r="O1541" s="919"/>
      <c r="P1541" s="921">
        <f t="shared" si="47"/>
        <v>0</v>
      </c>
    </row>
    <row r="1542" spans="1:16" ht="20.100000000000001" customHeight="1" x14ac:dyDescent="0.25">
      <c r="A1542" s="918" t="s">
        <v>11903</v>
      </c>
      <c r="B1542" s="944" t="s">
        <v>3901</v>
      </c>
      <c r="C1542" s="919" t="s">
        <v>3902</v>
      </c>
      <c r="D1542" s="919" t="s">
        <v>6468</v>
      </c>
      <c r="E1542" s="920">
        <v>2300</v>
      </c>
      <c r="F1542" s="919" t="s">
        <v>6732</v>
      </c>
      <c r="G1542" s="919" t="s">
        <v>6733</v>
      </c>
      <c r="H1542" s="919" t="s">
        <v>6468</v>
      </c>
      <c r="I1542" s="919" t="s">
        <v>3724</v>
      </c>
      <c r="J1542" s="919"/>
      <c r="K1542" s="920">
        <v>1</v>
      </c>
      <c r="L1542" s="920">
        <v>12</v>
      </c>
      <c r="M1542" s="920">
        <f t="shared" ref="M1542:M1605" si="48">E1542*L1542</f>
        <v>27600</v>
      </c>
      <c r="N1542" s="919"/>
      <c r="O1542" s="919"/>
      <c r="P1542" s="921">
        <f t="shared" ref="P1542:P1605" si="49">E1542*O1542</f>
        <v>0</v>
      </c>
    </row>
    <row r="1543" spans="1:16" ht="20.100000000000001" customHeight="1" x14ac:dyDescent="0.25">
      <c r="A1543" s="918" t="s">
        <v>11903</v>
      </c>
      <c r="B1543" s="944" t="s">
        <v>3901</v>
      </c>
      <c r="C1543" s="919" t="s">
        <v>3902</v>
      </c>
      <c r="D1543" s="919" t="s">
        <v>6468</v>
      </c>
      <c r="E1543" s="920">
        <v>2300</v>
      </c>
      <c r="F1543" s="919" t="s">
        <v>6734</v>
      </c>
      <c r="G1543" s="919" t="s">
        <v>6735</v>
      </c>
      <c r="H1543" s="919" t="s">
        <v>6468</v>
      </c>
      <c r="I1543" s="919" t="s">
        <v>3724</v>
      </c>
      <c r="J1543" s="919"/>
      <c r="K1543" s="920">
        <v>1</v>
      </c>
      <c r="L1543" s="920">
        <v>12</v>
      </c>
      <c r="M1543" s="920">
        <f t="shared" si="48"/>
        <v>27600</v>
      </c>
      <c r="N1543" s="919"/>
      <c r="O1543" s="919"/>
      <c r="P1543" s="921">
        <f t="shared" si="49"/>
        <v>0</v>
      </c>
    </row>
    <row r="1544" spans="1:16" ht="20.100000000000001" customHeight="1" x14ac:dyDescent="0.25">
      <c r="A1544" s="918" t="s">
        <v>11903</v>
      </c>
      <c r="B1544" s="944" t="s">
        <v>3901</v>
      </c>
      <c r="C1544" s="919" t="s">
        <v>3902</v>
      </c>
      <c r="D1544" s="919" t="s">
        <v>6468</v>
      </c>
      <c r="E1544" s="920">
        <v>2300</v>
      </c>
      <c r="F1544" s="919" t="s">
        <v>6736</v>
      </c>
      <c r="G1544" s="919" t="s">
        <v>6737</v>
      </c>
      <c r="H1544" s="919" t="s">
        <v>6468</v>
      </c>
      <c r="I1544" s="919" t="s">
        <v>3724</v>
      </c>
      <c r="J1544" s="919"/>
      <c r="K1544" s="920">
        <v>1</v>
      </c>
      <c r="L1544" s="920">
        <v>12</v>
      </c>
      <c r="M1544" s="920">
        <f t="shared" si="48"/>
        <v>27600</v>
      </c>
      <c r="N1544" s="919"/>
      <c r="O1544" s="919"/>
      <c r="P1544" s="921">
        <f t="shared" si="49"/>
        <v>0</v>
      </c>
    </row>
    <row r="1545" spans="1:16" ht="20.100000000000001" customHeight="1" x14ac:dyDescent="0.25">
      <c r="A1545" s="918" t="s">
        <v>11903</v>
      </c>
      <c r="B1545" s="944" t="s">
        <v>3901</v>
      </c>
      <c r="C1545" s="919" t="s">
        <v>3902</v>
      </c>
      <c r="D1545" s="919" t="s">
        <v>6468</v>
      </c>
      <c r="E1545" s="920">
        <v>2300</v>
      </c>
      <c r="F1545" s="919" t="s">
        <v>6738</v>
      </c>
      <c r="G1545" s="919" t="s">
        <v>6739</v>
      </c>
      <c r="H1545" s="919" t="s">
        <v>6468</v>
      </c>
      <c r="I1545" s="919" t="s">
        <v>3724</v>
      </c>
      <c r="J1545" s="919"/>
      <c r="K1545" s="920">
        <v>1</v>
      </c>
      <c r="L1545" s="920">
        <v>12</v>
      </c>
      <c r="M1545" s="920">
        <f t="shared" si="48"/>
        <v>27600</v>
      </c>
      <c r="N1545" s="919"/>
      <c r="O1545" s="919"/>
      <c r="P1545" s="921">
        <f t="shared" si="49"/>
        <v>0</v>
      </c>
    </row>
    <row r="1546" spans="1:16" ht="20.100000000000001" customHeight="1" x14ac:dyDescent="0.25">
      <c r="A1546" s="918" t="s">
        <v>11903</v>
      </c>
      <c r="B1546" s="944" t="s">
        <v>3901</v>
      </c>
      <c r="C1546" s="919" t="s">
        <v>3902</v>
      </c>
      <c r="D1546" s="919" t="s">
        <v>6074</v>
      </c>
      <c r="E1546" s="920">
        <v>1400</v>
      </c>
      <c r="F1546" s="919" t="s">
        <v>6740</v>
      </c>
      <c r="G1546" s="919" t="s">
        <v>6741</v>
      </c>
      <c r="H1546" s="919" t="s">
        <v>6074</v>
      </c>
      <c r="I1546" s="919" t="s">
        <v>3686</v>
      </c>
      <c r="J1546" s="919"/>
      <c r="K1546" s="920">
        <v>1</v>
      </c>
      <c r="L1546" s="920">
        <v>12</v>
      </c>
      <c r="M1546" s="920">
        <f t="shared" si="48"/>
        <v>16800</v>
      </c>
      <c r="N1546" s="919"/>
      <c r="O1546" s="919"/>
      <c r="P1546" s="921">
        <f t="shared" si="49"/>
        <v>0</v>
      </c>
    </row>
    <row r="1547" spans="1:16" ht="20.100000000000001" customHeight="1" x14ac:dyDescent="0.25">
      <c r="A1547" s="918" t="s">
        <v>11903</v>
      </c>
      <c r="B1547" s="944" t="s">
        <v>3901</v>
      </c>
      <c r="C1547" s="919" t="s">
        <v>3902</v>
      </c>
      <c r="D1547" s="919" t="s">
        <v>6074</v>
      </c>
      <c r="E1547" s="920">
        <v>1400</v>
      </c>
      <c r="F1547" s="919" t="s">
        <v>6742</v>
      </c>
      <c r="G1547" s="919" t="s">
        <v>6743</v>
      </c>
      <c r="H1547" s="919" t="s">
        <v>6074</v>
      </c>
      <c r="I1547" s="919" t="s">
        <v>3686</v>
      </c>
      <c r="J1547" s="919"/>
      <c r="K1547" s="920">
        <v>1</v>
      </c>
      <c r="L1547" s="920">
        <v>12</v>
      </c>
      <c r="M1547" s="920">
        <f t="shared" si="48"/>
        <v>16800</v>
      </c>
      <c r="N1547" s="919"/>
      <c r="O1547" s="919"/>
      <c r="P1547" s="921">
        <f t="shared" si="49"/>
        <v>0</v>
      </c>
    </row>
    <row r="1548" spans="1:16" ht="20.100000000000001" customHeight="1" x14ac:dyDescent="0.25">
      <c r="A1548" s="918" t="s">
        <v>11903</v>
      </c>
      <c r="B1548" s="944" t="s">
        <v>3901</v>
      </c>
      <c r="C1548" s="919" t="s">
        <v>3902</v>
      </c>
      <c r="D1548" s="919" t="s">
        <v>6074</v>
      </c>
      <c r="E1548" s="920">
        <v>1400</v>
      </c>
      <c r="F1548" s="919" t="s">
        <v>6744</v>
      </c>
      <c r="G1548" s="919" t="s">
        <v>6745</v>
      </c>
      <c r="H1548" s="919" t="s">
        <v>6074</v>
      </c>
      <c r="I1548" s="919" t="s">
        <v>3686</v>
      </c>
      <c r="J1548" s="919"/>
      <c r="K1548" s="920">
        <v>1</v>
      </c>
      <c r="L1548" s="920">
        <v>12</v>
      </c>
      <c r="M1548" s="920">
        <f t="shared" si="48"/>
        <v>16800</v>
      </c>
      <c r="N1548" s="919"/>
      <c r="O1548" s="919"/>
      <c r="P1548" s="921">
        <f t="shared" si="49"/>
        <v>0</v>
      </c>
    </row>
    <row r="1549" spans="1:16" ht="20.100000000000001" customHeight="1" x14ac:dyDescent="0.25">
      <c r="A1549" s="918" t="s">
        <v>11903</v>
      </c>
      <c r="B1549" s="944" t="s">
        <v>3901</v>
      </c>
      <c r="C1549" s="919" t="s">
        <v>3902</v>
      </c>
      <c r="D1549" s="919" t="s">
        <v>6074</v>
      </c>
      <c r="E1549" s="920">
        <v>1400</v>
      </c>
      <c r="F1549" s="919" t="s">
        <v>6746</v>
      </c>
      <c r="G1549" s="919" t="s">
        <v>6747</v>
      </c>
      <c r="H1549" s="919" t="s">
        <v>6074</v>
      </c>
      <c r="I1549" s="919" t="s">
        <v>3686</v>
      </c>
      <c r="J1549" s="919"/>
      <c r="K1549" s="920">
        <v>1</v>
      </c>
      <c r="L1549" s="920">
        <v>12</v>
      </c>
      <c r="M1549" s="920">
        <f t="shared" si="48"/>
        <v>16800</v>
      </c>
      <c r="N1549" s="919"/>
      <c r="O1549" s="919"/>
      <c r="P1549" s="921">
        <f t="shared" si="49"/>
        <v>0</v>
      </c>
    </row>
    <row r="1550" spans="1:16" ht="20.100000000000001" customHeight="1" x14ac:dyDescent="0.25">
      <c r="A1550" s="918" t="s">
        <v>11903</v>
      </c>
      <c r="B1550" s="944" t="s">
        <v>3901</v>
      </c>
      <c r="C1550" s="919" t="s">
        <v>3902</v>
      </c>
      <c r="D1550" s="919" t="s">
        <v>6074</v>
      </c>
      <c r="E1550" s="920">
        <v>1400</v>
      </c>
      <c r="F1550" s="919" t="s">
        <v>6748</v>
      </c>
      <c r="G1550" s="919" t="s">
        <v>6749</v>
      </c>
      <c r="H1550" s="919" t="s">
        <v>6074</v>
      </c>
      <c r="I1550" s="919" t="s">
        <v>3686</v>
      </c>
      <c r="J1550" s="919"/>
      <c r="K1550" s="920">
        <v>1</v>
      </c>
      <c r="L1550" s="920">
        <v>12</v>
      </c>
      <c r="M1550" s="920">
        <f t="shared" si="48"/>
        <v>16800</v>
      </c>
      <c r="N1550" s="919"/>
      <c r="O1550" s="919"/>
      <c r="P1550" s="921">
        <f t="shared" si="49"/>
        <v>0</v>
      </c>
    </row>
    <row r="1551" spans="1:16" ht="20.100000000000001" customHeight="1" x14ac:dyDescent="0.25">
      <c r="A1551" s="918" t="s">
        <v>11903</v>
      </c>
      <c r="B1551" s="944" t="s">
        <v>3901</v>
      </c>
      <c r="C1551" s="919" t="s">
        <v>3902</v>
      </c>
      <c r="D1551" s="919" t="s">
        <v>6074</v>
      </c>
      <c r="E1551" s="920">
        <v>1400</v>
      </c>
      <c r="F1551" s="919" t="s">
        <v>6750</v>
      </c>
      <c r="G1551" s="919" t="s">
        <v>6751</v>
      </c>
      <c r="H1551" s="919" t="s">
        <v>6074</v>
      </c>
      <c r="I1551" s="919" t="s">
        <v>3686</v>
      </c>
      <c r="J1551" s="919"/>
      <c r="K1551" s="920">
        <v>1</v>
      </c>
      <c r="L1551" s="920">
        <v>12</v>
      </c>
      <c r="M1551" s="920">
        <f t="shared" si="48"/>
        <v>16800</v>
      </c>
      <c r="N1551" s="919"/>
      <c r="O1551" s="919"/>
      <c r="P1551" s="921">
        <f t="shared" si="49"/>
        <v>0</v>
      </c>
    </row>
    <row r="1552" spans="1:16" ht="20.100000000000001" customHeight="1" x14ac:dyDescent="0.25">
      <c r="A1552" s="918" t="s">
        <v>11903</v>
      </c>
      <c r="B1552" s="944" t="s">
        <v>3901</v>
      </c>
      <c r="C1552" s="919" t="s">
        <v>3902</v>
      </c>
      <c r="D1552" s="919" t="s">
        <v>6074</v>
      </c>
      <c r="E1552" s="920">
        <v>1400</v>
      </c>
      <c r="F1552" s="919" t="s">
        <v>6752</v>
      </c>
      <c r="G1552" s="919" t="s">
        <v>6753</v>
      </c>
      <c r="H1552" s="919" t="s">
        <v>6074</v>
      </c>
      <c r="I1552" s="919" t="s">
        <v>3686</v>
      </c>
      <c r="J1552" s="919"/>
      <c r="K1552" s="920">
        <v>1</v>
      </c>
      <c r="L1552" s="920">
        <v>12</v>
      </c>
      <c r="M1552" s="920">
        <f t="shared" si="48"/>
        <v>16800</v>
      </c>
      <c r="N1552" s="919"/>
      <c r="O1552" s="919"/>
      <c r="P1552" s="921">
        <f t="shared" si="49"/>
        <v>0</v>
      </c>
    </row>
    <row r="1553" spans="1:16" ht="20.100000000000001" customHeight="1" x14ac:dyDescent="0.25">
      <c r="A1553" s="918" t="s">
        <v>11903</v>
      </c>
      <c r="B1553" s="944" t="s">
        <v>3901</v>
      </c>
      <c r="C1553" s="919" t="s">
        <v>3902</v>
      </c>
      <c r="D1553" s="919" t="s">
        <v>6074</v>
      </c>
      <c r="E1553" s="920">
        <v>1400</v>
      </c>
      <c r="F1553" s="919" t="s">
        <v>6754</v>
      </c>
      <c r="G1553" s="919" t="s">
        <v>6755</v>
      </c>
      <c r="H1553" s="919" t="s">
        <v>6074</v>
      </c>
      <c r="I1553" s="919" t="s">
        <v>3686</v>
      </c>
      <c r="J1553" s="919"/>
      <c r="K1553" s="920">
        <v>1</v>
      </c>
      <c r="L1553" s="920">
        <v>12</v>
      </c>
      <c r="M1553" s="920">
        <f t="shared" si="48"/>
        <v>16800</v>
      </c>
      <c r="N1553" s="919"/>
      <c r="O1553" s="919"/>
      <c r="P1553" s="921">
        <f t="shared" si="49"/>
        <v>0</v>
      </c>
    </row>
    <row r="1554" spans="1:16" ht="20.100000000000001" customHeight="1" x14ac:dyDescent="0.25">
      <c r="A1554" s="918" t="s">
        <v>11903</v>
      </c>
      <c r="B1554" s="944" t="s">
        <v>3901</v>
      </c>
      <c r="C1554" s="919" t="s">
        <v>3902</v>
      </c>
      <c r="D1554" s="919" t="s">
        <v>6074</v>
      </c>
      <c r="E1554" s="920">
        <v>1400</v>
      </c>
      <c r="F1554" s="919" t="s">
        <v>6756</v>
      </c>
      <c r="G1554" s="919" t="s">
        <v>6757</v>
      </c>
      <c r="H1554" s="919" t="s">
        <v>6074</v>
      </c>
      <c r="I1554" s="919" t="s">
        <v>3686</v>
      </c>
      <c r="J1554" s="919"/>
      <c r="K1554" s="920">
        <v>1</v>
      </c>
      <c r="L1554" s="920">
        <v>12</v>
      </c>
      <c r="M1554" s="920">
        <f t="shared" si="48"/>
        <v>16800</v>
      </c>
      <c r="N1554" s="919"/>
      <c r="O1554" s="919"/>
      <c r="P1554" s="921">
        <f t="shared" si="49"/>
        <v>0</v>
      </c>
    </row>
    <row r="1555" spans="1:16" ht="20.100000000000001" customHeight="1" x14ac:dyDescent="0.25">
      <c r="A1555" s="918" t="s">
        <v>11903</v>
      </c>
      <c r="B1555" s="944" t="s">
        <v>3901</v>
      </c>
      <c r="C1555" s="919" t="s">
        <v>3902</v>
      </c>
      <c r="D1555" s="919" t="s">
        <v>6074</v>
      </c>
      <c r="E1555" s="920">
        <v>1400</v>
      </c>
      <c r="F1555" s="919" t="s">
        <v>6758</v>
      </c>
      <c r="G1555" s="919" t="s">
        <v>6759</v>
      </c>
      <c r="H1555" s="919" t="s">
        <v>6074</v>
      </c>
      <c r="I1555" s="919" t="s">
        <v>3686</v>
      </c>
      <c r="J1555" s="919"/>
      <c r="K1555" s="920">
        <v>1</v>
      </c>
      <c r="L1555" s="920">
        <v>12</v>
      </c>
      <c r="M1555" s="920">
        <f t="shared" si="48"/>
        <v>16800</v>
      </c>
      <c r="N1555" s="919"/>
      <c r="O1555" s="919"/>
      <c r="P1555" s="921">
        <f t="shared" si="49"/>
        <v>0</v>
      </c>
    </row>
    <row r="1556" spans="1:16" ht="20.100000000000001" customHeight="1" x14ac:dyDescent="0.25">
      <c r="A1556" s="918" t="s">
        <v>11903</v>
      </c>
      <c r="B1556" s="944" t="s">
        <v>3901</v>
      </c>
      <c r="C1556" s="919" t="s">
        <v>3902</v>
      </c>
      <c r="D1556" s="919" t="s">
        <v>6074</v>
      </c>
      <c r="E1556" s="920">
        <v>1400</v>
      </c>
      <c r="F1556" s="919" t="s">
        <v>6760</v>
      </c>
      <c r="G1556" s="919" t="s">
        <v>6761</v>
      </c>
      <c r="H1556" s="919" t="s">
        <v>6074</v>
      </c>
      <c r="I1556" s="919" t="s">
        <v>3686</v>
      </c>
      <c r="J1556" s="919"/>
      <c r="K1556" s="920">
        <v>1</v>
      </c>
      <c r="L1556" s="920">
        <v>12</v>
      </c>
      <c r="M1556" s="920">
        <f t="shared" si="48"/>
        <v>16800</v>
      </c>
      <c r="N1556" s="919"/>
      <c r="O1556" s="919"/>
      <c r="P1556" s="921">
        <f t="shared" si="49"/>
        <v>0</v>
      </c>
    </row>
    <row r="1557" spans="1:16" ht="20.100000000000001" customHeight="1" x14ac:dyDescent="0.25">
      <c r="A1557" s="918" t="s">
        <v>11903</v>
      </c>
      <c r="B1557" s="944" t="s">
        <v>3901</v>
      </c>
      <c r="C1557" s="919" t="s">
        <v>3902</v>
      </c>
      <c r="D1557" s="919" t="s">
        <v>6074</v>
      </c>
      <c r="E1557" s="920">
        <v>1400</v>
      </c>
      <c r="F1557" s="919" t="s">
        <v>6762</v>
      </c>
      <c r="G1557" s="919" t="s">
        <v>6763</v>
      </c>
      <c r="H1557" s="919" t="s">
        <v>6074</v>
      </c>
      <c r="I1557" s="919" t="s">
        <v>3686</v>
      </c>
      <c r="J1557" s="919"/>
      <c r="K1557" s="920">
        <v>1</v>
      </c>
      <c r="L1557" s="920">
        <v>12</v>
      </c>
      <c r="M1557" s="920">
        <f t="shared" si="48"/>
        <v>16800</v>
      </c>
      <c r="N1557" s="919"/>
      <c r="O1557" s="919"/>
      <c r="P1557" s="921">
        <f t="shared" si="49"/>
        <v>0</v>
      </c>
    </row>
    <row r="1558" spans="1:16" ht="20.100000000000001" customHeight="1" x14ac:dyDescent="0.25">
      <c r="A1558" s="918" t="s">
        <v>11903</v>
      </c>
      <c r="B1558" s="944" t="s">
        <v>3901</v>
      </c>
      <c r="C1558" s="919" t="s">
        <v>3902</v>
      </c>
      <c r="D1558" s="919" t="s">
        <v>6074</v>
      </c>
      <c r="E1558" s="920">
        <v>1400</v>
      </c>
      <c r="F1558" s="919" t="s">
        <v>6764</v>
      </c>
      <c r="G1558" s="919" t="s">
        <v>6765</v>
      </c>
      <c r="H1558" s="919" t="s">
        <v>6074</v>
      </c>
      <c r="I1558" s="919" t="s">
        <v>3686</v>
      </c>
      <c r="J1558" s="919"/>
      <c r="K1558" s="920">
        <v>1</v>
      </c>
      <c r="L1558" s="920">
        <v>12</v>
      </c>
      <c r="M1558" s="920">
        <f t="shared" si="48"/>
        <v>16800</v>
      </c>
      <c r="N1558" s="919"/>
      <c r="O1558" s="919"/>
      <c r="P1558" s="921">
        <f t="shared" si="49"/>
        <v>0</v>
      </c>
    </row>
    <row r="1559" spans="1:16" ht="20.100000000000001" customHeight="1" x14ac:dyDescent="0.25">
      <c r="A1559" s="918" t="s">
        <v>11903</v>
      </c>
      <c r="B1559" s="944" t="s">
        <v>3901</v>
      </c>
      <c r="C1559" s="919" t="s">
        <v>3902</v>
      </c>
      <c r="D1559" s="919" t="s">
        <v>6074</v>
      </c>
      <c r="E1559" s="920">
        <v>1400</v>
      </c>
      <c r="F1559" s="919" t="s">
        <v>6766</v>
      </c>
      <c r="G1559" s="919" t="s">
        <v>6767</v>
      </c>
      <c r="H1559" s="919" t="s">
        <v>6074</v>
      </c>
      <c r="I1559" s="919" t="s">
        <v>3686</v>
      </c>
      <c r="J1559" s="919"/>
      <c r="K1559" s="920">
        <v>1</v>
      </c>
      <c r="L1559" s="920">
        <v>12</v>
      </c>
      <c r="M1559" s="920">
        <f t="shared" si="48"/>
        <v>16800</v>
      </c>
      <c r="N1559" s="919"/>
      <c r="O1559" s="919"/>
      <c r="P1559" s="921">
        <f t="shared" si="49"/>
        <v>0</v>
      </c>
    </row>
    <row r="1560" spans="1:16" ht="20.100000000000001" customHeight="1" x14ac:dyDescent="0.25">
      <c r="A1560" s="918" t="s">
        <v>11903</v>
      </c>
      <c r="B1560" s="944" t="s">
        <v>3901</v>
      </c>
      <c r="C1560" s="919" t="s">
        <v>3902</v>
      </c>
      <c r="D1560" s="919" t="s">
        <v>6074</v>
      </c>
      <c r="E1560" s="920">
        <v>1400</v>
      </c>
      <c r="F1560" s="919" t="s">
        <v>6768</v>
      </c>
      <c r="G1560" s="919" t="s">
        <v>6769</v>
      </c>
      <c r="H1560" s="919" t="s">
        <v>6074</v>
      </c>
      <c r="I1560" s="919" t="s">
        <v>3686</v>
      </c>
      <c r="J1560" s="919"/>
      <c r="K1560" s="920">
        <v>1</v>
      </c>
      <c r="L1560" s="920">
        <v>12</v>
      </c>
      <c r="M1560" s="920">
        <f t="shared" si="48"/>
        <v>16800</v>
      </c>
      <c r="N1560" s="919"/>
      <c r="O1560" s="919"/>
      <c r="P1560" s="921">
        <f t="shared" si="49"/>
        <v>0</v>
      </c>
    </row>
    <row r="1561" spans="1:16" ht="20.100000000000001" customHeight="1" x14ac:dyDescent="0.25">
      <c r="A1561" s="918" t="s">
        <v>11903</v>
      </c>
      <c r="B1561" s="944" t="s">
        <v>3901</v>
      </c>
      <c r="C1561" s="919" t="s">
        <v>3902</v>
      </c>
      <c r="D1561" s="919" t="s">
        <v>6770</v>
      </c>
      <c r="E1561" s="920">
        <v>2100</v>
      </c>
      <c r="F1561" s="919" t="s">
        <v>6771</v>
      </c>
      <c r="G1561" s="919" t="s">
        <v>6772</v>
      </c>
      <c r="H1561" s="919" t="s">
        <v>6770</v>
      </c>
      <c r="I1561" s="919" t="s">
        <v>3679</v>
      </c>
      <c r="J1561" s="919"/>
      <c r="K1561" s="920">
        <v>1</v>
      </c>
      <c r="L1561" s="920">
        <v>12</v>
      </c>
      <c r="M1561" s="920">
        <f t="shared" si="48"/>
        <v>25200</v>
      </c>
      <c r="N1561" s="919"/>
      <c r="O1561" s="919"/>
      <c r="P1561" s="921">
        <f t="shared" si="49"/>
        <v>0</v>
      </c>
    </row>
    <row r="1562" spans="1:16" ht="20.100000000000001" customHeight="1" x14ac:dyDescent="0.25">
      <c r="A1562" s="918" t="s">
        <v>11903</v>
      </c>
      <c r="B1562" s="944" t="s">
        <v>3901</v>
      </c>
      <c r="C1562" s="919" t="s">
        <v>3902</v>
      </c>
      <c r="D1562" s="919" t="s">
        <v>3999</v>
      </c>
      <c r="E1562" s="920">
        <v>2300</v>
      </c>
      <c r="F1562" s="919" t="s">
        <v>6773</v>
      </c>
      <c r="G1562" s="919" t="s">
        <v>6774</v>
      </c>
      <c r="H1562" s="919" t="s">
        <v>3999</v>
      </c>
      <c r="I1562" s="919" t="s">
        <v>3724</v>
      </c>
      <c r="J1562" s="919"/>
      <c r="K1562" s="920">
        <v>1</v>
      </c>
      <c r="L1562" s="920">
        <v>12</v>
      </c>
      <c r="M1562" s="920">
        <f t="shared" si="48"/>
        <v>27600</v>
      </c>
      <c r="N1562" s="919"/>
      <c r="O1562" s="919"/>
      <c r="P1562" s="921">
        <f t="shared" si="49"/>
        <v>0</v>
      </c>
    </row>
    <row r="1563" spans="1:16" ht="20.100000000000001" customHeight="1" x14ac:dyDescent="0.25">
      <c r="A1563" s="918" t="s">
        <v>11903</v>
      </c>
      <c r="B1563" s="944" t="s">
        <v>3901</v>
      </c>
      <c r="C1563" s="919" t="s">
        <v>3902</v>
      </c>
      <c r="D1563" s="919" t="s">
        <v>3999</v>
      </c>
      <c r="E1563" s="920">
        <v>2100</v>
      </c>
      <c r="F1563" s="919" t="s">
        <v>6775</v>
      </c>
      <c r="G1563" s="919" t="s">
        <v>6776</v>
      </c>
      <c r="H1563" s="919" t="s">
        <v>3999</v>
      </c>
      <c r="I1563" s="919" t="s">
        <v>3724</v>
      </c>
      <c r="J1563" s="919"/>
      <c r="K1563" s="920">
        <v>1</v>
      </c>
      <c r="L1563" s="920">
        <v>12</v>
      </c>
      <c r="M1563" s="920">
        <f t="shared" si="48"/>
        <v>25200</v>
      </c>
      <c r="N1563" s="919"/>
      <c r="O1563" s="919"/>
      <c r="P1563" s="921">
        <f t="shared" si="49"/>
        <v>0</v>
      </c>
    </row>
    <row r="1564" spans="1:16" ht="20.100000000000001" customHeight="1" x14ac:dyDescent="0.25">
      <c r="A1564" s="918" t="s">
        <v>11903</v>
      </c>
      <c r="B1564" s="944" t="s">
        <v>3901</v>
      </c>
      <c r="C1564" s="919" t="s">
        <v>3902</v>
      </c>
      <c r="D1564" s="919" t="s">
        <v>3999</v>
      </c>
      <c r="E1564" s="920">
        <v>2100</v>
      </c>
      <c r="F1564" s="919" t="s">
        <v>6777</v>
      </c>
      <c r="G1564" s="919" t="s">
        <v>6778</v>
      </c>
      <c r="H1564" s="919" t="s">
        <v>3999</v>
      </c>
      <c r="I1564" s="919" t="s">
        <v>3724</v>
      </c>
      <c r="J1564" s="919"/>
      <c r="K1564" s="920">
        <v>1</v>
      </c>
      <c r="L1564" s="920">
        <v>12</v>
      </c>
      <c r="M1564" s="920">
        <f t="shared" si="48"/>
        <v>25200</v>
      </c>
      <c r="N1564" s="919"/>
      <c r="O1564" s="919"/>
      <c r="P1564" s="921">
        <f t="shared" si="49"/>
        <v>0</v>
      </c>
    </row>
    <row r="1565" spans="1:16" ht="20.100000000000001" customHeight="1" x14ac:dyDescent="0.25">
      <c r="A1565" s="918" t="s">
        <v>11903</v>
      </c>
      <c r="B1565" s="944" t="s">
        <v>3901</v>
      </c>
      <c r="C1565" s="919" t="s">
        <v>3902</v>
      </c>
      <c r="D1565" s="919" t="s">
        <v>6274</v>
      </c>
      <c r="E1565" s="920">
        <v>8000</v>
      </c>
      <c r="F1565" s="919" t="s">
        <v>6779</v>
      </c>
      <c r="G1565" s="919" t="s">
        <v>6780</v>
      </c>
      <c r="H1565" s="919" t="s">
        <v>6274</v>
      </c>
      <c r="I1565" s="919" t="s">
        <v>3724</v>
      </c>
      <c r="J1565" s="919"/>
      <c r="K1565" s="920">
        <v>1</v>
      </c>
      <c r="L1565" s="920">
        <v>12</v>
      </c>
      <c r="M1565" s="920">
        <f t="shared" si="48"/>
        <v>96000</v>
      </c>
      <c r="N1565" s="919"/>
      <c r="O1565" s="919"/>
      <c r="P1565" s="921">
        <f t="shared" si="49"/>
        <v>0</v>
      </c>
    </row>
    <row r="1566" spans="1:16" ht="20.100000000000001" customHeight="1" x14ac:dyDescent="0.25">
      <c r="A1566" s="918" t="s">
        <v>11903</v>
      </c>
      <c r="B1566" s="944" t="s">
        <v>3901</v>
      </c>
      <c r="C1566" s="919" t="s">
        <v>3902</v>
      </c>
      <c r="D1566" s="919" t="s">
        <v>6120</v>
      </c>
      <c r="E1566" s="920">
        <v>6000</v>
      </c>
      <c r="F1566" s="919" t="s">
        <v>6781</v>
      </c>
      <c r="G1566" s="919" t="s">
        <v>6782</v>
      </c>
      <c r="H1566" s="919" t="s">
        <v>6120</v>
      </c>
      <c r="I1566" s="919" t="s">
        <v>3724</v>
      </c>
      <c r="J1566" s="919"/>
      <c r="K1566" s="920">
        <v>1</v>
      </c>
      <c r="L1566" s="920">
        <v>12</v>
      </c>
      <c r="M1566" s="920">
        <f t="shared" si="48"/>
        <v>72000</v>
      </c>
      <c r="N1566" s="919"/>
      <c r="O1566" s="919"/>
      <c r="P1566" s="921">
        <f t="shared" si="49"/>
        <v>0</v>
      </c>
    </row>
    <row r="1567" spans="1:16" ht="20.100000000000001" customHeight="1" x14ac:dyDescent="0.25">
      <c r="A1567" s="918" t="s">
        <v>11903</v>
      </c>
      <c r="B1567" s="944" t="s">
        <v>3901</v>
      </c>
      <c r="C1567" s="919" t="s">
        <v>3902</v>
      </c>
      <c r="D1567" s="919" t="s">
        <v>3999</v>
      </c>
      <c r="E1567" s="920">
        <v>2100</v>
      </c>
      <c r="F1567" s="919" t="s">
        <v>6783</v>
      </c>
      <c r="G1567" s="919" t="s">
        <v>6784</v>
      </c>
      <c r="H1567" s="919" t="s">
        <v>3999</v>
      </c>
      <c r="I1567" s="919" t="s">
        <v>3724</v>
      </c>
      <c r="J1567" s="919"/>
      <c r="K1567" s="920">
        <v>1</v>
      </c>
      <c r="L1567" s="920">
        <v>12</v>
      </c>
      <c r="M1567" s="920">
        <f t="shared" si="48"/>
        <v>25200</v>
      </c>
      <c r="N1567" s="919"/>
      <c r="O1567" s="919"/>
      <c r="P1567" s="921">
        <f t="shared" si="49"/>
        <v>0</v>
      </c>
    </row>
    <row r="1568" spans="1:16" ht="20.100000000000001" customHeight="1" x14ac:dyDescent="0.25">
      <c r="A1568" s="918" t="s">
        <v>11903</v>
      </c>
      <c r="B1568" s="944" t="s">
        <v>3901</v>
      </c>
      <c r="C1568" s="919" t="s">
        <v>3902</v>
      </c>
      <c r="D1568" s="919" t="s">
        <v>3999</v>
      </c>
      <c r="E1568" s="920">
        <v>2300</v>
      </c>
      <c r="F1568" s="919" t="s">
        <v>6785</v>
      </c>
      <c r="G1568" s="919" t="s">
        <v>6786</v>
      </c>
      <c r="H1568" s="919" t="s">
        <v>3999</v>
      </c>
      <c r="I1568" s="919" t="s">
        <v>3724</v>
      </c>
      <c r="J1568" s="919"/>
      <c r="K1568" s="920">
        <v>1</v>
      </c>
      <c r="L1568" s="920">
        <v>12</v>
      </c>
      <c r="M1568" s="920">
        <f t="shared" si="48"/>
        <v>27600</v>
      </c>
      <c r="N1568" s="919"/>
      <c r="O1568" s="919"/>
      <c r="P1568" s="921">
        <f t="shared" si="49"/>
        <v>0</v>
      </c>
    </row>
    <row r="1569" spans="1:16" ht="20.100000000000001" customHeight="1" x14ac:dyDescent="0.25">
      <c r="A1569" s="918" t="s">
        <v>11903</v>
      </c>
      <c r="B1569" s="944" t="s">
        <v>3901</v>
      </c>
      <c r="C1569" s="919" t="s">
        <v>3902</v>
      </c>
      <c r="D1569" s="919" t="s">
        <v>3999</v>
      </c>
      <c r="E1569" s="920">
        <v>2800</v>
      </c>
      <c r="F1569" s="919" t="s">
        <v>6787</v>
      </c>
      <c r="G1569" s="919" t="s">
        <v>6788</v>
      </c>
      <c r="H1569" s="919" t="s">
        <v>3999</v>
      </c>
      <c r="I1569" s="919" t="s">
        <v>3724</v>
      </c>
      <c r="J1569" s="919"/>
      <c r="K1569" s="920">
        <v>1</v>
      </c>
      <c r="L1569" s="920">
        <v>12</v>
      </c>
      <c r="M1569" s="920">
        <f t="shared" si="48"/>
        <v>33600</v>
      </c>
      <c r="N1569" s="919"/>
      <c r="O1569" s="919"/>
      <c r="P1569" s="921">
        <f t="shared" si="49"/>
        <v>0</v>
      </c>
    </row>
    <row r="1570" spans="1:16" ht="20.100000000000001" customHeight="1" x14ac:dyDescent="0.25">
      <c r="A1570" s="918" t="s">
        <v>11903</v>
      </c>
      <c r="B1570" s="944" t="s">
        <v>3901</v>
      </c>
      <c r="C1570" s="919" t="s">
        <v>3902</v>
      </c>
      <c r="D1570" s="919" t="s">
        <v>3999</v>
      </c>
      <c r="E1570" s="920">
        <v>2100</v>
      </c>
      <c r="F1570" s="919" t="s">
        <v>6789</v>
      </c>
      <c r="G1570" s="919" t="s">
        <v>6790</v>
      </c>
      <c r="H1570" s="919" t="s">
        <v>3999</v>
      </c>
      <c r="I1570" s="919" t="s">
        <v>3724</v>
      </c>
      <c r="J1570" s="919"/>
      <c r="K1570" s="920">
        <v>1</v>
      </c>
      <c r="L1570" s="920">
        <v>12</v>
      </c>
      <c r="M1570" s="920">
        <f t="shared" si="48"/>
        <v>25200</v>
      </c>
      <c r="N1570" s="919"/>
      <c r="O1570" s="919"/>
      <c r="P1570" s="921">
        <f t="shared" si="49"/>
        <v>0</v>
      </c>
    </row>
    <row r="1571" spans="1:16" ht="20.100000000000001" customHeight="1" x14ac:dyDescent="0.25">
      <c r="A1571" s="918" t="s">
        <v>11903</v>
      </c>
      <c r="B1571" s="944" t="s">
        <v>3901</v>
      </c>
      <c r="C1571" s="919" t="s">
        <v>3902</v>
      </c>
      <c r="D1571" s="919" t="s">
        <v>3999</v>
      </c>
      <c r="E1571" s="920">
        <v>2300</v>
      </c>
      <c r="F1571" s="919" t="s">
        <v>6791</v>
      </c>
      <c r="G1571" s="919" t="s">
        <v>6792</v>
      </c>
      <c r="H1571" s="919" t="s">
        <v>3999</v>
      </c>
      <c r="I1571" s="919" t="s">
        <v>3724</v>
      </c>
      <c r="J1571" s="919"/>
      <c r="K1571" s="920">
        <v>1</v>
      </c>
      <c r="L1571" s="920">
        <v>12</v>
      </c>
      <c r="M1571" s="920">
        <f t="shared" si="48"/>
        <v>27600</v>
      </c>
      <c r="N1571" s="919"/>
      <c r="O1571" s="919"/>
      <c r="P1571" s="921">
        <f t="shared" si="49"/>
        <v>0</v>
      </c>
    </row>
    <row r="1572" spans="1:16" ht="20.100000000000001" customHeight="1" x14ac:dyDescent="0.25">
      <c r="A1572" s="918" t="s">
        <v>11903</v>
      </c>
      <c r="B1572" s="944" t="s">
        <v>3901</v>
      </c>
      <c r="C1572" s="919" t="s">
        <v>3902</v>
      </c>
      <c r="D1572" s="919" t="s">
        <v>4352</v>
      </c>
      <c r="E1572" s="920">
        <v>2100</v>
      </c>
      <c r="F1572" s="919" t="s">
        <v>6793</v>
      </c>
      <c r="G1572" s="919" t="s">
        <v>6794</v>
      </c>
      <c r="H1572" s="919" t="s">
        <v>4352</v>
      </c>
      <c r="I1572" s="919" t="s">
        <v>3724</v>
      </c>
      <c r="J1572" s="919"/>
      <c r="K1572" s="920">
        <v>1</v>
      </c>
      <c r="L1572" s="920">
        <v>12</v>
      </c>
      <c r="M1572" s="920">
        <f t="shared" si="48"/>
        <v>25200</v>
      </c>
      <c r="N1572" s="919"/>
      <c r="O1572" s="919"/>
      <c r="P1572" s="921">
        <f t="shared" si="49"/>
        <v>0</v>
      </c>
    </row>
    <row r="1573" spans="1:16" ht="20.100000000000001" customHeight="1" x14ac:dyDescent="0.25">
      <c r="A1573" s="918" t="s">
        <v>11903</v>
      </c>
      <c r="B1573" s="944" t="s">
        <v>3901</v>
      </c>
      <c r="C1573" s="919" t="s">
        <v>3902</v>
      </c>
      <c r="D1573" s="919" t="s">
        <v>3999</v>
      </c>
      <c r="E1573" s="920">
        <v>2500</v>
      </c>
      <c r="F1573" s="919" t="s">
        <v>6795</v>
      </c>
      <c r="G1573" s="919" t="s">
        <v>6796</v>
      </c>
      <c r="H1573" s="919" t="s">
        <v>3999</v>
      </c>
      <c r="I1573" s="919" t="s">
        <v>3724</v>
      </c>
      <c r="J1573" s="919"/>
      <c r="K1573" s="920">
        <v>1</v>
      </c>
      <c r="L1573" s="920">
        <v>12</v>
      </c>
      <c r="M1573" s="920">
        <f t="shared" si="48"/>
        <v>30000</v>
      </c>
      <c r="N1573" s="919"/>
      <c r="O1573" s="919"/>
      <c r="P1573" s="921">
        <f t="shared" si="49"/>
        <v>0</v>
      </c>
    </row>
    <row r="1574" spans="1:16" ht="20.100000000000001" customHeight="1" x14ac:dyDescent="0.25">
      <c r="A1574" s="918" t="s">
        <v>11903</v>
      </c>
      <c r="B1574" s="944" t="s">
        <v>3901</v>
      </c>
      <c r="C1574" s="919" t="s">
        <v>3902</v>
      </c>
      <c r="D1574" s="919" t="s">
        <v>3999</v>
      </c>
      <c r="E1574" s="920">
        <v>2500</v>
      </c>
      <c r="F1574" s="919" t="s">
        <v>6797</v>
      </c>
      <c r="G1574" s="919" t="s">
        <v>6798</v>
      </c>
      <c r="H1574" s="919" t="s">
        <v>3999</v>
      </c>
      <c r="I1574" s="919" t="s">
        <v>3724</v>
      </c>
      <c r="J1574" s="919"/>
      <c r="K1574" s="920">
        <v>1</v>
      </c>
      <c r="L1574" s="920">
        <v>12</v>
      </c>
      <c r="M1574" s="920">
        <f t="shared" si="48"/>
        <v>30000</v>
      </c>
      <c r="N1574" s="919"/>
      <c r="O1574" s="919"/>
      <c r="P1574" s="921">
        <f t="shared" si="49"/>
        <v>0</v>
      </c>
    </row>
    <row r="1575" spans="1:16" ht="20.100000000000001" customHeight="1" x14ac:dyDescent="0.25">
      <c r="A1575" s="918" t="s">
        <v>11903</v>
      </c>
      <c r="B1575" s="944" t="s">
        <v>3901</v>
      </c>
      <c r="C1575" s="919" t="s">
        <v>3902</v>
      </c>
      <c r="D1575" s="919" t="s">
        <v>3999</v>
      </c>
      <c r="E1575" s="920">
        <v>2100</v>
      </c>
      <c r="F1575" s="919" t="s">
        <v>6799</v>
      </c>
      <c r="G1575" s="919" t="s">
        <v>6800</v>
      </c>
      <c r="H1575" s="919" t="s">
        <v>3999</v>
      </c>
      <c r="I1575" s="919" t="s">
        <v>3724</v>
      </c>
      <c r="J1575" s="919"/>
      <c r="K1575" s="920">
        <v>1</v>
      </c>
      <c r="L1575" s="920">
        <v>12</v>
      </c>
      <c r="M1575" s="920">
        <f t="shared" si="48"/>
        <v>25200</v>
      </c>
      <c r="N1575" s="919"/>
      <c r="O1575" s="919"/>
      <c r="P1575" s="921">
        <f t="shared" si="49"/>
        <v>0</v>
      </c>
    </row>
    <row r="1576" spans="1:16" ht="20.100000000000001" customHeight="1" x14ac:dyDescent="0.25">
      <c r="A1576" s="918" t="s">
        <v>11903</v>
      </c>
      <c r="B1576" s="944" t="s">
        <v>3901</v>
      </c>
      <c r="C1576" s="919" t="s">
        <v>3902</v>
      </c>
      <c r="D1576" s="919" t="s">
        <v>3999</v>
      </c>
      <c r="E1576" s="920">
        <v>2100</v>
      </c>
      <c r="F1576" s="919" t="s">
        <v>4041</v>
      </c>
      <c r="G1576" s="919" t="s">
        <v>4062</v>
      </c>
      <c r="H1576" s="919" t="s">
        <v>3999</v>
      </c>
      <c r="I1576" s="919" t="s">
        <v>3724</v>
      </c>
      <c r="J1576" s="919"/>
      <c r="K1576" s="920">
        <v>1</v>
      </c>
      <c r="L1576" s="920">
        <v>12</v>
      </c>
      <c r="M1576" s="920">
        <f t="shared" si="48"/>
        <v>25200</v>
      </c>
      <c r="N1576" s="919"/>
      <c r="O1576" s="919"/>
      <c r="P1576" s="921">
        <f t="shared" si="49"/>
        <v>0</v>
      </c>
    </row>
    <row r="1577" spans="1:16" ht="20.100000000000001" customHeight="1" x14ac:dyDescent="0.25">
      <c r="A1577" s="918" t="s">
        <v>11903</v>
      </c>
      <c r="B1577" s="944" t="s">
        <v>3901</v>
      </c>
      <c r="C1577" s="919" t="s">
        <v>3902</v>
      </c>
      <c r="D1577" s="919" t="s">
        <v>3999</v>
      </c>
      <c r="E1577" s="920">
        <v>2100</v>
      </c>
      <c r="F1577" s="919" t="s">
        <v>4041</v>
      </c>
      <c r="G1577" s="919" t="s">
        <v>4062</v>
      </c>
      <c r="H1577" s="919" t="s">
        <v>3999</v>
      </c>
      <c r="I1577" s="919" t="s">
        <v>3724</v>
      </c>
      <c r="J1577" s="919"/>
      <c r="K1577" s="920">
        <v>1</v>
      </c>
      <c r="L1577" s="920">
        <v>12</v>
      </c>
      <c r="M1577" s="920">
        <f t="shared" si="48"/>
        <v>25200</v>
      </c>
      <c r="N1577" s="919"/>
      <c r="O1577" s="919"/>
      <c r="P1577" s="921">
        <f t="shared" si="49"/>
        <v>0</v>
      </c>
    </row>
    <row r="1578" spans="1:16" ht="20.100000000000001" customHeight="1" x14ac:dyDescent="0.25">
      <c r="A1578" s="918" t="s">
        <v>11903</v>
      </c>
      <c r="B1578" s="944" t="s">
        <v>3901</v>
      </c>
      <c r="C1578" s="919" t="s">
        <v>3902</v>
      </c>
      <c r="D1578" s="919" t="s">
        <v>3999</v>
      </c>
      <c r="E1578" s="920">
        <v>2300</v>
      </c>
      <c r="F1578" s="919" t="s">
        <v>6801</v>
      </c>
      <c r="G1578" s="919" t="s">
        <v>6802</v>
      </c>
      <c r="H1578" s="919" t="s">
        <v>3999</v>
      </c>
      <c r="I1578" s="919" t="s">
        <v>3724</v>
      </c>
      <c r="J1578" s="919"/>
      <c r="K1578" s="920">
        <v>1</v>
      </c>
      <c r="L1578" s="920">
        <v>12</v>
      </c>
      <c r="M1578" s="920">
        <f t="shared" si="48"/>
        <v>27600</v>
      </c>
      <c r="N1578" s="919"/>
      <c r="O1578" s="919"/>
      <c r="P1578" s="921">
        <f t="shared" si="49"/>
        <v>0</v>
      </c>
    </row>
    <row r="1579" spans="1:16" ht="20.100000000000001" customHeight="1" x14ac:dyDescent="0.25">
      <c r="A1579" s="918" t="s">
        <v>11903</v>
      </c>
      <c r="B1579" s="944" t="s">
        <v>3901</v>
      </c>
      <c r="C1579" s="919" t="s">
        <v>3902</v>
      </c>
      <c r="D1579" s="919" t="s">
        <v>3999</v>
      </c>
      <c r="E1579" s="920">
        <v>2500</v>
      </c>
      <c r="F1579" s="919" t="s">
        <v>6803</v>
      </c>
      <c r="G1579" s="919" t="s">
        <v>6804</v>
      </c>
      <c r="H1579" s="919" t="s">
        <v>3999</v>
      </c>
      <c r="I1579" s="919" t="s">
        <v>3724</v>
      </c>
      <c r="J1579" s="919"/>
      <c r="K1579" s="920">
        <v>1</v>
      </c>
      <c r="L1579" s="920">
        <v>12</v>
      </c>
      <c r="M1579" s="920">
        <f t="shared" si="48"/>
        <v>30000</v>
      </c>
      <c r="N1579" s="919"/>
      <c r="O1579" s="919"/>
      <c r="P1579" s="921">
        <f t="shared" si="49"/>
        <v>0</v>
      </c>
    </row>
    <row r="1580" spans="1:16" ht="20.100000000000001" customHeight="1" x14ac:dyDescent="0.25">
      <c r="A1580" s="918" t="s">
        <v>11903</v>
      </c>
      <c r="B1580" s="944" t="s">
        <v>3901</v>
      </c>
      <c r="C1580" s="919" t="s">
        <v>3902</v>
      </c>
      <c r="D1580" s="919" t="s">
        <v>3999</v>
      </c>
      <c r="E1580" s="920">
        <v>2100</v>
      </c>
      <c r="F1580" s="919" t="s">
        <v>4041</v>
      </c>
      <c r="G1580" s="919" t="s">
        <v>4062</v>
      </c>
      <c r="H1580" s="919" t="s">
        <v>3999</v>
      </c>
      <c r="I1580" s="919" t="s">
        <v>3724</v>
      </c>
      <c r="J1580" s="919"/>
      <c r="K1580" s="920">
        <v>1</v>
      </c>
      <c r="L1580" s="920">
        <v>12</v>
      </c>
      <c r="M1580" s="920">
        <f t="shared" si="48"/>
        <v>25200</v>
      </c>
      <c r="N1580" s="919"/>
      <c r="O1580" s="919"/>
      <c r="P1580" s="921">
        <f t="shared" si="49"/>
        <v>0</v>
      </c>
    </row>
    <row r="1581" spans="1:16" ht="20.100000000000001" customHeight="1" x14ac:dyDescent="0.25">
      <c r="A1581" s="918" t="s">
        <v>11903</v>
      </c>
      <c r="B1581" s="944" t="s">
        <v>3901</v>
      </c>
      <c r="C1581" s="919" t="s">
        <v>3902</v>
      </c>
      <c r="D1581" s="919" t="s">
        <v>4382</v>
      </c>
      <c r="E1581" s="920">
        <v>2800</v>
      </c>
      <c r="F1581" s="919" t="s">
        <v>4041</v>
      </c>
      <c r="G1581" s="919" t="s">
        <v>4062</v>
      </c>
      <c r="H1581" s="919" t="s">
        <v>4382</v>
      </c>
      <c r="I1581" s="919" t="s">
        <v>3724</v>
      </c>
      <c r="J1581" s="919"/>
      <c r="K1581" s="920">
        <v>1</v>
      </c>
      <c r="L1581" s="920">
        <v>12</v>
      </c>
      <c r="M1581" s="920">
        <f t="shared" si="48"/>
        <v>33600</v>
      </c>
      <c r="N1581" s="919"/>
      <c r="O1581" s="919"/>
      <c r="P1581" s="921">
        <f t="shared" si="49"/>
        <v>0</v>
      </c>
    </row>
    <row r="1582" spans="1:16" ht="20.100000000000001" customHeight="1" x14ac:dyDescent="0.25">
      <c r="A1582" s="918" t="s">
        <v>11903</v>
      </c>
      <c r="B1582" s="944" t="s">
        <v>3901</v>
      </c>
      <c r="C1582" s="919" t="s">
        <v>3902</v>
      </c>
      <c r="D1582" s="919" t="s">
        <v>3999</v>
      </c>
      <c r="E1582" s="920">
        <v>2500</v>
      </c>
      <c r="F1582" s="919" t="s">
        <v>6805</v>
      </c>
      <c r="G1582" s="919" t="s">
        <v>6806</v>
      </c>
      <c r="H1582" s="919" t="s">
        <v>3999</v>
      </c>
      <c r="I1582" s="919" t="s">
        <v>3724</v>
      </c>
      <c r="J1582" s="919"/>
      <c r="K1582" s="920">
        <v>1</v>
      </c>
      <c r="L1582" s="920">
        <v>12</v>
      </c>
      <c r="M1582" s="920">
        <f t="shared" si="48"/>
        <v>30000</v>
      </c>
      <c r="N1582" s="919"/>
      <c r="O1582" s="919"/>
      <c r="P1582" s="921">
        <f t="shared" si="49"/>
        <v>0</v>
      </c>
    </row>
    <row r="1583" spans="1:16" ht="20.100000000000001" customHeight="1" x14ac:dyDescent="0.25">
      <c r="A1583" s="918" t="s">
        <v>11903</v>
      </c>
      <c r="B1583" s="944" t="s">
        <v>3901</v>
      </c>
      <c r="C1583" s="919" t="s">
        <v>3902</v>
      </c>
      <c r="D1583" s="919" t="s">
        <v>3999</v>
      </c>
      <c r="E1583" s="920">
        <v>2100</v>
      </c>
      <c r="F1583" s="919" t="s">
        <v>4041</v>
      </c>
      <c r="G1583" s="919" t="s">
        <v>4062</v>
      </c>
      <c r="H1583" s="919" t="s">
        <v>3999</v>
      </c>
      <c r="I1583" s="919" t="s">
        <v>3724</v>
      </c>
      <c r="J1583" s="919"/>
      <c r="K1583" s="920">
        <v>1</v>
      </c>
      <c r="L1583" s="920">
        <v>12</v>
      </c>
      <c r="M1583" s="920">
        <f t="shared" si="48"/>
        <v>25200</v>
      </c>
      <c r="N1583" s="919"/>
      <c r="O1583" s="919"/>
      <c r="P1583" s="921">
        <f t="shared" si="49"/>
        <v>0</v>
      </c>
    </row>
    <row r="1584" spans="1:16" ht="20.100000000000001" customHeight="1" x14ac:dyDescent="0.25">
      <c r="A1584" s="918" t="s">
        <v>11903</v>
      </c>
      <c r="B1584" s="944" t="s">
        <v>3901</v>
      </c>
      <c r="C1584" s="919" t="s">
        <v>3902</v>
      </c>
      <c r="D1584" s="919" t="s">
        <v>6120</v>
      </c>
      <c r="E1584" s="920">
        <v>6000</v>
      </c>
      <c r="F1584" s="919" t="s">
        <v>6807</v>
      </c>
      <c r="G1584" s="919" t="s">
        <v>6808</v>
      </c>
      <c r="H1584" s="919" t="s">
        <v>6120</v>
      </c>
      <c r="I1584" s="919" t="s">
        <v>3724</v>
      </c>
      <c r="J1584" s="919"/>
      <c r="K1584" s="920">
        <v>1</v>
      </c>
      <c r="L1584" s="920">
        <v>12</v>
      </c>
      <c r="M1584" s="920">
        <f t="shared" si="48"/>
        <v>72000</v>
      </c>
      <c r="N1584" s="919"/>
      <c r="O1584" s="919"/>
      <c r="P1584" s="921">
        <f t="shared" si="49"/>
        <v>0</v>
      </c>
    </row>
    <row r="1585" spans="1:16" ht="20.100000000000001" customHeight="1" x14ac:dyDescent="0.25">
      <c r="A1585" s="918" t="s">
        <v>11903</v>
      </c>
      <c r="B1585" s="944" t="s">
        <v>3901</v>
      </c>
      <c r="C1585" s="919" t="s">
        <v>3902</v>
      </c>
      <c r="D1585" s="919" t="s">
        <v>6074</v>
      </c>
      <c r="E1585" s="920">
        <v>1400</v>
      </c>
      <c r="F1585" s="919" t="s">
        <v>6809</v>
      </c>
      <c r="G1585" s="919" t="s">
        <v>6810</v>
      </c>
      <c r="H1585" s="919" t="s">
        <v>6074</v>
      </c>
      <c r="I1585" s="919" t="s">
        <v>3686</v>
      </c>
      <c r="J1585" s="919"/>
      <c r="K1585" s="920">
        <v>1</v>
      </c>
      <c r="L1585" s="920">
        <v>12</v>
      </c>
      <c r="M1585" s="920">
        <f t="shared" si="48"/>
        <v>16800</v>
      </c>
      <c r="N1585" s="919"/>
      <c r="O1585" s="919"/>
      <c r="P1585" s="921">
        <f t="shared" si="49"/>
        <v>0</v>
      </c>
    </row>
    <row r="1586" spans="1:16" ht="20.100000000000001" customHeight="1" x14ac:dyDescent="0.25">
      <c r="A1586" s="918" t="s">
        <v>11903</v>
      </c>
      <c r="B1586" s="944" t="s">
        <v>3901</v>
      </c>
      <c r="C1586" s="919" t="s">
        <v>3902</v>
      </c>
      <c r="D1586" s="919" t="s">
        <v>6327</v>
      </c>
      <c r="E1586" s="920">
        <v>2100</v>
      </c>
      <c r="F1586" s="919" t="s">
        <v>6811</v>
      </c>
      <c r="G1586" s="919" t="s">
        <v>6812</v>
      </c>
      <c r="H1586" s="919" t="s">
        <v>6327</v>
      </c>
      <c r="I1586" s="919" t="s">
        <v>3724</v>
      </c>
      <c r="J1586" s="919"/>
      <c r="K1586" s="920">
        <v>1</v>
      </c>
      <c r="L1586" s="920">
        <v>12</v>
      </c>
      <c r="M1586" s="920">
        <f t="shared" si="48"/>
        <v>25200</v>
      </c>
      <c r="N1586" s="919"/>
      <c r="O1586" s="919"/>
      <c r="P1586" s="921">
        <f t="shared" si="49"/>
        <v>0</v>
      </c>
    </row>
    <row r="1587" spans="1:16" ht="20.100000000000001" customHeight="1" x14ac:dyDescent="0.25">
      <c r="A1587" s="918" t="s">
        <v>11903</v>
      </c>
      <c r="B1587" s="944" t="s">
        <v>3901</v>
      </c>
      <c r="C1587" s="919" t="s">
        <v>3902</v>
      </c>
      <c r="D1587" s="919" t="s">
        <v>6145</v>
      </c>
      <c r="E1587" s="920">
        <v>2100</v>
      </c>
      <c r="F1587" s="919" t="s">
        <v>6813</v>
      </c>
      <c r="G1587" s="919" t="s">
        <v>6814</v>
      </c>
      <c r="H1587" s="919" t="s">
        <v>6145</v>
      </c>
      <c r="I1587" s="919" t="s">
        <v>3679</v>
      </c>
      <c r="J1587" s="919"/>
      <c r="K1587" s="920">
        <v>1</v>
      </c>
      <c r="L1587" s="920">
        <v>12</v>
      </c>
      <c r="M1587" s="920">
        <f t="shared" si="48"/>
        <v>25200</v>
      </c>
      <c r="N1587" s="919"/>
      <c r="O1587" s="919"/>
      <c r="P1587" s="921">
        <f t="shared" si="49"/>
        <v>0</v>
      </c>
    </row>
    <row r="1588" spans="1:16" ht="20.100000000000001" customHeight="1" x14ac:dyDescent="0.25">
      <c r="A1588" s="918" t="s">
        <v>11903</v>
      </c>
      <c r="B1588" s="944" t="s">
        <v>3901</v>
      </c>
      <c r="C1588" s="919" t="s">
        <v>3902</v>
      </c>
      <c r="D1588" s="919" t="s">
        <v>6815</v>
      </c>
      <c r="E1588" s="920">
        <v>3500</v>
      </c>
      <c r="F1588" s="919" t="s">
        <v>6816</v>
      </c>
      <c r="G1588" s="919" t="s">
        <v>6817</v>
      </c>
      <c r="H1588" s="919" t="s">
        <v>6815</v>
      </c>
      <c r="I1588" s="919" t="s">
        <v>3724</v>
      </c>
      <c r="J1588" s="919"/>
      <c r="K1588" s="920">
        <v>1</v>
      </c>
      <c r="L1588" s="920">
        <v>12</v>
      </c>
      <c r="M1588" s="920">
        <f t="shared" si="48"/>
        <v>42000</v>
      </c>
      <c r="N1588" s="919"/>
      <c r="O1588" s="919"/>
      <c r="P1588" s="921">
        <f t="shared" si="49"/>
        <v>0</v>
      </c>
    </row>
    <row r="1589" spans="1:16" ht="20.100000000000001" customHeight="1" x14ac:dyDescent="0.25">
      <c r="A1589" s="918" t="s">
        <v>11903</v>
      </c>
      <c r="B1589" s="944" t="s">
        <v>3901</v>
      </c>
      <c r="C1589" s="919" t="s">
        <v>3902</v>
      </c>
      <c r="D1589" s="919" t="s">
        <v>3999</v>
      </c>
      <c r="E1589" s="920">
        <v>2300</v>
      </c>
      <c r="F1589" s="919" t="s">
        <v>4041</v>
      </c>
      <c r="G1589" s="919" t="s">
        <v>4062</v>
      </c>
      <c r="H1589" s="919" t="s">
        <v>3999</v>
      </c>
      <c r="I1589" s="919" t="s">
        <v>3724</v>
      </c>
      <c r="J1589" s="919"/>
      <c r="K1589" s="920">
        <v>1</v>
      </c>
      <c r="L1589" s="920">
        <v>12</v>
      </c>
      <c r="M1589" s="920">
        <f t="shared" si="48"/>
        <v>27600</v>
      </c>
      <c r="N1589" s="919"/>
      <c r="O1589" s="919"/>
      <c r="P1589" s="921">
        <f t="shared" si="49"/>
        <v>0</v>
      </c>
    </row>
    <row r="1590" spans="1:16" ht="20.100000000000001" customHeight="1" x14ac:dyDescent="0.25">
      <c r="A1590" s="918" t="s">
        <v>11903</v>
      </c>
      <c r="B1590" s="944" t="s">
        <v>3901</v>
      </c>
      <c r="C1590" s="919" t="s">
        <v>3902</v>
      </c>
      <c r="D1590" s="919" t="s">
        <v>3999</v>
      </c>
      <c r="E1590" s="920">
        <v>2100</v>
      </c>
      <c r="F1590" s="919" t="s">
        <v>4041</v>
      </c>
      <c r="G1590" s="919" t="s">
        <v>4062</v>
      </c>
      <c r="H1590" s="919" t="s">
        <v>3999</v>
      </c>
      <c r="I1590" s="919" t="s">
        <v>3724</v>
      </c>
      <c r="J1590" s="919"/>
      <c r="K1590" s="920">
        <v>1</v>
      </c>
      <c r="L1590" s="920">
        <v>12</v>
      </c>
      <c r="M1590" s="920">
        <f t="shared" si="48"/>
        <v>25200</v>
      </c>
      <c r="N1590" s="919"/>
      <c r="O1590" s="919"/>
      <c r="P1590" s="921">
        <f t="shared" si="49"/>
        <v>0</v>
      </c>
    </row>
    <row r="1591" spans="1:16" ht="20.100000000000001" customHeight="1" x14ac:dyDescent="0.25">
      <c r="A1591" s="918" t="s">
        <v>11903</v>
      </c>
      <c r="B1591" s="944" t="s">
        <v>3901</v>
      </c>
      <c r="C1591" s="919" t="s">
        <v>3902</v>
      </c>
      <c r="D1591" s="919" t="s">
        <v>4391</v>
      </c>
      <c r="E1591" s="920">
        <v>1400</v>
      </c>
      <c r="F1591" s="919" t="s">
        <v>6818</v>
      </c>
      <c r="G1591" s="919" t="s">
        <v>6819</v>
      </c>
      <c r="H1591" s="919" t="s">
        <v>4391</v>
      </c>
      <c r="I1591" s="919" t="s">
        <v>3686</v>
      </c>
      <c r="J1591" s="919"/>
      <c r="K1591" s="920">
        <v>1</v>
      </c>
      <c r="L1591" s="920">
        <v>12</v>
      </c>
      <c r="M1591" s="920">
        <f t="shared" si="48"/>
        <v>16800</v>
      </c>
      <c r="N1591" s="919"/>
      <c r="O1591" s="919"/>
      <c r="P1591" s="921">
        <f t="shared" si="49"/>
        <v>0</v>
      </c>
    </row>
    <row r="1592" spans="1:16" ht="20.100000000000001" customHeight="1" x14ac:dyDescent="0.25">
      <c r="A1592" s="918" t="s">
        <v>11903</v>
      </c>
      <c r="B1592" s="944" t="s">
        <v>3901</v>
      </c>
      <c r="C1592" s="919" t="s">
        <v>3902</v>
      </c>
      <c r="D1592" s="919" t="s">
        <v>4391</v>
      </c>
      <c r="E1592" s="920">
        <v>1400</v>
      </c>
      <c r="F1592" s="919" t="s">
        <v>6820</v>
      </c>
      <c r="G1592" s="919" t="s">
        <v>6821</v>
      </c>
      <c r="H1592" s="919" t="s">
        <v>4391</v>
      </c>
      <c r="I1592" s="919" t="s">
        <v>3686</v>
      </c>
      <c r="J1592" s="919"/>
      <c r="K1592" s="920">
        <v>1</v>
      </c>
      <c r="L1592" s="920">
        <v>12</v>
      </c>
      <c r="M1592" s="920">
        <f t="shared" si="48"/>
        <v>16800</v>
      </c>
      <c r="N1592" s="919"/>
      <c r="O1592" s="919"/>
      <c r="P1592" s="921">
        <f t="shared" si="49"/>
        <v>0</v>
      </c>
    </row>
    <row r="1593" spans="1:16" ht="20.100000000000001" customHeight="1" x14ac:dyDescent="0.25">
      <c r="A1593" s="918" t="s">
        <v>11903</v>
      </c>
      <c r="B1593" s="944" t="s">
        <v>3901</v>
      </c>
      <c r="C1593" s="919" t="s">
        <v>3902</v>
      </c>
      <c r="D1593" s="919" t="s">
        <v>4462</v>
      </c>
      <c r="E1593" s="920">
        <v>1400</v>
      </c>
      <c r="F1593" s="919" t="s">
        <v>6822</v>
      </c>
      <c r="G1593" s="919" t="s">
        <v>6823</v>
      </c>
      <c r="H1593" s="919" t="s">
        <v>4462</v>
      </c>
      <c r="I1593" s="919" t="s">
        <v>3686</v>
      </c>
      <c r="J1593" s="919"/>
      <c r="K1593" s="920">
        <v>1</v>
      </c>
      <c r="L1593" s="920">
        <v>12</v>
      </c>
      <c r="M1593" s="920">
        <f t="shared" si="48"/>
        <v>16800</v>
      </c>
      <c r="N1593" s="919"/>
      <c r="O1593" s="919"/>
      <c r="P1593" s="921">
        <f t="shared" si="49"/>
        <v>0</v>
      </c>
    </row>
    <row r="1594" spans="1:16" ht="20.100000000000001" customHeight="1" x14ac:dyDescent="0.25">
      <c r="A1594" s="918" t="s">
        <v>11903</v>
      </c>
      <c r="B1594" s="944" t="s">
        <v>3901</v>
      </c>
      <c r="C1594" s="919" t="s">
        <v>3902</v>
      </c>
      <c r="D1594" s="919" t="s">
        <v>4462</v>
      </c>
      <c r="E1594" s="920">
        <v>1400</v>
      </c>
      <c r="F1594" s="919" t="s">
        <v>6824</v>
      </c>
      <c r="G1594" s="919" t="s">
        <v>6825</v>
      </c>
      <c r="H1594" s="919" t="s">
        <v>4462</v>
      </c>
      <c r="I1594" s="919" t="s">
        <v>3686</v>
      </c>
      <c r="J1594" s="919"/>
      <c r="K1594" s="920">
        <v>1</v>
      </c>
      <c r="L1594" s="920">
        <v>12</v>
      </c>
      <c r="M1594" s="920">
        <f t="shared" si="48"/>
        <v>16800</v>
      </c>
      <c r="N1594" s="919"/>
      <c r="O1594" s="919"/>
      <c r="P1594" s="921">
        <f t="shared" si="49"/>
        <v>0</v>
      </c>
    </row>
    <row r="1595" spans="1:16" ht="20.100000000000001" customHeight="1" x14ac:dyDescent="0.25">
      <c r="A1595" s="918" t="s">
        <v>11903</v>
      </c>
      <c r="B1595" s="944" t="s">
        <v>3901</v>
      </c>
      <c r="C1595" s="919" t="s">
        <v>3902</v>
      </c>
      <c r="D1595" s="919" t="s">
        <v>4462</v>
      </c>
      <c r="E1595" s="920">
        <v>1400</v>
      </c>
      <c r="F1595" s="919" t="s">
        <v>6826</v>
      </c>
      <c r="G1595" s="919" t="s">
        <v>6827</v>
      </c>
      <c r="H1595" s="919" t="s">
        <v>4462</v>
      </c>
      <c r="I1595" s="919" t="s">
        <v>3686</v>
      </c>
      <c r="J1595" s="919"/>
      <c r="K1595" s="920">
        <v>1</v>
      </c>
      <c r="L1595" s="920">
        <v>12</v>
      </c>
      <c r="M1595" s="920">
        <f t="shared" si="48"/>
        <v>16800</v>
      </c>
      <c r="N1595" s="919"/>
      <c r="O1595" s="919"/>
      <c r="P1595" s="921">
        <f t="shared" si="49"/>
        <v>0</v>
      </c>
    </row>
    <row r="1596" spans="1:16" ht="20.100000000000001" customHeight="1" x14ac:dyDescent="0.25">
      <c r="A1596" s="918" t="s">
        <v>11903</v>
      </c>
      <c r="B1596" s="944" t="s">
        <v>3901</v>
      </c>
      <c r="C1596" s="919" t="s">
        <v>3902</v>
      </c>
      <c r="D1596" s="919" t="s">
        <v>4462</v>
      </c>
      <c r="E1596" s="920">
        <v>1400</v>
      </c>
      <c r="F1596" s="919" t="s">
        <v>6828</v>
      </c>
      <c r="G1596" s="919" t="s">
        <v>6829</v>
      </c>
      <c r="H1596" s="919" t="s">
        <v>4462</v>
      </c>
      <c r="I1596" s="919" t="s">
        <v>3686</v>
      </c>
      <c r="J1596" s="919"/>
      <c r="K1596" s="920">
        <v>1</v>
      </c>
      <c r="L1596" s="920">
        <v>12</v>
      </c>
      <c r="M1596" s="920">
        <f t="shared" si="48"/>
        <v>16800</v>
      </c>
      <c r="N1596" s="919"/>
      <c r="O1596" s="919"/>
      <c r="P1596" s="921">
        <f t="shared" si="49"/>
        <v>0</v>
      </c>
    </row>
    <row r="1597" spans="1:16" ht="20.100000000000001" customHeight="1" x14ac:dyDescent="0.25">
      <c r="A1597" s="918" t="s">
        <v>11903</v>
      </c>
      <c r="B1597" s="944" t="s">
        <v>3901</v>
      </c>
      <c r="C1597" s="919" t="s">
        <v>3902</v>
      </c>
      <c r="D1597" s="919" t="s">
        <v>4462</v>
      </c>
      <c r="E1597" s="920">
        <v>1400</v>
      </c>
      <c r="F1597" s="919" t="s">
        <v>4041</v>
      </c>
      <c r="G1597" s="919" t="s">
        <v>4062</v>
      </c>
      <c r="H1597" s="919" t="s">
        <v>4462</v>
      </c>
      <c r="I1597" s="919" t="s">
        <v>3686</v>
      </c>
      <c r="J1597" s="919"/>
      <c r="K1597" s="920">
        <v>1</v>
      </c>
      <c r="L1597" s="920">
        <v>12</v>
      </c>
      <c r="M1597" s="920">
        <f t="shared" si="48"/>
        <v>16800</v>
      </c>
      <c r="N1597" s="919"/>
      <c r="O1597" s="919"/>
      <c r="P1597" s="921">
        <f t="shared" si="49"/>
        <v>0</v>
      </c>
    </row>
    <row r="1598" spans="1:16" ht="20.100000000000001" customHeight="1" x14ac:dyDescent="0.25">
      <c r="A1598" s="918" t="s">
        <v>11903</v>
      </c>
      <c r="B1598" s="944" t="s">
        <v>3901</v>
      </c>
      <c r="C1598" s="919" t="s">
        <v>3902</v>
      </c>
      <c r="D1598" s="919" t="s">
        <v>4462</v>
      </c>
      <c r="E1598" s="920">
        <v>1400</v>
      </c>
      <c r="F1598" s="919" t="s">
        <v>4041</v>
      </c>
      <c r="G1598" s="919" t="s">
        <v>4062</v>
      </c>
      <c r="H1598" s="919" t="s">
        <v>4462</v>
      </c>
      <c r="I1598" s="919" t="s">
        <v>3686</v>
      </c>
      <c r="J1598" s="919"/>
      <c r="K1598" s="920">
        <v>1</v>
      </c>
      <c r="L1598" s="920">
        <v>12</v>
      </c>
      <c r="M1598" s="920">
        <f t="shared" si="48"/>
        <v>16800</v>
      </c>
      <c r="N1598" s="919"/>
      <c r="O1598" s="919"/>
      <c r="P1598" s="921">
        <f t="shared" si="49"/>
        <v>0</v>
      </c>
    </row>
    <row r="1599" spans="1:16" ht="20.100000000000001" customHeight="1" x14ac:dyDescent="0.25">
      <c r="A1599" s="918" t="s">
        <v>11903</v>
      </c>
      <c r="B1599" s="944" t="s">
        <v>3901</v>
      </c>
      <c r="C1599" s="919" t="s">
        <v>3902</v>
      </c>
      <c r="D1599" s="919" t="s">
        <v>4467</v>
      </c>
      <c r="E1599" s="920">
        <v>1400</v>
      </c>
      <c r="F1599" s="919" t="s">
        <v>6830</v>
      </c>
      <c r="G1599" s="919" t="s">
        <v>6831</v>
      </c>
      <c r="H1599" s="919" t="s">
        <v>4467</v>
      </c>
      <c r="I1599" s="919" t="s">
        <v>3686</v>
      </c>
      <c r="J1599" s="919"/>
      <c r="K1599" s="920">
        <v>1</v>
      </c>
      <c r="L1599" s="920">
        <v>12</v>
      </c>
      <c r="M1599" s="920">
        <f t="shared" si="48"/>
        <v>16800</v>
      </c>
      <c r="N1599" s="919"/>
      <c r="O1599" s="919"/>
      <c r="P1599" s="921">
        <f t="shared" si="49"/>
        <v>0</v>
      </c>
    </row>
    <row r="1600" spans="1:16" ht="20.100000000000001" customHeight="1" x14ac:dyDescent="0.25">
      <c r="A1600" s="918" t="s">
        <v>11903</v>
      </c>
      <c r="B1600" s="944" t="s">
        <v>3901</v>
      </c>
      <c r="C1600" s="919" t="s">
        <v>3902</v>
      </c>
      <c r="D1600" s="919" t="s">
        <v>4467</v>
      </c>
      <c r="E1600" s="920">
        <v>1400</v>
      </c>
      <c r="F1600" s="919" t="s">
        <v>6832</v>
      </c>
      <c r="G1600" s="919" t="s">
        <v>6833</v>
      </c>
      <c r="H1600" s="919" t="s">
        <v>4467</v>
      </c>
      <c r="I1600" s="919" t="s">
        <v>3686</v>
      </c>
      <c r="J1600" s="919"/>
      <c r="K1600" s="920">
        <v>1</v>
      </c>
      <c r="L1600" s="920">
        <v>12</v>
      </c>
      <c r="M1600" s="920">
        <f t="shared" si="48"/>
        <v>16800</v>
      </c>
      <c r="N1600" s="919"/>
      <c r="O1600" s="919"/>
      <c r="P1600" s="921">
        <f t="shared" si="49"/>
        <v>0</v>
      </c>
    </row>
    <row r="1601" spans="1:16" ht="20.100000000000001" customHeight="1" x14ac:dyDescent="0.25">
      <c r="A1601" s="918" t="s">
        <v>11903</v>
      </c>
      <c r="B1601" s="944" t="s">
        <v>3901</v>
      </c>
      <c r="C1601" s="919" t="s">
        <v>3902</v>
      </c>
      <c r="D1601" s="919" t="s">
        <v>4467</v>
      </c>
      <c r="E1601" s="920">
        <v>1400</v>
      </c>
      <c r="F1601" s="919" t="s">
        <v>6834</v>
      </c>
      <c r="G1601" s="919" t="s">
        <v>6835</v>
      </c>
      <c r="H1601" s="919" t="s">
        <v>4467</v>
      </c>
      <c r="I1601" s="919" t="s">
        <v>3686</v>
      </c>
      <c r="J1601" s="919"/>
      <c r="K1601" s="920">
        <v>1</v>
      </c>
      <c r="L1601" s="920">
        <v>12</v>
      </c>
      <c r="M1601" s="920">
        <f t="shared" si="48"/>
        <v>16800</v>
      </c>
      <c r="N1601" s="919"/>
      <c r="O1601" s="919"/>
      <c r="P1601" s="921">
        <f t="shared" si="49"/>
        <v>0</v>
      </c>
    </row>
    <row r="1602" spans="1:16" ht="20.100000000000001" customHeight="1" x14ac:dyDescent="0.25">
      <c r="A1602" s="918" t="s">
        <v>11903</v>
      </c>
      <c r="B1602" s="944" t="s">
        <v>3901</v>
      </c>
      <c r="C1602" s="919" t="s">
        <v>3902</v>
      </c>
      <c r="D1602" s="919" t="s">
        <v>4467</v>
      </c>
      <c r="E1602" s="920">
        <v>1400</v>
      </c>
      <c r="F1602" s="919" t="s">
        <v>6836</v>
      </c>
      <c r="G1602" s="919" t="s">
        <v>6837</v>
      </c>
      <c r="H1602" s="919" t="s">
        <v>4467</v>
      </c>
      <c r="I1602" s="919" t="s">
        <v>3686</v>
      </c>
      <c r="J1602" s="919"/>
      <c r="K1602" s="920">
        <v>1</v>
      </c>
      <c r="L1602" s="920">
        <v>12</v>
      </c>
      <c r="M1602" s="920">
        <f t="shared" si="48"/>
        <v>16800</v>
      </c>
      <c r="N1602" s="919"/>
      <c r="O1602" s="919"/>
      <c r="P1602" s="921">
        <f t="shared" si="49"/>
        <v>0</v>
      </c>
    </row>
    <row r="1603" spans="1:16" ht="20.100000000000001" customHeight="1" x14ac:dyDescent="0.25">
      <c r="A1603" s="918" t="s">
        <v>11903</v>
      </c>
      <c r="B1603" s="944" t="s">
        <v>3901</v>
      </c>
      <c r="C1603" s="919" t="s">
        <v>3902</v>
      </c>
      <c r="D1603" s="919" t="s">
        <v>4467</v>
      </c>
      <c r="E1603" s="920">
        <v>1400</v>
      </c>
      <c r="F1603" s="919" t="s">
        <v>6838</v>
      </c>
      <c r="G1603" s="919" t="s">
        <v>6839</v>
      </c>
      <c r="H1603" s="919" t="s">
        <v>4467</v>
      </c>
      <c r="I1603" s="919" t="s">
        <v>3686</v>
      </c>
      <c r="J1603" s="919"/>
      <c r="K1603" s="920">
        <v>1</v>
      </c>
      <c r="L1603" s="920">
        <v>12</v>
      </c>
      <c r="M1603" s="920">
        <f t="shared" si="48"/>
        <v>16800</v>
      </c>
      <c r="N1603" s="919"/>
      <c r="O1603" s="919"/>
      <c r="P1603" s="921">
        <f t="shared" si="49"/>
        <v>0</v>
      </c>
    </row>
    <row r="1604" spans="1:16" ht="20.100000000000001" customHeight="1" x14ac:dyDescent="0.25">
      <c r="A1604" s="918" t="s">
        <v>11903</v>
      </c>
      <c r="B1604" s="944" t="s">
        <v>3901</v>
      </c>
      <c r="C1604" s="919" t="s">
        <v>3902</v>
      </c>
      <c r="D1604" s="919" t="s">
        <v>6617</v>
      </c>
      <c r="E1604" s="920">
        <v>1000</v>
      </c>
      <c r="F1604" s="919" t="s">
        <v>6840</v>
      </c>
      <c r="G1604" s="919" t="s">
        <v>6841</v>
      </c>
      <c r="H1604" s="919" t="s">
        <v>6617</v>
      </c>
      <c r="I1604" s="919" t="s">
        <v>3686</v>
      </c>
      <c r="J1604" s="919"/>
      <c r="K1604" s="920">
        <v>1</v>
      </c>
      <c r="L1604" s="920">
        <v>12</v>
      </c>
      <c r="M1604" s="920">
        <f t="shared" si="48"/>
        <v>12000</v>
      </c>
      <c r="N1604" s="919"/>
      <c r="O1604" s="919"/>
      <c r="P1604" s="921">
        <f t="shared" si="49"/>
        <v>0</v>
      </c>
    </row>
    <row r="1605" spans="1:16" ht="20.100000000000001" customHeight="1" x14ac:dyDescent="0.25">
      <c r="A1605" s="918" t="s">
        <v>11903</v>
      </c>
      <c r="B1605" s="944" t="s">
        <v>3901</v>
      </c>
      <c r="C1605" s="919" t="s">
        <v>3902</v>
      </c>
      <c r="D1605" s="919" t="s">
        <v>6617</v>
      </c>
      <c r="E1605" s="920">
        <v>1000</v>
      </c>
      <c r="F1605" s="919" t="s">
        <v>6842</v>
      </c>
      <c r="G1605" s="919" t="s">
        <v>6843</v>
      </c>
      <c r="H1605" s="919" t="s">
        <v>6617</v>
      </c>
      <c r="I1605" s="919" t="s">
        <v>3686</v>
      </c>
      <c r="J1605" s="919"/>
      <c r="K1605" s="920">
        <v>1</v>
      </c>
      <c r="L1605" s="920">
        <v>12</v>
      </c>
      <c r="M1605" s="920">
        <f t="shared" si="48"/>
        <v>12000</v>
      </c>
      <c r="N1605" s="919"/>
      <c r="O1605" s="919"/>
      <c r="P1605" s="921">
        <f t="shared" si="49"/>
        <v>0</v>
      </c>
    </row>
    <row r="1606" spans="1:16" ht="20.100000000000001" customHeight="1" x14ac:dyDescent="0.25">
      <c r="A1606" s="918" t="s">
        <v>11903</v>
      </c>
      <c r="B1606" s="944" t="s">
        <v>3901</v>
      </c>
      <c r="C1606" s="919" t="s">
        <v>3902</v>
      </c>
      <c r="D1606" s="919" t="s">
        <v>6617</v>
      </c>
      <c r="E1606" s="920">
        <v>1000</v>
      </c>
      <c r="F1606" s="919" t="s">
        <v>6844</v>
      </c>
      <c r="G1606" s="919" t="s">
        <v>6845</v>
      </c>
      <c r="H1606" s="919" t="s">
        <v>6617</v>
      </c>
      <c r="I1606" s="919" t="s">
        <v>3686</v>
      </c>
      <c r="J1606" s="919"/>
      <c r="K1606" s="920">
        <v>1</v>
      </c>
      <c r="L1606" s="920">
        <v>12</v>
      </c>
      <c r="M1606" s="920">
        <f t="shared" ref="M1606:M1669" si="50">E1606*L1606</f>
        <v>12000</v>
      </c>
      <c r="N1606" s="919"/>
      <c r="O1606" s="919"/>
      <c r="P1606" s="921">
        <f t="shared" ref="P1606:P1669" si="51">E1606*O1606</f>
        <v>0</v>
      </c>
    </row>
    <row r="1607" spans="1:16" ht="20.100000000000001" customHeight="1" x14ac:dyDescent="0.25">
      <c r="A1607" s="918" t="s">
        <v>486</v>
      </c>
      <c r="B1607" s="944" t="s">
        <v>3901</v>
      </c>
      <c r="C1607" s="919" t="s">
        <v>3902</v>
      </c>
      <c r="D1607" s="919" t="s">
        <v>6846</v>
      </c>
      <c r="E1607" s="920">
        <v>1400</v>
      </c>
      <c r="F1607" s="919" t="s">
        <v>6847</v>
      </c>
      <c r="G1607" s="919" t="s">
        <v>6848</v>
      </c>
      <c r="H1607" s="919" t="s">
        <v>6846</v>
      </c>
      <c r="I1607" s="919" t="s">
        <v>3686</v>
      </c>
      <c r="J1607" s="919"/>
      <c r="K1607" s="920">
        <v>1</v>
      </c>
      <c r="L1607" s="920">
        <v>12</v>
      </c>
      <c r="M1607" s="920">
        <f t="shared" si="50"/>
        <v>16800</v>
      </c>
      <c r="N1607" s="919"/>
      <c r="O1607" s="919"/>
      <c r="P1607" s="921">
        <f t="shared" si="51"/>
        <v>0</v>
      </c>
    </row>
    <row r="1608" spans="1:16" ht="20.100000000000001" customHeight="1" x14ac:dyDescent="0.25">
      <c r="A1608" s="918" t="s">
        <v>486</v>
      </c>
      <c r="B1608" s="944" t="s">
        <v>3901</v>
      </c>
      <c r="C1608" s="919" t="s">
        <v>3902</v>
      </c>
      <c r="D1608" s="919" t="s">
        <v>3999</v>
      </c>
      <c r="E1608" s="920">
        <v>2100</v>
      </c>
      <c r="F1608" s="919" t="s">
        <v>6849</v>
      </c>
      <c r="G1608" s="919" t="s">
        <v>6850</v>
      </c>
      <c r="H1608" s="919" t="s">
        <v>3999</v>
      </c>
      <c r="I1608" s="919" t="s">
        <v>3724</v>
      </c>
      <c r="J1608" s="919"/>
      <c r="K1608" s="920">
        <v>1</v>
      </c>
      <c r="L1608" s="920">
        <v>12</v>
      </c>
      <c r="M1608" s="920">
        <f t="shared" si="50"/>
        <v>25200</v>
      </c>
      <c r="N1608" s="919"/>
      <c r="O1608" s="919"/>
      <c r="P1608" s="921">
        <f t="shared" si="51"/>
        <v>0</v>
      </c>
    </row>
    <row r="1609" spans="1:16" ht="20.100000000000001" customHeight="1" x14ac:dyDescent="0.25">
      <c r="A1609" s="918" t="s">
        <v>486</v>
      </c>
      <c r="B1609" s="944" t="s">
        <v>3901</v>
      </c>
      <c r="C1609" s="919" t="s">
        <v>3902</v>
      </c>
      <c r="D1609" s="919" t="s">
        <v>3999</v>
      </c>
      <c r="E1609" s="920">
        <v>2100</v>
      </c>
      <c r="F1609" s="919" t="s">
        <v>6851</v>
      </c>
      <c r="G1609" s="919" t="s">
        <v>6852</v>
      </c>
      <c r="H1609" s="919" t="s">
        <v>3999</v>
      </c>
      <c r="I1609" s="919" t="s">
        <v>3724</v>
      </c>
      <c r="J1609" s="919"/>
      <c r="K1609" s="920">
        <v>1</v>
      </c>
      <c r="L1609" s="920">
        <v>12</v>
      </c>
      <c r="M1609" s="920">
        <f t="shared" si="50"/>
        <v>25200</v>
      </c>
      <c r="N1609" s="919"/>
      <c r="O1609" s="919"/>
      <c r="P1609" s="921">
        <f t="shared" si="51"/>
        <v>0</v>
      </c>
    </row>
    <row r="1610" spans="1:16" ht="20.100000000000001" customHeight="1" x14ac:dyDescent="0.25">
      <c r="A1610" s="918" t="s">
        <v>486</v>
      </c>
      <c r="B1610" s="944" t="s">
        <v>3901</v>
      </c>
      <c r="C1610" s="919" t="s">
        <v>3902</v>
      </c>
      <c r="D1610" s="919" t="s">
        <v>3999</v>
      </c>
      <c r="E1610" s="920">
        <v>2100</v>
      </c>
      <c r="F1610" s="919" t="s">
        <v>6853</v>
      </c>
      <c r="G1610" s="919" t="s">
        <v>6854</v>
      </c>
      <c r="H1610" s="919" t="s">
        <v>3999</v>
      </c>
      <c r="I1610" s="919" t="s">
        <v>3724</v>
      </c>
      <c r="J1610" s="919"/>
      <c r="K1610" s="920">
        <v>1</v>
      </c>
      <c r="L1610" s="920">
        <v>12</v>
      </c>
      <c r="M1610" s="920">
        <f t="shared" si="50"/>
        <v>25200</v>
      </c>
      <c r="N1610" s="919"/>
      <c r="O1610" s="919"/>
      <c r="P1610" s="921">
        <f t="shared" si="51"/>
        <v>0</v>
      </c>
    </row>
    <row r="1611" spans="1:16" ht="20.100000000000001" customHeight="1" x14ac:dyDescent="0.25">
      <c r="A1611" s="918" t="s">
        <v>486</v>
      </c>
      <c r="B1611" s="944" t="s">
        <v>3901</v>
      </c>
      <c r="C1611" s="919" t="s">
        <v>3902</v>
      </c>
      <c r="D1611" s="919" t="s">
        <v>3999</v>
      </c>
      <c r="E1611" s="920">
        <v>2100</v>
      </c>
      <c r="F1611" s="919" t="s">
        <v>6855</v>
      </c>
      <c r="G1611" s="919" t="s">
        <v>6856</v>
      </c>
      <c r="H1611" s="919" t="s">
        <v>3999</v>
      </c>
      <c r="I1611" s="919" t="s">
        <v>3724</v>
      </c>
      <c r="J1611" s="919"/>
      <c r="K1611" s="920">
        <v>1</v>
      </c>
      <c r="L1611" s="920">
        <v>12</v>
      </c>
      <c r="M1611" s="920">
        <f t="shared" si="50"/>
        <v>25200</v>
      </c>
      <c r="N1611" s="919"/>
      <c r="O1611" s="919"/>
      <c r="P1611" s="921">
        <f t="shared" si="51"/>
        <v>0</v>
      </c>
    </row>
    <row r="1612" spans="1:16" ht="20.100000000000001" customHeight="1" x14ac:dyDescent="0.25">
      <c r="A1612" s="918" t="s">
        <v>486</v>
      </c>
      <c r="B1612" s="944" t="s">
        <v>3901</v>
      </c>
      <c r="C1612" s="919" t="s">
        <v>3902</v>
      </c>
      <c r="D1612" s="919" t="s">
        <v>3999</v>
      </c>
      <c r="E1612" s="920">
        <v>2100</v>
      </c>
      <c r="F1612" s="919" t="s">
        <v>6857</v>
      </c>
      <c r="G1612" s="919" t="s">
        <v>6858</v>
      </c>
      <c r="H1612" s="919" t="s">
        <v>3999</v>
      </c>
      <c r="I1612" s="919" t="s">
        <v>3724</v>
      </c>
      <c r="J1612" s="919"/>
      <c r="K1612" s="920">
        <v>1</v>
      </c>
      <c r="L1612" s="920">
        <v>12</v>
      </c>
      <c r="M1612" s="920">
        <f t="shared" si="50"/>
        <v>25200</v>
      </c>
      <c r="N1612" s="919"/>
      <c r="O1612" s="919"/>
      <c r="P1612" s="921">
        <f t="shared" si="51"/>
        <v>0</v>
      </c>
    </row>
    <row r="1613" spans="1:16" ht="20.100000000000001" customHeight="1" x14ac:dyDescent="0.25">
      <c r="A1613" s="918" t="s">
        <v>486</v>
      </c>
      <c r="B1613" s="944" t="s">
        <v>3901</v>
      </c>
      <c r="C1613" s="919" t="s">
        <v>3902</v>
      </c>
      <c r="D1613" s="919" t="s">
        <v>3999</v>
      </c>
      <c r="E1613" s="920">
        <v>2100</v>
      </c>
      <c r="F1613" s="919" t="s">
        <v>6859</v>
      </c>
      <c r="G1613" s="919" t="s">
        <v>6860</v>
      </c>
      <c r="H1613" s="919" t="s">
        <v>3999</v>
      </c>
      <c r="I1613" s="919" t="s">
        <v>3724</v>
      </c>
      <c r="J1613" s="919"/>
      <c r="K1613" s="920">
        <v>1</v>
      </c>
      <c r="L1613" s="920">
        <v>12</v>
      </c>
      <c r="M1613" s="920">
        <f t="shared" si="50"/>
        <v>25200</v>
      </c>
      <c r="N1613" s="919"/>
      <c r="O1613" s="919"/>
      <c r="P1613" s="921">
        <f t="shared" si="51"/>
        <v>0</v>
      </c>
    </row>
    <row r="1614" spans="1:16" ht="20.100000000000001" customHeight="1" x14ac:dyDescent="0.25">
      <c r="A1614" s="918" t="s">
        <v>486</v>
      </c>
      <c r="B1614" s="944" t="s">
        <v>3901</v>
      </c>
      <c r="C1614" s="919" t="s">
        <v>3902</v>
      </c>
      <c r="D1614" s="919" t="s">
        <v>3999</v>
      </c>
      <c r="E1614" s="920">
        <v>2100</v>
      </c>
      <c r="F1614" s="919" t="s">
        <v>6861</v>
      </c>
      <c r="G1614" s="919" t="s">
        <v>6862</v>
      </c>
      <c r="H1614" s="919" t="s">
        <v>3999</v>
      </c>
      <c r="I1614" s="919" t="s">
        <v>3724</v>
      </c>
      <c r="J1614" s="919"/>
      <c r="K1614" s="920">
        <v>1</v>
      </c>
      <c r="L1614" s="920">
        <v>12</v>
      </c>
      <c r="M1614" s="920">
        <f t="shared" si="50"/>
        <v>25200</v>
      </c>
      <c r="N1614" s="919"/>
      <c r="O1614" s="919"/>
      <c r="P1614" s="921">
        <f t="shared" si="51"/>
        <v>0</v>
      </c>
    </row>
    <row r="1615" spans="1:16" ht="20.100000000000001" customHeight="1" x14ac:dyDescent="0.25">
      <c r="A1615" s="918" t="s">
        <v>486</v>
      </c>
      <c r="B1615" s="944" t="s">
        <v>3901</v>
      </c>
      <c r="C1615" s="919" t="s">
        <v>3902</v>
      </c>
      <c r="D1615" s="919" t="s">
        <v>3999</v>
      </c>
      <c r="E1615" s="920">
        <v>2100</v>
      </c>
      <c r="F1615" s="919" t="s">
        <v>6863</v>
      </c>
      <c r="G1615" s="919" t="s">
        <v>6864</v>
      </c>
      <c r="H1615" s="919" t="s">
        <v>3999</v>
      </c>
      <c r="I1615" s="919" t="s">
        <v>3724</v>
      </c>
      <c r="J1615" s="919"/>
      <c r="K1615" s="920">
        <v>1</v>
      </c>
      <c r="L1615" s="920">
        <v>12</v>
      </c>
      <c r="M1615" s="920">
        <f t="shared" si="50"/>
        <v>25200</v>
      </c>
      <c r="N1615" s="919"/>
      <c r="O1615" s="919"/>
      <c r="P1615" s="921">
        <f t="shared" si="51"/>
        <v>0</v>
      </c>
    </row>
    <row r="1616" spans="1:16" ht="20.100000000000001" customHeight="1" x14ac:dyDescent="0.25">
      <c r="A1616" s="918" t="s">
        <v>486</v>
      </c>
      <c r="B1616" s="944" t="s">
        <v>3901</v>
      </c>
      <c r="C1616" s="919" t="s">
        <v>3902</v>
      </c>
      <c r="D1616" s="919" t="s">
        <v>3999</v>
      </c>
      <c r="E1616" s="920">
        <v>2100</v>
      </c>
      <c r="F1616" s="919" t="s">
        <v>6865</v>
      </c>
      <c r="G1616" s="919" t="s">
        <v>6866</v>
      </c>
      <c r="H1616" s="919" t="s">
        <v>3999</v>
      </c>
      <c r="I1616" s="919" t="s">
        <v>3724</v>
      </c>
      <c r="J1616" s="919"/>
      <c r="K1616" s="920">
        <v>1</v>
      </c>
      <c r="L1616" s="920">
        <v>12</v>
      </c>
      <c r="M1616" s="920">
        <f t="shared" si="50"/>
        <v>25200</v>
      </c>
      <c r="N1616" s="919"/>
      <c r="O1616" s="919"/>
      <c r="P1616" s="921">
        <f t="shared" si="51"/>
        <v>0</v>
      </c>
    </row>
    <row r="1617" spans="1:16" ht="20.100000000000001" customHeight="1" x14ac:dyDescent="0.25">
      <c r="A1617" s="918" t="s">
        <v>486</v>
      </c>
      <c r="B1617" s="944" t="s">
        <v>3901</v>
      </c>
      <c r="C1617" s="919" t="s">
        <v>3902</v>
      </c>
      <c r="D1617" s="919" t="s">
        <v>3999</v>
      </c>
      <c r="E1617" s="920">
        <v>2100</v>
      </c>
      <c r="F1617" s="919" t="s">
        <v>6867</v>
      </c>
      <c r="G1617" s="919" t="s">
        <v>6868</v>
      </c>
      <c r="H1617" s="919" t="s">
        <v>3999</v>
      </c>
      <c r="I1617" s="919" t="s">
        <v>3724</v>
      </c>
      <c r="J1617" s="919"/>
      <c r="K1617" s="920">
        <v>1</v>
      </c>
      <c r="L1617" s="920">
        <v>12</v>
      </c>
      <c r="M1617" s="920">
        <f t="shared" si="50"/>
        <v>25200</v>
      </c>
      <c r="N1617" s="919"/>
      <c r="O1617" s="919"/>
      <c r="P1617" s="921">
        <f t="shared" si="51"/>
        <v>0</v>
      </c>
    </row>
    <row r="1618" spans="1:16" ht="20.100000000000001" customHeight="1" x14ac:dyDescent="0.25">
      <c r="A1618" s="918" t="s">
        <v>486</v>
      </c>
      <c r="B1618" s="944" t="s">
        <v>3901</v>
      </c>
      <c r="C1618" s="919" t="s">
        <v>3902</v>
      </c>
      <c r="D1618" s="919" t="s">
        <v>3999</v>
      </c>
      <c r="E1618" s="920">
        <v>2100</v>
      </c>
      <c r="F1618" s="919" t="s">
        <v>6869</v>
      </c>
      <c r="G1618" s="919" t="s">
        <v>6870</v>
      </c>
      <c r="H1618" s="919" t="s">
        <v>3999</v>
      </c>
      <c r="I1618" s="919" t="s">
        <v>3724</v>
      </c>
      <c r="J1618" s="919"/>
      <c r="K1618" s="920">
        <v>1</v>
      </c>
      <c r="L1618" s="920">
        <v>12</v>
      </c>
      <c r="M1618" s="920">
        <f t="shared" si="50"/>
        <v>25200</v>
      </c>
      <c r="N1618" s="919"/>
      <c r="O1618" s="919"/>
      <c r="P1618" s="921">
        <f t="shared" si="51"/>
        <v>0</v>
      </c>
    </row>
    <row r="1619" spans="1:16" ht="20.100000000000001" customHeight="1" x14ac:dyDescent="0.25">
      <c r="A1619" s="918" t="s">
        <v>486</v>
      </c>
      <c r="B1619" s="944" t="s">
        <v>3901</v>
      </c>
      <c r="C1619" s="919" t="s">
        <v>3902</v>
      </c>
      <c r="D1619" s="919" t="s">
        <v>3999</v>
      </c>
      <c r="E1619" s="920">
        <v>2100</v>
      </c>
      <c r="F1619" s="919" t="s">
        <v>6871</v>
      </c>
      <c r="G1619" s="919" t="s">
        <v>6872</v>
      </c>
      <c r="H1619" s="919" t="s">
        <v>3999</v>
      </c>
      <c r="I1619" s="919" t="s">
        <v>3724</v>
      </c>
      <c r="J1619" s="919"/>
      <c r="K1619" s="920">
        <v>1</v>
      </c>
      <c r="L1619" s="920">
        <v>12</v>
      </c>
      <c r="M1619" s="920">
        <f t="shared" si="50"/>
        <v>25200</v>
      </c>
      <c r="N1619" s="919"/>
      <c r="O1619" s="919"/>
      <c r="P1619" s="921">
        <f t="shared" si="51"/>
        <v>0</v>
      </c>
    </row>
    <row r="1620" spans="1:16" ht="20.100000000000001" customHeight="1" x14ac:dyDescent="0.25">
      <c r="A1620" s="918" t="s">
        <v>486</v>
      </c>
      <c r="B1620" s="944" t="s">
        <v>3901</v>
      </c>
      <c r="C1620" s="919" t="s">
        <v>3902</v>
      </c>
      <c r="D1620" s="919" t="s">
        <v>3999</v>
      </c>
      <c r="E1620" s="920">
        <v>2100</v>
      </c>
      <c r="F1620" s="919" t="s">
        <v>6873</v>
      </c>
      <c r="G1620" s="919" t="s">
        <v>6874</v>
      </c>
      <c r="H1620" s="919" t="s">
        <v>3999</v>
      </c>
      <c r="I1620" s="919" t="s">
        <v>3724</v>
      </c>
      <c r="J1620" s="919"/>
      <c r="K1620" s="920">
        <v>1</v>
      </c>
      <c r="L1620" s="920">
        <v>12</v>
      </c>
      <c r="M1620" s="920">
        <f t="shared" si="50"/>
        <v>25200</v>
      </c>
      <c r="N1620" s="919"/>
      <c r="O1620" s="919"/>
      <c r="P1620" s="921">
        <f t="shared" si="51"/>
        <v>0</v>
      </c>
    </row>
    <row r="1621" spans="1:16" ht="20.100000000000001" customHeight="1" x14ac:dyDescent="0.25">
      <c r="A1621" s="918" t="s">
        <v>486</v>
      </c>
      <c r="B1621" s="944" t="s">
        <v>3901</v>
      </c>
      <c r="C1621" s="919" t="s">
        <v>3902</v>
      </c>
      <c r="D1621" s="919" t="s">
        <v>3999</v>
      </c>
      <c r="E1621" s="920">
        <v>2100</v>
      </c>
      <c r="F1621" s="919" t="s">
        <v>6875</v>
      </c>
      <c r="G1621" s="919" t="s">
        <v>6876</v>
      </c>
      <c r="H1621" s="919" t="s">
        <v>3999</v>
      </c>
      <c r="I1621" s="919" t="s">
        <v>3724</v>
      </c>
      <c r="J1621" s="919"/>
      <c r="K1621" s="920">
        <v>1</v>
      </c>
      <c r="L1621" s="920">
        <v>12</v>
      </c>
      <c r="M1621" s="920">
        <f t="shared" si="50"/>
        <v>25200</v>
      </c>
      <c r="N1621" s="919"/>
      <c r="O1621" s="919"/>
      <c r="P1621" s="921">
        <f t="shared" si="51"/>
        <v>0</v>
      </c>
    </row>
    <row r="1622" spans="1:16" ht="20.100000000000001" customHeight="1" x14ac:dyDescent="0.25">
      <c r="A1622" s="918" t="s">
        <v>486</v>
      </c>
      <c r="B1622" s="944" t="s">
        <v>3901</v>
      </c>
      <c r="C1622" s="919" t="s">
        <v>3902</v>
      </c>
      <c r="D1622" s="919" t="s">
        <v>3999</v>
      </c>
      <c r="E1622" s="920">
        <v>2100</v>
      </c>
      <c r="F1622" s="919" t="s">
        <v>6877</v>
      </c>
      <c r="G1622" s="919" t="s">
        <v>6878</v>
      </c>
      <c r="H1622" s="919" t="s">
        <v>3999</v>
      </c>
      <c r="I1622" s="919" t="s">
        <v>3724</v>
      </c>
      <c r="J1622" s="919"/>
      <c r="K1622" s="920">
        <v>1</v>
      </c>
      <c r="L1622" s="920">
        <v>12</v>
      </c>
      <c r="M1622" s="920">
        <f t="shared" si="50"/>
        <v>25200</v>
      </c>
      <c r="N1622" s="919"/>
      <c r="O1622" s="919"/>
      <c r="P1622" s="921">
        <f t="shared" si="51"/>
        <v>0</v>
      </c>
    </row>
    <row r="1623" spans="1:16" ht="20.100000000000001" customHeight="1" x14ac:dyDescent="0.25">
      <c r="A1623" s="918" t="s">
        <v>486</v>
      </c>
      <c r="B1623" s="944" t="s">
        <v>3901</v>
      </c>
      <c r="C1623" s="919" t="s">
        <v>3902</v>
      </c>
      <c r="D1623" s="919" t="s">
        <v>3999</v>
      </c>
      <c r="E1623" s="920">
        <v>2100</v>
      </c>
      <c r="F1623" s="919" t="s">
        <v>6879</v>
      </c>
      <c r="G1623" s="919" t="s">
        <v>6880</v>
      </c>
      <c r="H1623" s="919" t="s">
        <v>3999</v>
      </c>
      <c r="I1623" s="919" t="s">
        <v>3724</v>
      </c>
      <c r="J1623" s="919"/>
      <c r="K1623" s="920">
        <v>1</v>
      </c>
      <c r="L1623" s="920">
        <v>12</v>
      </c>
      <c r="M1623" s="920">
        <f t="shared" si="50"/>
        <v>25200</v>
      </c>
      <c r="N1623" s="919"/>
      <c r="O1623" s="919"/>
      <c r="P1623" s="921">
        <f t="shared" si="51"/>
        <v>0</v>
      </c>
    </row>
    <row r="1624" spans="1:16" ht="20.100000000000001" customHeight="1" x14ac:dyDescent="0.25">
      <c r="A1624" s="918" t="s">
        <v>486</v>
      </c>
      <c r="B1624" s="944" t="s">
        <v>3901</v>
      </c>
      <c r="C1624" s="919" t="s">
        <v>3902</v>
      </c>
      <c r="D1624" s="919" t="s">
        <v>3999</v>
      </c>
      <c r="E1624" s="920">
        <v>2100</v>
      </c>
      <c r="F1624" s="919" t="s">
        <v>6881</v>
      </c>
      <c r="G1624" s="919" t="s">
        <v>6882</v>
      </c>
      <c r="H1624" s="919" t="s">
        <v>3999</v>
      </c>
      <c r="I1624" s="919" t="s">
        <v>3724</v>
      </c>
      <c r="J1624" s="919"/>
      <c r="K1624" s="920">
        <v>1</v>
      </c>
      <c r="L1624" s="920">
        <v>12</v>
      </c>
      <c r="M1624" s="920">
        <f t="shared" si="50"/>
        <v>25200</v>
      </c>
      <c r="N1624" s="919"/>
      <c r="O1624" s="919"/>
      <c r="P1624" s="921">
        <f t="shared" si="51"/>
        <v>0</v>
      </c>
    </row>
    <row r="1625" spans="1:16" ht="20.100000000000001" customHeight="1" x14ac:dyDescent="0.25">
      <c r="A1625" s="918" t="s">
        <v>486</v>
      </c>
      <c r="B1625" s="944" t="s">
        <v>3901</v>
      </c>
      <c r="C1625" s="919" t="s">
        <v>3902</v>
      </c>
      <c r="D1625" s="919" t="s">
        <v>3999</v>
      </c>
      <c r="E1625" s="920">
        <v>2100</v>
      </c>
      <c r="F1625" s="919" t="s">
        <v>6883</v>
      </c>
      <c r="G1625" s="919" t="s">
        <v>6884</v>
      </c>
      <c r="H1625" s="919" t="s">
        <v>3999</v>
      </c>
      <c r="I1625" s="919" t="s">
        <v>3724</v>
      </c>
      <c r="J1625" s="919"/>
      <c r="K1625" s="920">
        <v>1</v>
      </c>
      <c r="L1625" s="920">
        <v>12</v>
      </c>
      <c r="M1625" s="920">
        <f t="shared" si="50"/>
        <v>25200</v>
      </c>
      <c r="N1625" s="919"/>
      <c r="O1625" s="919"/>
      <c r="P1625" s="921">
        <f t="shared" si="51"/>
        <v>0</v>
      </c>
    </row>
    <row r="1626" spans="1:16" ht="20.100000000000001" customHeight="1" x14ac:dyDescent="0.25">
      <c r="A1626" s="918" t="s">
        <v>486</v>
      </c>
      <c r="B1626" s="944" t="s">
        <v>3901</v>
      </c>
      <c r="C1626" s="919" t="s">
        <v>3902</v>
      </c>
      <c r="D1626" s="919" t="s">
        <v>3999</v>
      </c>
      <c r="E1626" s="920">
        <v>2100</v>
      </c>
      <c r="F1626" s="919" t="s">
        <v>6885</v>
      </c>
      <c r="G1626" s="919" t="s">
        <v>6886</v>
      </c>
      <c r="H1626" s="919" t="s">
        <v>3999</v>
      </c>
      <c r="I1626" s="919" t="s">
        <v>3724</v>
      </c>
      <c r="J1626" s="919"/>
      <c r="K1626" s="920">
        <v>1</v>
      </c>
      <c r="L1626" s="920">
        <v>12</v>
      </c>
      <c r="M1626" s="920">
        <f t="shared" si="50"/>
        <v>25200</v>
      </c>
      <c r="N1626" s="919"/>
      <c r="O1626" s="919"/>
      <c r="P1626" s="921">
        <f t="shared" si="51"/>
        <v>0</v>
      </c>
    </row>
    <row r="1627" spans="1:16" ht="20.100000000000001" customHeight="1" x14ac:dyDescent="0.25">
      <c r="A1627" s="918" t="s">
        <v>486</v>
      </c>
      <c r="B1627" s="944" t="s">
        <v>3901</v>
      </c>
      <c r="C1627" s="919" t="s">
        <v>3902</v>
      </c>
      <c r="D1627" s="919" t="s">
        <v>3999</v>
      </c>
      <c r="E1627" s="920">
        <v>2100</v>
      </c>
      <c r="F1627" s="919" t="s">
        <v>6887</v>
      </c>
      <c r="G1627" s="919" t="s">
        <v>6888</v>
      </c>
      <c r="H1627" s="919" t="s">
        <v>3999</v>
      </c>
      <c r="I1627" s="919" t="s">
        <v>3724</v>
      </c>
      <c r="J1627" s="919"/>
      <c r="K1627" s="920">
        <v>1</v>
      </c>
      <c r="L1627" s="920">
        <v>12</v>
      </c>
      <c r="M1627" s="920">
        <f t="shared" si="50"/>
        <v>25200</v>
      </c>
      <c r="N1627" s="919"/>
      <c r="O1627" s="919"/>
      <c r="P1627" s="921">
        <f t="shared" si="51"/>
        <v>0</v>
      </c>
    </row>
    <row r="1628" spans="1:16" ht="20.100000000000001" customHeight="1" x14ac:dyDescent="0.25">
      <c r="A1628" s="918" t="s">
        <v>486</v>
      </c>
      <c r="B1628" s="944" t="s">
        <v>3901</v>
      </c>
      <c r="C1628" s="919" t="s">
        <v>3902</v>
      </c>
      <c r="D1628" s="919" t="s">
        <v>3999</v>
      </c>
      <c r="E1628" s="920">
        <v>2100</v>
      </c>
      <c r="F1628" s="919" t="s">
        <v>6889</v>
      </c>
      <c r="G1628" s="919" t="s">
        <v>6890</v>
      </c>
      <c r="H1628" s="919" t="s">
        <v>3999</v>
      </c>
      <c r="I1628" s="919" t="s">
        <v>3724</v>
      </c>
      <c r="J1628" s="919"/>
      <c r="K1628" s="920">
        <v>1</v>
      </c>
      <c r="L1628" s="920">
        <v>12</v>
      </c>
      <c r="M1628" s="920">
        <f t="shared" si="50"/>
        <v>25200</v>
      </c>
      <c r="N1628" s="919"/>
      <c r="O1628" s="919"/>
      <c r="P1628" s="921">
        <f t="shared" si="51"/>
        <v>0</v>
      </c>
    </row>
    <row r="1629" spans="1:16" ht="20.100000000000001" customHeight="1" x14ac:dyDescent="0.25">
      <c r="A1629" s="918" t="s">
        <v>486</v>
      </c>
      <c r="B1629" s="944" t="s">
        <v>3901</v>
      </c>
      <c r="C1629" s="919" t="s">
        <v>3902</v>
      </c>
      <c r="D1629" s="919" t="s">
        <v>3999</v>
      </c>
      <c r="E1629" s="920">
        <v>2100</v>
      </c>
      <c r="F1629" s="919" t="s">
        <v>6891</v>
      </c>
      <c r="G1629" s="919" t="s">
        <v>6892</v>
      </c>
      <c r="H1629" s="919" t="s">
        <v>3999</v>
      </c>
      <c r="I1629" s="919" t="s">
        <v>3724</v>
      </c>
      <c r="J1629" s="919"/>
      <c r="K1629" s="920">
        <v>1</v>
      </c>
      <c r="L1629" s="920">
        <v>12</v>
      </c>
      <c r="M1629" s="920">
        <f t="shared" si="50"/>
        <v>25200</v>
      </c>
      <c r="N1629" s="919"/>
      <c r="O1629" s="919"/>
      <c r="P1629" s="921">
        <f t="shared" si="51"/>
        <v>0</v>
      </c>
    </row>
    <row r="1630" spans="1:16" ht="20.100000000000001" customHeight="1" x14ac:dyDescent="0.25">
      <c r="A1630" s="918" t="s">
        <v>486</v>
      </c>
      <c r="B1630" s="944" t="s">
        <v>3901</v>
      </c>
      <c r="C1630" s="919" t="s">
        <v>3902</v>
      </c>
      <c r="D1630" s="919" t="s">
        <v>3999</v>
      </c>
      <c r="E1630" s="920">
        <v>2100</v>
      </c>
      <c r="F1630" s="919" t="s">
        <v>6893</v>
      </c>
      <c r="G1630" s="919" t="s">
        <v>6894</v>
      </c>
      <c r="H1630" s="919" t="s">
        <v>3999</v>
      </c>
      <c r="I1630" s="919" t="s">
        <v>3724</v>
      </c>
      <c r="J1630" s="919"/>
      <c r="K1630" s="920">
        <v>1</v>
      </c>
      <c r="L1630" s="920">
        <v>12</v>
      </c>
      <c r="M1630" s="920">
        <f t="shared" si="50"/>
        <v>25200</v>
      </c>
      <c r="N1630" s="919"/>
      <c r="O1630" s="919"/>
      <c r="P1630" s="921">
        <f t="shared" si="51"/>
        <v>0</v>
      </c>
    </row>
    <row r="1631" spans="1:16" ht="20.100000000000001" customHeight="1" x14ac:dyDescent="0.25">
      <c r="A1631" s="918" t="s">
        <v>486</v>
      </c>
      <c r="B1631" s="944" t="s">
        <v>3901</v>
      </c>
      <c r="C1631" s="919" t="s">
        <v>3902</v>
      </c>
      <c r="D1631" s="919" t="s">
        <v>3999</v>
      </c>
      <c r="E1631" s="920">
        <v>2100</v>
      </c>
      <c r="F1631" s="919" t="s">
        <v>6895</v>
      </c>
      <c r="G1631" s="919" t="s">
        <v>6896</v>
      </c>
      <c r="H1631" s="919" t="s">
        <v>3999</v>
      </c>
      <c r="I1631" s="919" t="s">
        <v>3724</v>
      </c>
      <c r="J1631" s="919"/>
      <c r="K1631" s="920">
        <v>1</v>
      </c>
      <c r="L1631" s="920">
        <v>12</v>
      </c>
      <c r="M1631" s="920">
        <f t="shared" si="50"/>
        <v>25200</v>
      </c>
      <c r="N1631" s="919"/>
      <c r="O1631" s="919"/>
      <c r="P1631" s="921">
        <f t="shared" si="51"/>
        <v>0</v>
      </c>
    </row>
    <row r="1632" spans="1:16" ht="20.100000000000001" customHeight="1" x14ac:dyDescent="0.25">
      <c r="A1632" s="918" t="s">
        <v>486</v>
      </c>
      <c r="B1632" s="944" t="s">
        <v>3901</v>
      </c>
      <c r="C1632" s="919" t="s">
        <v>3902</v>
      </c>
      <c r="D1632" s="919" t="s">
        <v>3999</v>
      </c>
      <c r="E1632" s="920">
        <v>2100</v>
      </c>
      <c r="F1632" s="919" t="s">
        <v>6897</v>
      </c>
      <c r="G1632" s="919" t="s">
        <v>6898</v>
      </c>
      <c r="H1632" s="919" t="s">
        <v>3999</v>
      </c>
      <c r="I1632" s="919" t="s">
        <v>3724</v>
      </c>
      <c r="J1632" s="919"/>
      <c r="K1632" s="920">
        <v>1</v>
      </c>
      <c r="L1632" s="920">
        <v>12</v>
      </c>
      <c r="M1632" s="920">
        <f t="shared" si="50"/>
        <v>25200</v>
      </c>
      <c r="N1632" s="919"/>
      <c r="O1632" s="919"/>
      <c r="P1632" s="921">
        <f t="shared" si="51"/>
        <v>0</v>
      </c>
    </row>
    <row r="1633" spans="1:16" ht="20.100000000000001" customHeight="1" x14ac:dyDescent="0.25">
      <c r="A1633" s="918" t="s">
        <v>486</v>
      </c>
      <c r="B1633" s="944" t="s">
        <v>3901</v>
      </c>
      <c r="C1633" s="919" t="s">
        <v>3902</v>
      </c>
      <c r="D1633" s="919" t="s">
        <v>3999</v>
      </c>
      <c r="E1633" s="920">
        <v>2100</v>
      </c>
      <c r="F1633" s="919" t="s">
        <v>6899</v>
      </c>
      <c r="G1633" s="919" t="s">
        <v>6900</v>
      </c>
      <c r="H1633" s="919" t="s">
        <v>3999</v>
      </c>
      <c r="I1633" s="919" t="s">
        <v>3724</v>
      </c>
      <c r="J1633" s="919"/>
      <c r="K1633" s="920">
        <v>1</v>
      </c>
      <c r="L1633" s="920">
        <v>12</v>
      </c>
      <c r="M1633" s="920">
        <f t="shared" si="50"/>
        <v>25200</v>
      </c>
      <c r="N1633" s="919"/>
      <c r="O1633" s="919"/>
      <c r="P1633" s="921">
        <f t="shared" si="51"/>
        <v>0</v>
      </c>
    </row>
    <row r="1634" spans="1:16" ht="20.100000000000001" customHeight="1" x14ac:dyDescent="0.25">
      <c r="A1634" s="918" t="s">
        <v>486</v>
      </c>
      <c r="B1634" s="944" t="s">
        <v>3901</v>
      </c>
      <c r="C1634" s="919" t="s">
        <v>3902</v>
      </c>
      <c r="D1634" s="919" t="s">
        <v>3999</v>
      </c>
      <c r="E1634" s="920">
        <v>2100</v>
      </c>
      <c r="F1634" s="919" t="s">
        <v>6901</v>
      </c>
      <c r="G1634" s="919" t="s">
        <v>6902</v>
      </c>
      <c r="H1634" s="919" t="s">
        <v>3999</v>
      </c>
      <c r="I1634" s="919" t="s">
        <v>3724</v>
      </c>
      <c r="J1634" s="919"/>
      <c r="K1634" s="920">
        <v>1</v>
      </c>
      <c r="L1634" s="920">
        <v>12</v>
      </c>
      <c r="M1634" s="920">
        <f t="shared" si="50"/>
        <v>25200</v>
      </c>
      <c r="N1634" s="919"/>
      <c r="O1634" s="919"/>
      <c r="P1634" s="921">
        <f t="shared" si="51"/>
        <v>0</v>
      </c>
    </row>
    <row r="1635" spans="1:16" ht="20.100000000000001" customHeight="1" x14ac:dyDescent="0.25">
      <c r="A1635" s="918" t="s">
        <v>486</v>
      </c>
      <c r="B1635" s="944" t="s">
        <v>3901</v>
      </c>
      <c r="C1635" s="919" t="s">
        <v>3902</v>
      </c>
      <c r="D1635" s="919" t="s">
        <v>3999</v>
      </c>
      <c r="E1635" s="920">
        <v>2100</v>
      </c>
      <c r="F1635" s="919" t="s">
        <v>6903</v>
      </c>
      <c r="G1635" s="919" t="s">
        <v>6904</v>
      </c>
      <c r="H1635" s="919" t="s">
        <v>3999</v>
      </c>
      <c r="I1635" s="919" t="s">
        <v>3724</v>
      </c>
      <c r="J1635" s="919"/>
      <c r="K1635" s="920">
        <v>1</v>
      </c>
      <c r="L1635" s="920">
        <v>12</v>
      </c>
      <c r="M1635" s="920">
        <f t="shared" si="50"/>
        <v>25200</v>
      </c>
      <c r="N1635" s="919"/>
      <c r="O1635" s="919"/>
      <c r="P1635" s="921">
        <f t="shared" si="51"/>
        <v>0</v>
      </c>
    </row>
    <row r="1636" spans="1:16" ht="20.100000000000001" customHeight="1" x14ac:dyDescent="0.25">
      <c r="A1636" s="918" t="s">
        <v>486</v>
      </c>
      <c r="B1636" s="944" t="s">
        <v>3901</v>
      </c>
      <c r="C1636" s="919" t="s">
        <v>3902</v>
      </c>
      <c r="D1636" s="919" t="s">
        <v>3999</v>
      </c>
      <c r="E1636" s="920">
        <v>2100</v>
      </c>
      <c r="F1636" s="919" t="s">
        <v>6905</v>
      </c>
      <c r="G1636" s="919" t="s">
        <v>6906</v>
      </c>
      <c r="H1636" s="919" t="s">
        <v>3999</v>
      </c>
      <c r="I1636" s="919" t="s">
        <v>3724</v>
      </c>
      <c r="J1636" s="919"/>
      <c r="K1636" s="920">
        <v>1</v>
      </c>
      <c r="L1636" s="920">
        <v>12</v>
      </c>
      <c r="M1636" s="920">
        <f t="shared" si="50"/>
        <v>25200</v>
      </c>
      <c r="N1636" s="919"/>
      <c r="O1636" s="919"/>
      <c r="P1636" s="921">
        <f t="shared" si="51"/>
        <v>0</v>
      </c>
    </row>
    <row r="1637" spans="1:16" ht="20.100000000000001" customHeight="1" x14ac:dyDescent="0.25">
      <c r="A1637" s="918" t="s">
        <v>486</v>
      </c>
      <c r="B1637" s="944" t="s">
        <v>3901</v>
      </c>
      <c r="C1637" s="919" t="s">
        <v>3902</v>
      </c>
      <c r="D1637" s="919" t="s">
        <v>3999</v>
      </c>
      <c r="E1637" s="920">
        <v>2100</v>
      </c>
      <c r="F1637" s="919" t="s">
        <v>6907</v>
      </c>
      <c r="G1637" s="919" t="s">
        <v>6908</v>
      </c>
      <c r="H1637" s="919" t="s">
        <v>3999</v>
      </c>
      <c r="I1637" s="919" t="s">
        <v>3724</v>
      </c>
      <c r="J1637" s="919"/>
      <c r="K1637" s="920">
        <v>1</v>
      </c>
      <c r="L1637" s="920">
        <v>12</v>
      </c>
      <c r="M1637" s="920">
        <f t="shared" si="50"/>
        <v>25200</v>
      </c>
      <c r="N1637" s="919"/>
      <c r="O1637" s="919"/>
      <c r="P1637" s="921">
        <f t="shared" si="51"/>
        <v>0</v>
      </c>
    </row>
    <row r="1638" spans="1:16" ht="20.100000000000001" customHeight="1" x14ac:dyDescent="0.25">
      <c r="A1638" s="918" t="s">
        <v>486</v>
      </c>
      <c r="B1638" s="944" t="s">
        <v>3901</v>
      </c>
      <c r="C1638" s="919" t="s">
        <v>3902</v>
      </c>
      <c r="D1638" s="919" t="s">
        <v>3999</v>
      </c>
      <c r="E1638" s="920">
        <v>2100</v>
      </c>
      <c r="F1638" s="919" t="s">
        <v>6909</v>
      </c>
      <c r="G1638" s="919" t="s">
        <v>6910</v>
      </c>
      <c r="H1638" s="919" t="s">
        <v>3999</v>
      </c>
      <c r="I1638" s="919" t="s">
        <v>3724</v>
      </c>
      <c r="J1638" s="919"/>
      <c r="K1638" s="920">
        <v>1</v>
      </c>
      <c r="L1638" s="920">
        <v>12</v>
      </c>
      <c r="M1638" s="920">
        <f t="shared" si="50"/>
        <v>25200</v>
      </c>
      <c r="N1638" s="919"/>
      <c r="O1638" s="919"/>
      <c r="P1638" s="921">
        <f t="shared" si="51"/>
        <v>0</v>
      </c>
    </row>
    <row r="1639" spans="1:16" ht="20.100000000000001" customHeight="1" x14ac:dyDescent="0.25">
      <c r="A1639" s="918" t="s">
        <v>486</v>
      </c>
      <c r="B1639" s="944" t="s">
        <v>3901</v>
      </c>
      <c r="C1639" s="919" t="s">
        <v>3902</v>
      </c>
      <c r="D1639" s="919" t="s">
        <v>3999</v>
      </c>
      <c r="E1639" s="920">
        <v>2100</v>
      </c>
      <c r="F1639" s="919" t="s">
        <v>6911</v>
      </c>
      <c r="G1639" s="919" t="s">
        <v>6912</v>
      </c>
      <c r="H1639" s="919" t="s">
        <v>3999</v>
      </c>
      <c r="I1639" s="919" t="s">
        <v>3724</v>
      </c>
      <c r="J1639" s="919"/>
      <c r="K1639" s="920">
        <v>1</v>
      </c>
      <c r="L1639" s="920">
        <v>12</v>
      </c>
      <c r="M1639" s="920">
        <f t="shared" si="50"/>
        <v>25200</v>
      </c>
      <c r="N1639" s="919"/>
      <c r="O1639" s="919"/>
      <c r="P1639" s="921">
        <f t="shared" si="51"/>
        <v>0</v>
      </c>
    </row>
    <row r="1640" spans="1:16" ht="20.100000000000001" customHeight="1" x14ac:dyDescent="0.25">
      <c r="A1640" s="918" t="s">
        <v>486</v>
      </c>
      <c r="B1640" s="944" t="s">
        <v>3901</v>
      </c>
      <c r="C1640" s="919" t="s">
        <v>3902</v>
      </c>
      <c r="D1640" s="919" t="s">
        <v>3999</v>
      </c>
      <c r="E1640" s="920">
        <v>2100</v>
      </c>
      <c r="F1640" s="919" t="s">
        <v>6913</v>
      </c>
      <c r="G1640" s="919" t="s">
        <v>6914</v>
      </c>
      <c r="H1640" s="919" t="s">
        <v>3999</v>
      </c>
      <c r="I1640" s="919" t="s">
        <v>3724</v>
      </c>
      <c r="J1640" s="919"/>
      <c r="K1640" s="920">
        <v>1</v>
      </c>
      <c r="L1640" s="920">
        <v>12</v>
      </c>
      <c r="M1640" s="920">
        <f t="shared" si="50"/>
        <v>25200</v>
      </c>
      <c r="N1640" s="919"/>
      <c r="O1640" s="919"/>
      <c r="P1640" s="921">
        <f t="shared" si="51"/>
        <v>0</v>
      </c>
    </row>
    <row r="1641" spans="1:16" ht="20.100000000000001" customHeight="1" x14ac:dyDescent="0.25">
      <c r="A1641" s="918" t="s">
        <v>486</v>
      </c>
      <c r="B1641" s="944" t="s">
        <v>3901</v>
      </c>
      <c r="C1641" s="919" t="s">
        <v>3902</v>
      </c>
      <c r="D1641" s="919" t="s">
        <v>3999</v>
      </c>
      <c r="E1641" s="920">
        <v>2100</v>
      </c>
      <c r="F1641" s="919" t="s">
        <v>6915</v>
      </c>
      <c r="G1641" s="919" t="s">
        <v>6916</v>
      </c>
      <c r="H1641" s="919" t="s">
        <v>3999</v>
      </c>
      <c r="I1641" s="919" t="s">
        <v>3724</v>
      </c>
      <c r="J1641" s="919"/>
      <c r="K1641" s="920">
        <v>1</v>
      </c>
      <c r="L1641" s="920">
        <v>12</v>
      </c>
      <c r="M1641" s="920">
        <f t="shared" si="50"/>
        <v>25200</v>
      </c>
      <c r="N1641" s="919"/>
      <c r="O1641" s="919"/>
      <c r="P1641" s="921">
        <f t="shared" si="51"/>
        <v>0</v>
      </c>
    </row>
    <row r="1642" spans="1:16" ht="20.100000000000001" customHeight="1" x14ac:dyDescent="0.25">
      <c r="A1642" s="918" t="s">
        <v>486</v>
      </c>
      <c r="B1642" s="944" t="s">
        <v>3901</v>
      </c>
      <c r="C1642" s="919" t="s">
        <v>3902</v>
      </c>
      <c r="D1642" s="919" t="s">
        <v>3999</v>
      </c>
      <c r="E1642" s="920">
        <v>2100</v>
      </c>
      <c r="F1642" s="919" t="s">
        <v>6917</v>
      </c>
      <c r="G1642" s="919" t="s">
        <v>6918</v>
      </c>
      <c r="H1642" s="919" t="s">
        <v>3999</v>
      </c>
      <c r="I1642" s="919" t="s">
        <v>3724</v>
      </c>
      <c r="J1642" s="919"/>
      <c r="K1642" s="920">
        <v>1</v>
      </c>
      <c r="L1642" s="920">
        <v>12</v>
      </c>
      <c r="M1642" s="920">
        <f t="shared" si="50"/>
        <v>25200</v>
      </c>
      <c r="N1642" s="919"/>
      <c r="O1642" s="919"/>
      <c r="P1642" s="921">
        <f t="shared" si="51"/>
        <v>0</v>
      </c>
    </row>
    <row r="1643" spans="1:16" ht="20.100000000000001" customHeight="1" x14ac:dyDescent="0.25">
      <c r="A1643" s="918" t="s">
        <v>486</v>
      </c>
      <c r="B1643" s="944" t="s">
        <v>3901</v>
      </c>
      <c r="C1643" s="919" t="s">
        <v>3902</v>
      </c>
      <c r="D1643" s="919" t="s">
        <v>6919</v>
      </c>
      <c r="E1643" s="920">
        <v>2100</v>
      </c>
      <c r="F1643" s="919" t="s">
        <v>6920</v>
      </c>
      <c r="G1643" s="919" t="s">
        <v>6921</v>
      </c>
      <c r="H1643" s="919" t="s">
        <v>6919</v>
      </c>
      <c r="I1643" s="919" t="s">
        <v>3679</v>
      </c>
      <c r="J1643" s="919"/>
      <c r="K1643" s="920">
        <v>1</v>
      </c>
      <c r="L1643" s="920">
        <v>12</v>
      </c>
      <c r="M1643" s="920">
        <f t="shared" si="50"/>
        <v>25200</v>
      </c>
      <c r="N1643" s="919"/>
      <c r="O1643" s="919"/>
      <c r="P1643" s="921">
        <f t="shared" si="51"/>
        <v>0</v>
      </c>
    </row>
    <row r="1644" spans="1:16" ht="20.100000000000001" customHeight="1" x14ac:dyDescent="0.25">
      <c r="A1644" s="918" t="s">
        <v>486</v>
      </c>
      <c r="B1644" s="944" t="s">
        <v>3901</v>
      </c>
      <c r="C1644" s="919" t="s">
        <v>3902</v>
      </c>
      <c r="D1644" s="919" t="s">
        <v>6919</v>
      </c>
      <c r="E1644" s="920">
        <v>2100</v>
      </c>
      <c r="F1644" s="919" t="s">
        <v>6922</v>
      </c>
      <c r="G1644" s="919" t="s">
        <v>6923</v>
      </c>
      <c r="H1644" s="919" t="s">
        <v>6919</v>
      </c>
      <c r="I1644" s="919" t="s">
        <v>3679</v>
      </c>
      <c r="J1644" s="919"/>
      <c r="K1644" s="920">
        <v>1</v>
      </c>
      <c r="L1644" s="920">
        <v>12</v>
      </c>
      <c r="M1644" s="920">
        <f t="shared" si="50"/>
        <v>25200</v>
      </c>
      <c r="N1644" s="919"/>
      <c r="O1644" s="919"/>
      <c r="P1644" s="921">
        <f t="shared" si="51"/>
        <v>0</v>
      </c>
    </row>
    <row r="1645" spans="1:16" ht="20.100000000000001" customHeight="1" x14ac:dyDescent="0.25">
      <c r="A1645" s="918" t="s">
        <v>486</v>
      </c>
      <c r="B1645" s="944" t="s">
        <v>3901</v>
      </c>
      <c r="C1645" s="919" t="s">
        <v>3902</v>
      </c>
      <c r="D1645" s="919" t="s">
        <v>4375</v>
      </c>
      <c r="E1645" s="920">
        <v>6000</v>
      </c>
      <c r="F1645" s="919" t="s">
        <v>6924</v>
      </c>
      <c r="G1645" s="919" t="s">
        <v>6925</v>
      </c>
      <c r="H1645" s="919" t="s">
        <v>4375</v>
      </c>
      <c r="I1645" s="919" t="s">
        <v>3724</v>
      </c>
      <c r="J1645" s="919"/>
      <c r="K1645" s="920">
        <v>1</v>
      </c>
      <c r="L1645" s="920">
        <v>12</v>
      </c>
      <c r="M1645" s="920">
        <f t="shared" si="50"/>
        <v>72000</v>
      </c>
      <c r="N1645" s="919"/>
      <c r="O1645" s="919"/>
      <c r="P1645" s="921">
        <f t="shared" si="51"/>
        <v>0</v>
      </c>
    </row>
    <row r="1646" spans="1:16" ht="20.100000000000001" customHeight="1" x14ac:dyDescent="0.25">
      <c r="A1646" s="918" t="s">
        <v>486</v>
      </c>
      <c r="B1646" s="944" t="s">
        <v>3901</v>
      </c>
      <c r="C1646" s="919" t="s">
        <v>3902</v>
      </c>
      <c r="D1646" s="919" t="s">
        <v>4375</v>
      </c>
      <c r="E1646" s="920">
        <v>6000</v>
      </c>
      <c r="F1646" s="919" t="s">
        <v>6926</v>
      </c>
      <c r="G1646" s="919" t="s">
        <v>6927</v>
      </c>
      <c r="H1646" s="919" t="s">
        <v>4375</v>
      </c>
      <c r="I1646" s="919" t="s">
        <v>3724</v>
      </c>
      <c r="J1646" s="919"/>
      <c r="K1646" s="920">
        <v>1</v>
      </c>
      <c r="L1646" s="920">
        <v>12</v>
      </c>
      <c r="M1646" s="920">
        <f t="shared" si="50"/>
        <v>72000</v>
      </c>
      <c r="N1646" s="919"/>
      <c r="O1646" s="919"/>
      <c r="P1646" s="921">
        <f t="shared" si="51"/>
        <v>0</v>
      </c>
    </row>
    <row r="1647" spans="1:16" ht="20.100000000000001" customHeight="1" x14ac:dyDescent="0.25">
      <c r="A1647" s="918" t="s">
        <v>486</v>
      </c>
      <c r="B1647" s="944" t="s">
        <v>3901</v>
      </c>
      <c r="C1647" s="919" t="s">
        <v>3902</v>
      </c>
      <c r="D1647" s="919" t="s">
        <v>4375</v>
      </c>
      <c r="E1647" s="920">
        <v>6000</v>
      </c>
      <c r="F1647" s="919" t="s">
        <v>6928</v>
      </c>
      <c r="G1647" s="919" t="s">
        <v>6929</v>
      </c>
      <c r="H1647" s="919" t="s">
        <v>4375</v>
      </c>
      <c r="I1647" s="919" t="s">
        <v>3724</v>
      </c>
      <c r="J1647" s="919"/>
      <c r="K1647" s="920">
        <v>1</v>
      </c>
      <c r="L1647" s="920">
        <v>12</v>
      </c>
      <c r="M1647" s="920">
        <f t="shared" si="50"/>
        <v>72000</v>
      </c>
      <c r="N1647" s="919"/>
      <c r="O1647" s="919"/>
      <c r="P1647" s="921">
        <f t="shared" si="51"/>
        <v>0</v>
      </c>
    </row>
    <row r="1648" spans="1:16" ht="20.100000000000001" customHeight="1" x14ac:dyDescent="0.25">
      <c r="A1648" s="918" t="s">
        <v>486</v>
      </c>
      <c r="B1648" s="944" t="s">
        <v>3901</v>
      </c>
      <c r="C1648" s="919" t="s">
        <v>3902</v>
      </c>
      <c r="D1648" s="919" t="s">
        <v>4375</v>
      </c>
      <c r="E1648" s="920">
        <v>6000</v>
      </c>
      <c r="F1648" s="919" t="s">
        <v>6930</v>
      </c>
      <c r="G1648" s="919" t="s">
        <v>6931</v>
      </c>
      <c r="H1648" s="919" t="s">
        <v>4375</v>
      </c>
      <c r="I1648" s="919" t="s">
        <v>3724</v>
      </c>
      <c r="J1648" s="919"/>
      <c r="K1648" s="920">
        <v>1</v>
      </c>
      <c r="L1648" s="920">
        <v>12</v>
      </c>
      <c r="M1648" s="920">
        <f t="shared" si="50"/>
        <v>72000</v>
      </c>
      <c r="N1648" s="919"/>
      <c r="O1648" s="919"/>
      <c r="P1648" s="921">
        <f t="shared" si="51"/>
        <v>0</v>
      </c>
    </row>
    <row r="1649" spans="1:16" ht="20.100000000000001" customHeight="1" x14ac:dyDescent="0.25">
      <c r="A1649" s="918" t="s">
        <v>486</v>
      </c>
      <c r="B1649" s="944" t="s">
        <v>3901</v>
      </c>
      <c r="C1649" s="919" t="s">
        <v>3902</v>
      </c>
      <c r="D1649" s="919" t="s">
        <v>4375</v>
      </c>
      <c r="E1649" s="920">
        <v>6000</v>
      </c>
      <c r="F1649" s="919" t="s">
        <v>6932</v>
      </c>
      <c r="G1649" s="919" t="s">
        <v>6933</v>
      </c>
      <c r="H1649" s="919" t="s">
        <v>4375</v>
      </c>
      <c r="I1649" s="919" t="s">
        <v>3724</v>
      </c>
      <c r="J1649" s="919"/>
      <c r="K1649" s="920">
        <v>1</v>
      </c>
      <c r="L1649" s="920">
        <v>12</v>
      </c>
      <c r="M1649" s="920">
        <f t="shared" si="50"/>
        <v>72000</v>
      </c>
      <c r="N1649" s="919"/>
      <c r="O1649" s="919"/>
      <c r="P1649" s="921">
        <f t="shared" si="51"/>
        <v>0</v>
      </c>
    </row>
    <row r="1650" spans="1:16" ht="20.100000000000001" customHeight="1" x14ac:dyDescent="0.25">
      <c r="A1650" s="918" t="s">
        <v>486</v>
      </c>
      <c r="B1650" s="944" t="s">
        <v>3901</v>
      </c>
      <c r="C1650" s="919" t="s">
        <v>3902</v>
      </c>
      <c r="D1650" s="919" t="s">
        <v>4375</v>
      </c>
      <c r="E1650" s="920">
        <v>6000</v>
      </c>
      <c r="F1650" s="919" t="s">
        <v>6934</v>
      </c>
      <c r="G1650" s="919" t="s">
        <v>6935</v>
      </c>
      <c r="H1650" s="919" t="s">
        <v>4375</v>
      </c>
      <c r="I1650" s="919" t="s">
        <v>3724</v>
      </c>
      <c r="J1650" s="919"/>
      <c r="K1650" s="920">
        <v>1</v>
      </c>
      <c r="L1650" s="920">
        <v>12</v>
      </c>
      <c r="M1650" s="920">
        <f t="shared" si="50"/>
        <v>72000</v>
      </c>
      <c r="N1650" s="919"/>
      <c r="O1650" s="919"/>
      <c r="P1650" s="921">
        <f t="shared" si="51"/>
        <v>0</v>
      </c>
    </row>
    <row r="1651" spans="1:16" ht="20.100000000000001" customHeight="1" x14ac:dyDescent="0.25">
      <c r="A1651" s="918" t="s">
        <v>486</v>
      </c>
      <c r="B1651" s="944" t="s">
        <v>3901</v>
      </c>
      <c r="C1651" s="919" t="s">
        <v>3902</v>
      </c>
      <c r="D1651" s="919" t="s">
        <v>4375</v>
      </c>
      <c r="E1651" s="920">
        <v>6000</v>
      </c>
      <c r="F1651" s="919" t="s">
        <v>6936</v>
      </c>
      <c r="G1651" s="919" t="s">
        <v>6937</v>
      </c>
      <c r="H1651" s="919" t="s">
        <v>4375</v>
      </c>
      <c r="I1651" s="919" t="s">
        <v>3724</v>
      </c>
      <c r="J1651" s="919"/>
      <c r="K1651" s="920">
        <v>1</v>
      </c>
      <c r="L1651" s="920">
        <v>12</v>
      </c>
      <c r="M1651" s="920">
        <f t="shared" si="50"/>
        <v>72000</v>
      </c>
      <c r="N1651" s="919"/>
      <c r="O1651" s="919"/>
      <c r="P1651" s="921">
        <f t="shared" si="51"/>
        <v>0</v>
      </c>
    </row>
    <row r="1652" spans="1:16" ht="20.100000000000001" customHeight="1" x14ac:dyDescent="0.25">
      <c r="A1652" s="918" t="s">
        <v>486</v>
      </c>
      <c r="B1652" s="944" t="s">
        <v>3901</v>
      </c>
      <c r="C1652" s="919" t="s">
        <v>3902</v>
      </c>
      <c r="D1652" s="919" t="s">
        <v>4375</v>
      </c>
      <c r="E1652" s="920">
        <v>6000</v>
      </c>
      <c r="F1652" s="919" t="s">
        <v>6938</v>
      </c>
      <c r="G1652" s="919" t="s">
        <v>6939</v>
      </c>
      <c r="H1652" s="919" t="s">
        <v>4375</v>
      </c>
      <c r="I1652" s="919" t="s">
        <v>3724</v>
      </c>
      <c r="J1652" s="919"/>
      <c r="K1652" s="920">
        <v>1</v>
      </c>
      <c r="L1652" s="920">
        <v>12</v>
      </c>
      <c r="M1652" s="920">
        <f t="shared" si="50"/>
        <v>72000</v>
      </c>
      <c r="N1652" s="919"/>
      <c r="O1652" s="919"/>
      <c r="P1652" s="921">
        <f t="shared" si="51"/>
        <v>0</v>
      </c>
    </row>
    <row r="1653" spans="1:16" ht="20.100000000000001" customHeight="1" x14ac:dyDescent="0.25">
      <c r="A1653" s="918" t="s">
        <v>486</v>
      </c>
      <c r="B1653" s="944" t="s">
        <v>3901</v>
      </c>
      <c r="C1653" s="919" t="s">
        <v>3902</v>
      </c>
      <c r="D1653" s="919" t="s">
        <v>4352</v>
      </c>
      <c r="E1653" s="920">
        <v>2100</v>
      </c>
      <c r="F1653" s="919" t="s">
        <v>6940</v>
      </c>
      <c r="G1653" s="919" t="s">
        <v>6941</v>
      </c>
      <c r="H1653" s="919" t="s">
        <v>4352</v>
      </c>
      <c r="I1653" s="919" t="s">
        <v>3724</v>
      </c>
      <c r="J1653" s="919"/>
      <c r="K1653" s="920">
        <v>1</v>
      </c>
      <c r="L1653" s="920">
        <v>12</v>
      </c>
      <c r="M1653" s="920">
        <f t="shared" si="50"/>
        <v>25200</v>
      </c>
      <c r="N1653" s="919"/>
      <c r="O1653" s="919"/>
      <c r="P1653" s="921">
        <f t="shared" si="51"/>
        <v>0</v>
      </c>
    </row>
    <row r="1654" spans="1:16" ht="20.100000000000001" customHeight="1" x14ac:dyDescent="0.25">
      <c r="A1654" s="918" t="s">
        <v>486</v>
      </c>
      <c r="B1654" s="944" t="s">
        <v>3901</v>
      </c>
      <c r="C1654" s="919" t="s">
        <v>3902</v>
      </c>
      <c r="D1654" s="919" t="s">
        <v>4352</v>
      </c>
      <c r="E1654" s="920">
        <v>2100</v>
      </c>
      <c r="F1654" s="919" t="s">
        <v>6942</v>
      </c>
      <c r="G1654" s="919" t="s">
        <v>6943</v>
      </c>
      <c r="H1654" s="919" t="s">
        <v>4352</v>
      </c>
      <c r="I1654" s="919" t="s">
        <v>3724</v>
      </c>
      <c r="J1654" s="919"/>
      <c r="K1654" s="920">
        <v>1</v>
      </c>
      <c r="L1654" s="920">
        <v>12</v>
      </c>
      <c r="M1654" s="920">
        <f t="shared" si="50"/>
        <v>25200</v>
      </c>
      <c r="N1654" s="919"/>
      <c r="O1654" s="919"/>
      <c r="P1654" s="921">
        <f t="shared" si="51"/>
        <v>0</v>
      </c>
    </row>
    <row r="1655" spans="1:16" ht="20.100000000000001" customHeight="1" x14ac:dyDescent="0.25">
      <c r="A1655" s="918" t="s">
        <v>486</v>
      </c>
      <c r="B1655" s="944" t="s">
        <v>3901</v>
      </c>
      <c r="C1655" s="919" t="s">
        <v>3902</v>
      </c>
      <c r="D1655" s="919" t="s">
        <v>4352</v>
      </c>
      <c r="E1655" s="920">
        <v>2100</v>
      </c>
      <c r="F1655" s="919" t="s">
        <v>6944</v>
      </c>
      <c r="G1655" s="919" t="s">
        <v>6945</v>
      </c>
      <c r="H1655" s="919" t="s">
        <v>4352</v>
      </c>
      <c r="I1655" s="919" t="s">
        <v>3724</v>
      </c>
      <c r="J1655" s="919"/>
      <c r="K1655" s="920">
        <v>1</v>
      </c>
      <c r="L1655" s="920">
        <v>12</v>
      </c>
      <c r="M1655" s="920">
        <f t="shared" si="50"/>
        <v>25200</v>
      </c>
      <c r="N1655" s="919"/>
      <c r="O1655" s="919"/>
      <c r="P1655" s="921">
        <f t="shared" si="51"/>
        <v>0</v>
      </c>
    </row>
    <row r="1656" spans="1:16" ht="20.100000000000001" customHeight="1" x14ac:dyDescent="0.25">
      <c r="A1656" s="918" t="s">
        <v>486</v>
      </c>
      <c r="B1656" s="944" t="s">
        <v>3901</v>
      </c>
      <c r="C1656" s="919" t="s">
        <v>3902</v>
      </c>
      <c r="D1656" s="919" t="s">
        <v>4352</v>
      </c>
      <c r="E1656" s="920">
        <v>2100</v>
      </c>
      <c r="F1656" s="919" t="s">
        <v>6946</v>
      </c>
      <c r="G1656" s="919" t="s">
        <v>6947</v>
      </c>
      <c r="H1656" s="919" t="s">
        <v>4352</v>
      </c>
      <c r="I1656" s="919" t="s">
        <v>3724</v>
      </c>
      <c r="J1656" s="919"/>
      <c r="K1656" s="920">
        <v>1</v>
      </c>
      <c r="L1656" s="920">
        <v>12</v>
      </c>
      <c r="M1656" s="920">
        <f t="shared" si="50"/>
        <v>25200</v>
      </c>
      <c r="N1656" s="919"/>
      <c r="O1656" s="919"/>
      <c r="P1656" s="921">
        <f t="shared" si="51"/>
        <v>0</v>
      </c>
    </row>
    <row r="1657" spans="1:16" ht="20.100000000000001" customHeight="1" x14ac:dyDescent="0.25">
      <c r="A1657" s="918" t="s">
        <v>486</v>
      </c>
      <c r="B1657" s="944" t="s">
        <v>3901</v>
      </c>
      <c r="C1657" s="919" t="s">
        <v>3902</v>
      </c>
      <c r="D1657" s="919" t="s">
        <v>4352</v>
      </c>
      <c r="E1657" s="920">
        <v>2100</v>
      </c>
      <c r="F1657" s="919" t="s">
        <v>6948</v>
      </c>
      <c r="G1657" s="919" t="s">
        <v>6949</v>
      </c>
      <c r="H1657" s="919" t="s">
        <v>4352</v>
      </c>
      <c r="I1657" s="919" t="s">
        <v>3724</v>
      </c>
      <c r="J1657" s="919"/>
      <c r="K1657" s="920">
        <v>1</v>
      </c>
      <c r="L1657" s="920">
        <v>12</v>
      </c>
      <c r="M1657" s="920">
        <f t="shared" si="50"/>
        <v>25200</v>
      </c>
      <c r="N1657" s="919"/>
      <c r="O1657" s="919"/>
      <c r="P1657" s="921">
        <f t="shared" si="51"/>
        <v>0</v>
      </c>
    </row>
    <row r="1658" spans="1:16" ht="20.100000000000001" customHeight="1" x14ac:dyDescent="0.25">
      <c r="A1658" s="918" t="s">
        <v>486</v>
      </c>
      <c r="B1658" s="944" t="s">
        <v>3901</v>
      </c>
      <c r="C1658" s="919" t="s">
        <v>3902</v>
      </c>
      <c r="D1658" s="919" t="s">
        <v>4383</v>
      </c>
      <c r="E1658" s="920">
        <v>2100</v>
      </c>
      <c r="F1658" s="919" t="s">
        <v>6950</v>
      </c>
      <c r="G1658" s="919" t="s">
        <v>6951</v>
      </c>
      <c r="H1658" s="919" t="s">
        <v>4383</v>
      </c>
      <c r="I1658" s="919" t="s">
        <v>3724</v>
      </c>
      <c r="J1658" s="919"/>
      <c r="K1658" s="920">
        <v>1</v>
      </c>
      <c r="L1658" s="920">
        <v>12</v>
      </c>
      <c r="M1658" s="920">
        <f t="shared" si="50"/>
        <v>25200</v>
      </c>
      <c r="N1658" s="919"/>
      <c r="O1658" s="919"/>
      <c r="P1658" s="921">
        <f t="shared" si="51"/>
        <v>0</v>
      </c>
    </row>
    <row r="1659" spans="1:16" ht="20.100000000000001" customHeight="1" x14ac:dyDescent="0.25">
      <c r="A1659" s="918" t="s">
        <v>486</v>
      </c>
      <c r="B1659" s="944" t="s">
        <v>3901</v>
      </c>
      <c r="C1659" s="919" t="s">
        <v>3902</v>
      </c>
      <c r="D1659" s="919" t="s">
        <v>4383</v>
      </c>
      <c r="E1659" s="920">
        <v>2100</v>
      </c>
      <c r="F1659" s="919" t="s">
        <v>6952</v>
      </c>
      <c r="G1659" s="919" t="s">
        <v>6953</v>
      </c>
      <c r="H1659" s="919" t="s">
        <v>4383</v>
      </c>
      <c r="I1659" s="919" t="s">
        <v>3724</v>
      </c>
      <c r="J1659" s="919"/>
      <c r="K1659" s="920">
        <v>1</v>
      </c>
      <c r="L1659" s="920">
        <v>12</v>
      </c>
      <c r="M1659" s="920">
        <f t="shared" si="50"/>
        <v>25200</v>
      </c>
      <c r="N1659" s="919"/>
      <c r="O1659" s="919"/>
      <c r="P1659" s="921">
        <f t="shared" si="51"/>
        <v>0</v>
      </c>
    </row>
    <row r="1660" spans="1:16" ht="20.100000000000001" customHeight="1" x14ac:dyDescent="0.25">
      <c r="A1660" s="918" t="s">
        <v>486</v>
      </c>
      <c r="B1660" s="944" t="s">
        <v>3901</v>
      </c>
      <c r="C1660" s="919" t="s">
        <v>3902</v>
      </c>
      <c r="D1660" s="919" t="s">
        <v>4383</v>
      </c>
      <c r="E1660" s="920">
        <v>2100</v>
      </c>
      <c r="F1660" s="919" t="s">
        <v>6954</v>
      </c>
      <c r="G1660" s="919" t="s">
        <v>6955</v>
      </c>
      <c r="H1660" s="919" t="s">
        <v>4383</v>
      </c>
      <c r="I1660" s="919" t="s">
        <v>3724</v>
      </c>
      <c r="J1660" s="919"/>
      <c r="K1660" s="920">
        <v>1</v>
      </c>
      <c r="L1660" s="920">
        <v>12</v>
      </c>
      <c r="M1660" s="920">
        <f t="shared" si="50"/>
        <v>25200</v>
      </c>
      <c r="N1660" s="919"/>
      <c r="O1660" s="919"/>
      <c r="P1660" s="921">
        <f t="shared" si="51"/>
        <v>0</v>
      </c>
    </row>
    <row r="1661" spans="1:16" ht="20.100000000000001" customHeight="1" x14ac:dyDescent="0.25">
      <c r="A1661" s="918" t="s">
        <v>486</v>
      </c>
      <c r="B1661" s="944" t="s">
        <v>3901</v>
      </c>
      <c r="C1661" s="919" t="s">
        <v>3902</v>
      </c>
      <c r="D1661" s="919" t="s">
        <v>4038</v>
      </c>
      <c r="E1661" s="920">
        <v>1400</v>
      </c>
      <c r="F1661" s="919" t="s">
        <v>6956</v>
      </c>
      <c r="G1661" s="919" t="s">
        <v>6957</v>
      </c>
      <c r="H1661" s="919" t="s">
        <v>4038</v>
      </c>
      <c r="I1661" s="919" t="s">
        <v>3686</v>
      </c>
      <c r="J1661" s="919"/>
      <c r="K1661" s="920">
        <v>1</v>
      </c>
      <c r="L1661" s="920">
        <v>12</v>
      </c>
      <c r="M1661" s="920">
        <f t="shared" si="50"/>
        <v>16800</v>
      </c>
      <c r="N1661" s="919"/>
      <c r="O1661" s="919"/>
      <c r="P1661" s="921">
        <f t="shared" si="51"/>
        <v>0</v>
      </c>
    </row>
    <row r="1662" spans="1:16" ht="20.100000000000001" customHeight="1" x14ac:dyDescent="0.25">
      <c r="A1662" s="918" t="s">
        <v>486</v>
      </c>
      <c r="B1662" s="944" t="s">
        <v>3901</v>
      </c>
      <c r="C1662" s="919" t="s">
        <v>3902</v>
      </c>
      <c r="D1662" s="919" t="s">
        <v>4038</v>
      </c>
      <c r="E1662" s="920">
        <v>1400</v>
      </c>
      <c r="F1662" s="919" t="s">
        <v>6958</v>
      </c>
      <c r="G1662" s="919" t="s">
        <v>6959</v>
      </c>
      <c r="H1662" s="919" t="s">
        <v>4038</v>
      </c>
      <c r="I1662" s="919" t="s">
        <v>3686</v>
      </c>
      <c r="J1662" s="919"/>
      <c r="K1662" s="920">
        <v>1</v>
      </c>
      <c r="L1662" s="920">
        <v>12</v>
      </c>
      <c r="M1662" s="920">
        <f t="shared" si="50"/>
        <v>16800</v>
      </c>
      <c r="N1662" s="919"/>
      <c r="O1662" s="919"/>
      <c r="P1662" s="921">
        <f t="shared" si="51"/>
        <v>0</v>
      </c>
    </row>
    <row r="1663" spans="1:16" ht="20.100000000000001" customHeight="1" x14ac:dyDescent="0.25">
      <c r="A1663" s="918" t="s">
        <v>486</v>
      </c>
      <c r="B1663" s="944" t="s">
        <v>3901</v>
      </c>
      <c r="C1663" s="919" t="s">
        <v>3902</v>
      </c>
      <c r="D1663" s="919" t="s">
        <v>4038</v>
      </c>
      <c r="E1663" s="920">
        <v>1400</v>
      </c>
      <c r="F1663" s="919" t="s">
        <v>6960</v>
      </c>
      <c r="G1663" s="919" t="s">
        <v>6961</v>
      </c>
      <c r="H1663" s="919" t="s">
        <v>4038</v>
      </c>
      <c r="I1663" s="919" t="s">
        <v>3686</v>
      </c>
      <c r="J1663" s="919"/>
      <c r="K1663" s="920">
        <v>1</v>
      </c>
      <c r="L1663" s="920">
        <v>12</v>
      </c>
      <c r="M1663" s="920">
        <f t="shared" si="50"/>
        <v>16800</v>
      </c>
      <c r="N1663" s="919"/>
      <c r="O1663" s="919"/>
      <c r="P1663" s="921">
        <f t="shared" si="51"/>
        <v>0</v>
      </c>
    </row>
    <row r="1664" spans="1:16" ht="20.100000000000001" customHeight="1" x14ac:dyDescent="0.25">
      <c r="A1664" s="918" t="s">
        <v>486</v>
      </c>
      <c r="B1664" s="944" t="s">
        <v>3901</v>
      </c>
      <c r="C1664" s="919" t="s">
        <v>3902</v>
      </c>
      <c r="D1664" s="919" t="s">
        <v>4038</v>
      </c>
      <c r="E1664" s="920">
        <v>1400</v>
      </c>
      <c r="F1664" s="919" t="s">
        <v>6962</v>
      </c>
      <c r="G1664" s="919" t="s">
        <v>6963</v>
      </c>
      <c r="H1664" s="919" t="s">
        <v>4038</v>
      </c>
      <c r="I1664" s="919" t="s">
        <v>3686</v>
      </c>
      <c r="J1664" s="919"/>
      <c r="K1664" s="920">
        <v>1</v>
      </c>
      <c r="L1664" s="920">
        <v>12</v>
      </c>
      <c r="M1664" s="920">
        <f t="shared" si="50"/>
        <v>16800</v>
      </c>
      <c r="N1664" s="919"/>
      <c r="O1664" s="919"/>
      <c r="P1664" s="921">
        <f t="shared" si="51"/>
        <v>0</v>
      </c>
    </row>
    <row r="1665" spans="1:16" ht="20.100000000000001" customHeight="1" x14ac:dyDescent="0.25">
      <c r="A1665" s="918" t="s">
        <v>486</v>
      </c>
      <c r="B1665" s="944" t="s">
        <v>3901</v>
      </c>
      <c r="C1665" s="919" t="s">
        <v>3902</v>
      </c>
      <c r="D1665" s="919" t="s">
        <v>4391</v>
      </c>
      <c r="E1665" s="920">
        <v>1400</v>
      </c>
      <c r="F1665" s="919" t="s">
        <v>6964</v>
      </c>
      <c r="G1665" s="919" t="s">
        <v>6965</v>
      </c>
      <c r="H1665" s="919" t="s">
        <v>4391</v>
      </c>
      <c r="I1665" s="919" t="s">
        <v>3686</v>
      </c>
      <c r="J1665" s="919"/>
      <c r="K1665" s="920">
        <v>1</v>
      </c>
      <c r="L1665" s="920">
        <v>12</v>
      </c>
      <c r="M1665" s="920">
        <f t="shared" si="50"/>
        <v>16800</v>
      </c>
      <c r="N1665" s="919"/>
      <c r="O1665" s="919"/>
      <c r="P1665" s="921">
        <f t="shared" si="51"/>
        <v>0</v>
      </c>
    </row>
    <row r="1666" spans="1:16" ht="20.100000000000001" customHeight="1" x14ac:dyDescent="0.25">
      <c r="A1666" s="918" t="s">
        <v>486</v>
      </c>
      <c r="B1666" s="944" t="s">
        <v>3901</v>
      </c>
      <c r="C1666" s="919" t="s">
        <v>3902</v>
      </c>
      <c r="D1666" s="919" t="s">
        <v>4038</v>
      </c>
      <c r="E1666" s="920">
        <v>1400</v>
      </c>
      <c r="F1666" s="919" t="s">
        <v>6966</v>
      </c>
      <c r="G1666" s="919" t="s">
        <v>6967</v>
      </c>
      <c r="H1666" s="919" t="s">
        <v>4038</v>
      </c>
      <c r="I1666" s="919" t="s">
        <v>3686</v>
      </c>
      <c r="J1666" s="919"/>
      <c r="K1666" s="920">
        <v>1</v>
      </c>
      <c r="L1666" s="920">
        <v>12</v>
      </c>
      <c r="M1666" s="920">
        <f t="shared" si="50"/>
        <v>16800</v>
      </c>
      <c r="N1666" s="919"/>
      <c r="O1666" s="919"/>
      <c r="P1666" s="921">
        <f t="shared" si="51"/>
        <v>0</v>
      </c>
    </row>
    <row r="1667" spans="1:16" ht="20.100000000000001" customHeight="1" x14ac:dyDescent="0.25">
      <c r="A1667" s="918" t="s">
        <v>486</v>
      </c>
      <c r="B1667" s="944" t="s">
        <v>3901</v>
      </c>
      <c r="C1667" s="919" t="s">
        <v>3902</v>
      </c>
      <c r="D1667" s="919" t="s">
        <v>4391</v>
      </c>
      <c r="E1667" s="920">
        <v>1400</v>
      </c>
      <c r="F1667" s="919" t="s">
        <v>6968</v>
      </c>
      <c r="G1667" s="919" t="s">
        <v>6969</v>
      </c>
      <c r="H1667" s="919" t="s">
        <v>4391</v>
      </c>
      <c r="I1667" s="919" t="s">
        <v>3686</v>
      </c>
      <c r="J1667" s="919"/>
      <c r="K1667" s="920">
        <v>1</v>
      </c>
      <c r="L1667" s="920">
        <v>12</v>
      </c>
      <c r="M1667" s="920">
        <f t="shared" si="50"/>
        <v>16800</v>
      </c>
      <c r="N1667" s="919"/>
      <c r="O1667" s="919"/>
      <c r="P1667" s="921">
        <f t="shared" si="51"/>
        <v>0</v>
      </c>
    </row>
    <row r="1668" spans="1:16" ht="20.100000000000001" customHeight="1" x14ac:dyDescent="0.25">
      <c r="A1668" s="918" t="s">
        <v>486</v>
      </c>
      <c r="B1668" s="944" t="s">
        <v>3901</v>
      </c>
      <c r="C1668" s="919" t="s">
        <v>3902</v>
      </c>
      <c r="D1668" s="919" t="s">
        <v>4391</v>
      </c>
      <c r="E1668" s="920">
        <v>1400</v>
      </c>
      <c r="F1668" s="919" t="s">
        <v>6970</v>
      </c>
      <c r="G1668" s="919" t="s">
        <v>6971</v>
      </c>
      <c r="H1668" s="919" t="s">
        <v>4391</v>
      </c>
      <c r="I1668" s="919" t="s">
        <v>3686</v>
      </c>
      <c r="J1668" s="919"/>
      <c r="K1668" s="920">
        <v>1</v>
      </c>
      <c r="L1668" s="920">
        <v>12</v>
      </c>
      <c r="M1668" s="920">
        <f t="shared" si="50"/>
        <v>16800</v>
      </c>
      <c r="N1668" s="919"/>
      <c r="O1668" s="919"/>
      <c r="P1668" s="921">
        <f t="shared" si="51"/>
        <v>0</v>
      </c>
    </row>
    <row r="1669" spans="1:16" ht="20.100000000000001" customHeight="1" x14ac:dyDescent="0.25">
      <c r="A1669" s="918" t="s">
        <v>486</v>
      </c>
      <c r="B1669" s="944" t="s">
        <v>3901</v>
      </c>
      <c r="C1669" s="919" t="s">
        <v>3902</v>
      </c>
      <c r="D1669" s="919" t="s">
        <v>4038</v>
      </c>
      <c r="E1669" s="920">
        <v>1400</v>
      </c>
      <c r="F1669" s="919" t="s">
        <v>6972</v>
      </c>
      <c r="G1669" s="919" t="s">
        <v>6973</v>
      </c>
      <c r="H1669" s="919" t="s">
        <v>4038</v>
      </c>
      <c r="I1669" s="919" t="s">
        <v>3686</v>
      </c>
      <c r="J1669" s="919"/>
      <c r="K1669" s="920">
        <v>1</v>
      </c>
      <c r="L1669" s="920">
        <v>12</v>
      </c>
      <c r="M1669" s="920">
        <f t="shared" si="50"/>
        <v>16800</v>
      </c>
      <c r="N1669" s="919"/>
      <c r="O1669" s="919"/>
      <c r="P1669" s="921">
        <f t="shared" si="51"/>
        <v>0</v>
      </c>
    </row>
    <row r="1670" spans="1:16" ht="20.100000000000001" customHeight="1" x14ac:dyDescent="0.25">
      <c r="A1670" s="918" t="s">
        <v>486</v>
      </c>
      <c r="B1670" s="944" t="s">
        <v>3901</v>
      </c>
      <c r="C1670" s="919" t="s">
        <v>3902</v>
      </c>
      <c r="D1670" s="919" t="s">
        <v>4462</v>
      </c>
      <c r="E1670" s="920">
        <v>1400</v>
      </c>
      <c r="F1670" s="919" t="s">
        <v>6974</v>
      </c>
      <c r="G1670" s="919" t="s">
        <v>6975</v>
      </c>
      <c r="H1670" s="919" t="s">
        <v>4462</v>
      </c>
      <c r="I1670" s="919" t="s">
        <v>3686</v>
      </c>
      <c r="J1670" s="919"/>
      <c r="K1670" s="920">
        <v>1</v>
      </c>
      <c r="L1670" s="920">
        <v>12</v>
      </c>
      <c r="M1670" s="920">
        <f t="shared" ref="M1670:M1733" si="52">E1670*L1670</f>
        <v>16800</v>
      </c>
      <c r="N1670" s="919"/>
      <c r="O1670" s="919"/>
      <c r="P1670" s="921">
        <f t="shared" ref="P1670:P1733" si="53">E1670*O1670</f>
        <v>0</v>
      </c>
    </row>
    <row r="1671" spans="1:16" ht="20.100000000000001" customHeight="1" x14ac:dyDescent="0.25">
      <c r="A1671" s="918" t="s">
        <v>486</v>
      </c>
      <c r="B1671" s="944" t="s">
        <v>3901</v>
      </c>
      <c r="C1671" s="919" t="s">
        <v>3902</v>
      </c>
      <c r="D1671" s="919" t="s">
        <v>4462</v>
      </c>
      <c r="E1671" s="920">
        <v>1400</v>
      </c>
      <c r="F1671" s="919" t="s">
        <v>6976</v>
      </c>
      <c r="G1671" s="919" t="s">
        <v>6977</v>
      </c>
      <c r="H1671" s="919" t="s">
        <v>4462</v>
      </c>
      <c r="I1671" s="919" t="s">
        <v>3686</v>
      </c>
      <c r="J1671" s="919"/>
      <c r="K1671" s="920">
        <v>1</v>
      </c>
      <c r="L1671" s="920">
        <v>12</v>
      </c>
      <c r="M1671" s="920">
        <f t="shared" si="52"/>
        <v>16800</v>
      </c>
      <c r="N1671" s="919"/>
      <c r="O1671" s="919"/>
      <c r="P1671" s="921">
        <f t="shared" si="53"/>
        <v>0</v>
      </c>
    </row>
    <row r="1672" spans="1:16" ht="20.100000000000001" customHeight="1" x14ac:dyDescent="0.25">
      <c r="A1672" s="918" t="s">
        <v>486</v>
      </c>
      <c r="B1672" s="944" t="s">
        <v>3901</v>
      </c>
      <c r="C1672" s="919" t="s">
        <v>3902</v>
      </c>
      <c r="D1672" s="919" t="s">
        <v>4462</v>
      </c>
      <c r="E1672" s="920">
        <v>1400</v>
      </c>
      <c r="F1672" s="919" t="s">
        <v>6978</v>
      </c>
      <c r="G1672" s="919" t="s">
        <v>6979</v>
      </c>
      <c r="H1672" s="919" t="s">
        <v>4462</v>
      </c>
      <c r="I1672" s="919" t="s">
        <v>3686</v>
      </c>
      <c r="J1672" s="919"/>
      <c r="K1672" s="920">
        <v>1</v>
      </c>
      <c r="L1672" s="920">
        <v>12</v>
      </c>
      <c r="M1672" s="920">
        <f t="shared" si="52"/>
        <v>16800</v>
      </c>
      <c r="N1672" s="919"/>
      <c r="O1672" s="919"/>
      <c r="P1672" s="921">
        <f t="shared" si="53"/>
        <v>0</v>
      </c>
    </row>
    <row r="1673" spans="1:16" ht="20.100000000000001" customHeight="1" x14ac:dyDescent="0.25">
      <c r="A1673" s="918" t="s">
        <v>486</v>
      </c>
      <c r="B1673" s="944" t="s">
        <v>3901</v>
      </c>
      <c r="C1673" s="919" t="s">
        <v>3902</v>
      </c>
      <c r="D1673" s="919" t="s">
        <v>4462</v>
      </c>
      <c r="E1673" s="920">
        <v>1400</v>
      </c>
      <c r="F1673" s="919" t="s">
        <v>6980</v>
      </c>
      <c r="G1673" s="919" t="s">
        <v>6981</v>
      </c>
      <c r="H1673" s="919" t="s">
        <v>4462</v>
      </c>
      <c r="I1673" s="919" t="s">
        <v>3686</v>
      </c>
      <c r="J1673" s="919"/>
      <c r="K1673" s="920">
        <v>1</v>
      </c>
      <c r="L1673" s="920">
        <v>12</v>
      </c>
      <c r="M1673" s="920">
        <f t="shared" si="52"/>
        <v>16800</v>
      </c>
      <c r="N1673" s="919"/>
      <c r="O1673" s="919"/>
      <c r="P1673" s="921">
        <f t="shared" si="53"/>
        <v>0</v>
      </c>
    </row>
    <row r="1674" spans="1:16" ht="20.100000000000001" customHeight="1" x14ac:dyDescent="0.25">
      <c r="A1674" s="918" t="s">
        <v>486</v>
      </c>
      <c r="B1674" s="944" t="s">
        <v>3901</v>
      </c>
      <c r="C1674" s="919" t="s">
        <v>3902</v>
      </c>
      <c r="D1674" s="919" t="s">
        <v>4462</v>
      </c>
      <c r="E1674" s="920">
        <v>1400</v>
      </c>
      <c r="F1674" s="919" t="s">
        <v>6982</v>
      </c>
      <c r="G1674" s="919" t="s">
        <v>6983</v>
      </c>
      <c r="H1674" s="919" t="s">
        <v>4462</v>
      </c>
      <c r="I1674" s="919" t="s">
        <v>3686</v>
      </c>
      <c r="J1674" s="919"/>
      <c r="K1674" s="920">
        <v>1</v>
      </c>
      <c r="L1674" s="920">
        <v>12</v>
      </c>
      <c r="M1674" s="920">
        <f t="shared" si="52"/>
        <v>16800</v>
      </c>
      <c r="N1674" s="919"/>
      <c r="O1674" s="919"/>
      <c r="P1674" s="921">
        <f t="shared" si="53"/>
        <v>0</v>
      </c>
    </row>
    <row r="1675" spans="1:16" ht="20.100000000000001" customHeight="1" x14ac:dyDescent="0.25">
      <c r="A1675" s="918" t="s">
        <v>486</v>
      </c>
      <c r="B1675" s="944" t="s">
        <v>3901</v>
      </c>
      <c r="C1675" s="919" t="s">
        <v>3902</v>
      </c>
      <c r="D1675" s="919" t="s">
        <v>4462</v>
      </c>
      <c r="E1675" s="920">
        <v>1400</v>
      </c>
      <c r="F1675" s="919" t="s">
        <v>6984</v>
      </c>
      <c r="G1675" s="919" t="s">
        <v>6985</v>
      </c>
      <c r="H1675" s="919" t="s">
        <v>4462</v>
      </c>
      <c r="I1675" s="919" t="s">
        <v>3686</v>
      </c>
      <c r="J1675" s="919"/>
      <c r="K1675" s="920">
        <v>1</v>
      </c>
      <c r="L1675" s="920">
        <v>12</v>
      </c>
      <c r="M1675" s="920">
        <f t="shared" si="52"/>
        <v>16800</v>
      </c>
      <c r="N1675" s="919"/>
      <c r="O1675" s="919"/>
      <c r="P1675" s="921">
        <f t="shared" si="53"/>
        <v>0</v>
      </c>
    </row>
    <row r="1676" spans="1:16" ht="20.100000000000001" customHeight="1" x14ac:dyDescent="0.25">
      <c r="A1676" s="918" t="s">
        <v>486</v>
      </c>
      <c r="B1676" s="944" t="s">
        <v>3901</v>
      </c>
      <c r="C1676" s="919" t="s">
        <v>3902</v>
      </c>
      <c r="D1676" s="919" t="s">
        <v>4462</v>
      </c>
      <c r="E1676" s="920">
        <v>1400</v>
      </c>
      <c r="F1676" s="919" t="s">
        <v>6986</v>
      </c>
      <c r="G1676" s="919" t="s">
        <v>6987</v>
      </c>
      <c r="H1676" s="919" t="s">
        <v>4462</v>
      </c>
      <c r="I1676" s="919" t="s">
        <v>3686</v>
      </c>
      <c r="J1676" s="919"/>
      <c r="K1676" s="920">
        <v>1</v>
      </c>
      <c r="L1676" s="920">
        <v>12</v>
      </c>
      <c r="M1676" s="920">
        <f t="shared" si="52"/>
        <v>16800</v>
      </c>
      <c r="N1676" s="919"/>
      <c r="O1676" s="919"/>
      <c r="P1676" s="921">
        <f t="shared" si="53"/>
        <v>0</v>
      </c>
    </row>
    <row r="1677" spans="1:16" ht="20.100000000000001" customHeight="1" x14ac:dyDescent="0.25">
      <c r="A1677" s="918" t="s">
        <v>486</v>
      </c>
      <c r="B1677" s="944" t="s">
        <v>3901</v>
      </c>
      <c r="C1677" s="919" t="s">
        <v>3902</v>
      </c>
      <c r="D1677" s="919" t="s">
        <v>4462</v>
      </c>
      <c r="E1677" s="920">
        <v>1400</v>
      </c>
      <c r="F1677" s="919" t="s">
        <v>6988</v>
      </c>
      <c r="G1677" s="919" t="s">
        <v>6989</v>
      </c>
      <c r="H1677" s="919" t="s">
        <v>4462</v>
      </c>
      <c r="I1677" s="919" t="s">
        <v>3686</v>
      </c>
      <c r="J1677" s="919"/>
      <c r="K1677" s="920">
        <v>1</v>
      </c>
      <c r="L1677" s="920">
        <v>12</v>
      </c>
      <c r="M1677" s="920">
        <f t="shared" si="52"/>
        <v>16800</v>
      </c>
      <c r="N1677" s="919"/>
      <c r="O1677" s="919"/>
      <c r="P1677" s="921">
        <f t="shared" si="53"/>
        <v>0</v>
      </c>
    </row>
    <row r="1678" spans="1:16" ht="20.100000000000001" customHeight="1" x14ac:dyDescent="0.25">
      <c r="A1678" s="918" t="s">
        <v>486</v>
      </c>
      <c r="B1678" s="944" t="s">
        <v>3901</v>
      </c>
      <c r="C1678" s="919" t="s">
        <v>3902</v>
      </c>
      <c r="D1678" s="919" t="s">
        <v>4462</v>
      </c>
      <c r="E1678" s="920">
        <v>1400</v>
      </c>
      <c r="F1678" s="919" t="s">
        <v>6990</v>
      </c>
      <c r="G1678" s="919" t="s">
        <v>6991</v>
      </c>
      <c r="H1678" s="919" t="s">
        <v>4462</v>
      </c>
      <c r="I1678" s="919" t="s">
        <v>3686</v>
      </c>
      <c r="J1678" s="919"/>
      <c r="K1678" s="920">
        <v>1</v>
      </c>
      <c r="L1678" s="920">
        <v>12</v>
      </c>
      <c r="M1678" s="920">
        <f t="shared" si="52"/>
        <v>16800</v>
      </c>
      <c r="N1678" s="919"/>
      <c r="O1678" s="919"/>
      <c r="P1678" s="921">
        <f t="shared" si="53"/>
        <v>0</v>
      </c>
    </row>
    <row r="1679" spans="1:16" ht="20.100000000000001" customHeight="1" x14ac:dyDescent="0.25">
      <c r="A1679" s="918" t="s">
        <v>486</v>
      </c>
      <c r="B1679" s="944" t="s">
        <v>3901</v>
      </c>
      <c r="C1679" s="919" t="s">
        <v>3902</v>
      </c>
      <c r="D1679" s="919" t="s">
        <v>4462</v>
      </c>
      <c r="E1679" s="920">
        <v>1400</v>
      </c>
      <c r="F1679" s="919" t="s">
        <v>6992</v>
      </c>
      <c r="G1679" s="919" t="s">
        <v>6993</v>
      </c>
      <c r="H1679" s="919" t="s">
        <v>4462</v>
      </c>
      <c r="I1679" s="919" t="s">
        <v>3686</v>
      </c>
      <c r="J1679" s="919"/>
      <c r="K1679" s="920">
        <v>1</v>
      </c>
      <c r="L1679" s="920">
        <v>12</v>
      </c>
      <c r="M1679" s="920">
        <f t="shared" si="52"/>
        <v>16800</v>
      </c>
      <c r="N1679" s="919"/>
      <c r="O1679" s="919"/>
      <c r="P1679" s="921">
        <f t="shared" si="53"/>
        <v>0</v>
      </c>
    </row>
    <row r="1680" spans="1:16" ht="20.100000000000001" customHeight="1" x14ac:dyDescent="0.25">
      <c r="A1680" s="918" t="s">
        <v>486</v>
      </c>
      <c r="B1680" s="944" t="s">
        <v>3901</v>
      </c>
      <c r="C1680" s="919" t="s">
        <v>3902</v>
      </c>
      <c r="D1680" s="919" t="s">
        <v>4462</v>
      </c>
      <c r="E1680" s="920">
        <v>1400</v>
      </c>
      <c r="F1680" s="919" t="s">
        <v>6994</v>
      </c>
      <c r="G1680" s="919" t="s">
        <v>6995</v>
      </c>
      <c r="H1680" s="919" t="s">
        <v>4462</v>
      </c>
      <c r="I1680" s="919" t="s">
        <v>3686</v>
      </c>
      <c r="J1680" s="919"/>
      <c r="K1680" s="920">
        <v>1</v>
      </c>
      <c r="L1680" s="920">
        <v>12</v>
      </c>
      <c r="M1680" s="920">
        <f t="shared" si="52"/>
        <v>16800</v>
      </c>
      <c r="N1680" s="919"/>
      <c r="O1680" s="919"/>
      <c r="P1680" s="921">
        <f t="shared" si="53"/>
        <v>0</v>
      </c>
    </row>
    <row r="1681" spans="1:16" ht="20.100000000000001" customHeight="1" x14ac:dyDescent="0.25">
      <c r="A1681" s="918" t="s">
        <v>486</v>
      </c>
      <c r="B1681" s="944" t="s">
        <v>3901</v>
      </c>
      <c r="C1681" s="919" t="s">
        <v>3902</v>
      </c>
      <c r="D1681" s="919" t="s">
        <v>4462</v>
      </c>
      <c r="E1681" s="920">
        <v>1400</v>
      </c>
      <c r="F1681" s="919" t="s">
        <v>6996</v>
      </c>
      <c r="G1681" s="919" t="s">
        <v>6997</v>
      </c>
      <c r="H1681" s="919" t="s">
        <v>4462</v>
      </c>
      <c r="I1681" s="919" t="s">
        <v>3686</v>
      </c>
      <c r="J1681" s="919"/>
      <c r="K1681" s="920">
        <v>1</v>
      </c>
      <c r="L1681" s="920">
        <v>12</v>
      </c>
      <c r="M1681" s="920">
        <f t="shared" si="52"/>
        <v>16800</v>
      </c>
      <c r="N1681" s="919"/>
      <c r="O1681" s="919"/>
      <c r="P1681" s="921">
        <f t="shared" si="53"/>
        <v>0</v>
      </c>
    </row>
    <row r="1682" spans="1:16" ht="20.100000000000001" customHeight="1" x14ac:dyDescent="0.25">
      <c r="A1682" s="918" t="s">
        <v>486</v>
      </c>
      <c r="B1682" s="944" t="s">
        <v>3901</v>
      </c>
      <c r="C1682" s="919" t="s">
        <v>3902</v>
      </c>
      <c r="D1682" s="919" t="s">
        <v>4462</v>
      </c>
      <c r="E1682" s="920">
        <v>1400</v>
      </c>
      <c r="F1682" s="919" t="s">
        <v>6998</v>
      </c>
      <c r="G1682" s="919" t="s">
        <v>6999</v>
      </c>
      <c r="H1682" s="919" t="s">
        <v>4462</v>
      </c>
      <c r="I1682" s="919" t="s">
        <v>3686</v>
      </c>
      <c r="J1682" s="919"/>
      <c r="K1682" s="920">
        <v>1</v>
      </c>
      <c r="L1682" s="920">
        <v>12</v>
      </c>
      <c r="M1682" s="920">
        <f t="shared" si="52"/>
        <v>16800</v>
      </c>
      <c r="N1682" s="919"/>
      <c r="O1682" s="919"/>
      <c r="P1682" s="921">
        <f t="shared" si="53"/>
        <v>0</v>
      </c>
    </row>
    <row r="1683" spans="1:16" ht="20.100000000000001" customHeight="1" x14ac:dyDescent="0.25">
      <c r="A1683" s="918" t="s">
        <v>486</v>
      </c>
      <c r="B1683" s="944" t="s">
        <v>3901</v>
      </c>
      <c r="C1683" s="919" t="s">
        <v>3902</v>
      </c>
      <c r="D1683" s="919" t="s">
        <v>4462</v>
      </c>
      <c r="E1683" s="920">
        <v>1400</v>
      </c>
      <c r="F1683" s="919" t="s">
        <v>7000</v>
      </c>
      <c r="G1683" s="919" t="s">
        <v>7001</v>
      </c>
      <c r="H1683" s="919" t="s">
        <v>4462</v>
      </c>
      <c r="I1683" s="919" t="s">
        <v>3686</v>
      </c>
      <c r="J1683" s="919"/>
      <c r="K1683" s="920">
        <v>1</v>
      </c>
      <c r="L1683" s="920">
        <v>12</v>
      </c>
      <c r="M1683" s="920">
        <f t="shared" si="52"/>
        <v>16800</v>
      </c>
      <c r="N1683" s="919"/>
      <c r="O1683" s="919"/>
      <c r="P1683" s="921">
        <f t="shared" si="53"/>
        <v>0</v>
      </c>
    </row>
    <row r="1684" spans="1:16" ht="20.100000000000001" customHeight="1" x14ac:dyDescent="0.25">
      <c r="A1684" s="918" t="s">
        <v>486</v>
      </c>
      <c r="B1684" s="944" t="s">
        <v>3901</v>
      </c>
      <c r="C1684" s="919" t="s">
        <v>3902</v>
      </c>
      <c r="D1684" s="919" t="s">
        <v>4462</v>
      </c>
      <c r="E1684" s="920">
        <v>1400</v>
      </c>
      <c r="F1684" s="919" t="s">
        <v>7002</v>
      </c>
      <c r="G1684" s="919" t="s">
        <v>7003</v>
      </c>
      <c r="H1684" s="919" t="s">
        <v>4462</v>
      </c>
      <c r="I1684" s="919" t="s">
        <v>3686</v>
      </c>
      <c r="J1684" s="919"/>
      <c r="K1684" s="920">
        <v>1</v>
      </c>
      <c r="L1684" s="920">
        <v>12</v>
      </c>
      <c r="M1684" s="920">
        <f t="shared" si="52"/>
        <v>16800</v>
      </c>
      <c r="N1684" s="919"/>
      <c r="O1684" s="919"/>
      <c r="P1684" s="921">
        <f t="shared" si="53"/>
        <v>0</v>
      </c>
    </row>
    <row r="1685" spans="1:16" ht="20.100000000000001" customHeight="1" x14ac:dyDescent="0.25">
      <c r="A1685" s="918" t="s">
        <v>486</v>
      </c>
      <c r="B1685" s="944" t="s">
        <v>3901</v>
      </c>
      <c r="C1685" s="919" t="s">
        <v>3902</v>
      </c>
      <c r="D1685" s="919" t="s">
        <v>4462</v>
      </c>
      <c r="E1685" s="920">
        <v>1400</v>
      </c>
      <c r="F1685" s="919" t="s">
        <v>7004</v>
      </c>
      <c r="G1685" s="919" t="s">
        <v>7005</v>
      </c>
      <c r="H1685" s="919" t="s">
        <v>4462</v>
      </c>
      <c r="I1685" s="919" t="s">
        <v>3686</v>
      </c>
      <c r="J1685" s="919"/>
      <c r="K1685" s="920">
        <v>1</v>
      </c>
      <c r="L1685" s="920">
        <v>12</v>
      </c>
      <c r="M1685" s="920">
        <f t="shared" si="52"/>
        <v>16800</v>
      </c>
      <c r="N1685" s="919"/>
      <c r="O1685" s="919"/>
      <c r="P1685" s="921">
        <f t="shared" si="53"/>
        <v>0</v>
      </c>
    </row>
    <row r="1686" spans="1:16" ht="20.100000000000001" customHeight="1" x14ac:dyDescent="0.25">
      <c r="A1686" s="918" t="s">
        <v>486</v>
      </c>
      <c r="B1686" s="944" t="s">
        <v>3901</v>
      </c>
      <c r="C1686" s="919" t="s">
        <v>3902</v>
      </c>
      <c r="D1686" s="919" t="s">
        <v>4462</v>
      </c>
      <c r="E1686" s="920">
        <v>1400</v>
      </c>
      <c r="F1686" s="919" t="s">
        <v>7006</v>
      </c>
      <c r="G1686" s="919" t="s">
        <v>7007</v>
      </c>
      <c r="H1686" s="919" t="s">
        <v>4462</v>
      </c>
      <c r="I1686" s="919" t="s">
        <v>3686</v>
      </c>
      <c r="J1686" s="919"/>
      <c r="K1686" s="920">
        <v>1</v>
      </c>
      <c r="L1686" s="920">
        <v>12</v>
      </c>
      <c r="M1686" s="920">
        <f t="shared" si="52"/>
        <v>16800</v>
      </c>
      <c r="N1686" s="919"/>
      <c r="O1686" s="919"/>
      <c r="P1686" s="921">
        <f t="shared" si="53"/>
        <v>0</v>
      </c>
    </row>
    <row r="1687" spans="1:16" ht="20.100000000000001" customHeight="1" x14ac:dyDescent="0.25">
      <c r="A1687" s="918" t="s">
        <v>486</v>
      </c>
      <c r="B1687" s="944" t="s">
        <v>3901</v>
      </c>
      <c r="C1687" s="919" t="s">
        <v>3902</v>
      </c>
      <c r="D1687" s="919" t="s">
        <v>4462</v>
      </c>
      <c r="E1687" s="920">
        <v>1400</v>
      </c>
      <c r="F1687" s="919" t="s">
        <v>7008</v>
      </c>
      <c r="G1687" s="919" t="s">
        <v>7009</v>
      </c>
      <c r="H1687" s="919" t="s">
        <v>4462</v>
      </c>
      <c r="I1687" s="919" t="s">
        <v>3686</v>
      </c>
      <c r="J1687" s="919"/>
      <c r="K1687" s="920">
        <v>1</v>
      </c>
      <c r="L1687" s="920">
        <v>12</v>
      </c>
      <c r="M1687" s="920">
        <f t="shared" si="52"/>
        <v>16800</v>
      </c>
      <c r="N1687" s="919"/>
      <c r="O1687" s="919"/>
      <c r="P1687" s="921">
        <f t="shared" si="53"/>
        <v>0</v>
      </c>
    </row>
    <row r="1688" spans="1:16" ht="20.100000000000001" customHeight="1" x14ac:dyDescent="0.25">
      <c r="A1688" s="918" t="s">
        <v>486</v>
      </c>
      <c r="B1688" s="944" t="s">
        <v>3901</v>
      </c>
      <c r="C1688" s="919" t="s">
        <v>3902</v>
      </c>
      <c r="D1688" s="919" t="s">
        <v>4462</v>
      </c>
      <c r="E1688" s="920">
        <v>1400</v>
      </c>
      <c r="F1688" s="919" t="s">
        <v>7010</v>
      </c>
      <c r="G1688" s="919" t="s">
        <v>7011</v>
      </c>
      <c r="H1688" s="919" t="s">
        <v>4462</v>
      </c>
      <c r="I1688" s="919" t="s">
        <v>3686</v>
      </c>
      <c r="J1688" s="919"/>
      <c r="K1688" s="920">
        <v>1</v>
      </c>
      <c r="L1688" s="920">
        <v>12</v>
      </c>
      <c r="M1688" s="920">
        <f t="shared" si="52"/>
        <v>16800</v>
      </c>
      <c r="N1688" s="919"/>
      <c r="O1688" s="919"/>
      <c r="P1688" s="921">
        <f t="shared" si="53"/>
        <v>0</v>
      </c>
    </row>
    <row r="1689" spans="1:16" ht="20.100000000000001" customHeight="1" x14ac:dyDescent="0.25">
      <c r="A1689" s="918" t="s">
        <v>486</v>
      </c>
      <c r="B1689" s="944" t="s">
        <v>3901</v>
      </c>
      <c r="C1689" s="919" t="s">
        <v>3902</v>
      </c>
      <c r="D1689" s="919" t="s">
        <v>4462</v>
      </c>
      <c r="E1689" s="920">
        <v>1400</v>
      </c>
      <c r="F1689" s="919" t="s">
        <v>7012</v>
      </c>
      <c r="G1689" s="919" t="s">
        <v>7013</v>
      </c>
      <c r="H1689" s="919" t="s">
        <v>4462</v>
      </c>
      <c r="I1689" s="919" t="s">
        <v>3686</v>
      </c>
      <c r="J1689" s="919"/>
      <c r="K1689" s="920">
        <v>1</v>
      </c>
      <c r="L1689" s="920">
        <v>12</v>
      </c>
      <c r="M1689" s="920">
        <f t="shared" si="52"/>
        <v>16800</v>
      </c>
      <c r="N1689" s="919"/>
      <c r="O1689" s="919"/>
      <c r="P1689" s="921">
        <f t="shared" si="53"/>
        <v>0</v>
      </c>
    </row>
    <row r="1690" spans="1:16" ht="20.100000000000001" customHeight="1" x14ac:dyDescent="0.25">
      <c r="A1690" s="918" t="s">
        <v>486</v>
      </c>
      <c r="B1690" s="944" t="s">
        <v>3901</v>
      </c>
      <c r="C1690" s="919" t="s">
        <v>3902</v>
      </c>
      <c r="D1690" s="919" t="s">
        <v>4462</v>
      </c>
      <c r="E1690" s="920">
        <v>1400</v>
      </c>
      <c r="F1690" s="919" t="s">
        <v>7014</v>
      </c>
      <c r="G1690" s="919" t="s">
        <v>7015</v>
      </c>
      <c r="H1690" s="919" t="s">
        <v>4462</v>
      </c>
      <c r="I1690" s="919" t="s">
        <v>3686</v>
      </c>
      <c r="J1690" s="919"/>
      <c r="K1690" s="920">
        <v>1</v>
      </c>
      <c r="L1690" s="920">
        <v>12</v>
      </c>
      <c r="M1690" s="920">
        <f t="shared" si="52"/>
        <v>16800</v>
      </c>
      <c r="N1690" s="919"/>
      <c r="O1690" s="919"/>
      <c r="P1690" s="921">
        <f t="shared" si="53"/>
        <v>0</v>
      </c>
    </row>
    <row r="1691" spans="1:16" ht="20.100000000000001" customHeight="1" x14ac:dyDescent="0.25">
      <c r="A1691" s="918" t="s">
        <v>486</v>
      </c>
      <c r="B1691" s="944" t="s">
        <v>3901</v>
      </c>
      <c r="C1691" s="919" t="s">
        <v>3902</v>
      </c>
      <c r="D1691" s="919" t="s">
        <v>4462</v>
      </c>
      <c r="E1691" s="920">
        <v>1400</v>
      </c>
      <c r="F1691" s="919" t="s">
        <v>7016</v>
      </c>
      <c r="G1691" s="919" t="s">
        <v>7017</v>
      </c>
      <c r="H1691" s="919" t="s">
        <v>4462</v>
      </c>
      <c r="I1691" s="919" t="s">
        <v>3686</v>
      </c>
      <c r="J1691" s="919"/>
      <c r="K1691" s="920">
        <v>1</v>
      </c>
      <c r="L1691" s="920">
        <v>12</v>
      </c>
      <c r="M1691" s="920">
        <f t="shared" si="52"/>
        <v>16800</v>
      </c>
      <c r="N1691" s="919"/>
      <c r="O1691" s="919"/>
      <c r="P1691" s="921">
        <f t="shared" si="53"/>
        <v>0</v>
      </c>
    </row>
    <row r="1692" spans="1:16" ht="20.100000000000001" customHeight="1" x14ac:dyDescent="0.25">
      <c r="A1692" s="918" t="s">
        <v>486</v>
      </c>
      <c r="B1692" s="944" t="s">
        <v>3901</v>
      </c>
      <c r="C1692" s="919" t="s">
        <v>3902</v>
      </c>
      <c r="D1692" s="919" t="s">
        <v>4462</v>
      </c>
      <c r="E1692" s="920">
        <v>1400</v>
      </c>
      <c r="F1692" s="919" t="s">
        <v>7018</v>
      </c>
      <c r="G1692" s="919" t="s">
        <v>7019</v>
      </c>
      <c r="H1692" s="919" t="s">
        <v>4462</v>
      </c>
      <c r="I1692" s="919" t="s">
        <v>3686</v>
      </c>
      <c r="J1692" s="919"/>
      <c r="K1692" s="920">
        <v>1</v>
      </c>
      <c r="L1692" s="920">
        <v>12</v>
      </c>
      <c r="M1692" s="920">
        <f t="shared" si="52"/>
        <v>16800</v>
      </c>
      <c r="N1692" s="919"/>
      <c r="O1692" s="919"/>
      <c r="P1692" s="921">
        <f t="shared" si="53"/>
        <v>0</v>
      </c>
    </row>
    <row r="1693" spans="1:16" ht="20.100000000000001" customHeight="1" x14ac:dyDescent="0.25">
      <c r="A1693" s="918" t="s">
        <v>486</v>
      </c>
      <c r="B1693" s="944" t="s">
        <v>3901</v>
      </c>
      <c r="C1693" s="919" t="s">
        <v>3902</v>
      </c>
      <c r="D1693" s="919" t="s">
        <v>4462</v>
      </c>
      <c r="E1693" s="920">
        <v>1400</v>
      </c>
      <c r="F1693" s="919" t="s">
        <v>7020</v>
      </c>
      <c r="G1693" s="919" t="s">
        <v>7021</v>
      </c>
      <c r="H1693" s="919" t="s">
        <v>4462</v>
      </c>
      <c r="I1693" s="919" t="s">
        <v>3686</v>
      </c>
      <c r="J1693" s="919"/>
      <c r="K1693" s="920">
        <v>1</v>
      </c>
      <c r="L1693" s="920">
        <v>12</v>
      </c>
      <c r="M1693" s="920">
        <f t="shared" si="52"/>
        <v>16800</v>
      </c>
      <c r="N1693" s="919"/>
      <c r="O1693" s="919"/>
      <c r="P1693" s="921">
        <f t="shared" si="53"/>
        <v>0</v>
      </c>
    </row>
    <row r="1694" spans="1:16" ht="20.100000000000001" customHeight="1" x14ac:dyDescent="0.25">
      <c r="A1694" s="918" t="s">
        <v>486</v>
      </c>
      <c r="B1694" s="944" t="s">
        <v>3901</v>
      </c>
      <c r="C1694" s="919" t="s">
        <v>3902</v>
      </c>
      <c r="D1694" s="919" t="s">
        <v>4462</v>
      </c>
      <c r="E1694" s="920">
        <v>1400</v>
      </c>
      <c r="F1694" s="919" t="s">
        <v>7022</v>
      </c>
      <c r="G1694" s="919" t="s">
        <v>7023</v>
      </c>
      <c r="H1694" s="919" t="s">
        <v>4462</v>
      </c>
      <c r="I1694" s="919" t="s">
        <v>3686</v>
      </c>
      <c r="J1694" s="919"/>
      <c r="K1694" s="920">
        <v>1</v>
      </c>
      <c r="L1694" s="920">
        <v>12</v>
      </c>
      <c r="M1694" s="920">
        <f t="shared" si="52"/>
        <v>16800</v>
      </c>
      <c r="N1694" s="919"/>
      <c r="O1694" s="919"/>
      <c r="P1694" s="921">
        <f t="shared" si="53"/>
        <v>0</v>
      </c>
    </row>
    <row r="1695" spans="1:16" ht="20.100000000000001" customHeight="1" x14ac:dyDescent="0.25">
      <c r="A1695" s="918" t="s">
        <v>486</v>
      </c>
      <c r="B1695" s="944" t="s">
        <v>3901</v>
      </c>
      <c r="C1695" s="919" t="s">
        <v>3902</v>
      </c>
      <c r="D1695" s="919" t="s">
        <v>3905</v>
      </c>
      <c r="E1695" s="920">
        <v>1400</v>
      </c>
      <c r="F1695" s="919" t="s">
        <v>7024</v>
      </c>
      <c r="G1695" s="919" t="s">
        <v>7025</v>
      </c>
      <c r="H1695" s="919" t="s">
        <v>3905</v>
      </c>
      <c r="I1695" s="919" t="s">
        <v>3686</v>
      </c>
      <c r="J1695" s="919"/>
      <c r="K1695" s="920">
        <v>1</v>
      </c>
      <c r="L1695" s="920">
        <v>12</v>
      </c>
      <c r="M1695" s="920">
        <f t="shared" si="52"/>
        <v>16800</v>
      </c>
      <c r="N1695" s="919"/>
      <c r="O1695" s="919"/>
      <c r="P1695" s="921">
        <f t="shared" si="53"/>
        <v>0</v>
      </c>
    </row>
    <row r="1696" spans="1:16" ht="20.100000000000001" customHeight="1" x14ac:dyDescent="0.25">
      <c r="A1696" s="918" t="s">
        <v>486</v>
      </c>
      <c r="B1696" s="944" t="s">
        <v>3901</v>
      </c>
      <c r="C1696" s="919" t="s">
        <v>3902</v>
      </c>
      <c r="D1696" s="919" t="s">
        <v>3905</v>
      </c>
      <c r="E1696" s="920">
        <v>1400</v>
      </c>
      <c r="F1696" s="919" t="s">
        <v>7026</v>
      </c>
      <c r="G1696" s="919" t="s">
        <v>7027</v>
      </c>
      <c r="H1696" s="919" t="s">
        <v>3905</v>
      </c>
      <c r="I1696" s="919" t="s">
        <v>3686</v>
      </c>
      <c r="J1696" s="919"/>
      <c r="K1696" s="920">
        <v>1</v>
      </c>
      <c r="L1696" s="920">
        <v>12</v>
      </c>
      <c r="M1696" s="920">
        <f t="shared" si="52"/>
        <v>16800</v>
      </c>
      <c r="N1696" s="919"/>
      <c r="O1696" s="919"/>
      <c r="P1696" s="921">
        <f t="shared" si="53"/>
        <v>0</v>
      </c>
    </row>
    <row r="1697" spans="1:16" ht="20.100000000000001" customHeight="1" x14ac:dyDescent="0.25">
      <c r="A1697" s="918" t="s">
        <v>486</v>
      </c>
      <c r="B1697" s="944" t="s">
        <v>3901</v>
      </c>
      <c r="C1697" s="919" t="s">
        <v>3902</v>
      </c>
      <c r="D1697" s="919" t="s">
        <v>3905</v>
      </c>
      <c r="E1697" s="920">
        <v>1400</v>
      </c>
      <c r="F1697" s="919" t="s">
        <v>7028</v>
      </c>
      <c r="G1697" s="919" t="s">
        <v>7029</v>
      </c>
      <c r="H1697" s="919" t="s">
        <v>3905</v>
      </c>
      <c r="I1697" s="919" t="s">
        <v>3686</v>
      </c>
      <c r="J1697" s="919"/>
      <c r="K1697" s="920">
        <v>1</v>
      </c>
      <c r="L1697" s="920">
        <v>12</v>
      </c>
      <c r="M1697" s="920">
        <f t="shared" si="52"/>
        <v>16800</v>
      </c>
      <c r="N1697" s="919"/>
      <c r="O1697" s="919"/>
      <c r="P1697" s="921">
        <f t="shared" si="53"/>
        <v>0</v>
      </c>
    </row>
    <row r="1698" spans="1:16" ht="20.100000000000001" customHeight="1" x14ac:dyDescent="0.25">
      <c r="A1698" s="918" t="s">
        <v>486</v>
      </c>
      <c r="B1698" s="944" t="s">
        <v>3901</v>
      </c>
      <c r="C1698" s="919" t="s">
        <v>3902</v>
      </c>
      <c r="D1698" s="919" t="s">
        <v>4467</v>
      </c>
      <c r="E1698" s="920">
        <v>1400</v>
      </c>
      <c r="F1698" s="919" t="s">
        <v>7030</v>
      </c>
      <c r="G1698" s="919" t="s">
        <v>7031</v>
      </c>
      <c r="H1698" s="919" t="s">
        <v>4467</v>
      </c>
      <c r="I1698" s="919" t="s">
        <v>3686</v>
      </c>
      <c r="J1698" s="919"/>
      <c r="K1698" s="920">
        <v>1</v>
      </c>
      <c r="L1698" s="920">
        <v>12</v>
      </c>
      <c r="M1698" s="920">
        <f t="shared" si="52"/>
        <v>16800</v>
      </c>
      <c r="N1698" s="919"/>
      <c r="O1698" s="919"/>
      <c r="P1698" s="921">
        <f t="shared" si="53"/>
        <v>0</v>
      </c>
    </row>
    <row r="1699" spans="1:16" ht="20.100000000000001" customHeight="1" x14ac:dyDescent="0.25">
      <c r="A1699" s="918" t="s">
        <v>486</v>
      </c>
      <c r="B1699" s="944" t="s">
        <v>3901</v>
      </c>
      <c r="C1699" s="919" t="s">
        <v>3902</v>
      </c>
      <c r="D1699" s="919" t="s">
        <v>4467</v>
      </c>
      <c r="E1699" s="920">
        <v>1400</v>
      </c>
      <c r="F1699" s="919" t="s">
        <v>7032</v>
      </c>
      <c r="G1699" s="919" t="s">
        <v>7033</v>
      </c>
      <c r="H1699" s="919" t="s">
        <v>4467</v>
      </c>
      <c r="I1699" s="919" t="s">
        <v>3686</v>
      </c>
      <c r="J1699" s="919"/>
      <c r="K1699" s="920">
        <v>1</v>
      </c>
      <c r="L1699" s="920">
        <v>12</v>
      </c>
      <c r="M1699" s="920">
        <f t="shared" si="52"/>
        <v>16800</v>
      </c>
      <c r="N1699" s="919"/>
      <c r="O1699" s="919"/>
      <c r="P1699" s="921">
        <f t="shared" si="53"/>
        <v>0</v>
      </c>
    </row>
    <row r="1700" spans="1:16" ht="20.100000000000001" customHeight="1" x14ac:dyDescent="0.25">
      <c r="A1700" s="918" t="s">
        <v>486</v>
      </c>
      <c r="B1700" s="944" t="s">
        <v>3901</v>
      </c>
      <c r="C1700" s="919" t="s">
        <v>3902</v>
      </c>
      <c r="D1700" s="919" t="s">
        <v>4467</v>
      </c>
      <c r="E1700" s="920">
        <v>1400</v>
      </c>
      <c r="F1700" s="919" t="s">
        <v>7034</v>
      </c>
      <c r="G1700" s="919" t="s">
        <v>7035</v>
      </c>
      <c r="H1700" s="919" t="s">
        <v>4467</v>
      </c>
      <c r="I1700" s="919" t="s">
        <v>3686</v>
      </c>
      <c r="J1700" s="919"/>
      <c r="K1700" s="920">
        <v>1</v>
      </c>
      <c r="L1700" s="920">
        <v>12</v>
      </c>
      <c r="M1700" s="920">
        <f t="shared" si="52"/>
        <v>16800</v>
      </c>
      <c r="N1700" s="919"/>
      <c r="O1700" s="919"/>
      <c r="P1700" s="921">
        <f t="shared" si="53"/>
        <v>0</v>
      </c>
    </row>
    <row r="1701" spans="1:16" ht="20.100000000000001" customHeight="1" x14ac:dyDescent="0.25">
      <c r="A1701" s="918" t="s">
        <v>486</v>
      </c>
      <c r="B1701" s="944" t="s">
        <v>3901</v>
      </c>
      <c r="C1701" s="919" t="s">
        <v>3902</v>
      </c>
      <c r="D1701" s="919" t="s">
        <v>4467</v>
      </c>
      <c r="E1701" s="920">
        <v>1400</v>
      </c>
      <c r="F1701" s="919" t="s">
        <v>7036</v>
      </c>
      <c r="G1701" s="919" t="s">
        <v>7037</v>
      </c>
      <c r="H1701" s="919" t="s">
        <v>4467</v>
      </c>
      <c r="I1701" s="919" t="s">
        <v>3686</v>
      </c>
      <c r="J1701" s="919"/>
      <c r="K1701" s="920">
        <v>1</v>
      </c>
      <c r="L1701" s="920">
        <v>12</v>
      </c>
      <c r="M1701" s="920">
        <f t="shared" si="52"/>
        <v>16800</v>
      </c>
      <c r="N1701" s="919"/>
      <c r="O1701" s="919"/>
      <c r="P1701" s="921">
        <f t="shared" si="53"/>
        <v>0</v>
      </c>
    </row>
    <row r="1702" spans="1:16" ht="20.100000000000001" customHeight="1" x14ac:dyDescent="0.25">
      <c r="A1702" s="918" t="s">
        <v>486</v>
      </c>
      <c r="B1702" s="944" t="s">
        <v>3901</v>
      </c>
      <c r="C1702" s="919" t="s">
        <v>3902</v>
      </c>
      <c r="D1702" s="919" t="s">
        <v>4467</v>
      </c>
      <c r="E1702" s="920">
        <v>1400</v>
      </c>
      <c r="F1702" s="919" t="s">
        <v>7038</v>
      </c>
      <c r="G1702" s="919" t="s">
        <v>7039</v>
      </c>
      <c r="H1702" s="919" t="s">
        <v>4467</v>
      </c>
      <c r="I1702" s="919" t="s">
        <v>3686</v>
      </c>
      <c r="J1702" s="919"/>
      <c r="K1702" s="920">
        <v>1</v>
      </c>
      <c r="L1702" s="920">
        <v>12</v>
      </c>
      <c r="M1702" s="920">
        <f t="shared" si="52"/>
        <v>16800</v>
      </c>
      <c r="N1702" s="919"/>
      <c r="O1702" s="919"/>
      <c r="P1702" s="921">
        <f t="shared" si="53"/>
        <v>0</v>
      </c>
    </row>
    <row r="1703" spans="1:16" ht="20.100000000000001" customHeight="1" x14ac:dyDescent="0.25">
      <c r="A1703" s="918" t="s">
        <v>486</v>
      </c>
      <c r="B1703" s="944" t="s">
        <v>3901</v>
      </c>
      <c r="C1703" s="919" t="s">
        <v>3902</v>
      </c>
      <c r="D1703" s="919" t="s">
        <v>4467</v>
      </c>
      <c r="E1703" s="920">
        <v>1400</v>
      </c>
      <c r="F1703" s="919" t="s">
        <v>7040</v>
      </c>
      <c r="G1703" s="919" t="s">
        <v>7041</v>
      </c>
      <c r="H1703" s="919" t="s">
        <v>4467</v>
      </c>
      <c r="I1703" s="919" t="s">
        <v>3686</v>
      </c>
      <c r="J1703" s="919"/>
      <c r="K1703" s="920">
        <v>1</v>
      </c>
      <c r="L1703" s="920">
        <v>12</v>
      </c>
      <c r="M1703" s="920">
        <f t="shared" si="52"/>
        <v>16800</v>
      </c>
      <c r="N1703" s="919"/>
      <c r="O1703" s="919"/>
      <c r="P1703" s="921">
        <f t="shared" si="53"/>
        <v>0</v>
      </c>
    </row>
    <row r="1704" spans="1:16" ht="20.100000000000001" customHeight="1" x14ac:dyDescent="0.25">
      <c r="A1704" s="918" t="s">
        <v>486</v>
      </c>
      <c r="B1704" s="944" t="s">
        <v>3901</v>
      </c>
      <c r="C1704" s="919" t="s">
        <v>3902</v>
      </c>
      <c r="D1704" s="919" t="s">
        <v>6083</v>
      </c>
      <c r="E1704" s="920">
        <v>1400</v>
      </c>
      <c r="F1704" s="919" t="s">
        <v>7042</v>
      </c>
      <c r="G1704" s="919" t="s">
        <v>7043</v>
      </c>
      <c r="H1704" s="919" t="s">
        <v>6083</v>
      </c>
      <c r="I1704" s="919" t="s">
        <v>3686</v>
      </c>
      <c r="J1704" s="919"/>
      <c r="K1704" s="920">
        <v>1</v>
      </c>
      <c r="L1704" s="920">
        <v>12</v>
      </c>
      <c r="M1704" s="920">
        <f t="shared" si="52"/>
        <v>16800</v>
      </c>
      <c r="N1704" s="919"/>
      <c r="O1704" s="919"/>
      <c r="P1704" s="921">
        <f t="shared" si="53"/>
        <v>0</v>
      </c>
    </row>
    <row r="1705" spans="1:16" ht="20.100000000000001" customHeight="1" x14ac:dyDescent="0.25">
      <c r="A1705" s="918" t="s">
        <v>486</v>
      </c>
      <c r="B1705" s="944" t="s">
        <v>3901</v>
      </c>
      <c r="C1705" s="919" t="s">
        <v>3902</v>
      </c>
      <c r="D1705" s="919" t="s">
        <v>6083</v>
      </c>
      <c r="E1705" s="920">
        <v>1400</v>
      </c>
      <c r="F1705" s="919" t="s">
        <v>7044</v>
      </c>
      <c r="G1705" s="919" t="s">
        <v>7045</v>
      </c>
      <c r="H1705" s="919" t="s">
        <v>6083</v>
      </c>
      <c r="I1705" s="919" t="s">
        <v>3686</v>
      </c>
      <c r="J1705" s="919"/>
      <c r="K1705" s="920">
        <v>1</v>
      </c>
      <c r="L1705" s="920">
        <v>12</v>
      </c>
      <c r="M1705" s="920">
        <f t="shared" si="52"/>
        <v>16800</v>
      </c>
      <c r="N1705" s="919"/>
      <c r="O1705" s="919"/>
      <c r="P1705" s="921">
        <f t="shared" si="53"/>
        <v>0</v>
      </c>
    </row>
    <row r="1706" spans="1:16" ht="20.100000000000001" customHeight="1" x14ac:dyDescent="0.25">
      <c r="A1706" s="918" t="s">
        <v>486</v>
      </c>
      <c r="B1706" s="944" t="s">
        <v>3901</v>
      </c>
      <c r="C1706" s="919" t="s">
        <v>3902</v>
      </c>
      <c r="D1706" s="919" t="s">
        <v>6083</v>
      </c>
      <c r="E1706" s="920">
        <v>1400</v>
      </c>
      <c r="F1706" s="919" t="s">
        <v>7046</v>
      </c>
      <c r="G1706" s="919" t="s">
        <v>7047</v>
      </c>
      <c r="H1706" s="919" t="s">
        <v>6083</v>
      </c>
      <c r="I1706" s="919" t="s">
        <v>3686</v>
      </c>
      <c r="J1706" s="919"/>
      <c r="K1706" s="920">
        <v>1</v>
      </c>
      <c r="L1706" s="920">
        <v>12</v>
      </c>
      <c r="M1706" s="920">
        <f t="shared" si="52"/>
        <v>16800</v>
      </c>
      <c r="N1706" s="919"/>
      <c r="O1706" s="919"/>
      <c r="P1706" s="921">
        <f t="shared" si="53"/>
        <v>0</v>
      </c>
    </row>
    <row r="1707" spans="1:16" ht="20.100000000000001" customHeight="1" x14ac:dyDescent="0.25">
      <c r="A1707" s="918" t="s">
        <v>486</v>
      </c>
      <c r="B1707" s="944" t="s">
        <v>3901</v>
      </c>
      <c r="C1707" s="919" t="s">
        <v>3902</v>
      </c>
      <c r="D1707" s="919" t="s">
        <v>6083</v>
      </c>
      <c r="E1707" s="920">
        <v>1400</v>
      </c>
      <c r="F1707" s="919" t="s">
        <v>7048</v>
      </c>
      <c r="G1707" s="919" t="s">
        <v>7049</v>
      </c>
      <c r="H1707" s="919" t="s">
        <v>6083</v>
      </c>
      <c r="I1707" s="919" t="s">
        <v>3686</v>
      </c>
      <c r="J1707" s="919"/>
      <c r="K1707" s="920">
        <v>1</v>
      </c>
      <c r="L1707" s="920">
        <v>12</v>
      </c>
      <c r="M1707" s="920">
        <f t="shared" si="52"/>
        <v>16800</v>
      </c>
      <c r="N1707" s="919"/>
      <c r="O1707" s="919"/>
      <c r="P1707" s="921">
        <f t="shared" si="53"/>
        <v>0</v>
      </c>
    </row>
    <row r="1708" spans="1:16" ht="20.100000000000001" customHeight="1" x14ac:dyDescent="0.25">
      <c r="A1708" s="918" t="s">
        <v>486</v>
      </c>
      <c r="B1708" s="944" t="s">
        <v>3901</v>
      </c>
      <c r="C1708" s="919" t="s">
        <v>3902</v>
      </c>
      <c r="D1708" s="919" t="s">
        <v>6083</v>
      </c>
      <c r="E1708" s="920">
        <v>1400</v>
      </c>
      <c r="F1708" s="919" t="s">
        <v>7050</v>
      </c>
      <c r="G1708" s="919" t="s">
        <v>7051</v>
      </c>
      <c r="H1708" s="919" t="s">
        <v>6083</v>
      </c>
      <c r="I1708" s="919" t="s">
        <v>3686</v>
      </c>
      <c r="J1708" s="919"/>
      <c r="K1708" s="920">
        <v>1</v>
      </c>
      <c r="L1708" s="920">
        <v>12</v>
      </c>
      <c r="M1708" s="920">
        <f t="shared" si="52"/>
        <v>16800</v>
      </c>
      <c r="N1708" s="919"/>
      <c r="O1708" s="919"/>
      <c r="P1708" s="921">
        <f t="shared" si="53"/>
        <v>0</v>
      </c>
    </row>
    <row r="1709" spans="1:16" ht="20.100000000000001" customHeight="1" x14ac:dyDescent="0.25">
      <c r="A1709" s="918" t="s">
        <v>486</v>
      </c>
      <c r="B1709" s="944" t="s">
        <v>3901</v>
      </c>
      <c r="C1709" s="919" t="s">
        <v>3902</v>
      </c>
      <c r="D1709" s="919" t="s">
        <v>7052</v>
      </c>
      <c r="E1709" s="920">
        <v>1400</v>
      </c>
      <c r="F1709" s="919" t="s">
        <v>7053</v>
      </c>
      <c r="G1709" s="919" t="s">
        <v>7054</v>
      </c>
      <c r="H1709" s="919" t="s">
        <v>7052</v>
      </c>
      <c r="I1709" s="919" t="s">
        <v>3686</v>
      </c>
      <c r="J1709" s="919"/>
      <c r="K1709" s="920">
        <v>1</v>
      </c>
      <c r="L1709" s="920">
        <v>12</v>
      </c>
      <c r="M1709" s="920">
        <f t="shared" si="52"/>
        <v>16800</v>
      </c>
      <c r="N1709" s="919"/>
      <c r="O1709" s="919"/>
      <c r="P1709" s="921">
        <f t="shared" si="53"/>
        <v>0</v>
      </c>
    </row>
    <row r="1710" spans="1:16" ht="20.100000000000001" customHeight="1" x14ac:dyDescent="0.25">
      <c r="A1710" s="918" t="s">
        <v>486</v>
      </c>
      <c r="B1710" s="944" t="s">
        <v>3901</v>
      </c>
      <c r="C1710" s="919" t="s">
        <v>3902</v>
      </c>
      <c r="D1710" s="919" t="s">
        <v>6617</v>
      </c>
      <c r="E1710" s="920">
        <v>1000</v>
      </c>
      <c r="F1710" s="919" t="s">
        <v>7055</v>
      </c>
      <c r="G1710" s="919" t="s">
        <v>7056</v>
      </c>
      <c r="H1710" s="919" t="s">
        <v>6617</v>
      </c>
      <c r="I1710" s="919" t="s">
        <v>3693</v>
      </c>
      <c r="J1710" s="919"/>
      <c r="K1710" s="920">
        <v>1</v>
      </c>
      <c r="L1710" s="920">
        <v>12</v>
      </c>
      <c r="M1710" s="920">
        <f t="shared" si="52"/>
        <v>12000</v>
      </c>
      <c r="N1710" s="919"/>
      <c r="O1710" s="919"/>
      <c r="P1710" s="921">
        <f t="shared" si="53"/>
        <v>0</v>
      </c>
    </row>
    <row r="1711" spans="1:16" ht="20.100000000000001" customHeight="1" x14ac:dyDescent="0.25">
      <c r="A1711" s="918" t="s">
        <v>486</v>
      </c>
      <c r="B1711" s="944" t="s">
        <v>3901</v>
      </c>
      <c r="C1711" s="919" t="s">
        <v>3902</v>
      </c>
      <c r="D1711" s="919" t="s">
        <v>6617</v>
      </c>
      <c r="E1711" s="920">
        <v>1000</v>
      </c>
      <c r="F1711" s="919" t="s">
        <v>7057</v>
      </c>
      <c r="G1711" s="919" t="s">
        <v>7058</v>
      </c>
      <c r="H1711" s="919" t="s">
        <v>6617</v>
      </c>
      <c r="I1711" s="919" t="s">
        <v>3693</v>
      </c>
      <c r="J1711" s="919"/>
      <c r="K1711" s="920">
        <v>1</v>
      </c>
      <c r="L1711" s="920">
        <v>12</v>
      </c>
      <c r="M1711" s="920">
        <f t="shared" si="52"/>
        <v>12000</v>
      </c>
      <c r="N1711" s="919"/>
      <c r="O1711" s="919"/>
      <c r="P1711" s="921">
        <f t="shared" si="53"/>
        <v>0</v>
      </c>
    </row>
    <row r="1712" spans="1:16" ht="20.100000000000001" customHeight="1" x14ac:dyDescent="0.25">
      <c r="A1712" s="918" t="s">
        <v>486</v>
      </c>
      <c r="B1712" s="944" t="s">
        <v>3901</v>
      </c>
      <c r="C1712" s="919" t="s">
        <v>3902</v>
      </c>
      <c r="D1712" s="919" t="s">
        <v>6617</v>
      </c>
      <c r="E1712" s="920">
        <v>1000</v>
      </c>
      <c r="F1712" s="919" t="s">
        <v>7059</v>
      </c>
      <c r="G1712" s="919" t="s">
        <v>7060</v>
      </c>
      <c r="H1712" s="919" t="s">
        <v>6617</v>
      </c>
      <c r="I1712" s="919" t="s">
        <v>3693</v>
      </c>
      <c r="J1712" s="919"/>
      <c r="K1712" s="920">
        <v>1</v>
      </c>
      <c r="L1712" s="920">
        <v>12</v>
      </c>
      <c r="M1712" s="920">
        <f t="shared" si="52"/>
        <v>12000</v>
      </c>
      <c r="N1712" s="919"/>
      <c r="O1712" s="919"/>
      <c r="P1712" s="921">
        <f t="shared" si="53"/>
        <v>0</v>
      </c>
    </row>
    <row r="1713" spans="1:16" ht="20.100000000000001" customHeight="1" x14ac:dyDescent="0.25">
      <c r="A1713" s="918" t="s">
        <v>486</v>
      </c>
      <c r="B1713" s="944" t="s">
        <v>3901</v>
      </c>
      <c r="C1713" s="919" t="s">
        <v>3902</v>
      </c>
      <c r="D1713" s="919" t="s">
        <v>6617</v>
      </c>
      <c r="E1713" s="920">
        <v>1000</v>
      </c>
      <c r="F1713" s="919" t="s">
        <v>7061</v>
      </c>
      <c r="G1713" s="919" t="s">
        <v>7062</v>
      </c>
      <c r="H1713" s="919" t="s">
        <v>6617</v>
      </c>
      <c r="I1713" s="919" t="s">
        <v>3693</v>
      </c>
      <c r="J1713" s="919"/>
      <c r="K1713" s="920">
        <v>1</v>
      </c>
      <c r="L1713" s="920">
        <v>12</v>
      </c>
      <c r="M1713" s="920">
        <f t="shared" si="52"/>
        <v>12000</v>
      </c>
      <c r="N1713" s="919"/>
      <c r="O1713" s="919"/>
      <c r="P1713" s="921">
        <f t="shared" si="53"/>
        <v>0</v>
      </c>
    </row>
    <row r="1714" spans="1:16" ht="20.100000000000001" customHeight="1" x14ac:dyDescent="0.25">
      <c r="A1714" s="918" t="s">
        <v>486</v>
      </c>
      <c r="B1714" s="944" t="s">
        <v>3901</v>
      </c>
      <c r="C1714" s="919" t="s">
        <v>3902</v>
      </c>
      <c r="D1714" s="919" t="s">
        <v>6617</v>
      </c>
      <c r="E1714" s="920">
        <v>1000</v>
      </c>
      <c r="F1714" s="919" t="s">
        <v>7063</v>
      </c>
      <c r="G1714" s="919" t="s">
        <v>7064</v>
      </c>
      <c r="H1714" s="919" t="s">
        <v>6617</v>
      </c>
      <c r="I1714" s="919" t="s">
        <v>3693</v>
      </c>
      <c r="J1714" s="919"/>
      <c r="K1714" s="920">
        <v>1</v>
      </c>
      <c r="L1714" s="920">
        <v>12</v>
      </c>
      <c r="M1714" s="920">
        <f t="shared" si="52"/>
        <v>12000</v>
      </c>
      <c r="N1714" s="919"/>
      <c r="O1714" s="919"/>
      <c r="P1714" s="921">
        <f t="shared" si="53"/>
        <v>0</v>
      </c>
    </row>
    <row r="1715" spans="1:16" ht="20.100000000000001" customHeight="1" x14ac:dyDescent="0.25">
      <c r="A1715" s="918" t="s">
        <v>486</v>
      </c>
      <c r="B1715" s="944" t="s">
        <v>3901</v>
      </c>
      <c r="C1715" s="919" t="s">
        <v>3902</v>
      </c>
      <c r="D1715" s="919" t="s">
        <v>6617</v>
      </c>
      <c r="E1715" s="920">
        <v>1000</v>
      </c>
      <c r="F1715" s="919" t="s">
        <v>7065</v>
      </c>
      <c r="G1715" s="919" t="s">
        <v>7066</v>
      </c>
      <c r="H1715" s="919" t="s">
        <v>6617</v>
      </c>
      <c r="I1715" s="919" t="s">
        <v>3693</v>
      </c>
      <c r="J1715" s="919"/>
      <c r="K1715" s="920">
        <v>1</v>
      </c>
      <c r="L1715" s="920">
        <v>12</v>
      </c>
      <c r="M1715" s="920">
        <f t="shared" si="52"/>
        <v>12000</v>
      </c>
      <c r="N1715" s="919"/>
      <c r="O1715" s="919"/>
      <c r="P1715" s="921">
        <f t="shared" si="53"/>
        <v>0</v>
      </c>
    </row>
    <row r="1716" spans="1:16" ht="20.100000000000001" customHeight="1" x14ac:dyDescent="0.25">
      <c r="A1716" s="918" t="s">
        <v>486</v>
      </c>
      <c r="B1716" s="944" t="s">
        <v>3901</v>
      </c>
      <c r="C1716" s="919" t="s">
        <v>3902</v>
      </c>
      <c r="D1716" s="919" t="s">
        <v>6617</v>
      </c>
      <c r="E1716" s="920">
        <v>1000</v>
      </c>
      <c r="F1716" s="919" t="s">
        <v>7067</v>
      </c>
      <c r="G1716" s="919" t="s">
        <v>7068</v>
      </c>
      <c r="H1716" s="919" t="s">
        <v>6617</v>
      </c>
      <c r="I1716" s="919" t="s">
        <v>3693</v>
      </c>
      <c r="J1716" s="919"/>
      <c r="K1716" s="920">
        <v>1</v>
      </c>
      <c r="L1716" s="920">
        <v>12</v>
      </c>
      <c r="M1716" s="920">
        <f t="shared" si="52"/>
        <v>12000</v>
      </c>
      <c r="N1716" s="919"/>
      <c r="O1716" s="919"/>
      <c r="P1716" s="921">
        <f t="shared" si="53"/>
        <v>0</v>
      </c>
    </row>
    <row r="1717" spans="1:16" ht="20.100000000000001" customHeight="1" x14ac:dyDescent="0.25">
      <c r="A1717" s="918" t="s">
        <v>486</v>
      </c>
      <c r="B1717" s="944" t="s">
        <v>3901</v>
      </c>
      <c r="C1717" s="919" t="s">
        <v>3902</v>
      </c>
      <c r="D1717" s="919" t="s">
        <v>6617</v>
      </c>
      <c r="E1717" s="920">
        <v>1000</v>
      </c>
      <c r="F1717" s="919" t="s">
        <v>7069</v>
      </c>
      <c r="G1717" s="919" t="s">
        <v>7070</v>
      </c>
      <c r="H1717" s="919" t="s">
        <v>6617</v>
      </c>
      <c r="I1717" s="919" t="s">
        <v>3693</v>
      </c>
      <c r="J1717" s="919"/>
      <c r="K1717" s="920">
        <v>1</v>
      </c>
      <c r="L1717" s="920">
        <v>12</v>
      </c>
      <c r="M1717" s="920">
        <f t="shared" si="52"/>
        <v>12000</v>
      </c>
      <c r="N1717" s="919"/>
      <c r="O1717" s="919"/>
      <c r="P1717" s="921">
        <f t="shared" si="53"/>
        <v>0</v>
      </c>
    </row>
    <row r="1718" spans="1:16" ht="20.100000000000001" customHeight="1" x14ac:dyDescent="0.25">
      <c r="A1718" s="918" t="s">
        <v>486</v>
      </c>
      <c r="B1718" s="944" t="s">
        <v>3901</v>
      </c>
      <c r="C1718" s="919" t="s">
        <v>3902</v>
      </c>
      <c r="D1718" s="919" t="s">
        <v>6617</v>
      </c>
      <c r="E1718" s="920">
        <v>1000</v>
      </c>
      <c r="F1718" s="919" t="s">
        <v>7071</v>
      </c>
      <c r="G1718" s="919" t="s">
        <v>7072</v>
      </c>
      <c r="H1718" s="919" t="s">
        <v>6617</v>
      </c>
      <c r="I1718" s="919" t="s">
        <v>3693</v>
      </c>
      <c r="J1718" s="919"/>
      <c r="K1718" s="920">
        <v>1</v>
      </c>
      <c r="L1718" s="920">
        <v>12</v>
      </c>
      <c r="M1718" s="920">
        <f t="shared" si="52"/>
        <v>12000</v>
      </c>
      <c r="N1718" s="919"/>
      <c r="O1718" s="919"/>
      <c r="P1718" s="921">
        <f t="shared" si="53"/>
        <v>0</v>
      </c>
    </row>
    <row r="1719" spans="1:16" ht="20.100000000000001" customHeight="1" x14ac:dyDescent="0.25">
      <c r="A1719" s="918" t="s">
        <v>486</v>
      </c>
      <c r="B1719" s="944" t="s">
        <v>3901</v>
      </c>
      <c r="C1719" s="919" t="s">
        <v>3902</v>
      </c>
      <c r="D1719" s="919" t="s">
        <v>6617</v>
      </c>
      <c r="E1719" s="920">
        <v>1000</v>
      </c>
      <c r="F1719" s="919" t="s">
        <v>7073</v>
      </c>
      <c r="G1719" s="919" t="s">
        <v>7074</v>
      </c>
      <c r="H1719" s="919" t="s">
        <v>6617</v>
      </c>
      <c r="I1719" s="919" t="s">
        <v>3693</v>
      </c>
      <c r="J1719" s="919"/>
      <c r="K1719" s="920">
        <v>1</v>
      </c>
      <c r="L1719" s="920">
        <v>12</v>
      </c>
      <c r="M1719" s="920">
        <f t="shared" si="52"/>
        <v>12000</v>
      </c>
      <c r="N1719" s="919"/>
      <c r="O1719" s="919"/>
      <c r="P1719" s="921">
        <f t="shared" si="53"/>
        <v>0</v>
      </c>
    </row>
    <row r="1720" spans="1:16" ht="20.100000000000001" customHeight="1" x14ac:dyDescent="0.25">
      <c r="A1720" s="918" t="s">
        <v>486</v>
      </c>
      <c r="B1720" s="944" t="s">
        <v>3901</v>
      </c>
      <c r="C1720" s="919" t="s">
        <v>3902</v>
      </c>
      <c r="D1720" s="919" t="s">
        <v>6617</v>
      </c>
      <c r="E1720" s="920">
        <v>1000</v>
      </c>
      <c r="F1720" s="919" t="s">
        <v>7075</v>
      </c>
      <c r="G1720" s="919" t="s">
        <v>7076</v>
      </c>
      <c r="H1720" s="919" t="s">
        <v>6617</v>
      </c>
      <c r="I1720" s="919" t="s">
        <v>3693</v>
      </c>
      <c r="J1720" s="919"/>
      <c r="K1720" s="920">
        <v>1</v>
      </c>
      <c r="L1720" s="920">
        <v>12</v>
      </c>
      <c r="M1720" s="920">
        <f t="shared" si="52"/>
        <v>12000</v>
      </c>
      <c r="N1720" s="919"/>
      <c r="O1720" s="919"/>
      <c r="P1720" s="921">
        <f t="shared" si="53"/>
        <v>0</v>
      </c>
    </row>
    <row r="1721" spans="1:16" ht="20.100000000000001" customHeight="1" x14ac:dyDescent="0.25">
      <c r="A1721" s="918" t="s">
        <v>486</v>
      </c>
      <c r="B1721" s="944" t="s">
        <v>3901</v>
      </c>
      <c r="C1721" s="919" t="s">
        <v>3902</v>
      </c>
      <c r="D1721" s="919" t="s">
        <v>3999</v>
      </c>
      <c r="E1721" s="920">
        <v>2100</v>
      </c>
      <c r="F1721" s="919" t="s">
        <v>7077</v>
      </c>
      <c r="G1721" s="919" t="s">
        <v>7078</v>
      </c>
      <c r="H1721" s="919" t="s">
        <v>3999</v>
      </c>
      <c r="I1721" s="919" t="s">
        <v>3724</v>
      </c>
      <c r="J1721" s="919"/>
      <c r="K1721" s="920">
        <v>1</v>
      </c>
      <c r="L1721" s="920">
        <v>12</v>
      </c>
      <c r="M1721" s="920">
        <f t="shared" si="52"/>
        <v>25200</v>
      </c>
      <c r="N1721" s="919"/>
      <c r="O1721" s="919"/>
      <c r="P1721" s="921">
        <f t="shared" si="53"/>
        <v>0</v>
      </c>
    </row>
    <row r="1722" spans="1:16" ht="20.100000000000001" customHeight="1" x14ac:dyDescent="0.25">
      <c r="A1722" s="918" t="s">
        <v>486</v>
      </c>
      <c r="B1722" s="944" t="s">
        <v>3901</v>
      </c>
      <c r="C1722" s="919" t="s">
        <v>3902</v>
      </c>
      <c r="D1722" s="919" t="s">
        <v>3999</v>
      </c>
      <c r="E1722" s="920">
        <v>2100</v>
      </c>
      <c r="F1722" s="919" t="s">
        <v>7079</v>
      </c>
      <c r="G1722" s="919" t="s">
        <v>7080</v>
      </c>
      <c r="H1722" s="919" t="s">
        <v>3999</v>
      </c>
      <c r="I1722" s="919" t="s">
        <v>3724</v>
      </c>
      <c r="J1722" s="919"/>
      <c r="K1722" s="920">
        <v>1</v>
      </c>
      <c r="L1722" s="920">
        <v>12</v>
      </c>
      <c r="M1722" s="920">
        <f t="shared" si="52"/>
        <v>25200</v>
      </c>
      <c r="N1722" s="919"/>
      <c r="O1722" s="919"/>
      <c r="P1722" s="921">
        <f t="shared" si="53"/>
        <v>0</v>
      </c>
    </row>
    <row r="1723" spans="1:16" ht="20.100000000000001" customHeight="1" x14ac:dyDescent="0.25">
      <c r="A1723" s="918" t="s">
        <v>486</v>
      </c>
      <c r="B1723" s="944" t="s">
        <v>3901</v>
      </c>
      <c r="C1723" s="919" t="s">
        <v>3902</v>
      </c>
      <c r="D1723" s="919" t="s">
        <v>3999</v>
      </c>
      <c r="E1723" s="920">
        <v>2100</v>
      </c>
      <c r="F1723" s="919" t="s">
        <v>7081</v>
      </c>
      <c r="G1723" s="919" t="s">
        <v>7082</v>
      </c>
      <c r="H1723" s="919" t="s">
        <v>3999</v>
      </c>
      <c r="I1723" s="919" t="s">
        <v>3724</v>
      </c>
      <c r="J1723" s="919"/>
      <c r="K1723" s="920">
        <v>1</v>
      </c>
      <c r="L1723" s="920">
        <v>12</v>
      </c>
      <c r="M1723" s="920">
        <f t="shared" si="52"/>
        <v>25200</v>
      </c>
      <c r="N1723" s="919"/>
      <c r="O1723" s="919"/>
      <c r="P1723" s="921">
        <f t="shared" si="53"/>
        <v>0</v>
      </c>
    </row>
    <row r="1724" spans="1:16" ht="20.100000000000001" customHeight="1" x14ac:dyDescent="0.25">
      <c r="A1724" s="918" t="s">
        <v>486</v>
      </c>
      <c r="B1724" s="944" t="s">
        <v>3901</v>
      </c>
      <c r="C1724" s="919" t="s">
        <v>3902</v>
      </c>
      <c r="D1724" s="919" t="s">
        <v>3999</v>
      </c>
      <c r="E1724" s="920">
        <v>2100</v>
      </c>
      <c r="F1724" s="919" t="s">
        <v>7083</v>
      </c>
      <c r="G1724" s="919" t="s">
        <v>7084</v>
      </c>
      <c r="H1724" s="919" t="s">
        <v>3999</v>
      </c>
      <c r="I1724" s="919" t="s">
        <v>3724</v>
      </c>
      <c r="J1724" s="919"/>
      <c r="K1724" s="920">
        <v>1</v>
      </c>
      <c r="L1724" s="920">
        <v>12</v>
      </c>
      <c r="M1724" s="920">
        <f t="shared" si="52"/>
        <v>25200</v>
      </c>
      <c r="N1724" s="919"/>
      <c r="O1724" s="919"/>
      <c r="P1724" s="921">
        <f t="shared" si="53"/>
        <v>0</v>
      </c>
    </row>
    <row r="1725" spans="1:16" ht="20.100000000000001" customHeight="1" x14ac:dyDescent="0.25">
      <c r="A1725" s="918" t="s">
        <v>486</v>
      </c>
      <c r="B1725" s="944" t="s">
        <v>3901</v>
      </c>
      <c r="C1725" s="919" t="s">
        <v>3902</v>
      </c>
      <c r="D1725" s="919" t="s">
        <v>3999</v>
      </c>
      <c r="E1725" s="920">
        <v>2100</v>
      </c>
      <c r="F1725" s="919" t="s">
        <v>7085</v>
      </c>
      <c r="G1725" s="919" t="s">
        <v>7086</v>
      </c>
      <c r="H1725" s="919" t="s">
        <v>3999</v>
      </c>
      <c r="I1725" s="919" t="s">
        <v>3724</v>
      </c>
      <c r="J1725" s="919"/>
      <c r="K1725" s="920">
        <v>1</v>
      </c>
      <c r="L1725" s="920">
        <v>12</v>
      </c>
      <c r="M1725" s="920">
        <f t="shared" si="52"/>
        <v>25200</v>
      </c>
      <c r="N1725" s="919"/>
      <c r="O1725" s="919"/>
      <c r="P1725" s="921">
        <f t="shared" si="53"/>
        <v>0</v>
      </c>
    </row>
    <row r="1726" spans="1:16" ht="20.100000000000001" customHeight="1" x14ac:dyDescent="0.25">
      <c r="A1726" s="918" t="s">
        <v>486</v>
      </c>
      <c r="B1726" s="944" t="s">
        <v>3901</v>
      </c>
      <c r="C1726" s="919" t="s">
        <v>3902</v>
      </c>
      <c r="D1726" s="919" t="s">
        <v>4462</v>
      </c>
      <c r="E1726" s="920">
        <v>1400</v>
      </c>
      <c r="F1726" s="919" t="s">
        <v>7087</v>
      </c>
      <c r="G1726" s="919" t="s">
        <v>7088</v>
      </c>
      <c r="H1726" s="919" t="s">
        <v>4462</v>
      </c>
      <c r="I1726" s="919" t="s">
        <v>3686</v>
      </c>
      <c r="J1726" s="919"/>
      <c r="K1726" s="920">
        <v>1</v>
      </c>
      <c r="L1726" s="920">
        <v>12</v>
      </c>
      <c r="M1726" s="920">
        <f t="shared" si="52"/>
        <v>16800</v>
      </c>
      <c r="N1726" s="919"/>
      <c r="O1726" s="919"/>
      <c r="P1726" s="921">
        <f t="shared" si="53"/>
        <v>0</v>
      </c>
    </row>
    <row r="1727" spans="1:16" ht="20.100000000000001" customHeight="1" x14ac:dyDescent="0.25">
      <c r="A1727" s="918" t="s">
        <v>486</v>
      </c>
      <c r="B1727" s="944" t="s">
        <v>3901</v>
      </c>
      <c r="C1727" s="919" t="s">
        <v>3902</v>
      </c>
      <c r="D1727" s="919" t="s">
        <v>4462</v>
      </c>
      <c r="E1727" s="920">
        <v>1400</v>
      </c>
      <c r="F1727" s="919" t="s">
        <v>7089</v>
      </c>
      <c r="G1727" s="919" t="s">
        <v>7090</v>
      </c>
      <c r="H1727" s="919" t="s">
        <v>4462</v>
      </c>
      <c r="I1727" s="919" t="s">
        <v>3686</v>
      </c>
      <c r="J1727" s="919"/>
      <c r="K1727" s="920">
        <v>1</v>
      </c>
      <c r="L1727" s="920">
        <v>12</v>
      </c>
      <c r="M1727" s="920">
        <f t="shared" si="52"/>
        <v>16800</v>
      </c>
      <c r="N1727" s="919"/>
      <c r="O1727" s="919"/>
      <c r="P1727" s="921">
        <f t="shared" si="53"/>
        <v>0</v>
      </c>
    </row>
    <row r="1728" spans="1:16" ht="20.100000000000001" customHeight="1" x14ac:dyDescent="0.25">
      <c r="A1728" s="918" t="s">
        <v>486</v>
      </c>
      <c r="B1728" s="944" t="s">
        <v>3901</v>
      </c>
      <c r="C1728" s="919" t="s">
        <v>3902</v>
      </c>
      <c r="D1728" s="919" t="s">
        <v>4462</v>
      </c>
      <c r="E1728" s="920">
        <v>1400</v>
      </c>
      <c r="F1728" s="919" t="s">
        <v>7091</v>
      </c>
      <c r="G1728" s="919" t="s">
        <v>7092</v>
      </c>
      <c r="H1728" s="919" t="s">
        <v>4462</v>
      </c>
      <c r="I1728" s="919" t="s">
        <v>3686</v>
      </c>
      <c r="J1728" s="919"/>
      <c r="K1728" s="920">
        <v>1</v>
      </c>
      <c r="L1728" s="920">
        <v>12</v>
      </c>
      <c r="M1728" s="920">
        <f t="shared" si="52"/>
        <v>16800</v>
      </c>
      <c r="N1728" s="919"/>
      <c r="O1728" s="919"/>
      <c r="P1728" s="921">
        <f t="shared" si="53"/>
        <v>0</v>
      </c>
    </row>
    <row r="1729" spans="1:16" ht="20.100000000000001" customHeight="1" x14ac:dyDescent="0.25">
      <c r="A1729" s="918" t="s">
        <v>486</v>
      </c>
      <c r="B1729" s="944" t="s">
        <v>3901</v>
      </c>
      <c r="C1729" s="919" t="s">
        <v>3902</v>
      </c>
      <c r="D1729" s="919" t="s">
        <v>4462</v>
      </c>
      <c r="E1729" s="920">
        <v>1400</v>
      </c>
      <c r="F1729" s="919" t="s">
        <v>7093</v>
      </c>
      <c r="G1729" s="919" t="s">
        <v>7094</v>
      </c>
      <c r="H1729" s="919" t="s">
        <v>4462</v>
      </c>
      <c r="I1729" s="919" t="s">
        <v>3686</v>
      </c>
      <c r="J1729" s="919"/>
      <c r="K1729" s="920">
        <v>1</v>
      </c>
      <c r="L1729" s="920">
        <v>12</v>
      </c>
      <c r="M1729" s="920">
        <f t="shared" si="52"/>
        <v>16800</v>
      </c>
      <c r="N1729" s="919"/>
      <c r="O1729" s="919"/>
      <c r="P1729" s="921">
        <f t="shared" si="53"/>
        <v>0</v>
      </c>
    </row>
    <row r="1730" spans="1:16" ht="20.100000000000001" customHeight="1" x14ac:dyDescent="0.25">
      <c r="A1730" s="918" t="s">
        <v>486</v>
      </c>
      <c r="B1730" s="944" t="s">
        <v>3901</v>
      </c>
      <c r="C1730" s="919" t="s">
        <v>3902</v>
      </c>
      <c r="D1730" s="919" t="s">
        <v>4462</v>
      </c>
      <c r="E1730" s="920">
        <v>1400</v>
      </c>
      <c r="F1730" s="919" t="s">
        <v>7095</v>
      </c>
      <c r="G1730" s="919" t="s">
        <v>7096</v>
      </c>
      <c r="H1730" s="919" t="s">
        <v>4462</v>
      </c>
      <c r="I1730" s="919" t="s">
        <v>3686</v>
      </c>
      <c r="J1730" s="919"/>
      <c r="K1730" s="920">
        <v>1</v>
      </c>
      <c r="L1730" s="920">
        <v>12</v>
      </c>
      <c r="M1730" s="920">
        <f t="shared" si="52"/>
        <v>16800</v>
      </c>
      <c r="N1730" s="919"/>
      <c r="O1730" s="919"/>
      <c r="P1730" s="921">
        <f t="shared" si="53"/>
        <v>0</v>
      </c>
    </row>
    <row r="1731" spans="1:16" ht="20.100000000000001" customHeight="1" x14ac:dyDescent="0.25">
      <c r="A1731" s="918" t="s">
        <v>486</v>
      </c>
      <c r="B1731" s="944" t="s">
        <v>3901</v>
      </c>
      <c r="C1731" s="919" t="s">
        <v>3902</v>
      </c>
      <c r="D1731" s="919" t="s">
        <v>4462</v>
      </c>
      <c r="E1731" s="920">
        <v>1400</v>
      </c>
      <c r="F1731" s="919" t="s">
        <v>7097</v>
      </c>
      <c r="G1731" s="919" t="s">
        <v>7098</v>
      </c>
      <c r="H1731" s="919" t="s">
        <v>4462</v>
      </c>
      <c r="I1731" s="919" t="s">
        <v>3686</v>
      </c>
      <c r="J1731" s="919"/>
      <c r="K1731" s="920">
        <v>1</v>
      </c>
      <c r="L1731" s="920">
        <v>12</v>
      </c>
      <c r="M1731" s="920">
        <f t="shared" si="52"/>
        <v>16800</v>
      </c>
      <c r="N1731" s="919"/>
      <c r="O1731" s="919"/>
      <c r="P1731" s="921">
        <f t="shared" si="53"/>
        <v>0</v>
      </c>
    </row>
    <row r="1732" spans="1:16" ht="20.100000000000001" customHeight="1" x14ac:dyDescent="0.25">
      <c r="A1732" s="918" t="s">
        <v>486</v>
      </c>
      <c r="B1732" s="944" t="s">
        <v>3901</v>
      </c>
      <c r="C1732" s="919" t="s">
        <v>3902</v>
      </c>
      <c r="D1732" s="919" t="s">
        <v>4462</v>
      </c>
      <c r="E1732" s="920">
        <v>1400</v>
      </c>
      <c r="F1732" s="919" t="s">
        <v>7099</v>
      </c>
      <c r="G1732" s="919" t="s">
        <v>7100</v>
      </c>
      <c r="H1732" s="919" t="s">
        <v>4462</v>
      </c>
      <c r="I1732" s="919" t="s">
        <v>3686</v>
      </c>
      <c r="J1732" s="919"/>
      <c r="K1732" s="920">
        <v>1</v>
      </c>
      <c r="L1732" s="920">
        <v>12</v>
      </c>
      <c r="M1732" s="920">
        <f t="shared" si="52"/>
        <v>16800</v>
      </c>
      <c r="N1732" s="919"/>
      <c r="O1732" s="919"/>
      <c r="P1732" s="921">
        <f t="shared" si="53"/>
        <v>0</v>
      </c>
    </row>
    <row r="1733" spans="1:16" ht="20.100000000000001" customHeight="1" x14ac:dyDescent="0.25">
      <c r="A1733" s="918" t="s">
        <v>486</v>
      </c>
      <c r="B1733" s="944" t="s">
        <v>3901</v>
      </c>
      <c r="C1733" s="919" t="s">
        <v>3902</v>
      </c>
      <c r="D1733" s="919" t="s">
        <v>4470</v>
      </c>
      <c r="E1733" s="920">
        <v>1400</v>
      </c>
      <c r="F1733" s="919" t="s">
        <v>7101</v>
      </c>
      <c r="G1733" s="919" t="s">
        <v>7102</v>
      </c>
      <c r="H1733" s="919" t="s">
        <v>4470</v>
      </c>
      <c r="I1733" s="919" t="s">
        <v>3686</v>
      </c>
      <c r="J1733" s="919"/>
      <c r="K1733" s="920">
        <v>1</v>
      </c>
      <c r="L1733" s="920">
        <v>12</v>
      </c>
      <c r="M1733" s="920">
        <f t="shared" si="52"/>
        <v>16800</v>
      </c>
      <c r="N1733" s="919"/>
      <c r="O1733" s="919"/>
      <c r="P1733" s="921">
        <f t="shared" si="53"/>
        <v>0</v>
      </c>
    </row>
    <row r="1734" spans="1:16" ht="20.100000000000001" customHeight="1" x14ac:dyDescent="0.25">
      <c r="A1734" s="918" t="s">
        <v>486</v>
      </c>
      <c r="B1734" s="944" t="s">
        <v>3901</v>
      </c>
      <c r="C1734" s="919" t="s">
        <v>3902</v>
      </c>
      <c r="D1734" s="919" t="s">
        <v>6617</v>
      </c>
      <c r="E1734" s="920">
        <v>1000</v>
      </c>
      <c r="F1734" s="919" t="s">
        <v>7103</v>
      </c>
      <c r="G1734" s="919" t="s">
        <v>7104</v>
      </c>
      <c r="H1734" s="919" t="s">
        <v>6617</v>
      </c>
      <c r="I1734" s="919" t="s">
        <v>3693</v>
      </c>
      <c r="J1734" s="919"/>
      <c r="K1734" s="920">
        <v>1</v>
      </c>
      <c r="L1734" s="920">
        <v>12</v>
      </c>
      <c r="M1734" s="920">
        <f t="shared" ref="M1734:M1797" si="54">E1734*L1734</f>
        <v>12000</v>
      </c>
      <c r="N1734" s="919"/>
      <c r="O1734" s="919"/>
      <c r="P1734" s="921">
        <f t="shared" ref="P1734:P1797" si="55">E1734*O1734</f>
        <v>0</v>
      </c>
    </row>
    <row r="1735" spans="1:16" ht="20.100000000000001" customHeight="1" x14ac:dyDescent="0.25">
      <c r="A1735" s="918" t="s">
        <v>486</v>
      </c>
      <c r="B1735" s="944" t="s">
        <v>3901</v>
      </c>
      <c r="C1735" s="919" t="s">
        <v>3902</v>
      </c>
      <c r="D1735" s="919" t="s">
        <v>6617</v>
      </c>
      <c r="E1735" s="920">
        <v>1000</v>
      </c>
      <c r="F1735" s="919" t="s">
        <v>7105</v>
      </c>
      <c r="G1735" s="919" t="s">
        <v>7106</v>
      </c>
      <c r="H1735" s="919" t="s">
        <v>6617</v>
      </c>
      <c r="I1735" s="919" t="s">
        <v>3693</v>
      </c>
      <c r="J1735" s="919"/>
      <c r="K1735" s="920">
        <v>1</v>
      </c>
      <c r="L1735" s="920">
        <v>12</v>
      </c>
      <c r="M1735" s="920">
        <f t="shared" si="54"/>
        <v>12000</v>
      </c>
      <c r="N1735" s="919"/>
      <c r="O1735" s="919"/>
      <c r="P1735" s="921">
        <f t="shared" si="55"/>
        <v>0</v>
      </c>
    </row>
    <row r="1736" spans="1:16" ht="20.100000000000001" customHeight="1" x14ac:dyDescent="0.25">
      <c r="A1736" s="918" t="s">
        <v>486</v>
      </c>
      <c r="B1736" s="944" t="s">
        <v>3901</v>
      </c>
      <c r="C1736" s="919" t="s">
        <v>3902</v>
      </c>
      <c r="D1736" s="919" t="s">
        <v>6617</v>
      </c>
      <c r="E1736" s="920">
        <v>1000</v>
      </c>
      <c r="F1736" s="919" t="s">
        <v>7107</v>
      </c>
      <c r="G1736" s="919" t="s">
        <v>7108</v>
      </c>
      <c r="H1736" s="919" t="s">
        <v>6617</v>
      </c>
      <c r="I1736" s="919" t="s">
        <v>3693</v>
      </c>
      <c r="J1736" s="919"/>
      <c r="K1736" s="920">
        <v>1</v>
      </c>
      <c r="L1736" s="920">
        <v>12</v>
      </c>
      <c r="M1736" s="920">
        <f t="shared" si="54"/>
        <v>12000</v>
      </c>
      <c r="N1736" s="919"/>
      <c r="O1736" s="919"/>
      <c r="P1736" s="921">
        <f t="shared" si="55"/>
        <v>0</v>
      </c>
    </row>
    <row r="1737" spans="1:16" ht="20.100000000000001" customHeight="1" x14ac:dyDescent="0.25">
      <c r="A1737" s="918" t="s">
        <v>486</v>
      </c>
      <c r="B1737" s="944" t="s">
        <v>3929</v>
      </c>
      <c r="C1737" s="919" t="s">
        <v>3902</v>
      </c>
      <c r="D1737" s="919" t="s">
        <v>6120</v>
      </c>
      <c r="E1737" s="920">
        <v>6000</v>
      </c>
      <c r="F1737" s="922" t="s">
        <v>7109</v>
      </c>
      <c r="G1737" s="919" t="s">
        <v>7110</v>
      </c>
      <c r="H1737" s="919" t="s">
        <v>6120</v>
      </c>
      <c r="I1737" s="919" t="s">
        <v>3724</v>
      </c>
      <c r="J1737" s="919"/>
      <c r="K1737" s="920">
        <v>1</v>
      </c>
      <c r="L1737" s="920">
        <v>12</v>
      </c>
      <c r="M1737" s="920">
        <f t="shared" si="54"/>
        <v>72000</v>
      </c>
      <c r="N1737" s="919"/>
      <c r="O1737" s="919"/>
      <c r="P1737" s="921">
        <f t="shared" si="55"/>
        <v>0</v>
      </c>
    </row>
    <row r="1738" spans="1:16" ht="20.100000000000001" customHeight="1" x14ac:dyDescent="0.25">
      <c r="A1738" s="918" t="s">
        <v>486</v>
      </c>
      <c r="B1738" s="944" t="s">
        <v>3929</v>
      </c>
      <c r="C1738" s="919" t="s">
        <v>3902</v>
      </c>
      <c r="D1738" s="919" t="s">
        <v>6120</v>
      </c>
      <c r="E1738" s="920">
        <v>6000</v>
      </c>
      <c r="F1738" s="922" t="s">
        <v>7111</v>
      </c>
      <c r="G1738" s="919" t="s">
        <v>7112</v>
      </c>
      <c r="H1738" s="919" t="s">
        <v>6120</v>
      </c>
      <c r="I1738" s="919" t="s">
        <v>3724</v>
      </c>
      <c r="J1738" s="919"/>
      <c r="K1738" s="920">
        <v>1</v>
      </c>
      <c r="L1738" s="920">
        <v>12</v>
      </c>
      <c r="M1738" s="920">
        <f t="shared" si="54"/>
        <v>72000</v>
      </c>
      <c r="N1738" s="919"/>
      <c r="O1738" s="919"/>
      <c r="P1738" s="921">
        <f t="shared" si="55"/>
        <v>0</v>
      </c>
    </row>
    <row r="1739" spans="1:16" ht="20.100000000000001" customHeight="1" x14ac:dyDescent="0.25">
      <c r="A1739" s="918" t="s">
        <v>486</v>
      </c>
      <c r="B1739" s="944" t="s">
        <v>3929</v>
      </c>
      <c r="C1739" s="919" t="s">
        <v>3902</v>
      </c>
      <c r="D1739" s="919" t="s">
        <v>6120</v>
      </c>
      <c r="E1739" s="920">
        <v>6000</v>
      </c>
      <c r="F1739" s="922" t="s">
        <v>7113</v>
      </c>
      <c r="G1739" s="919" t="s">
        <v>7114</v>
      </c>
      <c r="H1739" s="919" t="s">
        <v>6120</v>
      </c>
      <c r="I1739" s="919" t="s">
        <v>3724</v>
      </c>
      <c r="J1739" s="919"/>
      <c r="K1739" s="920">
        <v>1</v>
      </c>
      <c r="L1739" s="920">
        <v>12</v>
      </c>
      <c r="M1739" s="920">
        <f t="shared" si="54"/>
        <v>72000</v>
      </c>
      <c r="N1739" s="919"/>
      <c r="O1739" s="919"/>
      <c r="P1739" s="921">
        <f t="shared" si="55"/>
        <v>0</v>
      </c>
    </row>
    <row r="1740" spans="1:16" ht="20.100000000000001" customHeight="1" x14ac:dyDescent="0.25">
      <c r="A1740" s="918" t="s">
        <v>486</v>
      </c>
      <c r="B1740" s="944" t="s">
        <v>3929</v>
      </c>
      <c r="C1740" s="919" t="s">
        <v>3902</v>
      </c>
      <c r="D1740" s="919" t="s">
        <v>6120</v>
      </c>
      <c r="E1740" s="920">
        <v>6000</v>
      </c>
      <c r="F1740" s="922" t="s">
        <v>7115</v>
      </c>
      <c r="G1740" s="919" t="s">
        <v>7116</v>
      </c>
      <c r="H1740" s="919" t="s">
        <v>6120</v>
      </c>
      <c r="I1740" s="919" t="s">
        <v>3724</v>
      </c>
      <c r="J1740" s="919"/>
      <c r="K1740" s="920">
        <v>1</v>
      </c>
      <c r="L1740" s="920">
        <v>12</v>
      </c>
      <c r="M1740" s="920">
        <f t="shared" si="54"/>
        <v>72000</v>
      </c>
      <c r="N1740" s="919"/>
      <c r="O1740" s="919"/>
      <c r="P1740" s="921">
        <f t="shared" si="55"/>
        <v>0</v>
      </c>
    </row>
    <row r="1741" spans="1:16" ht="20.100000000000001" customHeight="1" x14ac:dyDescent="0.25">
      <c r="A1741" s="918" t="s">
        <v>486</v>
      </c>
      <c r="B1741" s="944" t="s">
        <v>3929</v>
      </c>
      <c r="C1741" s="919" t="s">
        <v>3902</v>
      </c>
      <c r="D1741" s="919" t="s">
        <v>6120</v>
      </c>
      <c r="E1741" s="920">
        <v>6000</v>
      </c>
      <c r="F1741" s="922" t="s">
        <v>7117</v>
      </c>
      <c r="G1741" s="919" t="s">
        <v>7118</v>
      </c>
      <c r="H1741" s="919" t="s">
        <v>6120</v>
      </c>
      <c r="I1741" s="919" t="s">
        <v>3724</v>
      </c>
      <c r="J1741" s="919"/>
      <c r="K1741" s="920">
        <v>1</v>
      </c>
      <c r="L1741" s="920">
        <v>12</v>
      </c>
      <c r="M1741" s="920">
        <f t="shared" si="54"/>
        <v>72000</v>
      </c>
      <c r="N1741" s="919"/>
      <c r="O1741" s="919"/>
      <c r="P1741" s="921">
        <f t="shared" si="55"/>
        <v>0</v>
      </c>
    </row>
    <row r="1742" spans="1:16" ht="20.100000000000001" customHeight="1" x14ac:dyDescent="0.25">
      <c r="A1742" s="918" t="s">
        <v>486</v>
      </c>
      <c r="B1742" s="944" t="s">
        <v>3929</v>
      </c>
      <c r="C1742" s="919" t="s">
        <v>3902</v>
      </c>
      <c r="D1742" s="919" t="s">
        <v>6120</v>
      </c>
      <c r="E1742" s="920">
        <v>6000</v>
      </c>
      <c r="F1742" s="922" t="s">
        <v>4041</v>
      </c>
      <c r="G1742" s="919" t="s">
        <v>4042</v>
      </c>
      <c r="H1742" s="919" t="s">
        <v>6120</v>
      </c>
      <c r="I1742" s="919" t="s">
        <v>3724</v>
      </c>
      <c r="J1742" s="919"/>
      <c r="K1742" s="920">
        <v>1</v>
      </c>
      <c r="L1742" s="920">
        <v>12</v>
      </c>
      <c r="M1742" s="920">
        <f t="shared" si="54"/>
        <v>72000</v>
      </c>
      <c r="N1742" s="919"/>
      <c r="O1742" s="919"/>
      <c r="P1742" s="921">
        <f t="shared" si="55"/>
        <v>0</v>
      </c>
    </row>
    <row r="1743" spans="1:16" ht="20.100000000000001" customHeight="1" x14ac:dyDescent="0.25">
      <c r="A1743" s="918" t="s">
        <v>486</v>
      </c>
      <c r="B1743" s="944" t="s">
        <v>3929</v>
      </c>
      <c r="C1743" s="919" t="s">
        <v>3902</v>
      </c>
      <c r="D1743" s="919" t="s">
        <v>6120</v>
      </c>
      <c r="E1743" s="920">
        <v>6000</v>
      </c>
      <c r="F1743" s="922" t="s">
        <v>4041</v>
      </c>
      <c r="G1743" s="919" t="s">
        <v>4042</v>
      </c>
      <c r="H1743" s="919" t="s">
        <v>6120</v>
      </c>
      <c r="I1743" s="919" t="s">
        <v>3724</v>
      </c>
      <c r="J1743" s="919"/>
      <c r="K1743" s="920">
        <v>1</v>
      </c>
      <c r="L1743" s="920">
        <v>12</v>
      </c>
      <c r="M1743" s="920">
        <f t="shared" si="54"/>
        <v>72000</v>
      </c>
      <c r="N1743" s="919"/>
      <c r="O1743" s="919"/>
      <c r="P1743" s="921">
        <f t="shared" si="55"/>
        <v>0</v>
      </c>
    </row>
    <row r="1744" spans="1:16" ht="20.100000000000001" customHeight="1" x14ac:dyDescent="0.25">
      <c r="A1744" s="918" t="s">
        <v>486</v>
      </c>
      <c r="B1744" s="944" t="s">
        <v>3929</v>
      </c>
      <c r="C1744" s="919" t="s">
        <v>3902</v>
      </c>
      <c r="D1744" s="919" t="s">
        <v>6120</v>
      </c>
      <c r="E1744" s="920">
        <v>6000</v>
      </c>
      <c r="F1744" s="922" t="s">
        <v>4041</v>
      </c>
      <c r="G1744" s="919" t="s">
        <v>4062</v>
      </c>
      <c r="H1744" s="919" t="s">
        <v>6120</v>
      </c>
      <c r="I1744" s="919" t="s">
        <v>3724</v>
      </c>
      <c r="J1744" s="919"/>
      <c r="K1744" s="920">
        <v>1</v>
      </c>
      <c r="L1744" s="920">
        <v>12</v>
      </c>
      <c r="M1744" s="920">
        <f t="shared" si="54"/>
        <v>72000</v>
      </c>
      <c r="N1744" s="919"/>
      <c r="O1744" s="919"/>
      <c r="P1744" s="921">
        <f t="shared" si="55"/>
        <v>0</v>
      </c>
    </row>
    <row r="1745" spans="1:16" ht="20.100000000000001" customHeight="1" x14ac:dyDescent="0.25">
      <c r="A1745" s="918" t="s">
        <v>486</v>
      </c>
      <c r="B1745" s="944" t="s">
        <v>3929</v>
      </c>
      <c r="C1745" s="919" t="s">
        <v>3902</v>
      </c>
      <c r="D1745" s="919" t="s">
        <v>3999</v>
      </c>
      <c r="E1745" s="920">
        <v>2100</v>
      </c>
      <c r="F1745" s="922" t="s">
        <v>4041</v>
      </c>
      <c r="G1745" s="919" t="s">
        <v>4042</v>
      </c>
      <c r="H1745" s="919" t="s">
        <v>3999</v>
      </c>
      <c r="I1745" s="919" t="s">
        <v>3724</v>
      </c>
      <c r="J1745" s="919"/>
      <c r="K1745" s="920">
        <v>1</v>
      </c>
      <c r="L1745" s="920">
        <v>12</v>
      </c>
      <c r="M1745" s="920">
        <f t="shared" si="54"/>
        <v>25200</v>
      </c>
      <c r="N1745" s="919"/>
      <c r="O1745" s="919"/>
      <c r="P1745" s="921">
        <f t="shared" si="55"/>
        <v>0</v>
      </c>
    </row>
    <row r="1746" spans="1:16" ht="20.100000000000001" customHeight="1" x14ac:dyDescent="0.25">
      <c r="A1746" s="918" t="s">
        <v>486</v>
      </c>
      <c r="B1746" s="944" t="s">
        <v>3929</v>
      </c>
      <c r="C1746" s="919" t="s">
        <v>3902</v>
      </c>
      <c r="D1746" s="919" t="s">
        <v>3999</v>
      </c>
      <c r="E1746" s="920">
        <v>2100</v>
      </c>
      <c r="F1746" s="922" t="s">
        <v>4041</v>
      </c>
      <c r="G1746" s="919" t="s">
        <v>4062</v>
      </c>
      <c r="H1746" s="919" t="s">
        <v>3999</v>
      </c>
      <c r="I1746" s="919" t="s">
        <v>3724</v>
      </c>
      <c r="J1746" s="919"/>
      <c r="K1746" s="920">
        <v>1</v>
      </c>
      <c r="L1746" s="920">
        <v>12</v>
      </c>
      <c r="M1746" s="920">
        <f t="shared" si="54"/>
        <v>25200</v>
      </c>
      <c r="N1746" s="919"/>
      <c r="O1746" s="919"/>
      <c r="P1746" s="921">
        <f t="shared" si="55"/>
        <v>0</v>
      </c>
    </row>
    <row r="1747" spans="1:16" ht="20.100000000000001" customHeight="1" x14ac:dyDescent="0.25">
      <c r="A1747" s="918" t="s">
        <v>486</v>
      </c>
      <c r="B1747" s="944" t="s">
        <v>3929</v>
      </c>
      <c r="C1747" s="919" t="s">
        <v>3902</v>
      </c>
      <c r="D1747" s="919" t="s">
        <v>3999</v>
      </c>
      <c r="E1747" s="920">
        <v>2100</v>
      </c>
      <c r="F1747" s="922" t="s">
        <v>4041</v>
      </c>
      <c r="G1747" s="919" t="s">
        <v>4062</v>
      </c>
      <c r="H1747" s="919" t="s">
        <v>3999</v>
      </c>
      <c r="I1747" s="919" t="s">
        <v>3724</v>
      </c>
      <c r="J1747" s="919"/>
      <c r="K1747" s="920">
        <v>1</v>
      </c>
      <c r="L1747" s="920">
        <v>12</v>
      </c>
      <c r="M1747" s="920">
        <f t="shared" si="54"/>
        <v>25200</v>
      </c>
      <c r="N1747" s="919"/>
      <c r="O1747" s="919"/>
      <c r="P1747" s="921">
        <f t="shared" si="55"/>
        <v>0</v>
      </c>
    </row>
    <row r="1748" spans="1:16" ht="20.100000000000001" customHeight="1" x14ac:dyDescent="0.25">
      <c r="A1748" s="918" t="s">
        <v>486</v>
      </c>
      <c r="B1748" s="944" t="s">
        <v>3929</v>
      </c>
      <c r="C1748" s="919" t="s">
        <v>3902</v>
      </c>
      <c r="D1748" s="919" t="s">
        <v>3999</v>
      </c>
      <c r="E1748" s="920">
        <v>2100</v>
      </c>
      <c r="F1748" s="922" t="s">
        <v>4041</v>
      </c>
      <c r="G1748" s="919" t="s">
        <v>4062</v>
      </c>
      <c r="H1748" s="919" t="s">
        <v>3999</v>
      </c>
      <c r="I1748" s="919" t="s">
        <v>3724</v>
      </c>
      <c r="J1748" s="919"/>
      <c r="K1748" s="920">
        <v>1</v>
      </c>
      <c r="L1748" s="920">
        <v>12</v>
      </c>
      <c r="M1748" s="920">
        <f t="shared" si="54"/>
        <v>25200</v>
      </c>
      <c r="N1748" s="919"/>
      <c r="O1748" s="919"/>
      <c r="P1748" s="921">
        <f t="shared" si="55"/>
        <v>0</v>
      </c>
    </row>
    <row r="1749" spans="1:16" ht="20.100000000000001" customHeight="1" x14ac:dyDescent="0.25">
      <c r="A1749" s="918" t="s">
        <v>486</v>
      </c>
      <c r="B1749" s="944" t="s">
        <v>3929</v>
      </c>
      <c r="C1749" s="919" t="s">
        <v>3902</v>
      </c>
      <c r="D1749" s="919" t="s">
        <v>4467</v>
      </c>
      <c r="E1749" s="920">
        <v>1400</v>
      </c>
      <c r="F1749" s="922" t="s">
        <v>4041</v>
      </c>
      <c r="G1749" s="919" t="s">
        <v>4042</v>
      </c>
      <c r="H1749" s="919" t="s">
        <v>4467</v>
      </c>
      <c r="I1749" s="919" t="s">
        <v>3686</v>
      </c>
      <c r="J1749" s="919"/>
      <c r="K1749" s="920">
        <v>1</v>
      </c>
      <c r="L1749" s="920">
        <v>12</v>
      </c>
      <c r="M1749" s="920">
        <f t="shared" si="54"/>
        <v>16800</v>
      </c>
      <c r="N1749" s="919"/>
      <c r="O1749" s="919"/>
      <c r="P1749" s="921">
        <f t="shared" si="55"/>
        <v>0</v>
      </c>
    </row>
    <row r="1750" spans="1:16" ht="20.100000000000001" customHeight="1" x14ac:dyDescent="0.25">
      <c r="A1750" s="918" t="s">
        <v>486</v>
      </c>
      <c r="B1750" s="944" t="s">
        <v>3901</v>
      </c>
      <c r="C1750" s="919" t="s">
        <v>3902</v>
      </c>
      <c r="D1750" s="919" t="s">
        <v>3999</v>
      </c>
      <c r="E1750" s="920">
        <v>2100</v>
      </c>
      <c r="F1750" s="919" t="s">
        <v>7119</v>
      </c>
      <c r="G1750" s="919" t="s">
        <v>7120</v>
      </c>
      <c r="H1750" s="919" t="s">
        <v>3999</v>
      </c>
      <c r="I1750" s="919" t="s">
        <v>3724</v>
      </c>
      <c r="J1750" s="919"/>
      <c r="K1750" s="920">
        <v>1</v>
      </c>
      <c r="L1750" s="920">
        <v>12</v>
      </c>
      <c r="M1750" s="920">
        <f t="shared" si="54"/>
        <v>25200</v>
      </c>
      <c r="N1750" s="919"/>
      <c r="O1750" s="919"/>
      <c r="P1750" s="921">
        <f t="shared" si="55"/>
        <v>0</v>
      </c>
    </row>
    <row r="1751" spans="1:16" ht="20.100000000000001" customHeight="1" x14ac:dyDescent="0.25">
      <c r="A1751" s="918" t="s">
        <v>486</v>
      </c>
      <c r="B1751" s="944" t="s">
        <v>3901</v>
      </c>
      <c r="C1751" s="919" t="s">
        <v>3902</v>
      </c>
      <c r="D1751" s="919" t="s">
        <v>3999</v>
      </c>
      <c r="E1751" s="920">
        <v>2100</v>
      </c>
      <c r="F1751" s="919" t="s">
        <v>7121</v>
      </c>
      <c r="G1751" s="919" t="s">
        <v>7122</v>
      </c>
      <c r="H1751" s="919" t="s">
        <v>3999</v>
      </c>
      <c r="I1751" s="919" t="s">
        <v>3724</v>
      </c>
      <c r="J1751" s="919"/>
      <c r="K1751" s="920">
        <v>1</v>
      </c>
      <c r="L1751" s="920">
        <v>12</v>
      </c>
      <c r="M1751" s="920">
        <f t="shared" si="54"/>
        <v>25200</v>
      </c>
      <c r="N1751" s="919"/>
      <c r="O1751" s="919"/>
      <c r="P1751" s="921">
        <f t="shared" si="55"/>
        <v>0</v>
      </c>
    </row>
    <row r="1752" spans="1:16" ht="20.100000000000001" customHeight="1" x14ac:dyDescent="0.25">
      <c r="A1752" s="918" t="s">
        <v>486</v>
      </c>
      <c r="B1752" s="944" t="s">
        <v>3901</v>
      </c>
      <c r="C1752" s="919" t="s">
        <v>3902</v>
      </c>
      <c r="D1752" s="919" t="s">
        <v>3999</v>
      </c>
      <c r="E1752" s="920">
        <v>2100</v>
      </c>
      <c r="F1752" s="919" t="s">
        <v>7123</v>
      </c>
      <c r="G1752" s="919" t="s">
        <v>7124</v>
      </c>
      <c r="H1752" s="919" t="s">
        <v>3999</v>
      </c>
      <c r="I1752" s="919" t="s">
        <v>3724</v>
      </c>
      <c r="J1752" s="919"/>
      <c r="K1752" s="920">
        <v>1</v>
      </c>
      <c r="L1752" s="920">
        <v>12</v>
      </c>
      <c r="M1752" s="920">
        <f t="shared" si="54"/>
        <v>25200</v>
      </c>
      <c r="N1752" s="919"/>
      <c r="O1752" s="919"/>
      <c r="P1752" s="921">
        <f t="shared" si="55"/>
        <v>0</v>
      </c>
    </row>
    <row r="1753" spans="1:16" ht="20.100000000000001" customHeight="1" x14ac:dyDescent="0.25">
      <c r="A1753" s="918" t="s">
        <v>486</v>
      </c>
      <c r="B1753" s="944" t="s">
        <v>3901</v>
      </c>
      <c r="C1753" s="919" t="s">
        <v>3902</v>
      </c>
      <c r="D1753" s="919" t="s">
        <v>6274</v>
      </c>
      <c r="E1753" s="920">
        <v>6000</v>
      </c>
      <c r="F1753" s="919" t="s">
        <v>7125</v>
      </c>
      <c r="G1753" s="919" t="s">
        <v>7126</v>
      </c>
      <c r="H1753" s="919" t="s">
        <v>6274</v>
      </c>
      <c r="I1753" s="919" t="s">
        <v>3724</v>
      </c>
      <c r="J1753" s="919"/>
      <c r="K1753" s="920">
        <v>1</v>
      </c>
      <c r="L1753" s="920">
        <v>12</v>
      </c>
      <c r="M1753" s="920">
        <f t="shared" si="54"/>
        <v>72000</v>
      </c>
      <c r="N1753" s="919"/>
      <c r="O1753" s="919"/>
      <c r="P1753" s="921">
        <f t="shared" si="55"/>
        <v>0</v>
      </c>
    </row>
    <row r="1754" spans="1:16" ht="20.100000000000001" customHeight="1" x14ac:dyDescent="0.25">
      <c r="A1754" s="918" t="s">
        <v>486</v>
      </c>
      <c r="B1754" s="944" t="s">
        <v>3901</v>
      </c>
      <c r="C1754" s="919" t="s">
        <v>3902</v>
      </c>
      <c r="D1754" s="919" t="s">
        <v>6274</v>
      </c>
      <c r="E1754" s="920">
        <v>6000</v>
      </c>
      <c r="F1754" s="919" t="s">
        <v>7127</v>
      </c>
      <c r="G1754" s="919" t="s">
        <v>7128</v>
      </c>
      <c r="H1754" s="919" t="s">
        <v>6274</v>
      </c>
      <c r="I1754" s="919" t="s">
        <v>3724</v>
      </c>
      <c r="J1754" s="919"/>
      <c r="K1754" s="920">
        <v>1</v>
      </c>
      <c r="L1754" s="920">
        <v>12</v>
      </c>
      <c r="M1754" s="920">
        <f t="shared" si="54"/>
        <v>72000</v>
      </c>
      <c r="N1754" s="919"/>
      <c r="O1754" s="919"/>
      <c r="P1754" s="921">
        <f t="shared" si="55"/>
        <v>0</v>
      </c>
    </row>
    <row r="1755" spans="1:16" ht="20.100000000000001" customHeight="1" x14ac:dyDescent="0.25">
      <c r="A1755" s="918" t="s">
        <v>486</v>
      </c>
      <c r="B1755" s="944" t="s">
        <v>3901</v>
      </c>
      <c r="C1755" s="919" t="s">
        <v>3902</v>
      </c>
      <c r="D1755" s="919" t="s">
        <v>6274</v>
      </c>
      <c r="E1755" s="920">
        <v>6000</v>
      </c>
      <c r="F1755" s="919" t="s">
        <v>7129</v>
      </c>
      <c r="G1755" s="919" t="s">
        <v>7130</v>
      </c>
      <c r="H1755" s="919" t="s">
        <v>6274</v>
      </c>
      <c r="I1755" s="919" t="s">
        <v>3724</v>
      </c>
      <c r="J1755" s="919"/>
      <c r="K1755" s="920">
        <v>1</v>
      </c>
      <c r="L1755" s="920">
        <v>12</v>
      </c>
      <c r="M1755" s="920">
        <f t="shared" si="54"/>
        <v>72000</v>
      </c>
      <c r="N1755" s="919"/>
      <c r="O1755" s="919"/>
      <c r="P1755" s="921">
        <f t="shared" si="55"/>
        <v>0</v>
      </c>
    </row>
    <row r="1756" spans="1:16" ht="20.100000000000001" customHeight="1" x14ac:dyDescent="0.25">
      <c r="A1756" s="918" t="s">
        <v>486</v>
      </c>
      <c r="B1756" s="944" t="s">
        <v>3901</v>
      </c>
      <c r="C1756" s="919" t="s">
        <v>3902</v>
      </c>
      <c r="D1756" s="919" t="s">
        <v>6274</v>
      </c>
      <c r="E1756" s="920">
        <v>6000</v>
      </c>
      <c r="F1756" s="919" t="s">
        <v>7131</v>
      </c>
      <c r="G1756" s="919" t="s">
        <v>7132</v>
      </c>
      <c r="H1756" s="919" t="s">
        <v>6274</v>
      </c>
      <c r="I1756" s="919" t="s">
        <v>3724</v>
      </c>
      <c r="J1756" s="919"/>
      <c r="K1756" s="920">
        <v>1</v>
      </c>
      <c r="L1756" s="920">
        <v>12</v>
      </c>
      <c r="M1756" s="920">
        <f t="shared" si="54"/>
        <v>72000</v>
      </c>
      <c r="N1756" s="919"/>
      <c r="O1756" s="919"/>
      <c r="P1756" s="921">
        <f t="shared" si="55"/>
        <v>0</v>
      </c>
    </row>
    <row r="1757" spans="1:16" ht="20.100000000000001" customHeight="1" x14ac:dyDescent="0.25">
      <c r="A1757" s="918" t="s">
        <v>486</v>
      </c>
      <c r="B1757" s="944" t="s">
        <v>3901</v>
      </c>
      <c r="C1757" s="919" t="s">
        <v>3902</v>
      </c>
      <c r="D1757" s="919" t="s">
        <v>6274</v>
      </c>
      <c r="E1757" s="920">
        <v>6000</v>
      </c>
      <c r="F1757" s="919" t="s">
        <v>7133</v>
      </c>
      <c r="G1757" s="919" t="s">
        <v>7134</v>
      </c>
      <c r="H1757" s="919" t="s">
        <v>6274</v>
      </c>
      <c r="I1757" s="919" t="s">
        <v>3724</v>
      </c>
      <c r="J1757" s="919"/>
      <c r="K1757" s="920">
        <v>1</v>
      </c>
      <c r="L1757" s="920">
        <v>12</v>
      </c>
      <c r="M1757" s="920">
        <f t="shared" si="54"/>
        <v>72000</v>
      </c>
      <c r="N1757" s="919"/>
      <c r="O1757" s="919"/>
      <c r="P1757" s="921">
        <f t="shared" si="55"/>
        <v>0</v>
      </c>
    </row>
    <row r="1758" spans="1:16" ht="20.100000000000001" customHeight="1" x14ac:dyDescent="0.25">
      <c r="A1758" s="918" t="s">
        <v>486</v>
      </c>
      <c r="B1758" s="944" t="s">
        <v>3901</v>
      </c>
      <c r="C1758" s="919" t="s">
        <v>3902</v>
      </c>
      <c r="D1758" s="919" t="s">
        <v>6274</v>
      </c>
      <c r="E1758" s="920">
        <v>6000</v>
      </c>
      <c r="F1758" s="919" t="s">
        <v>7135</v>
      </c>
      <c r="G1758" s="919" t="s">
        <v>7136</v>
      </c>
      <c r="H1758" s="919" t="s">
        <v>6274</v>
      </c>
      <c r="I1758" s="919" t="s">
        <v>3724</v>
      </c>
      <c r="J1758" s="919"/>
      <c r="K1758" s="920">
        <v>1</v>
      </c>
      <c r="L1758" s="920">
        <v>12</v>
      </c>
      <c r="M1758" s="920">
        <f t="shared" si="54"/>
        <v>72000</v>
      </c>
      <c r="N1758" s="919"/>
      <c r="O1758" s="919"/>
      <c r="P1758" s="921">
        <f t="shared" si="55"/>
        <v>0</v>
      </c>
    </row>
    <row r="1759" spans="1:16" ht="20.100000000000001" customHeight="1" x14ac:dyDescent="0.25">
      <c r="A1759" s="918" t="s">
        <v>486</v>
      </c>
      <c r="B1759" s="944" t="s">
        <v>3901</v>
      </c>
      <c r="C1759" s="919" t="s">
        <v>3902</v>
      </c>
      <c r="D1759" s="919" t="s">
        <v>6274</v>
      </c>
      <c r="E1759" s="920">
        <v>6000</v>
      </c>
      <c r="F1759" s="919" t="s">
        <v>7137</v>
      </c>
      <c r="G1759" s="919" t="s">
        <v>7138</v>
      </c>
      <c r="H1759" s="919" t="s">
        <v>6274</v>
      </c>
      <c r="I1759" s="919" t="s">
        <v>3724</v>
      </c>
      <c r="J1759" s="919"/>
      <c r="K1759" s="920">
        <v>1</v>
      </c>
      <c r="L1759" s="920">
        <v>12</v>
      </c>
      <c r="M1759" s="920">
        <f t="shared" si="54"/>
        <v>72000</v>
      </c>
      <c r="N1759" s="919"/>
      <c r="O1759" s="919"/>
      <c r="P1759" s="921">
        <f t="shared" si="55"/>
        <v>0</v>
      </c>
    </row>
    <row r="1760" spans="1:16" ht="20.100000000000001" customHeight="1" x14ac:dyDescent="0.25">
      <c r="A1760" s="918" t="s">
        <v>486</v>
      </c>
      <c r="B1760" s="944" t="s">
        <v>3901</v>
      </c>
      <c r="C1760" s="919" t="s">
        <v>3902</v>
      </c>
      <c r="D1760" s="919" t="s">
        <v>6074</v>
      </c>
      <c r="E1760" s="920">
        <v>1400</v>
      </c>
      <c r="F1760" s="919" t="s">
        <v>7139</v>
      </c>
      <c r="G1760" s="919" t="s">
        <v>7140</v>
      </c>
      <c r="H1760" s="919" t="s">
        <v>6074</v>
      </c>
      <c r="I1760" s="919" t="s">
        <v>3686</v>
      </c>
      <c r="J1760" s="919"/>
      <c r="K1760" s="920">
        <v>1</v>
      </c>
      <c r="L1760" s="920">
        <v>12</v>
      </c>
      <c r="M1760" s="920">
        <f t="shared" si="54"/>
        <v>16800</v>
      </c>
      <c r="N1760" s="919"/>
      <c r="O1760" s="919"/>
      <c r="P1760" s="921">
        <f t="shared" si="55"/>
        <v>0</v>
      </c>
    </row>
    <row r="1761" spans="1:16" ht="20.100000000000001" customHeight="1" x14ac:dyDescent="0.25">
      <c r="A1761" s="918" t="s">
        <v>486</v>
      </c>
      <c r="B1761" s="944" t="s">
        <v>3901</v>
      </c>
      <c r="C1761" s="919" t="s">
        <v>3902</v>
      </c>
      <c r="D1761" s="919" t="s">
        <v>6074</v>
      </c>
      <c r="E1761" s="920">
        <v>1400</v>
      </c>
      <c r="F1761" s="919" t="s">
        <v>7141</v>
      </c>
      <c r="G1761" s="919" t="s">
        <v>7142</v>
      </c>
      <c r="H1761" s="919" t="s">
        <v>6074</v>
      </c>
      <c r="I1761" s="919" t="s">
        <v>3686</v>
      </c>
      <c r="J1761" s="919"/>
      <c r="K1761" s="920">
        <v>1</v>
      </c>
      <c r="L1761" s="920">
        <v>12</v>
      </c>
      <c r="M1761" s="920">
        <f t="shared" si="54"/>
        <v>16800</v>
      </c>
      <c r="N1761" s="919"/>
      <c r="O1761" s="919"/>
      <c r="P1761" s="921">
        <f t="shared" si="55"/>
        <v>0</v>
      </c>
    </row>
    <row r="1762" spans="1:16" ht="20.100000000000001" customHeight="1" x14ac:dyDescent="0.25">
      <c r="A1762" s="918" t="s">
        <v>486</v>
      </c>
      <c r="B1762" s="944" t="s">
        <v>3901</v>
      </c>
      <c r="C1762" s="919" t="s">
        <v>3902</v>
      </c>
      <c r="D1762" s="919" t="s">
        <v>6074</v>
      </c>
      <c r="E1762" s="920">
        <v>1400</v>
      </c>
      <c r="F1762" s="919" t="s">
        <v>7143</v>
      </c>
      <c r="G1762" s="919" t="s">
        <v>7144</v>
      </c>
      <c r="H1762" s="919" t="s">
        <v>6074</v>
      </c>
      <c r="I1762" s="919" t="s">
        <v>3686</v>
      </c>
      <c r="J1762" s="919"/>
      <c r="K1762" s="920">
        <v>1</v>
      </c>
      <c r="L1762" s="920">
        <v>12</v>
      </c>
      <c r="M1762" s="920">
        <f t="shared" si="54"/>
        <v>16800</v>
      </c>
      <c r="N1762" s="919"/>
      <c r="O1762" s="919"/>
      <c r="P1762" s="921">
        <f t="shared" si="55"/>
        <v>0</v>
      </c>
    </row>
    <row r="1763" spans="1:16" ht="20.100000000000001" customHeight="1" x14ac:dyDescent="0.25">
      <c r="A1763" s="918" t="s">
        <v>486</v>
      </c>
      <c r="B1763" s="944" t="s">
        <v>3901</v>
      </c>
      <c r="C1763" s="919" t="s">
        <v>3902</v>
      </c>
      <c r="D1763" s="919" t="s">
        <v>7145</v>
      </c>
      <c r="E1763" s="920">
        <v>1400</v>
      </c>
      <c r="F1763" s="919" t="s">
        <v>7146</v>
      </c>
      <c r="G1763" s="919" t="s">
        <v>7147</v>
      </c>
      <c r="H1763" s="919" t="s">
        <v>7145</v>
      </c>
      <c r="I1763" s="919" t="s">
        <v>3686</v>
      </c>
      <c r="J1763" s="919"/>
      <c r="K1763" s="920">
        <v>1</v>
      </c>
      <c r="L1763" s="920">
        <v>12</v>
      </c>
      <c r="M1763" s="920">
        <f t="shared" si="54"/>
        <v>16800</v>
      </c>
      <c r="N1763" s="919"/>
      <c r="O1763" s="919"/>
      <c r="P1763" s="921">
        <f t="shared" si="55"/>
        <v>0</v>
      </c>
    </row>
    <row r="1764" spans="1:16" ht="20.100000000000001" customHeight="1" x14ac:dyDescent="0.25">
      <c r="A1764" s="918" t="s">
        <v>486</v>
      </c>
      <c r="B1764" s="944" t="s">
        <v>3901</v>
      </c>
      <c r="C1764" s="919" t="s">
        <v>3902</v>
      </c>
      <c r="D1764" s="919" t="s">
        <v>7148</v>
      </c>
      <c r="E1764" s="920">
        <v>1400</v>
      </c>
      <c r="F1764" s="919" t="s">
        <v>7149</v>
      </c>
      <c r="G1764" s="919" t="s">
        <v>7150</v>
      </c>
      <c r="H1764" s="919" t="s">
        <v>7148</v>
      </c>
      <c r="I1764" s="919" t="s">
        <v>3686</v>
      </c>
      <c r="J1764" s="919"/>
      <c r="K1764" s="920">
        <v>1</v>
      </c>
      <c r="L1764" s="920">
        <v>12</v>
      </c>
      <c r="M1764" s="920">
        <f t="shared" si="54"/>
        <v>16800</v>
      </c>
      <c r="N1764" s="919"/>
      <c r="O1764" s="919"/>
      <c r="P1764" s="921">
        <f t="shared" si="55"/>
        <v>0</v>
      </c>
    </row>
    <row r="1765" spans="1:16" ht="20.100000000000001" customHeight="1" x14ac:dyDescent="0.25">
      <c r="A1765" s="918" t="s">
        <v>487</v>
      </c>
      <c r="B1765" s="944" t="s">
        <v>3901</v>
      </c>
      <c r="C1765" s="919" t="s">
        <v>3902</v>
      </c>
      <c r="D1765" s="919" t="s">
        <v>4375</v>
      </c>
      <c r="E1765" s="920">
        <v>4000</v>
      </c>
      <c r="F1765" s="919" t="s">
        <v>7151</v>
      </c>
      <c r="G1765" s="919" t="s">
        <v>7152</v>
      </c>
      <c r="H1765" s="919" t="s">
        <v>4375</v>
      </c>
      <c r="I1765" s="919" t="s">
        <v>3724</v>
      </c>
      <c r="J1765" s="919"/>
      <c r="K1765" s="920">
        <v>1</v>
      </c>
      <c r="L1765" s="920">
        <v>12</v>
      </c>
      <c r="M1765" s="920">
        <f t="shared" si="54"/>
        <v>48000</v>
      </c>
      <c r="N1765" s="919"/>
      <c r="O1765" s="919"/>
      <c r="P1765" s="921">
        <f t="shared" si="55"/>
        <v>0</v>
      </c>
    </row>
    <row r="1766" spans="1:16" ht="20.100000000000001" customHeight="1" x14ac:dyDescent="0.25">
      <c r="A1766" s="918" t="s">
        <v>487</v>
      </c>
      <c r="B1766" s="944" t="s">
        <v>3901</v>
      </c>
      <c r="C1766" s="919" t="s">
        <v>3902</v>
      </c>
      <c r="D1766" s="919" t="s">
        <v>4375</v>
      </c>
      <c r="E1766" s="920">
        <v>3300</v>
      </c>
      <c r="F1766" s="919" t="s">
        <v>4041</v>
      </c>
      <c r="G1766" s="919" t="s">
        <v>4042</v>
      </c>
      <c r="H1766" s="919" t="s">
        <v>4375</v>
      </c>
      <c r="I1766" s="919" t="s">
        <v>3724</v>
      </c>
      <c r="J1766" s="919"/>
      <c r="K1766" s="920">
        <v>1</v>
      </c>
      <c r="L1766" s="920">
        <v>12</v>
      </c>
      <c r="M1766" s="920">
        <f t="shared" si="54"/>
        <v>39600</v>
      </c>
      <c r="N1766" s="919"/>
      <c r="O1766" s="919"/>
      <c r="P1766" s="921">
        <f t="shared" si="55"/>
        <v>0</v>
      </c>
    </row>
    <row r="1767" spans="1:16" ht="20.100000000000001" customHeight="1" x14ac:dyDescent="0.25">
      <c r="A1767" s="918" t="s">
        <v>487</v>
      </c>
      <c r="B1767" s="944" t="s">
        <v>3901</v>
      </c>
      <c r="C1767" s="919" t="s">
        <v>3902</v>
      </c>
      <c r="D1767" s="919" t="s">
        <v>3999</v>
      </c>
      <c r="E1767" s="920">
        <v>3300</v>
      </c>
      <c r="F1767" s="919" t="s">
        <v>4041</v>
      </c>
      <c r="G1767" s="919" t="s">
        <v>4042</v>
      </c>
      <c r="H1767" s="919" t="s">
        <v>3999</v>
      </c>
      <c r="I1767" s="919" t="s">
        <v>3724</v>
      </c>
      <c r="J1767" s="919"/>
      <c r="K1767" s="920">
        <v>1</v>
      </c>
      <c r="L1767" s="920">
        <v>12</v>
      </c>
      <c r="M1767" s="920">
        <f t="shared" si="54"/>
        <v>39600</v>
      </c>
      <c r="N1767" s="919"/>
      <c r="O1767" s="919"/>
      <c r="P1767" s="921">
        <f t="shared" si="55"/>
        <v>0</v>
      </c>
    </row>
    <row r="1768" spans="1:16" ht="20.100000000000001" customHeight="1" x14ac:dyDescent="0.25">
      <c r="A1768" s="918" t="s">
        <v>487</v>
      </c>
      <c r="B1768" s="944" t="s">
        <v>3901</v>
      </c>
      <c r="C1768" s="919" t="s">
        <v>3902</v>
      </c>
      <c r="D1768" s="919" t="s">
        <v>3999</v>
      </c>
      <c r="E1768" s="920">
        <v>3300</v>
      </c>
      <c r="F1768" s="919" t="s">
        <v>4041</v>
      </c>
      <c r="G1768" s="919" t="s">
        <v>4042</v>
      </c>
      <c r="H1768" s="919" t="s">
        <v>3999</v>
      </c>
      <c r="I1768" s="919" t="s">
        <v>3724</v>
      </c>
      <c r="J1768" s="919"/>
      <c r="K1768" s="920">
        <v>1</v>
      </c>
      <c r="L1768" s="920">
        <v>12</v>
      </c>
      <c r="M1768" s="920">
        <f t="shared" si="54"/>
        <v>39600</v>
      </c>
      <c r="N1768" s="919"/>
      <c r="O1768" s="919"/>
      <c r="P1768" s="921">
        <f t="shared" si="55"/>
        <v>0</v>
      </c>
    </row>
    <row r="1769" spans="1:16" ht="20.100000000000001" customHeight="1" x14ac:dyDescent="0.25">
      <c r="A1769" s="918" t="s">
        <v>487</v>
      </c>
      <c r="B1769" s="944" t="s">
        <v>3901</v>
      </c>
      <c r="C1769" s="919" t="s">
        <v>3902</v>
      </c>
      <c r="D1769" s="919" t="s">
        <v>3999</v>
      </c>
      <c r="E1769" s="920">
        <v>2300</v>
      </c>
      <c r="F1769" s="919" t="s">
        <v>7153</v>
      </c>
      <c r="G1769" s="919" t="s">
        <v>7154</v>
      </c>
      <c r="H1769" s="919" t="s">
        <v>3999</v>
      </c>
      <c r="I1769" s="919" t="s">
        <v>3724</v>
      </c>
      <c r="J1769" s="919"/>
      <c r="K1769" s="920">
        <v>1</v>
      </c>
      <c r="L1769" s="920">
        <v>12</v>
      </c>
      <c r="M1769" s="920">
        <f t="shared" si="54"/>
        <v>27600</v>
      </c>
      <c r="N1769" s="919"/>
      <c r="O1769" s="919"/>
      <c r="P1769" s="921">
        <f t="shared" si="55"/>
        <v>0</v>
      </c>
    </row>
    <row r="1770" spans="1:16" ht="20.100000000000001" customHeight="1" x14ac:dyDescent="0.25">
      <c r="A1770" s="918" t="s">
        <v>487</v>
      </c>
      <c r="B1770" s="944" t="s">
        <v>3901</v>
      </c>
      <c r="C1770" s="919" t="s">
        <v>3902</v>
      </c>
      <c r="D1770" s="919" t="s">
        <v>3999</v>
      </c>
      <c r="E1770" s="920">
        <v>2300</v>
      </c>
      <c r="F1770" s="919" t="s">
        <v>7155</v>
      </c>
      <c r="G1770" s="919" t="s">
        <v>7156</v>
      </c>
      <c r="H1770" s="919" t="s">
        <v>3999</v>
      </c>
      <c r="I1770" s="919" t="s">
        <v>3724</v>
      </c>
      <c r="J1770" s="919"/>
      <c r="K1770" s="920">
        <v>1</v>
      </c>
      <c r="L1770" s="920">
        <v>12</v>
      </c>
      <c r="M1770" s="920">
        <f t="shared" si="54"/>
        <v>27600</v>
      </c>
      <c r="N1770" s="919"/>
      <c r="O1770" s="919"/>
      <c r="P1770" s="921">
        <f t="shared" si="55"/>
        <v>0</v>
      </c>
    </row>
    <row r="1771" spans="1:16" ht="20.100000000000001" customHeight="1" x14ac:dyDescent="0.25">
      <c r="A1771" s="918" t="s">
        <v>487</v>
      </c>
      <c r="B1771" s="944" t="s">
        <v>3901</v>
      </c>
      <c r="C1771" s="919" t="s">
        <v>3902</v>
      </c>
      <c r="D1771" s="919" t="s">
        <v>3999</v>
      </c>
      <c r="E1771" s="920">
        <v>2300</v>
      </c>
      <c r="F1771" s="919" t="s">
        <v>7157</v>
      </c>
      <c r="G1771" s="919" t="s">
        <v>7158</v>
      </c>
      <c r="H1771" s="919" t="s">
        <v>3999</v>
      </c>
      <c r="I1771" s="919" t="s">
        <v>3724</v>
      </c>
      <c r="J1771" s="919"/>
      <c r="K1771" s="920">
        <v>1</v>
      </c>
      <c r="L1771" s="920">
        <v>12</v>
      </c>
      <c r="M1771" s="920">
        <f t="shared" si="54"/>
        <v>27600</v>
      </c>
      <c r="N1771" s="919"/>
      <c r="O1771" s="919"/>
      <c r="P1771" s="921">
        <f t="shared" si="55"/>
        <v>0</v>
      </c>
    </row>
    <row r="1772" spans="1:16" ht="20.100000000000001" customHeight="1" x14ac:dyDescent="0.25">
      <c r="A1772" s="918" t="s">
        <v>487</v>
      </c>
      <c r="B1772" s="944" t="s">
        <v>3901</v>
      </c>
      <c r="C1772" s="919" t="s">
        <v>3902</v>
      </c>
      <c r="D1772" s="919" t="s">
        <v>3999</v>
      </c>
      <c r="E1772" s="920">
        <v>2100</v>
      </c>
      <c r="F1772" s="919" t="s">
        <v>7159</v>
      </c>
      <c r="G1772" s="919" t="s">
        <v>7160</v>
      </c>
      <c r="H1772" s="919" t="s">
        <v>3999</v>
      </c>
      <c r="I1772" s="919" t="s">
        <v>3724</v>
      </c>
      <c r="J1772" s="919"/>
      <c r="K1772" s="920">
        <v>1</v>
      </c>
      <c r="L1772" s="920">
        <v>12</v>
      </c>
      <c r="M1772" s="920">
        <f t="shared" si="54"/>
        <v>25200</v>
      </c>
      <c r="N1772" s="919"/>
      <c r="O1772" s="919"/>
      <c r="P1772" s="921">
        <f t="shared" si="55"/>
        <v>0</v>
      </c>
    </row>
    <row r="1773" spans="1:16" ht="20.100000000000001" customHeight="1" x14ac:dyDescent="0.25">
      <c r="A1773" s="918" t="s">
        <v>487</v>
      </c>
      <c r="B1773" s="944" t="s">
        <v>3901</v>
      </c>
      <c r="C1773" s="919" t="s">
        <v>3902</v>
      </c>
      <c r="D1773" s="919" t="s">
        <v>3999</v>
      </c>
      <c r="E1773" s="920">
        <v>2100</v>
      </c>
      <c r="F1773" s="919" t="s">
        <v>7161</v>
      </c>
      <c r="G1773" s="919" t="s">
        <v>7162</v>
      </c>
      <c r="H1773" s="919" t="s">
        <v>3999</v>
      </c>
      <c r="I1773" s="919" t="s">
        <v>3724</v>
      </c>
      <c r="J1773" s="919"/>
      <c r="K1773" s="920">
        <v>1</v>
      </c>
      <c r="L1773" s="920">
        <v>12</v>
      </c>
      <c r="M1773" s="920">
        <f t="shared" si="54"/>
        <v>25200</v>
      </c>
      <c r="N1773" s="919"/>
      <c r="O1773" s="919"/>
      <c r="P1773" s="921">
        <f t="shared" si="55"/>
        <v>0</v>
      </c>
    </row>
    <row r="1774" spans="1:16" ht="20.100000000000001" customHeight="1" x14ac:dyDescent="0.25">
      <c r="A1774" s="918" t="s">
        <v>487</v>
      </c>
      <c r="B1774" s="944" t="s">
        <v>3901</v>
      </c>
      <c r="C1774" s="919" t="s">
        <v>3902</v>
      </c>
      <c r="D1774" s="919" t="s">
        <v>3999</v>
      </c>
      <c r="E1774" s="920">
        <v>2100</v>
      </c>
      <c r="F1774" s="919" t="s">
        <v>7163</v>
      </c>
      <c r="G1774" s="919" t="s">
        <v>7164</v>
      </c>
      <c r="H1774" s="919" t="s">
        <v>3999</v>
      </c>
      <c r="I1774" s="919" t="s">
        <v>3724</v>
      </c>
      <c r="J1774" s="919"/>
      <c r="K1774" s="920">
        <v>1</v>
      </c>
      <c r="L1774" s="920">
        <v>12</v>
      </c>
      <c r="M1774" s="920">
        <f t="shared" si="54"/>
        <v>25200</v>
      </c>
      <c r="N1774" s="919"/>
      <c r="O1774" s="919"/>
      <c r="P1774" s="921">
        <f t="shared" si="55"/>
        <v>0</v>
      </c>
    </row>
    <row r="1775" spans="1:16" ht="20.100000000000001" customHeight="1" x14ac:dyDescent="0.25">
      <c r="A1775" s="918" t="s">
        <v>487</v>
      </c>
      <c r="B1775" s="944" t="s">
        <v>3901</v>
      </c>
      <c r="C1775" s="919" t="s">
        <v>3902</v>
      </c>
      <c r="D1775" s="919" t="s">
        <v>3999</v>
      </c>
      <c r="E1775" s="920">
        <v>3300</v>
      </c>
      <c r="F1775" s="919" t="s">
        <v>4041</v>
      </c>
      <c r="G1775" s="919" t="s">
        <v>4042</v>
      </c>
      <c r="H1775" s="919" t="s">
        <v>3999</v>
      </c>
      <c r="I1775" s="919" t="s">
        <v>3724</v>
      </c>
      <c r="J1775" s="919"/>
      <c r="K1775" s="920">
        <v>1</v>
      </c>
      <c r="L1775" s="920">
        <v>12</v>
      </c>
      <c r="M1775" s="920">
        <f t="shared" si="54"/>
        <v>39600</v>
      </c>
      <c r="N1775" s="919"/>
      <c r="O1775" s="919"/>
      <c r="P1775" s="921">
        <f t="shared" si="55"/>
        <v>0</v>
      </c>
    </row>
    <row r="1776" spans="1:16" ht="20.100000000000001" customHeight="1" x14ac:dyDescent="0.25">
      <c r="A1776" s="918" t="s">
        <v>487</v>
      </c>
      <c r="B1776" s="944" t="s">
        <v>3901</v>
      </c>
      <c r="C1776" s="919" t="s">
        <v>3902</v>
      </c>
      <c r="D1776" s="919" t="s">
        <v>3999</v>
      </c>
      <c r="E1776" s="920">
        <v>2100</v>
      </c>
      <c r="F1776" s="919" t="s">
        <v>7165</v>
      </c>
      <c r="G1776" s="919" t="s">
        <v>7166</v>
      </c>
      <c r="H1776" s="919" t="s">
        <v>3999</v>
      </c>
      <c r="I1776" s="919" t="s">
        <v>3724</v>
      </c>
      <c r="J1776" s="919"/>
      <c r="K1776" s="920">
        <v>1</v>
      </c>
      <c r="L1776" s="920">
        <v>12</v>
      </c>
      <c r="M1776" s="920">
        <f t="shared" si="54"/>
        <v>25200</v>
      </c>
      <c r="N1776" s="919"/>
      <c r="O1776" s="919"/>
      <c r="P1776" s="921">
        <f t="shared" si="55"/>
        <v>0</v>
      </c>
    </row>
    <row r="1777" spans="1:16" ht="20.100000000000001" customHeight="1" x14ac:dyDescent="0.25">
      <c r="A1777" s="918" t="s">
        <v>487</v>
      </c>
      <c r="B1777" s="944" t="s">
        <v>3901</v>
      </c>
      <c r="C1777" s="919" t="s">
        <v>3902</v>
      </c>
      <c r="D1777" s="919" t="s">
        <v>3999</v>
      </c>
      <c r="E1777" s="920">
        <v>3300</v>
      </c>
      <c r="F1777" s="919" t="s">
        <v>7167</v>
      </c>
      <c r="G1777" s="919" t="s">
        <v>7168</v>
      </c>
      <c r="H1777" s="919" t="s">
        <v>3999</v>
      </c>
      <c r="I1777" s="919" t="s">
        <v>3724</v>
      </c>
      <c r="J1777" s="919"/>
      <c r="K1777" s="920">
        <v>1</v>
      </c>
      <c r="L1777" s="920">
        <v>12</v>
      </c>
      <c r="M1777" s="920">
        <f t="shared" si="54"/>
        <v>39600</v>
      </c>
      <c r="N1777" s="919"/>
      <c r="O1777" s="919"/>
      <c r="P1777" s="921">
        <f t="shared" si="55"/>
        <v>0</v>
      </c>
    </row>
    <row r="1778" spans="1:16" ht="20.100000000000001" customHeight="1" x14ac:dyDescent="0.25">
      <c r="A1778" s="918" t="s">
        <v>487</v>
      </c>
      <c r="B1778" s="944" t="s">
        <v>3901</v>
      </c>
      <c r="C1778" s="919" t="s">
        <v>3902</v>
      </c>
      <c r="D1778" s="919" t="s">
        <v>3999</v>
      </c>
      <c r="E1778" s="920">
        <v>3300</v>
      </c>
      <c r="F1778" s="919" t="s">
        <v>7169</v>
      </c>
      <c r="G1778" s="919" t="s">
        <v>7170</v>
      </c>
      <c r="H1778" s="919" t="s">
        <v>3999</v>
      </c>
      <c r="I1778" s="919" t="s">
        <v>3724</v>
      </c>
      <c r="J1778" s="919"/>
      <c r="K1778" s="920">
        <v>1</v>
      </c>
      <c r="L1778" s="920">
        <v>12</v>
      </c>
      <c r="M1778" s="920">
        <f t="shared" si="54"/>
        <v>39600</v>
      </c>
      <c r="N1778" s="919"/>
      <c r="O1778" s="919"/>
      <c r="P1778" s="921">
        <f t="shared" si="55"/>
        <v>0</v>
      </c>
    </row>
    <row r="1779" spans="1:16" ht="20.100000000000001" customHeight="1" x14ac:dyDescent="0.25">
      <c r="A1779" s="918" t="s">
        <v>487</v>
      </c>
      <c r="B1779" s="944" t="s">
        <v>3901</v>
      </c>
      <c r="C1779" s="919" t="s">
        <v>3902</v>
      </c>
      <c r="D1779" s="919" t="s">
        <v>3999</v>
      </c>
      <c r="E1779" s="920">
        <v>3300</v>
      </c>
      <c r="F1779" s="919" t="s">
        <v>4041</v>
      </c>
      <c r="G1779" s="919" t="s">
        <v>4042</v>
      </c>
      <c r="H1779" s="919" t="s">
        <v>3999</v>
      </c>
      <c r="I1779" s="919" t="s">
        <v>3724</v>
      </c>
      <c r="J1779" s="919"/>
      <c r="K1779" s="920">
        <v>1</v>
      </c>
      <c r="L1779" s="920">
        <v>12</v>
      </c>
      <c r="M1779" s="920">
        <f t="shared" si="54"/>
        <v>39600</v>
      </c>
      <c r="N1779" s="919"/>
      <c r="O1779" s="919"/>
      <c r="P1779" s="921">
        <f t="shared" si="55"/>
        <v>0</v>
      </c>
    </row>
    <row r="1780" spans="1:16" ht="20.100000000000001" customHeight="1" x14ac:dyDescent="0.25">
      <c r="A1780" s="918" t="s">
        <v>487</v>
      </c>
      <c r="B1780" s="944" t="s">
        <v>3901</v>
      </c>
      <c r="C1780" s="919" t="s">
        <v>3902</v>
      </c>
      <c r="D1780" s="919" t="s">
        <v>3999</v>
      </c>
      <c r="E1780" s="920">
        <v>3300</v>
      </c>
      <c r="F1780" s="919" t="s">
        <v>7171</v>
      </c>
      <c r="G1780" s="919" t="s">
        <v>7172</v>
      </c>
      <c r="H1780" s="919" t="s">
        <v>3999</v>
      </c>
      <c r="I1780" s="919" t="s">
        <v>3724</v>
      </c>
      <c r="J1780" s="919"/>
      <c r="K1780" s="920">
        <v>1</v>
      </c>
      <c r="L1780" s="920">
        <v>12</v>
      </c>
      <c r="M1780" s="920">
        <f t="shared" si="54"/>
        <v>39600</v>
      </c>
      <c r="N1780" s="919"/>
      <c r="O1780" s="919"/>
      <c r="P1780" s="921">
        <f t="shared" si="55"/>
        <v>0</v>
      </c>
    </row>
    <row r="1781" spans="1:16" ht="20.100000000000001" customHeight="1" x14ac:dyDescent="0.25">
      <c r="A1781" s="918" t="s">
        <v>487</v>
      </c>
      <c r="B1781" s="944" t="s">
        <v>3901</v>
      </c>
      <c r="C1781" s="919" t="s">
        <v>3902</v>
      </c>
      <c r="D1781" s="919" t="s">
        <v>3999</v>
      </c>
      <c r="E1781" s="920">
        <v>2100</v>
      </c>
      <c r="F1781" s="919" t="s">
        <v>7173</v>
      </c>
      <c r="G1781" s="919" t="s">
        <v>7174</v>
      </c>
      <c r="H1781" s="919" t="s">
        <v>3999</v>
      </c>
      <c r="I1781" s="919" t="s">
        <v>3724</v>
      </c>
      <c r="J1781" s="919"/>
      <c r="K1781" s="920">
        <v>1</v>
      </c>
      <c r="L1781" s="920">
        <v>12</v>
      </c>
      <c r="M1781" s="920">
        <f t="shared" si="54"/>
        <v>25200</v>
      </c>
      <c r="N1781" s="919"/>
      <c r="O1781" s="919"/>
      <c r="P1781" s="921">
        <f t="shared" si="55"/>
        <v>0</v>
      </c>
    </row>
    <row r="1782" spans="1:16" ht="20.100000000000001" customHeight="1" x14ac:dyDescent="0.25">
      <c r="A1782" s="918" t="s">
        <v>487</v>
      </c>
      <c r="B1782" s="944" t="s">
        <v>3901</v>
      </c>
      <c r="C1782" s="919" t="s">
        <v>3902</v>
      </c>
      <c r="D1782" s="919" t="s">
        <v>3999</v>
      </c>
      <c r="E1782" s="920">
        <v>3300</v>
      </c>
      <c r="F1782" s="919" t="s">
        <v>4041</v>
      </c>
      <c r="G1782" s="919" t="s">
        <v>4042</v>
      </c>
      <c r="H1782" s="919" t="s">
        <v>3999</v>
      </c>
      <c r="I1782" s="919" t="s">
        <v>3724</v>
      </c>
      <c r="J1782" s="919"/>
      <c r="K1782" s="920">
        <v>1</v>
      </c>
      <c r="L1782" s="920">
        <v>12</v>
      </c>
      <c r="M1782" s="920">
        <f t="shared" si="54"/>
        <v>39600</v>
      </c>
      <c r="N1782" s="919"/>
      <c r="O1782" s="919"/>
      <c r="P1782" s="921">
        <f t="shared" si="55"/>
        <v>0</v>
      </c>
    </row>
    <row r="1783" spans="1:16" ht="20.100000000000001" customHeight="1" x14ac:dyDescent="0.25">
      <c r="A1783" s="918" t="s">
        <v>487</v>
      </c>
      <c r="B1783" s="944" t="s">
        <v>3901</v>
      </c>
      <c r="C1783" s="919" t="s">
        <v>3902</v>
      </c>
      <c r="D1783" s="919" t="s">
        <v>3999</v>
      </c>
      <c r="E1783" s="920">
        <v>2100</v>
      </c>
      <c r="F1783" s="919" t="s">
        <v>7175</v>
      </c>
      <c r="G1783" s="919" t="s">
        <v>7176</v>
      </c>
      <c r="H1783" s="919" t="s">
        <v>3999</v>
      </c>
      <c r="I1783" s="919" t="s">
        <v>3724</v>
      </c>
      <c r="J1783" s="919"/>
      <c r="K1783" s="920">
        <v>1</v>
      </c>
      <c r="L1783" s="920">
        <v>12</v>
      </c>
      <c r="M1783" s="920">
        <f t="shared" si="54"/>
        <v>25200</v>
      </c>
      <c r="N1783" s="919"/>
      <c r="O1783" s="919"/>
      <c r="P1783" s="921">
        <f t="shared" si="55"/>
        <v>0</v>
      </c>
    </row>
    <row r="1784" spans="1:16" ht="20.100000000000001" customHeight="1" x14ac:dyDescent="0.25">
      <c r="A1784" s="918" t="s">
        <v>487</v>
      </c>
      <c r="B1784" s="944" t="s">
        <v>3901</v>
      </c>
      <c r="C1784" s="919" t="s">
        <v>3902</v>
      </c>
      <c r="D1784" s="919" t="s">
        <v>3999</v>
      </c>
      <c r="E1784" s="920">
        <v>2500</v>
      </c>
      <c r="F1784" s="919" t="s">
        <v>7177</v>
      </c>
      <c r="G1784" s="919" t="s">
        <v>7178</v>
      </c>
      <c r="H1784" s="919" t="s">
        <v>3999</v>
      </c>
      <c r="I1784" s="919" t="s">
        <v>3724</v>
      </c>
      <c r="J1784" s="919"/>
      <c r="K1784" s="920">
        <v>1</v>
      </c>
      <c r="L1784" s="920">
        <v>12</v>
      </c>
      <c r="M1784" s="920">
        <f t="shared" si="54"/>
        <v>30000</v>
      </c>
      <c r="N1784" s="919"/>
      <c r="O1784" s="919"/>
      <c r="P1784" s="921">
        <f t="shared" si="55"/>
        <v>0</v>
      </c>
    </row>
    <row r="1785" spans="1:16" ht="20.100000000000001" customHeight="1" x14ac:dyDescent="0.25">
      <c r="A1785" s="918" t="s">
        <v>487</v>
      </c>
      <c r="B1785" s="944" t="s">
        <v>3901</v>
      </c>
      <c r="C1785" s="919" t="s">
        <v>3902</v>
      </c>
      <c r="D1785" s="919" t="s">
        <v>4352</v>
      </c>
      <c r="E1785" s="920">
        <v>2100</v>
      </c>
      <c r="F1785" s="919" t="s">
        <v>7179</v>
      </c>
      <c r="G1785" s="919" t="s">
        <v>7180</v>
      </c>
      <c r="H1785" s="919" t="s">
        <v>4352</v>
      </c>
      <c r="I1785" s="919" t="s">
        <v>3724</v>
      </c>
      <c r="J1785" s="919"/>
      <c r="K1785" s="920">
        <v>1</v>
      </c>
      <c r="L1785" s="920">
        <v>12</v>
      </c>
      <c r="M1785" s="920">
        <f t="shared" si="54"/>
        <v>25200</v>
      </c>
      <c r="N1785" s="919"/>
      <c r="O1785" s="919"/>
      <c r="P1785" s="921">
        <f t="shared" si="55"/>
        <v>0</v>
      </c>
    </row>
    <row r="1786" spans="1:16" ht="20.100000000000001" customHeight="1" x14ac:dyDescent="0.25">
      <c r="A1786" s="918" t="s">
        <v>487</v>
      </c>
      <c r="B1786" s="944" t="s">
        <v>3901</v>
      </c>
      <c r="C1786" s="919" t="s">
        <v>3902</v>
      </c>
      <c r="D1786" s="919" t="s">
        <v>4352</v>
      </c>
      <c r="E1786" s="920">
        <v>2300</v>
      </c>
      <c r="F1786" s="919" t="s">
        <v>7181</v>
      </c>
      <c r="G1786" s="919" t="s">
        <v>7182</v>
      </c>
      <c r="H1786" s="919" t="s">
        <v>4352</v>
      </c>
      <c r="I1786" s="919" t="s">
        <v>3724</v>
      </c>
      <c r="J1786" s="919"/>
      <c r="K1786" s="920">
        <v>1</v>
      </c>
      <c r="L1786" s="920">
        <v>12</v>
      </c>
      <c r="M1786" s="920">
        <f t="shared" si="54"/>
        <v>27600</v>
      </c>
      <c r="N1786" s="919"/>
      <c r="O1786" s="919"/>
      <c r="P1786" s="921">
        <f t="shared" si="55"/>
        <v>0</v>
      </c>
    </row>
    <row r="1787" spans="1:16" ht="20.100000000000001" customHeight="1" x14ac:dyDescent="0.25">
      <c r="A1787" s="918" t="s">
        <v>487</v>
      </c>
      <c r="B1787" s="944" t="s">
        <v>3901</v>
      </c>
      <c r="C1787" s="919" t="s">
        <v>3902</v>
      </c>
      <c r="D1787" s="919" t="s">
        <v>4352</v>
      </c>
      <c r="E1787" s="920">
        <v>2100</v>
      </c>
      <c r="F1787" s="919" t="s">
        <v>7183</v>
      </c>
      <c r="G1787" s="919" t="s">
        <v>7184</v>
      </c>
      <c r="H1787" s="919" t="s">
        <v>4352</v>
      </c>
      <c r="I1787" s="919" t="s">
        <v>3724</v>
      </c>
      <c r="J1787" s="919"/>
      <c r="K1787" s="920">
        <v>1</v>
      </c>
      <c r="L1787" s="920">
        <v>12</v>
      </c>
      <c r="M1787" s="920">
        <f t="shared" si="54"/>
        <v>25200</v>
      </c>
      <c r="N1787" s="919"/>
      <c r="O1787" s="919"/>
      <c r="P1787" s="921">
        <f t="shared" si="55"/>
        <v>0</v>
      </c>
    </row>
    <row r="1788" spans="1:16" ht="20.100000000000001" customHeight="1" x14ac:dyDescent="0.25">
      <c r="A1788" s="918" t="s">
        <v>487</v>
      </c>
      <c r="B1788" s="944" t="s">
        <v>3901</v>
      </c>
      <c r="C1788" s="919" t="s">
        <v>3902</v>
      </c>
      <c r="D1788" s="919" t="s">
        <v>3999</v>
      </c>
      <c r="E1788" s="920">
        <v>2100</v>
      </c>
      <c r="F1788" s="919" t="s">
        <v>7185</v>
      </c>
      <c r="G1788" s="919" t="s">
        <v>7186</v>
      </c>
      <c r="H1788" s="919" t="s">
        <v>3999</v>
      </c>
      <c r="I1788" s="919" t="s">
        <v>3724</v>
      </c>
      <c r="J1788" s="919"/>
      <c r="K1788" s="920">
        <v>1</v>
      </c>
      <c r="L1788" s="920">
        <v>12</v>
      </c>
      <c r="M1788" s="920">
        <f t="shared" si="54"/>
        <v>25200</v>
      </c>
      <c r="N1788" s="919"/>
      <c r="O1788" s="919"/>
      <c r="P1788" s="921">
        <f t="shared" si="55"/>
        <v>0</v>
      </c>
    </row>
    <row r="1789" spans="1:16" ht="20.100000000000001" customHeight="1" x14ac:dyDescent="0.25">
      <c r="A1789" s="918" t="s">
        <v>487</v>
      </c>
      <c r="B1789" s="944" t="s">
        <v>3901</v>
      </c>
      <c r="C1789" s="919" t="s">
        <v>3902</v>
      </c>
      <c r="D1789" s="919" t="s">
        <v>4352</v>
      </c>
      <c r="E1789" s="920">
        <v>3300</v>
      </c>
      <c r="F1789" s="919" t="s">
        <v>7187</v>
      </c>
      <c r="G1789" s="919" t="s">
        <v>7188</v>
      </c>
      <c r="H1789" s="919" t="s">
        <v>4352</v>
      </c>
      <c r="I1789" s="919" t="s">
        <v>3724</v>
      </c>
      <c r="J1789" s="919"/>
      <c r="K1789" s="920">
        <v>1</v>
      </c>
      <c r="L1789" s="920">
        <v>12</v>
      </c>
      <c r="M1789" s="920">
        <f t="shared" si="54"/>
        <v>39600</v>
      </c>
      <c r="N1789" s="919"/>
      <c r="O1789" s="919"/>
      <c r="P1789" s="921">
        <f t="shared" si="55"/>
        <v>0</v>
      </c>
    </row>
    <row r="1790" spans="1:16" ht="20.100000000000001" customHeight="1" x14ac:dyDescent="0.25">
      <c r="A1790" s="918" t="s">
        <v>487</v>
      </c>
      <c r="B1790" s="944" t="s">
        <v>3901</v>
      </c>
      <c r="C1790" s="919" t="s">
        <v>3902</v>
      </c>
      <c r="D1790" s="919" t="s">
        <v>4352</v>
      </c>
      <c r="E1790" s="920">
        <v>3300</v>
      </c>
      <c r="F1790" s="919" t="s">
        <v>4041</v>
      </c>
      <c r="G1790" s="919" t="s">
        <v>4042</v>
      </c>
      <c r="H1790" s="919" t="s">
        <v>4352</v>
      </c>
      <c r="I1790" s="919" t="s">
        <v>3724</v>
      </c>
      <c r="J1790" s="919"/>
      <c r="K1790" s="920">
        <v>1</v>
      </c>
      <c r="L1790" s="920">
        <v>12</v>
      </c>
      <c r="M1790" s="920">
        <f t="shared" si="54"/>
        <v>39600</v>
      </c>
      <c r="N1790" s="919"/>
      <c r="O1790" s="919"/>
      <c r="P1790" s="921">
        <f t="shared" si="55"/>
        <v>0</v>
      </c>
    </row>
    <row r="1791" spans="1:16" ht="20.100000000000001" customHeight="1" x14ac:dyDescent="0.25">
      <c r="A1791" s="918" t="s">
        <v>487</v>
      </c>
      <c r="B1791" s="944" t="s">
        <v>3901</v>
      </c>
      <c r="C1791" s="919" t="s">
        <v>3902</v>
      </c>
      <c r="D1791" s="919" t="s">
        <v>4352</v>
      </c>
      <c r="E1791" s="920">
        <v>3300</v>
      </c>
      <c r="F1791" s="919" t="s">
        <v>7189</v>
      </c>
      <c r="G1791" s="919" t="s">
        <v>7190</v>
      </c>
      <c r="H1791" s="919" t="s">
        <v>4352</v>
      </c>
      <c r="I1791" s="919" t="s">
        <v>3724</v>
      </c>
      <c r="J1791" s="919"/>
      <c r="K1791" s="920">
        <v>1</v>
      </c>
      <c r="L1791" s="920">
        <v>12</v>
      </c>
      <c r="M1791" s="920">
        <f t="shared" si="54"/>
        <v>39600</v>
      </c>
      <c r="N1791" s="919"/>
      <c r="O1791" s="919"/>
      <c r="P1791" s="921">
        <f t="shared" si="55"/>
        <v>0</v>
      </c>
    </row>
    <row r="1792" spans="1:16" ht="20.100000000000001" customHeight="1" x14ac:dyDescent="0.25">
      <c r="A1792" s="918" t="s">
        <v>487</v>
      </c>
      <c r="B1792" s="944" t="s">
        <v>3901</v>
      </c>
      <c r="C1792" s="919" t="s">
        <v>3902</v>
      </c>
      <c r="D1792" s="919" t="s">
        <v>4352</v>
      </c>
      <c r="E1792" s="920">
        <v>3300</v>
      </c>
      <c r="F1792" s="919" t="s">
        <v>4041</v>
      </c>
      <c r="G1792" s="919" t="s">
        <v>4042</v>
      </c>
      <c r="H1792" s="919" t="s">
        <v>4352</v>
      </c>
      <c r="I1792" s="919" t="s">
        <v>3724</v>
      </c>
      <c r="J1792" s="919"/>
      <c r="K1792" s="920">
        <v>1</v>
      </c>
      <c r="L1792" s="920">
        <v>12</v>
      </c>
      <c r="M1792" s="920">
        <f t="shared" si="54"/>
        <v>39600</v>
      </c>
      <c r="N1792" s="919"/>
      <c r="O1792" s="919"/>
      <c r="P1792" s="921">
        <f t="shared" si="55"/>
        <v>0</v>
      </c>
    </row>
    <row r="1793" spans="1:16" ht="20.100000000000001" customHeight="1" x14ac:dyDescent="0.25">
      <c r="A1793" s="918" t="s">
        <v>487</v>
      </c>
      <c r="B1793" s="944" t="s">
        <v>3901</v>
      </c>
      <c r="C1793" s="919" t="s">
        <v>3902</v>
      </c>
      <c r="D1793" s="919" t="s">
        <v>4352</v>
      </c>
      <c r="E1793" s="920">
        <v>2400</v>
      </c>
      <c r="F1793" s="919" t="s">
        <v>7191</v>
      </c>
      <c r="G1793" s="919" t="s">
        <v>7192</v>
      </c>
      <c r="H1793" s="919" t="s">
        <v>4352</v>
      </c>
      <c r="I1793" s="919" t="s">
        <v>3724</v>
      </c>
      <c r="J1793" s="919"/>
      <c r="K1793" s="920">
        <v>1</v>
      </c>
      <c r="L1793" s="920">
        <v>12</v>
      </c>
      <c r="M1793" s="920">
        <f t="shared" si="54"/>
        <v>28800</v>
      </c>
      <c r="N1793" s="919"/>
      <c r="O1793" s="919"/>
      <c r="P1793" s="921">
        <f t="shared" si="55"/>
        <v>0</v>
      </c>
    </row>
    <row r="1794" spans="1:16" ht="20.100000000000001" customHeight="1" x14ac:dyDescent="0.25">
      <c r="A1794" s="918" t="s">
        <v>487</v>
      </c>
      <c r="B1794" s="944" t="s">
        <v>3901</v>
      </c>
      <c r="C1794" s="919" t="s">
        <v>3902</v>
      </c>
      <c r="D1794" s="919" t="s">
        <v>7193</v>
      </c>
      <c r="E1794" s="920">
        <v>3300</v>
      </c>
      <c r="F1794" s="919" t="s">
        <v>7194</v>
      </c>
      <c r="G1794" s="919" t="s">
        <v>7195</v>
      </c>
      <c r="H1794" s="919" t="s">
        <v>7193</v>
      </c>
      <c r="I1794" s="919" t="s">
        <v>3724</v>
      </c>
      <c r="J1794" s="919"/>
      <c r="K1794" s="920">
        <v>1</v>
      </c>
      <c r="L1794" s="920">
        <v>12</v>
      </c>
      <c r="M1794" s="920">
        <f t="shared" si="54"/>
        <v>39600</v>
      </c>
      <c r="N1794" s="919"/>
      <c r="O1794" s="919"/>
      <c r="P1794" s="921">
        <f t="shared" si="55"/>
        <v>0</v>
      </c>
    </row>
    <row r="1795" spans="1:16" ht="20.100000000000001" customHeight="1" x14ac:dyDescent="0.25">
      <c r="A1795" s="918" t="s">
        <v>487</v>
      </c>
      <c r="B1795" s="944" t="s">
        <v>3901</v>
      </c>
      <c r="C1795" s="919" t="s">
        <v>3902</v>
      </c>
      <c r="D1795" s="919" t="s">
        <v>7193</v>
      </c>
      <c r="E1795" s="920">
        <v>2300</v>
      </c>
      <c r="F1795" s="919" t="s">
        <v>7196</v>
      </c>
      <c r="G1795" s="919" t="s">
        <v>7197</v>
      </c>
      <c r="H1795" s="919" t="s">
        <v>7193</v>
      </c>
      <c r="I1795" s="919" t="s">
        <v>3724</v>
      </c>
      <c r="J1795" s="919"/>
      <c r="K1795" s="920">
        <v>1</v>
      </c>
      <c r="L1795" s="920">
        <v>12</v>
      </c>
      <c r="M1795" s="920">
        <f t="shared" si="54"/>
        <v>27600</v>
      </c>
      <c r="N1795" s="919"/>
      <c r="O1795" s="919"/>
      <c r="P1795" s="921">
        <f t="shared" si="55"/>
        <v>0</v>
      </c>
    </row>
    <row r="1796" spans="1:16" ht="20.100000000000001" customHeight="1" x14ac:dyDescent="0.25">
      <c r="A1796" s="918" t="s">
        <v>487</v>
      </c>
      <c r="B1796" s="944" t="s">
        <v>3901</v>
      </c>
      <c r="C1796" s="919" t="s">
        <v>3902</v>
      </c>
      <c r="D1796" s="919" t="s">
        <v>7193</v>
      </c>
      <c r="E1796" s="920">
        <v>2100</v>
      </c>
      <c r="F1796" s="919" t="s">
        <v>7198</v>
      </c>
      <c r="G1796" s="919" t="s">
        <v>7199</v>
      </c>
      <c r="H1796" s="919" t="s">
        <v>7193</v>
      </c>
      <c r="I1796" s="919" t="s">
        <v>3724</v>
      </c>
      <c r="J1796" s="919"/>
      <c r="K1796" s="920">
        <v>1</v>
      </c>
      <c r="L1796" s="920">
        <v>12</v>
      </c>
      <c r="M1796" s="920">
        <f t="shared" si="54"/>
        <v>25200</v>
      </c>
      <c r="N1796" s="919"/>
      <c r="O1796" s="919"/>
      <c r="P1796" s="921">
        <f t="shared" si="55"/>
        <v>0</v>
      </c>
    </row>
    <row r="1797" spans="1:16" ht="20.100000000000001" customHeight="1" x14ac:dyDescent="0.25">
      <c r="A1797" s="918" t="s">
        <v>487</v>
      </c>
      <c r="B1797" s="944" t="s">
        <v>3901</v>
      </c>
      <c r="C1797" s="919" t="s">
        <v>3902</v>
      </c>
      <c r="D1797" s="919" t="s">
        <v>7193</v>
      </c>
      <c r="E1797" s="920">
        <v>2300</v>
      </c>
      <c r="F1797" s="919" t="s">
        <v>7200</v>
      </c>
      <c r="G1797" s="919" t="s">
        <v>7201</v>
      </c>
      <c r="H1797" s="919" t="s">
        <v>7193</v>
      </c>
      <c r="I1797" s="919" t="s">
        <v>3724</v>
      </c>
      <c r="J1797" s="919"/>
      <c r="K1797" s="920">
        <v>1</v>
      </c>
      <c r="L1797" s="920">
        <v>12</v>
      </c>
      <c r="M1797" s="920">
        <f t="shared" si="54"/>
        <v>27600</v>
      </c>
      <c r="N1797" s="919"/>
      <c r="O1797" s="919"/>
      <c r="P1797" s="921">
        <f t="shared" si="55"/>
        <v>0</v>
      </c>
    </row>
    <row r="1798" spans="1:16" ht="20.100000000000001" customHeight="1" x14ac:dyDescent="0.25">
      <c r="A1798" s="918" t="s">
        <v>487</v>
      </c>
      <c r="B1798" s="944" t="s">
        <v>3901</v>
      </c>
      <c r="C1798" s="919" t="s">
        <v>3902</v>
      </c>
      <c r="D1798" s="919" t="s">
        <v>7193</v>
      </c>
      <c r="E1798" s="920">
        <v>2100</v>
      </c>
      <c r="F1798" s="919" t="s">
        <v>7202</v>
      </c>
      <c r="G1798" s="919" t="s">
        <v>7203</v>
      </c>
      <c r="H1798" s="919" t="s">
        <v>7193</v>
      </c>
      <c r="I1798" s="919" t="s">
        <v>3724</v>
      </c>
      <c r="J1798" s="919"/>
      <c r="K1798" s="920">
        <v>1</v>
      </c>
      <c r="L1798" s="920">
        <v>12</v>
      </c>
      <c r="M1798" s="920">
        <f t="shared" ref="M1798:M1861" si="56">E1798*L1798</f>
        <v>25200</v>
      </c>
      <c r="N1798" s="919"/>
      <c r="O1798" s="919"/>
      <c r="P1798" s="921">
        <f t="shared" ref="P1798:P1861" si="57">E1798*O1798</f>
        <v>0</v>
      </c>
    </row>
    <row r="1799" spans="1:16" ht="20.100000000000001" customHeight="1" x14ac:dyDescent="0.25">
      <c r="A1799" s="918" t="s">
        <v>487</v>
      </c>
      <c r="B1799" s="944" t="s">
        <v>3901</v>
      </c>
      <c r="C1799" s="919" t="s">
        <v>3902</v>
      </c>
      <c r="D1799" s="919" t="s">
        <v>7193</v>
      </c>
      <c r="E1799" s="920">
        <v>2100</v>
      </c>
      <c r="F1799" s="919" t="s">
        <v>7204</v>
      </c>
      <c r="G1799" s="919" t="s">
        <v>7205</v>
      </c>
      <c r="H1799" s="919" t="s">
        <v>7193</v>
      </c>
      <c r="I1799" s="919" t="s">
        <v>3724</v>
      </c>
      <c r="J1799" s="919"/>
      <c r="K1799" s="920">
        <v>1</v>
      </c>
      <c r="L1799" s="920">
        <v>12</v>
      </c>
      <c r="M1799" s="920">
        <f t="shared" si="56"/>
        <v>25200</v>
      </c>
      <c r="N1799" s="919"/>
      <c r="O1799" s="919"/>
      <c r="P1799" s="921">
        <f t="shared" si="57"/>
        <v>0</v>
      </c>
    </row>
    <row r="1800" spans="1:16" ht="20.100000000000001" customHeight="1" x14ac:dyDescent="0.25">
      <c r="A1800" s="918" t="s">
        <v>487</v>
      </c>
      <c r="B1800" s="944" t="s">
        <v>3901</v>
      </c>
      <c r="C1800" s="919" t="s">
        <v>3902</v>
      </c>
      <c r="D1800" s="919" t="s">
        <v>7193</v>
      </c>
      <c r="E1800" s="920">
        <v>2400</v>
      </c>
      <c r="F1800" s="919" t="s">
        <v>7206</v>
      </c>
      <c r="G1800" s="919" t="s">
        <v>7207</v>
      </c>
      <c r="H1800" s="919" t="s">
        <v>7193</v>
      </c>
      <c r="I1800" s="919" t="s">
        <v>3724</v>
      </c>
      <c r="J1800" s="919"/>
      <c r="K1800" s="920">
        <v>1</v>
      </c>
      <c r="L1800" s="920">
        <v>12</v>
      </c>
      <c r="M1800" s="920">
        <f t="shared" si="56"/>
        <v>28800</v>
      </c>
      <c r="N1800" s="919"/>
      <c r="O1800" s="919"/>
      <c r="P1800" s="921">
        <f t="shared" si="57"/>
        <v>0</v>
      </c>
    </row>
    <row r="1801" spans="1:16" ht="20.100000000000001" customHeight="1" x14ac:dyDescent="0.25">
      <c r="A1801" s="918" t="s">
        <v>487</v>
      </c>
      <c r="B1801" s="944" t="s">
        <v>3901</v>
      </c>
      <c r="C1801" s="919" t="s">
        <v>3902</v>
      </c>
      <c r="D1801" s="919" t="s">
        <v>7193</v>
      </c>
      <c r="E1801" s="920">
        <v>2400</v>
      </c>
      <c r="F1801" s="919" t="s">
        <v>7208</v>
      </c>
      <c r="G1801" s="919" t="s">
        <v>7209</v>
      </c>
      <c r="H1801" s="919" t="s">
        <v>7193</v>
      </c>
      <c r="I1801" s="919" t="s">
        <v>3724</v>
      </c>
      <c r="J1801" s="919"/>
      <c r="K1801" s="920">
        <v>1</v>
      </c>
      <c r="L1801" s="920">
        <v>12</v>
      </c>
      <c r="M1801" s="920">
        <f t="shared" si="56"/>
        <v>28800</v>
      </c>
      <c r="N1801" s="919"/>
      <c r="O1801" s="919"/>
      <c r="P1801" s="921">
        <f t="shared" si="57"/>
        <v>0</v>
      </c>
    </row>
    <row r="1802" spans="1:16" ht="20.100000000000001" customHeight="1" x14ac:dyDescent="0.25">
      <c r="A1802" s="918" t="s">
        <v>487</v>
      </c>
      <c r="B1802" s="944" t="s">
        <v>3901</v>
      </c>
      <c r="C1802" s="919" t="s">
        <v>3902</v>
      </c>
      <c r="D1802" s="919" t="s">
        <v>6203</v>
      </c>
      <c r="E1802" s="920">
        <v>2100</v>
      </c>
      <c r="F1802" s="919" t="s">
        <v>7210</v>
      </c>
      <c r="G1802" s="919" t="s">
        <v>7211</v>
      </c>
      <c r="H1802" s="919" t="s">
        <v>6203</v>
      </c>
      <c r="I1802" s="919" t="s">
        <v>3724</v>
      </c>
      <c r="J1802" s="919"/>
      <c r="K1802" s="920">
        <v>1</v>
      </c>
      <c r="L1802" s="920">
        <v>12</v>
      </c>
      <c r="M1802" s="920">
        <f t="shared" si="56"/>
        <v>25200</v>
      </c>
      <c r="N1802" s="919"/>
      <c r="O1802" s="919"/>
      <c r="P1802" s="921">
        <f t="shared" si="57"/>
        <v>0</v>
      </c>
    </row>
    <row r="1803" spans="1:16" ht="20.100000000000001" customHeight="1" x14ac:dyDescent="0.25">
      <c r="A1803" s="918" t="s">
        <v>487</v>
      </c>
      <c r="B1803" s="944" t="s">
        <v>3901</v>
      </c>
      <c r="C1803" s="919" t="s">
        <v>3902</v>
      </c>
      <c r="D1803" s="919" t="s">
        <v>6203</v>
      </c>
      <c r="E1803" s="920">
        <v>2100</v>
      </c>
      <c r="F1803" s="919" t="s">
        <v>7212</v>
      </c>
      <c r="G1803" s="919" t="s">
        <v>7213</v>
      </c>
      <c r="H1803" s="919" t="s">
        <v>6203</v>
      </c>
      <c r="I1803" s="919" t="s">
        <v>3724</v>
      </c>
      <c r="J1803" s="919"/>
      <c r="K1803" s="920">
        <v>1</v>
      </c>
      <c r="L1803" s="920">
        <v>12</v>
      </c>
      <c r="M1803" s="920">
        <f t="shared" si="56"/>
        <v>25200</v>
      </c>
      <c r="N1803" s="919"/>
      <c r="O1803" s="919"/>
      <c r="P1803" s="921">
        <f t="shared" si="57"/>
        <v>0</v>
      </c>
    </row>
    <row r="1804" spans="1:16" ht="20.100000000000001" customHeight="1" x14ac:dyDescent="0.25">
      <c r="A1804" s="918" t="s">
        <v>487</v>
      </c>
      <c r="B1804" s="944" t="s">
        <v>3901</v>
      </c>
      <c r="C1804" s="919" t="s">
        <v>3902</v>
      </c>
      <c r="D1804" s="919" t="s">
        <v>6203</v>
      </c>
      <c r="E1804" s="920">
        <v>2400</v>
      </c>
      <c r="F1804" s="919" t="s">
        <v>7214</v>
      </c>
      <c r="G1804" s="919" t="s">
        <v>7215</v>
      </c>
      <c r="H1804" s="919" t="s">
        <v>6203</v>
      </c>
      <c r="I1804" s="919" t="s">
        <v>3724</v>
      </c>
      <c r="J1804" s="919"/>
      <c r="K1804" s="920">
        <v>1</v>
      </c>
      <c r="L1804" s="920">
        <v>12</v>
      </c>
      <c r="M1804" s="920">
        <f t="shared" si="56"/>
        <v>28800</v>
      </c>
      <c r="N1804" s="919"/>
      <c r="O1804" s="919"/>
      <c r="P1804" s="921">
        <f t="shared" si="57"/>
        <v>0</v>
      </c>
    </row>
    <row r="1805" spans="1:16" ht="20.100000000000001" customHeight="1" x14ac:dyDescent="0.25">
      <c r="A1805" s="918" t="s">
        <v>487</v>
      </c>
      <c r="B1805" s="944" t="s">
        <v>3901</v>
      </c>
      <c r="C1805" s="919" t="s">
        <v>3902</v>
      </c>
      <c r="D1805" s="919" t="s">
        <v>4120</v>
      </c>
      <c r="E1805" s="920">
        <v>2400</v>
      </c>
      <c r="F1805" s="919" t="s">
        <v>7216</v>
      </c>
      <c r="G1805" s="919" t="s">
        <v>7217</v>
      </c>
      <c r="H1805" s="919" t="s">
        <v>4120</v>
      </c>
      <c r="I1805" s="919" t="s">
        <v>3679</v>
      </c>
      <c r="J1805" s="919"/>
      <c r="K1805" s="920">
        <v>1</v>
      </c>
      <c r="L1805" s="920">
        <v>12</v>
      </c>
      <c r="M1805" s="920">
        <f t="shared" si="56"/>
        <v>28800</v>
      </c>
      <c r="N1805" s="919"/>
      <c r="O1805" s="919"/>
      <c r="P1805" s="921">
        <f t="shared" si="57"/>
        <v>0</v>
      </c>
    </row>
    <row r="1806" spans="1:16" ht="20.100000000000001" customHeight="1" x14ac:dyDescent="0.25">
      <c r="A1806" s="918" t="s">
        <v>487</v>
      </c>
      <c r="B1806" s="944" t="s">
        <v>3901</v>
      </c>
      <c r="C1806" s="919" t="s">
        <v>3902</v>
      </c>
      <c r="D1806" s="919" t="s">
        <v>4120</v>
      </c>
      <c r="E1806" s="920">
        <v>2400</v>
      </c>
      <c r="F1806" s="919" t="s">
        <v>4041</v>
      </c>
      <c r="G1806" s="919" t="s">
        <v>4042</v>
      </c>
      <c r="H1806" s="919" t="s">
        <v>4120</v>
      </c>
      <c r="I1806" s="919" t="s">
        <v>3679</v>
      </c>
      <c r="J1806" s="919"/>
      <c r="K1806" s="920">
        <v>1</v>
      </c>
      <c r="L1806" s="920">
        <v>12</v>
      </c>
      <c r="M1806" s="920">
        <f t="shared" si="56"/>
        <v>28800</v>
      </c>
      <c r="N1806" s="919"/>
      <c r="O1806" s="919"/>
      <c r="P1806" s="921">
        <f t="shared" si="57"/>
        <v>0</v>
      </c>
    </row>
    <row r="1807" spans="1:16" ht="20.100000000000001" customHeight="1" x14ac:dyDescent="0.25">
      <c r="A1807" s="918" t="s">
        <v>487</v>
      </c>
      <c r="B1807" s="944" t="s">
        <v>3901</v>
      </c>
      <c r="C1807" s="919" t="s">
        <v>3902</v>
      </c>
      <c r="D1807" s="919" t="s">
        <v>4244</v>
      </c>
      <c r="E1807" s="920">
        <v>2400</v>
      </c>
      <c r="F1807" s="919" t="s">
        <v>7218</v>
      </c>
      <c r="G1807" s="919" t="s">
        <v>7219</v>
      </c>
      <c r="H1807" s="919" t="s">
        <v>4244</v>
      </c>
      <c r="I1807" s="919" t="s">
        <v>3679</v>
      </c>
      <c r="J1807" s="919"/>
      <c r="K1807" s="920">
        <v>1</v>
      </c>
      <c r="L1807" s="920">
        <v>12</v>
      </c>
      <c r="M1807" s="920">
        <f t="shared" si="56"/>
        <v>28800</v>
      </c>
      <c r="N1807" s="919"/>
      <c r="O1807" s="919"/>
      <c r="P1807" s="921">
        <f t="shared" si="57"/>
        <v>0</v>
      </c>
    </row>
    <row r="1808" spans="1:16" ht="20.100000000000001" customHeight="1" x14ac:dyDescent="0.25">
      <c r="A1808" s="918" t="s">
        <v>487</v>
      </c>
      <c r="B1808" s="944" t="s">
        <v>3901</v>
      </c>
      <c r="C1808" s="919" t="s">
        <v>3902</v>
      </c>
      <c r="D1808" s="919" t="s">
        <v>4244</v>
      </c>
      <c r="E1808" s="920">
        <v>2400</v>
      </c>
      <c r="F1808" s="919" t="s">
        <v>7220</v>
      </c>
      <c r="G1808" s="919" t="s">
        <v>7221</v>
      </c>
      <c r="H1808" s="919" t="s">
        <v>4244</v>
      </c>
      <c r="I1808" s="919" t="s">
        <v>3679</v>
      </c>
      <c r="J1808" s="919"/>
      <c r="K1808" s="920">
        <v>1</v>
      </c>
      <c r="L1808" s="920">
        <v>12</v>
      </c>
      <c r="M1808" s="920">
        <f t="shared" si="56"/>
        <v>28800</v>
      </c>
      <c r="N1808" s="919"/>
      <c r="O1808" s="919"/>
      <c r="P1808" s="921">
        <f t="shared" si="57"/>
        <v>0</v>
      </c>
    </row>
    <row r="1809" spans="1:16" ht="20.100000000000001" customHeight="1" x14ac:dyDescent="0.25">
      <c r="A1809" s="918" t="s">
        <v>487</v>
      </c>
      <c r="B1809" s="944" t="s">
        <v>3901</v>
      </c>
      <c r="C1809" s="919" t="s">
        <v>3902</v>
      </c>
      <c r="D1809" s="919" t="s">
        <v>4244</v>
      </c>
      <c r="E1809" s="920">
        <v>2400</v>
      </c>
      <c r="F1809" s="919" t="s">
        <v>7222</v>
      </c>
      <c r="G1809" s="919" t="s">
        <v>7223</v>
      </c>
      <c r="H1809" s="919" t="s">
        <v>4244</v>
      </c>
      <c r="I1809" s="919" t="s">
        <v>3679</v>
      </c>
      <c r="J1809" s="919"/>
      <c r="K1809" s="920">
        <v>1</v>
      </c>
      <c r="L1809" s="920">
        <v>12</v>
      </c>
      <c r="M1809" s="920">
        <f t="shared" si="56"/>
        <v>28800</v>
      </c>
      <c r="N1809" s="919"/>
      <c r="O1809" s="919"/>
      <c r="P1809" s="921">
        <f t="shared" si="57"/>
        <v>0</v>
      </c>
    </row>
    <row r="1810" spans="1:16" ht="20.100000000000001" customHeight="1" x14ac:dyDescent="0.25">
      <c r="A1810" s="918" t="s">
        <v>487</v>
      </c>
      <c r="B1810" s="944" t="s">
        <v>3901</v>
      </c>
      <c r="C1810" s="919" t="s">
        <v>3902</v>
      </c>
      <c r="D1810" s="919" t="s">
        <v>6145</v>
      </c>
      <c r="E1810" s="920">
        <v>2400</v>
      </c>
      <c r="F1810" s="919" t="s">
        <v>4041</v>
      </c>
      <c r="G1810" s="919" t="s">
        <v>4042</v>
      </c>
      <c r="H1810" s="919" t="s">
        <v>6145</v>
      </c>
      <c r="I1810" s="919" t="s">
        <v>3679</v>
      </c>
      <c r="J1810" s="919"/>
      <c r="K1810" s="920">
        <v>1</v>
      </c>
      <c r="L1810" s="920">
        <v>12</v>
      </c>
      <c r="M1810" s="920">
        <f t="shared" si="56"/>
        <v>28800</v>
      </c>
      <c r="N1810" s="919"/>
      <c r="O1810" s="919"/>
      <c r="P1810" s="921">
        <f t="shared" si="57"/>
        <v>0</v>
      </c>
    </row>
    <row r="1811" spans="1:16" ht="20.100000000000001" customHeight="1" x14ac:dyDescent="0.25">
      <c r="A1811" s="918" t="s">
        <v>487</v>
      </c>
      <c r="B1811" s="944" t="s">
        <v>3901</v>
      </c>
      <c r="C1811" s="919" t="s">
        <v>3902</v>
      </c>
      <c r="D1811" s="919" t="s">
        <v>7224</v>
      </c>
      <c r="E1811" s="920">
        <v>1500</v>
      </c>
      <c r="F1811" s="919" t="s">
        <v>7225</v>
      </c>
      <c r="G1811" s="919" t="s">
        <v>7226</v>
      </c>
      <c r="H1811" s="919" t="s">
        <v>7224</v>
      </c>
      <c r="I1811" s="919" t="s">
        <v>3686</v>
      </c>
      <c r="J1811" s="919"/>
      <c r="K1811" s="920">
        <v>1</v>
      </c>
      <c r="L1811" s="920">
        <v>12</v>
      </c>
      <c r="M1811" s="920">
        <f t="shared" si="56"/>
        <v>18000</v>
      </c>
      <c r="N1811" s="919"/>
      <c r="O1811" s="919"/>
      <c r="P1811" s="921">
        <f t="shared" si="57"/>
        <v>0</v>
      </c>
    </row>
    <row r="1812" spans="1:16" ht="20.100000000000001" customHeight="1" x14ac:dyDescent="0.25">
      <c r="A1812" s="918" t="s">
        <v>487</v>
      </c>
      <c r="B1812" s="944" t="s">
        <v>3901</v>
      </c>
      <c r="C1812" s="919" t="s">
        <v>3902</v>
      </c>
      <c r="D1812" s="919" t="s">
        <v>7224</v>
      </c>
      <c r="E1812" s="920">
        <v>1700</v>
      </c>
      <c r="F1812" s="919" t="s">
        <v>7227</v>
      </c>
      <c r="G1812" s="919" t="s">
        <v>7228</v>
      </c>
      <c r="H1812" s="919" t="s">
        <v>7224</v>
      </c>
      <c r="I1812" s="919" t="s">
        <v>3686</v>
      </c>
      <c r="J1812" s="919"/>
      <c r="K1812" s="920">
        <v>1</v>
      </c>
      <c r="L1812" s="920">
        <v>12</v>
      </c>
      <c r="M1812" s="920">
        <f t="shared" si="56"/>
        <v>20400</v>
      </c>
      <c r="N1812" s="919"/>
      <c r="O1812" s="919"/>
      <c r="P1812" s="921">
        <f t="shared" si="57"/>
        <v>0</v>
      </c>
    </row>
    <row r="1813" spans="1:16" ht="20.100000000000001" customHeight="1" x14ac:dyDescent="0.25">
      <c r="A1813" s="918" t="s">
        <v>487</v>
      </c>
      <c r="B1813" s="944" t="s">
        <v>3901</v>
      </c>
      <c r="C1813" s="919" t="s">
        <v>3902</v>
      </c>
      <c r="D1813" s="919" t="s">
        <v>7224</v>
      </c>
      <c r="E1813" s="920">
        <v>1500</v>
      </c>
      <c r="F1813" s="919" t="s">
        <v>7229</v>
      </c>
      <c r="G1813" s="919" t="s">
        <v>7230</v>
      </c>
      <c r="H1813" s="919" t="s">
        <v>7224</v>
      </c>
      <c r="I1813" s="919" t="s">
        <v>3686</v>
      </c>
      <c r="J1813" s="919"/>
      <c r="K1813" s="920">
        <v>1</v>
      </c>
      <c r="L1813" s="920">
        <v>12</v>
      </c>
      <c r="M1813" s="920">
        <f t="shared" si="56"/>
        <v>18000</v>
      </c>
      <c r="N1813" s="919"/>
      <c r="O1813" s="919"/>
      <c r="P1813" s="921">
        <f t="shared" si="57"/>
        <v>0</v>
      </c>
    </row>
    <row r="1814" spans="1:16" ht="20.100000000000001" customHeight="1" x14ac:dyDescent="0.25">
      <c r="A1814" s="918" t="s">
        <v>487</v>
      </c>
      <c r="B1814" s="944" t="s">
        <v>3901</v>
      </c>
      <c r="C1814" s="919" t="s">
        <v>3902</v>
      </c>
      <c r="D1814" s="919" t="s">
        <v>7224</v>
      </c>
      <c r="E1814" s="920">
        <v>1500</v>
      </c>
      <c r="F1814" s="919" t="s">
        <v>7231</v>
      </c>
      <c r="G1814" s="919" t="s">
        <v>7232</v>
      </c>
      <c r="H1814" s="919" t="s">
        <v>7224</v>
      </c>
      <c r="I1814" s="919" t="s">
        <v>3686</v>
      </c>
      <c r="J1814" s="919"/>
      <c r="K1814" s="920">
        <v>1</v>
      </c>
      <c r="L1814" s="920">
        <v>12</v>
      </c>
      <c r="M1814" s="920">
        <f t="shared" si="56"/>
        <v>18000</v>
      </c>
      <c r="N1814" s="919"/>
      <c r="O1814" s="919"/>
      <c r="P1814" s="921">
        <f t="shared" si="57"/>
        <v>0</v>
      </c>
    </row>
    <row r="1815" spans="1:16" ht="20.100000000000001" customHeight="1" x14ac:dyDescent="0.25">
      <c r="A1815" s="918" t="s">
        <v>487</v>
      </c>
      <c r="B1815" s="944" t="s">
        <v>3901</v>
      </c>
      <c r="C1815" s="919" t="s">
        <v>3902</v>
      </c>
      <c r="D1815" s="919" t="s">
        <v>7224</v>
      </c>
      <c r="E1815" s="920">
        <v>1600</v>
      </c>
      <c r="F1815" s="919" t="s">
        <v>7233</v>
      </c>
      <c r="G1815" s="919" t="s">
        <v>7234</v>
      </c>
      <c r="H1815" s="919" t="s">
        <v>7224</v>
      </c>
      <c r="I1815" s="919" t="s">
        <v>3686</v>
      </c>
      <c r="J1815" s="919"/>
      <c r="K1815" s="920">
        <v>1</v>
      </c>
      <c r="L1815" s="920">
        <v>12</v>
      </c>
      <c r="M1815" s="920">
        <f t="shared" si="56"/>
        <v>19200</v>
      </c>
      <c r="N1815" s="919"/>
      <c r="O1815" s="919"/>
      <c r="P1815" s="921">
        <f t="shared" si="57"/>
        <v>0</v>
      </c>
    </row>
    <row r="1816" spans="1:16" ht="20.100000000000001" customHeight="1" x14ac:dyDescent="0.25">
      <c r="A1816" s="918" t="s">
        <v>487</v>
      </c>
      <c r="B1816" s="944" t="s">
        <v>3901</v>
      </c>
      <c r="C1816" s="919" t="s">
        <v>3902</v>
      </c>
      <c r="D1816" s="919" t="s">
        <v>7224</v>
      </c>
      <c r="E1816" s="920">
        <v>1500</v>
      </c>
      <c r="F1816" s="919" t="s">
        <v>7235</v>
      </c>
      <c r="G1816" s="919" t="s">
        <v>7236</v>
      </c>
      <c r="H1816" s="919" t="s">
        <v>7224</v>
      </c>
      <c r="I1816" s="919" t="s">
        <v>3686</v>
      </c>
      <c r="J1816" s="919"/>
      <c r="K1816" s="920">
        <v>1</v>
      </c>
      <c r="L1816" s="920">
        <v>12</v>
      </c>
      <c r="M1816" s="920">
        <f t="shared" si="56"/>
        <v>18000</v>
      </c>
      <c r="N1816" s="919"/>
      <c r="O1816" s="919"/>
      <c r="P1816" s="921">
        <f t="shared" si="57"/>
        <v>0</v>
      </c>
    </row>
    <row r="1817" spans="1:16" ht="20.100000000000001" customHeight="1" x14ac:dyDescent="0.25">
      <c r="A1817" s="918" t="s">
        <v>487</v>
      </c>
      <c r="B1817" s="944" t="s">
        <v>3901</v>
      </c>
      <c r="C1817" s="919" t="s">
        <v>3902</v>
      </c>
      <c r="D1817" s="919" t="s">
        <v>7224</v>
      </c>
      <c r="E1817" s="920">
        <v>1500</v>
      </c>
      <c r="F1817" s="919" t="s">
        <v>7237</v>
      </c>
      <c r="G1817" s="919" t="s">
        <v>7238</v>
      </c>
      <c r="H1817" s="919" t="s">
        <v>7224</v>
      </c>
      <c r="I1817" s="919" t="s">
        <v>3686</v>
      </c>
      <c r="J1817" s="919"/>
      <c r="K1817" s="920">
        <v>1</v>
      </c>
      <c r="L1817" s="920">
        <v>12</v>
      </c>
      <c r="M1817" s="920">
        <f t="shared" si="56"/>
        <v>18000</v>
      </c>
      <c r="N1817" s="919"/>
      <c r="O1817" s="919"/>
      <c r="P1817" s="921">
        <f t="shared" si="57"/>
        <v>0</v>
      </c>
    </row>
    <row r="1818" spans="1:16" ht="20.100000000000001" customHeight="1" x14ac:dyDescent="0.25">
      <c r="A1818" s="918" t="s">
        <v>487</v>
      </c>
      <c r="B1818" s="944" t="s">
        <v>3901</v>
      </c>
      <c r="C1818" s="919" t="s">
        <v>3902</v>
      </c>
      <c r="D1818" s="919" t="s">
        <v>7224</v>
      </c>
      <c r="E1818" s="920">
        <v>1500</v>
      </c>
      <c r="F1818" s="919" t="s">
        <v>7239</v>
      </c>
      <c r="G1818" s="919" t="s">
        <v>7240</v>
      </c>
      <c r="H1818" s="919" t="s">
        <v>7224</v>
      </c>
      <c r="I1818" s="919" t="s">
        <v>3686</v>
      </c>
      <c r="J1818" s="919"/>
      <c r="K1818" s="920">
        <v>1</v>
      </c>
      <c r="L1818" s="920">
        <v>12</v>
      </c>
      <c r="M1818" s="920">
        <f t="shared" si="56"/>
        <v>18000</v>
      </c>
      <c r="N1818" s="919"/>
      <c r="O1818" s="919"/>
      <c r="P1818" s="921">
        <f t="shared" si="57"/>
        <v>0</v>
      </c>
    </row>
    <row r="1819" spans="1:16" ht="20.100000000000001" customHeight="1" x14ac:dyDescent="0.25">
      <c r="A1819" s="918" t="s">
        <v>487</v>
      </c>
      <c r="B1819" s="944" t="s">
        <v>3901</v>
      </c>
      <c r="C1819" s="919" t="s">
        <v>3902</v>
      </c>
      <c r="D1819" s="919" t="s">
        <v>7224</v>
      </c>
      <c r="E1819" s="920">
        <v>1700</v>
      </c>
      <c r="F1819" s="919" t="s">
        <v>4041</v>
      </c>
      <c r="G1819" s="919" t="s">
        <v>4042</v>
      </c>
      <c r="H1819" s="919" t="s">
        <v>7224</v>
      </c>
      <c r="I1819" s="919" t="s">
        <v>3686</v>
      </c>
      <c r="J1819" s="919"/>
      <c r="K1819" s="920">
        <v>1</v>
      </c>
      <c r="L1819" s="920">
        <v>12</v>
      </c>
      <c r="M1819" s="920">
        <f t="shared" si="56"/>
        <v>20400</v>
      </c>
      <c r="N1819" s="919"/>
      <c r="O1819" s="919"/>
      <c r="P1819" s="921">
        <f t="shared" si="57"/>
        <v>0</v>
      </c>
    </row>
    <row r="1820" spans="1:16" ht="20.100000000000001" customHeight="1" x14ac:dyDescent="0.25">
      <c r="A1820" s="918" t="s">
        <v>487</v>
      </c>
      <c r="B1820" s="944" t="s">
        <v>3901</v>
      </c>
      <c r="C1820" s="919" t="s">
        <v>3902</v>
      </c>
      <c r="D1820" s="919" t="s">
        <v>7224</v>
      </c>
      <c r="E1820" s="920">
        <v>1500</v>
      </c>
      <c r="F1820" s="919" t="s">
        <v>7241</v>
      </c>
      <c r="G1820" s="919" t="s">
        <v>7242</v>
      </c>
      <c r="H1820" s="919" t="s">
        <v>7224</v>
      </c>
      <c r="I1820" s="919" t="s">
        <v>3686</v>
      </c>
      <c r="J1820" s="919"/>
      <c r="K1820" s="920">
        <v>1</v>
      </c>
      <c r="L1820" s="920">
        <v>12</v>
      </c>
      <c r="M1820" s="920">
        <f t="shared" si="56"/>
        <v>18000</v>
      </c>
      <c r="N1820" s="919"/>
      <c r="O1820" s="919"/>
      <c r="P1820" s="921">
        <f t="shared" si="57"/>
        <v>0</v>
      </c>
    </row>
    <row r="1821" spans="1:16" ht="20.100000000000001" customHeight="1" x14ac:dyDescent="0.25">
      <c r="A1821" s="918" t="s">
        <v>487</v>
      </c>
      <c r="B1821" s="944" t="s">
        <v>3901</v>
      </c>
      <c r="C1821" s="919" t="s">
        <v>3902</v>
      </c>
      <c r="D1821" s="919" t="s">
        <v>7224</v>
      </c>
      <c r="E1821" s="920">
        <v>1500</v>
      </c>
      <c r="F1821" s="919" t="s">
        <v>7243</v>
      </c>
      <c r="G1821" s="919" t="s">
        <v>7244</v>
      </c>
      <c r="H1821" s="919" t="s">
        <v>7224</v>
      </c>
      <c r="I1821" s="919" t="s">
        <v>3686</v>
      </c>
      <c r="J1821" s="919"/>
      <c r="K1821" s="920">
        <v>1</v>
      </c>
      <c r="L1821" s="920">
        <v>12</v>
      </c>
      <c r="M1821" s="920">
        <f t="shared" si="56"/>
        <v>18000</v>
      </c>
      <c r="N1821" s="919"/>
      <c r="O1821" s="919"/>
      <c r="P1821" s="921">
        <f t="shared" si="57"/>
        <v>0</v>
      </c>
    </row>
    <row r="1822" spans="1:16" ht="20.100000000000001" customHeight="1" x14ac:dyDescent="0.25">
      <c r="A1822" s="918" t="s">
        <v>487</v>
      </c>
      <c r="B1822" s="944" t="s">
        <v>3901</v>
      </c>
      <c r="C1822" s="919" t="s">
        <v>3902</v>
      </c>
      <c r="D1822" s="919" t="s">
        <v>7224</v>
      </c>
      <c r="E1822" s="920">
        <v>1500</v>
      </c>
      <c r="F1822" s="919" t="s">
        <v>7245</v>
      </c>
      <c r="G1822" s="919" t="s">
        <v>7246</v>
      </c>
      <c r="H1822" s="919" t="s">
        <v>7224</v>
      </c>
      <c r="I1822" s="919" t="s">
        <v>3686</v>
      </c>
      <c r="J1822" s="919"/>
      <c r="K1822" s="920">
        <v>1</v>
      </c>
      <c r="L1822" s="920">
        <v>12</v>
      </c>
      <c r="M1822" s="920">
        <f t="shared" si="56"/>
        <v>18000</v>
      </c>
      <c r="N1822" s="919"/>
      <c r="O1822" s="919"/>
      <c r="P1822" s="921">
        <f t="shared" si="57"/>
        <v>0</v>
      </c>
    </row>
    <row r="1823" spans="1:16" ht="20.100000000000001" customHeight="1" x14ac:dyDescent="0.25">
      <c r="A1823" s="918" t="s">
        <v>487</v>
      </c>
      <c r="B1823" s="944" t="s">
        <v>3901</v>
      </c>
      <c r="C1823" s="919" t="s">
        <v>3902</v>
      </c>
      <c r="D1823" s="919" t="s">
        <v>7224</v>
      </c>
      <c r="E1823" s="920">
        <v>1500</v>
      </c>
      <c r="F1823" s="919" t="s">
        <v>7247</v>
      </c>
      <c r="G1823" s="919" t="s">
        <v>7248</v>
      </c>
      <c r="H1823" s="919" t="s">
        <v>7224</v>
      </c>
      <c r="I1823" s="919" t="s">
        <v>3686</v>
      </c>
      <c r="J1823" s="919"/>
      <c r="K1823" s="920">
        <v>1</v>
      </c>
      <c r="L1823" s="920">
        <v>12</v>
      </c>
      <c r="M1823" s="920">
        <f t="shared" si="56"/>
        <v>18000</v>
      </c>
      <c r="N1823" s="919"/>
      <c r="O1823" s="919"/>
      <c r="P1823" s="921">
        <f t="shared" si="57"/>
        <v>0</v>
      </c>
    </row>
    <row r="1824" spans="1:16" ht="20.100000000000001" customHeight="1" x14ac:dyDescent="0.25">
      <c r="A1824" s="918" t="s">
        <v>487</v>
      </c>
      <c r="B1824" s="944" t="s">
        <v>3901</v>
      </c>
      <c r="C1824" s="919" t="s">
        <v>3902</v>
      </c>
      <c r="D1824" s="919" t="s">
        <v>4390</v>
      </c>
      <c r="E1824" s="920">
        <v>1500</v>
      </c>
      <c r="F1824" s="919" t="s">
        <v>7249</v>
      </c>
      <c r="G1824" s="919" t="s">
        <v>7250</v>
      </c>
      <c r="H1824" s="919" t="s">
        <v>4390</v>
      </c>
      <c r="I1824" s="919" t="s">
        <v>3686</v>
      </c>
      <c r="J1824" s="919"/>
      <c r="K1824" s="920">
        <v>1</v>
      </c>
      <c r="L1824" s="920">
        <v>12</v>
      </c>
      <c r="M1824" s="920">
        <f t="shared" si="56"/>
        <v>18000</v>
      </c>
      <c r="N1824" s="919"/>
      <c r="O1824" s="919"/>
      <c r="P1824" s="921">
        <f t="shared" si="57"/>
        <v>0</v>
      </c>
    </row>
    <row r="1825" spans="1:16" ht="20.100000000000001" customHeight="1" x14ac:dyDescent="0.25">
      <c r="A1825" s="918" t="s">
        <v>487</v>
      </c>
      <c r="B1825" s="944" t="s">
        <v>3901</v>
      </c>
      <c r="C1825" s="919" t="s">
        <v>3902</v>
      </c>
      <c r="D1825" s="919" t="s">
        <v>4390</v>
      </c>
      <c r="E1825" s="920">
        <v>1500</v>
      </c>
      <c r="F1825" s="919" t="s">
        <v>7251</v>
      </c>
      <c r="G1825" s="919" t="s">
        <v>7252</v>
      </c>
      <c r="H1825" s="919" t="s">
        <v>4390</v>
      </c>
      <c r="I1825" s="919" t="s">
        <v>3686</v>
      </c>
      <c r="J1825" s="919"/>
      <c r="K1825" s="920">
        <v>1</v>
      </c>
      <c r="L1825" s="920">
        <v>12</v>
      </c>
      <c r="M1825" s="920">
        <f t="shared" si="56"/>
        <v>18000</v>
      </c>
      <c r="N1825" s="919"/>
      <c r="O1825" s="919"/>
      <c r="P1825" s="921">
        <f t="shared" si="57"/>
        <v>0</v>
      </c>
    </row>
    <row r="1826" spans="1:16" ht="20.100000000000001" customHeight="1" x14ac:dyDescent="0.25">
      <c r="A1826" s="918" t="s">
        <v>487</v>
      </c>
      <c r="B1826" s="944" t="s">
        <v>3901</v>
      </c>
      <c r="C1826" s="919" t="s">
        <v>3902</v>
      </c>
      <c r="D1826" s="919" t="s">
        <v>4462</v>
      </c>
      <c r="E1826" s="920">
        <v>1300</v>
      </c>
      <c r="F1826" s="919" t="s">
        <v>4041</v>
      </c>
      <c r="G1826" s="919" t="s">
        <v>4042</v>
      </c>
      <c r="H1826" s="919" t="s">
        <v>4462</v>
      </c>
      <c r="I1826" s="919" t="s">
        <v>3686</v>
      </c>
      <c r="J1826" s="919"/>
      <c r="K1826" s="920">
        <v>1</v>
      </c>
      <c r="L1826" s="920">
        <v>12</v>
      </c>
      <c r="M1826" s="920">
        <f t="shared" si="56"/>
        <v>15600</v>
      </c>
      <c r="N1826" s="919"/>
      <c r="O1826" s="919"/>
      <c r="P1826" s="921">
        <f t="shared" si="57"/>
        <v>0</v>
      </c>
    </row>
    <row r="1827" spans="1:16" ht="20.100000000000001" customHeight="1" x14ac:dyDescent="0.25">
      <c r="A1827" s="918" t="s">
        <v>487</v>
      </c>
      <c r="B1827" s="944" t="s">
        <v>3901</v>
      </c>
      <c r="C1827" s="919" t="s">
        <v>3902</v>
      </c>
      <c r="D1827" s="919" t="s">
        <v>4462</v>
      </c>
      <c r="E1827" s="920">
        <v>1300</v>
      </c>
      <c r="F1827" s="919" t="s">
        <v>7253</v>
      </c>
      <c r="G1827" s="919" t="s">
        <v>7254</v>
      </c>
      <c r="H1827" s="919" t="s">
        <v>4462</v>
      </c>
      <c r="I1827" s="919" t="s">
        <v>3686</v>
      </c>
      <c r="J1827" s="919"/>
      <c r="K1827" s="920">
        <v>1</v>
      </c>
      <c r="L1827" s="920">
        <v>12</v>
      </c>
      <c r="M1827" s="920">
        <f t="shared" si="56"/>
        <v>15600</v>
      </c>
      <c r="N1827" s="919"/>
      <c r="O1827" s="919"/>
      <c r="P1827" s="921">
        <f t="shared" si="57"/>
        <v>0</v>
      </c>
    </row>
    <row r="1828" spans="1:16" ht="20.100000000000001" customHeight="1" x14ac:dyDescent="0.25">
      <c r="A1828" s="918" t="s">
        <v>487</v>
      </c>
      <c r="B1828" s="944" t="s">
        <v>3901</v>
      </c>
      <c r="C1828" s="919" t="s">
        <v>3902</v>
      </c>
      <c r="D1828" s="919" t="s">
        <v>4462</v>
      </c>
      <c r="E1828" s="920">
        <v>1600</v>
      </c>
      <c r="F1828" s="919" t="s">
        <v>7255</v>
      </c>
      <c r="G1828" s="919" t="s">
        <v>7256</v>
      </c>
      <c r="H1828" s="919" t="s">
        <v>4462</v>
      </c>
      <c r="I1828" s="919" t="s">
        <v>3686</v>
      </c>
      <c r="J1828" s="919"/>
      <c r="K1828" s="920">
        <v>1</v>
      </c>
      <c r="L1828" s="920">
        <v>12</v>
      </c>
      <c r="M1828" s="920">
        <f t="shared" si="56"/>
        <v>19200</v>
      </c>
      <c r="N1828" s="919"/>
      <c r="O1828" s="919"/>
      <c r="P1828" s="921">
        <f t="shared" si="57"/>
        <v>0</v>
      </c>
    </row>
    <row r="1829" spans="1:16" ht="20.100000000000001" customHeight="1" x14ac:dyDescent="0.25">
      <c r="A1829" s="918" t="s">
        <v>487</v>
      </c>
      <c r="B1829" s="944" t="s">
        <v>3901</v>
      </c>
      <c r="C1829" s="919" t="s">
        <v>3902</v>
      </c>
      <c r="D1829" s="919" t="s">
        <v>4462</v>
      </c>
      <c r="E1829" s="920">
        <v>1600</v>
      </c>
      <c r="F1829" s="919" t="s">
        <v>7257</v>
      </c>
      <c r="G1829" s="919" t="s">
        <v>7258</v>
      </c>
      <c r="H1829" s="919" t="s">
        <v>4462</v>
      </c>
      <c r="I1829" s="919" t="s">
        <v>3686</v>
      </c>
      <c r="J1829" s="919"/>
      <c r="K1829" s="920">
        <v>1</v>
      </c>
      <c r="L1829" s="920">
        <v>12</v>
      </c>
      <c r="M1829" s="920">
        <f t="shared" si="56"/>
        <v>19200</v>
      </c>
      <c r="N1829" s="919"/>
      <c r="O1829" s="919"/>
      <c r="P1829" s="921">
        <f t="shared" si="57"/>
        <v>0</v>
      </c>
    </row>
    <row r="1830" spans="1:16" ht="20.100000000000001" customHeight="1" x14ac:dyDescent="0.25">
      <c r="A1830" s="918" t="s">
        <v>487</v>
      </c>
      <c r="B1830" s="944" t="s">
        <v>3901</v>
      </c>
      <c r="C1830" s="919" t="s">
        <v>3902</v>
      </c>
      <c r="D1830" s="919" t="s">
        <v>4462</v>
      </c>
      <c r="E1830" s="920">
        <v>1600</v>
      </c>
      <c r="F1830" s="919" t="s">
        <v>7259</v>
      </c>
      <c r="G1830" s="919" t="s">
        <v>7260</v>
      </c>
      <c r="H1830" s="919" t="s">
        <v>4462</v>
      </c>
      <c r="I1830" s="919" t="s">
        <v>3686</v>
      </c>
      <c r="J1830" s="919"/>
      <c r="K1830" s="920">
        <v>1</v>
      </c>
      <c r="L1830" s="920">
        <v>12</v>
      </c>
      <c r="M1830" s="920">
        <f t="shared" si="56"/>
        <v>19200</v>
      </c>
      <c r="N1830" s="919"/>
      <c r="O1830" s="919"/>
      <c r="P1830" s="921">
        <f t="shared" si="57"/>
        <v>0</v>
      </c>
    </row>
    <row r="1831" spans="1:16" ht="20.100000000000001" customHeight="1" x14ac:dyDescent="0.25">
      <c r="A1831" s="918" t="s">
        <v>487</v>
      </c>
      <c r="B1831" s="944" t="s">
        <v>3901</v>
      </c>
      <c r="C1831" s="919" t="s">
        <v>3902</v>
      </c>
      <c r="D1831" s="919" t="s">
        <v>4462</v>
      </c>
      <c r="E1831" s="920">
        <v>1300</v>
      </c>
      <c r="F1831" s="919" t="s">
        <v>7261</v>
      </c>
      <c r="G1831" s="919" t="s">
        <v>7262</v>
      </c>
      <c r="H1831" s="919" t="s">
        <v>4462</v>
      </c>
      <c r="I1831" s="919" t="s">
        <v>3686</v>
      </c>
      <c r="J1831" s="919"/>
      <c r="K1831" s="920">
        <v>1</v>
      </c>
      <c r="L1831" s="920">
        <v>12</v>
      </c>
      <c r="M1831" s="920">
        <f t="shared" si="56"/>
        <v>15600</v>
      </c>
      <c r="N1831" s="919"/>
      <c r="O1831" s="919"/>
      <c r="P1831" s="921">
        <f t="shared" si="57"/>
        <v>0</v>
      </c>
    </row>
    <row r="1832" spans="1:16" ht="20.100000000000001" customHeight="1" x14ac:dyDescent="0.25">
      <c r="A1832" s="918" t="s">
        <v>487</v>
      </c>
      <c r="B1832" s="944" t="s">
        <v>3901</v>
      </c>
      <c r="C1832" s="919" t="s">
        <v>3902</v>
      </c>
      <c r="D1832" s="919" t="s">
        <v>4462</v>
      </c>
      <c r="E1832" s="920">
        <v>1300</v>
      </c>
      <c r="F1832" s="919" t="s">
        <v>7263</v>
      </c>
      <c r="G1832" s="919" t="s">
        <v>7264</v>
      </c>
      <c r="H1832" s="919" t="s">
        <v>4462</v>
      </c>
      <c r="I1832" s="919" t="s">
        <v>3686</v>
      </c>
      <c r="J1832" s="919"/>
      <c r="K1832" s="920">
        <v>1</v>
      </c>
      <c r="L1832" s="920">
        <v>12</v>
      </c>
      <c r="M1832" s="920">
        <f t="shared" si="56"/>
        <v>15600</v>
      </c>
      <c r="N1832" s="919"/>
      <c r="O1832" s="919"/>
      <c r="P1832" s="921">
        <f t="shared" si="57"/>
        <v>0</v>
      </c>
    </row>
    <row r="1833" spans="1:16" ht="20.100000000000001" customHeight="1" x14ac:dyDescent="0.25">
      <c r="A1833" s="918" t="s">
        <v>487</v>
      </c>
      <c r="B1833" s="944" t="s">
        <v>3901</v>
      </c>
      <c r="C1833" s="919" t="s">
        <v>3902</v>
      </c>
      <c r="D1833" s="919" t="s">
        <v>4462</v>
      </c>
      <c r="E1833" s="920">
        <v>2200</v>
      </c>
      <c r="F1833" s="919" t="s">
        <v>7265</v>
      </c>
      <c r="G1833" s="919" t="s">
        <v>7266</v>
      </c>
      <c r="H1833" s="919" t="s">
        <v>4462</v>
      </c>
      <c r="I1833" s="919" t="s">
        <v>3686</v>
      </c>
      <c r="J1833" s="919"/>
      <c r="K1833" s="920">
        <v>1</v>
      </c>
      <c r="L1833" s="920">
        <v>12</v>
      </c>
      <c r="M1833" s="920">
        <f t="shared" si="56"/>
        <v>26400</v>
      </c>
      <c r="N1833" s="919"/>
      <c r="O1833" s="919"/>
      <c r="P1833" s="921">
        <f t="shared" si="57"/>
        <v>0</v>
      </c>
    </row>
    <row r="1834" spans="1:16" ht="20.100000000000001" customHeight="1" x14ac:dyDescent="0.25">
      <c r="A1834" s="918" t="s">
        <v>487</v>
      </c>
      <c r="B1834" s="944" t="s">
        <v>3901</v>
      </c>
      <c r="C1834" s="919" t="s">
        <v>3902</v>
      </c>
      <c r="D1834" s="919" t="s">
        <v>4462</v>
      </c>
      <c r="E1834" s="920">
        <v>1700</v>
      </c>
      <c r="F1834" s="919" t="s">
        <v>7267</v>
      </c>
      <c r="G1834" s="919" t="s">
        <v>7268</v>
      </c>
      <c r="H1834" s="919" t="s">
        <v>4462</v>
      </c>
      <c r="I1834" s="919" t="s">
        <v>3686</v>
      </c>
      <c r="J1834" s="919"/>
      <c r="K1834" s="920">
        <v>1</v>
      </c>
      <c r="L1834" s="920">
        <v>12</v>
      </c>
      <c r="M1834" s="920">
        <f t="shared" si="56"/>
        <v>20400</v>
      </c>
      <c r="N1834" s="919"/>
      <c r="O1834" s="919"/>
      <c r="P1834" s="921">
        <f t="shared" si="57"/>
        <v>0</v>
      </c>
    </row>
    <row r="1835" spans="1:16" ht="20.100000000000001" customHeight="1" x14ac:dyDescent="0.25">
      <c r="A1835" s="918" t="s">
        <v>487</v>
      </c>
      <c r="B1835" s="944" t="s">
        <v>3901</v>
      </c>
      <c r="C1835" s="919" t="s">
        <v>3902</v>
      </c>
      <c r="D1835" s="919" t="s">
        <v>4462</v>
      </c>
      <c r="E1835" s="920">
        <v>1300</v>
      </c>
      <c r="F1835" s="919" t="s">
        <v>7269</v>
      </c>
      <c r="G1835" s="919" t="s">
        <v>7270</v>
      </c>
      <c r="H1835" s="919" t="s">
        <v>4462</v>
      </c>
      <c r="I1835" s="919" t="s">
        <v>3686</v>
      </c>
      <c r="J1835" s="919"/>
      <c r="K1835" s="920">
        <v>1</v>
      </c>
      <c r="L1835" s="920">
        <v>12</v>
      </c>
      <c r="M1835" s="920">
        <f t="shared" si="56"/>
        <v>15600</v>
      </c>
      <c r="N1835" s="919"/>
      <c r="O1835" s="919"/>
      <c r="P1835" s="921">
        <f t="shared" si="57"/>
        <v>0</v>
      </c>
    </row>
    <row r="1836" spans="1:16" ht="20.100000000000001" customHeight="1" x14ac:dyDescent="0.25">
      <c r="A1836" s="918" t="s">
        <v>487</v>
      </c>
      <c r="B1836" s="944" t="s">
        <v>3901</v>
      </c>
      <c r="C1836" s="919" t="s">
        <v>3902</v>
      </c>
      <c r="D1836" s="919" t="s">
        <v>4462</v>
      </c>
      <c r="E1836" s="920">
        <v>1300</v>
      </c>
      <c r="F1836" s="919" t="s">
        <v>7271</v>
      </c>
      <c r="G1836" s="919" t="s">
        <v>7272</v>
      </c>
      <c r="H1836" s="919" t="s">
        <v>4462</v>
      </c>
      <c r="I1836" s="919" t="s">
        <v>3686</v>
      </c>
      <c r="J1836" s="919"/>
      <c r="K1836" s="920">
        <v>1</v>
      </c>
      <c r="L1836" s="920">
        <v>12</v>
      </c>
      <c r="M1836" s="920">
        <f t="shared" si="56"/>
        <v>15600</v>
      </c>
      <c r="N1836" s="919"/>
      <c r="O1836" s="919"/>
      <c r="P1836" s="921">
        <f t="shared" si="57"/>
        <v>0</v>
      </c>
    </row>
    <row r="1837" spans="1:16" ht="20.100000000000001" customHeight="1" x14ac:dyDescent="0.25">
      <c r="A1837" s="918" t="s">
        <v>487</v>
      </c>
      <c r="B1837" s="944" t="s">
        <v>3901</v>
      </c>
      <c r="C1837" s="919" t="s">
        <v>3902</v>
      </c>
      <c r="D1837" s="919" t="s">
        <v>4462</v>
      </c>
      <c r="E1837" s="920">
        <v>1800</v>
      </c>
      <c r="F1837" s="919" t="s">
        <v>7273</v>
      </c>
      <c r="G1837" s="919" t="s">
        <v>7274</v>
      </c>
      <c r="H1837" s="919" t="s">
        <v>4462</v>
      </c>
      <c r="I1837" s="919" t="s">
        <v>3686</v>
      </c>
      <c r="J1837" s="919"/>
      <c r="K1837" s="920">
        <v>1</v>
      </c>
      <c r="L1837" s="920">
        <v>12</v>
      </c>
      <c r="M1837" s="920">
        <f t="shared" si="56"/>
        <v>21600</v>
      </c>
      <c r="N1837" s="919"/>
      <c r="O1837" s="919"/>
      <c r="P1837" s="921">
        <f t="shared" si="57"/>
        <v>0</v>
      </c>
    </row>
    <row r="1838" spans="1:16" ht="20.100000000000001" customHeight="1" x14ac:dyDescent="0.25">
      <c r="A1838" s="918" t="s">
        <v>487</v>
      </c>
      <c r="B1838" s="944" t="s">
        <v>3901</v>
      </c>
      <c r="C1838" s="919" t="s">
        <v>3902</v>
      </c>
      <c r="D1838" s="919" t="s">
        <v>4462</v>
      </c>
      <c r="E1838" s="920">
        <v>1600</v>
      </c>
      <c r="F1838" s="919" t="s">
        <v>7275</v>
      </c>
      <c r="G1838" s="919" t="s">
        <v>7276</v>
      </c>
      <c r="H1838" s="919" t="s">
        <v>4462</v>
      </c>
      <c r="I1838" s="919" t="s">
        <v>3686</v>
      </c>
      <c r="J1838" s="919"/>
      <c r="K1838" s="920">
        <v>1</v>
      </c>
      <c r="L1838" s="920">
        <v>12</v>
      </c>
      <c r="M1838" s="920">
        <f t="shared" si="56"/>
        <v>19200</v>
      </c>
      <c r="N1838" s="919"/>
      <c r="O1838" s="919"/>
      <c r="P1838" s="921">
        <f t="shared" si="57"/>
        <v>0</v>
      </c>
    </row>
    <row r="1839" spans="1:16" ht="20.100000000000001" customHeight="1" x14ac:dyDescent="0.25">
      <c r="A1839" s="918" t="s">
        <v>487</v>
      </c>
      <c r="B1839" s="944" t="s">
        <v>3901</v>
      </c>
      <c r="C1839" s="919" t="s">
        <v>3902</v>
      </c>
      <c r="D1839" s="919" t="s">
        <v>4462</v>
      </c>
      <c r="E1839" s="920">
        <v>2200</v>
      </c>
      <c r="F1839" s="919" t="s">
        <v>7277</v>
      </c>
      <c r="G1839" s="919" t="s">
        <v>7278</v>
      </c>
      <c r="H1839" s="919" t="s">
        <v>4462</v>
      </c>
      <c r="I1839" s="919" t="s">
        <v>3686</v>
      </c>
      <c r="J1839" s="919"/>
      <c r="K1839" s="920">
        <v>1</v>
      </c>
      <c r="L1839" s="920">
        <v>12</v>
      </c>
      <c r="M1839" s="920">
        <f t="shared" si="56"/>
        <v>26400</v>
      </c>
      <c r="N1839" s="919"/>
      <c r="O1839" s="919"/>
      <c r="P1839" s="921">
        <f t="shared" si="57"/>
        <v>0</v>
      </c>
    </row>
    <row r="1840" spans="1:16" ht="20.100000000000001" customHeight="1" x14ac:dyDescent="0.25">
      <c r="A1840" s="918" t="s">
        <v>487</v>
      </c>
      <c r="B1840" s="944" t="s">
        <v>3901</v>
      </c>
      <c r="C1840" s="919" t="s">
        <v>3902</v>
      </c>
      <c r="D1840" s="919" t="s">
        <v>4462</v>
      </c>
      <c r="E1840" s="920">
        <v>2500</v>
      </c>
      <c r="F1840" s="919" t="s">
        <v>7279</v>
      </c>
      <c r="G1840" s="919" t="s">
        <v>7280</v>
      </c>
      <c r="H1840" s="919" t="s">
        <v>4462</v>
      </c>
      <c r="I1840" s="919" t="s">
        <v>3686</v>
      </c>
      <c r="J1840" s="919"/>
      <c r="K1840" s="920">
        <v>1</v>
      </c>
      <c r="L1840" s="920">
        <v>12</v>
      </c>
      <c r="M1840" s="920">
        <f t="shared" si="56"/>
        <v>30000</v>
      </c>
      <c r="N1840" s="919"/>
      <c r="O1840" s="919"/>
      <c r="P1840" s="921">
        <f t="shared" si="57"/>
        <v>0</v>
      </c>
    </row>
    <row r="1841" spans="1:16" ht="20.100000000000001" customHeight="1" x14ac:dyDescent="0.25">
      <c r="A1841" s="918" t="s">
        <v>487</v>
      </c>
      <c r="B1841" s="944" t="s">
        <v>3901</v>
      </c>
      <c r="C1841" s="919" t="s">
        <v>3902</v>
      </c>
      <c r="D1841" s="919" t="s">
        <v>4462</v>
      </c>
      <c r="E1841" s="920">
        <v>2200</v>
      </c>
      <c r="F1841" s="919" t="s">
        <v>7281</v>
      </c>
      <c r="G1841" s="919" t="s">
        <v>7282</v>
      </c>
      <c r="H1841" s="919" t="s">
        <v>4462</v>
      </c>
      <c r="I1841" s="919" t="s">
        <v>3686</v>
      </c>
      <c r="J1841" s="919"/>
      <c r="K1841" s="920">
        <v>1</v>
      </c>
      <c r="L1841" s="920">
        <v>12</v>
      </c>
      <c r="M1841" s="920">
        <f t="shared" si="56"/>
        <v>26400</v>
      </c>
      <c r="N1841" s="919"/>
      <c r="O1841" s="919"/>
      <c r="P1841" s="921">
        <f t="shared" si="57"/>
        <v>0</v>
      </c>
    </row>
    <row r="1842" spans="1:16" ht="20.100000000000001" customHeight="1" x14ac:dyDescent="0.25">
      <c r="A1842" s="918" t="s">
        <v>487</v>
      </c>
      <c r="B1842" s="944" t="s">
        <v>3901</v>
      </c>
      <c r="C1842" s="919" t="s">
        <v>3902</v>
      </c>
      <c r="D1842" s="919" t="s">
        <v>4462</v>
      </c>
      <c r="E1842" s="920">
        <v>2200</v>
      </c>
      <c r="F1842" s="919" t="s">
        <v>7283</v>
      </c>
      <c r="G1842" s="919" t="s">
        <v>7284</v>
      </c>
      <c r="H1842" s="919" t="s">
        <v>4462</v>
      </c>
      <c r="I1842" s="919" t="s">
        <v>3686</v>
      </c>
      <c r="J1842" s="919"/>
      <c r="K1842" s="920">
        <v>1</v>
      </c>
      <c r="L1842" s="920">
        <v>12</v>
      </c>
      <c r="M1842" s="920">
        <f t="shared" si="56"/>
        <v>26400</v>
      </c>
      <c r="N1842" s="919"/>
      <c r="O1842" s="919"/>
      <c r="P1842" s="921">
        <f t="shared" si="57"/>
        <v>0</v>
      </c>
    </row>
    <row r="1843" spans="1:16" ht="20.100000000000001" customHeight="1" x14ac:dyDescent="0.25">
      <c r="A1843" s="918" t="s">
        <v>487</v>
      </c>
      <c r="B1843" s="944" t="s">
        <v>3901</v>
      </c>
      <c r="C1843" s="919" t="s">
        <v>3902</v>
      </c>
      <c r="D1843" s="919" t="s">
        <v>4462</v>
      </c>
      <c r="E1843" s="920">
        <v>1300</v>
      </c>
      <c r="F1843" s="919" t="s">
        <v>7285</v>
      </c>
      <c r="G1843" s="919" t="s">
        <v>7286</v>
      </c>
      <c r="H1843" s="919" t="s">
        <v>4462</v>
      </c>
      <c r="I1843" s="919" t="s">
        <v>3686</v>
      </c>
      <c r="J1843" s="919"/>
      <c r="K1843" s="920">
        <v>1</v>
      </c>
      <c r="L1843" s="920">
        <v>12</v>
      </c>
      <c r="M1843" s="920">
        <f t="shared" si="56"/>
        <v>15600</v>
      </c>
      <c r="N1843" s="919"/>
      <c r="O1843" s="919"/>
      <c r="P1843" s="921">
        <f t="shared" si="57"/>
        <v>0</v>
      </c>
    </row>
    <row r="1844" spans="1:16" ht="20.100000000000001" customHeight="1" x14ac:dyDescent="0.25">
      <c r="A1844" s="918" t="s">
        <v>487</v>
      </c>
      <c r="B1844" s="944" t="s">
        <v>3901</v>
      </c>
      <c r="C1844" s="919" t="s">
        <v>3902</v>
      </c>
      <c r="D1844" s="919" t="s">
        <v>4462</v>
      </c>
      <c r="E1844" s="920">
        <v>1300</v>
      </c>
      <c r="F1844" s="919" t="s">
        <v>7287</v>
      </c>
      <c r="G1844" s="919" t="s">
        <v>7288</v>
      </c>
      <c r="H1844" s="919" t="s">
        <v>4462</v>
      </c>
      <c r="I1844" s="919" t="s">
        <v>3686</v>
      </c>
      <c r="J1844" s="919"/>
      <c r="K1844" s="920">
        <v>1</v>
      </c>
      <c r="L1844" s="920">
        <v>12</v>
      </c>
      <c r="M1844" s="920">
        <f t="shared" si="56"/>
        <v>15600</v>
      </c>
      <c r="N1844" s="919"/>
      <c r="O1844" s="919"/>
      <c r="P1844" s="921">
        <f t="shared" si="57"/>
        <v>0</v>
      </c>
    </row>
    <row r="1845" spans="1:16" ht="20.100000000000001" customHeight="1" x14ac:dyDescent="0.25">
      <c r="A1845" s="918" t="s">
        <v>487</v>
      </c>
      <c r="B1845" s="944" t="s">
        <v>3901</v>
      </c>
      <c r="C1845" s="919" t="s">
        <v>3902</v>
      </c>
      <c r="D1845" s="919" t="s">
        <v>4462</v>
      </c>
      <c r="E1845" s="920">
        <v>1300</v>
      </c>
      <c r="F1845" s="919" t="s">
        <v>7289</v>
      </c>
      <c r="G1845" s="919" t="s">
        <v>7290</v>
      </c>
      <c r="H1845" s="919" t="s">
        <v>4462</v>
      </c>
      <c r="I1845" s="919" t="s">
        <v>3686</v>
      </c>
      <c r="J1845" s="919"/>
      <c r="K1845" s="920">
        <v>1</v>
      </c>
      <c r="L1845" s="920">
        <v>12</v>
      </c>
      <c r="M1845" s="920">
        <f t="shared" si="56"/>
        <v>15600</v>
      </c>
      <c r="N1845" s="919"/>
      <c r="O1845" s="919"/>
      <c r="P1845" s="921">
        <f t="shared" si="57"/>
        <v>0</v>
      </c>
    </row>
    <row r="1846" spans="1:16" ht="20.100000000000001" customHeight="1" x14ac:dyDescent="0.25">
      <c r="A1846" s="918" t="s">
        <v>487</v>
      </c>
      <c r="B1846" s="944" t="s">
        <v>3901</v>
      </c>
      <c r="C1846" s="919" t="s">
        <v>3902</v>
      </c>
      <c r="D1846" s="919" t="s">
        <v>4462</v>
      </c>
      <c r="E1846" s="920">
        <v>2500</v>
      </c>
      <c r="F1846" s="919" t="s">
        <v>4041</v>
      </c>
      <c r="G1846" s="919" t="s">
        <v>4042</v>
      </c>
      <c r="H1846" s="919" t="s">
        <v>4462</v>
      </c>
      <c r="I1846" s="919" t="s">
        <v>3686</v>
      </c>
      <c r="J1846" s="919"/>
      <c r="K1846" s="920">
        <v>1</v>
      </c>
      <c r="L1846" s="920">
        <v>12</v>
      </c>
      <c r="M1846" s="920">
        <f t="shared" si="56"/>
        <v>30000</v>
      </c>
      <c r="N1846" s="919"/>
      <c r="O1846" s="919"/>
      <c r="P1846" s="921">
        <f t="shared" si="57"/>
        <v>0</v>
      </c>
    </row>
    <row r="1847" spans="1:16" ht="20.100000000000001" customHeight="1" x14ac:dyDescent="0.25">
      <c r="A1847" s="918" t="s">
        <v>487</v>
      </c>
      <c r="B1847" s="944" t="s">
        <v>3901</v>
      </c>
      <c r="C1847" s="919" t="s">
        <v>3902</v>
      </c>
      <c r="D1847" s="919" t="s">
        <v>4462</v>
      </c>
      <c r="E1847" s="920">
        <v>1600</v>
      </c>
      <c r="F1847" s="919" t="s">
        <v>7291</v>
      </c>
      <c r="G1847" s="919" t="s">
        <v>7292</v>
      </c>
      <c r="H1847" s="919" t="s">
        <v>4462</v>
      </c>
      <c r="I1847" s="919" t="s">
        <v>3686</v>
      </c>
      <c r="J1847" s="919"/>
      <c r="K1847" s="920">
        <v>1</v>
      </c>
      <c r="L1847" s="920">
        <v>12</v>
      </c>
      <c r="M1847" s="920">
        <f t="shared" si="56"/>
        <v>19200</v>
      </c>
      <c r="N1847" s="919"/>
      <c r="O1847" s="919"/>
      <c r="P1847" s="921">
        <f t="shared" si="57"/>
        <v>0</v>
      </c>
    </row>
    <row r="1848" spans="1:16" ht="20.100000000000001" customHeight="1" x14ac:dyDescent="0.25">
      <c r="A1848" s="918" t="s">
        <v>487</v>
      </c>
      <c r="B1848" s="944" t="s">
        <v>3901</v>
      </c>
      <c r="C1848" s="919" t="s">
        <v>3902</v>
      </c>
      <c r="D1848" s="919" t="s">
        <v>4462</v>
      </c>
      <c r="E1848" s="920">
        <v>1300</v>
      </c>
      <c r="F1848" s="919" t="s">
        <v>7293</v>
      </c>
      <c r="G1848" s="919" t="s">
        <v>7294</v>
      </c>
      <c r="H1848" s="919" t="s">
        <v>4462</v>
      </c>
      <c r="I1848" s="919" t="s">
        <v>3686</v>
      </c>
      <c r="J1848" s="919"/>
      <c r="K1848" s="920">
        <v>1</v>
      </c>
      <c r="L1848" s="920">
        <v>12</v>
      </c>
      <c r="M1848" s="920">
        <f t="shared" si="56"/>
        <v>15600</v>
      </c>
      <c r="N1848" s="919"/>
      <c r="O1848" s="919"/>
      <c r="P1848" s="921">
        <f t="shared" si="57"/>
        <v>0</v>
      </c>
    </row>
    <row r="1849" spans="1:16" ht="20.100000000000001" customHeight="1" x14ac:dyDescent="0.25">
      <c r="A1849" s="918" t="s">
        <v>487</v>
      </c>
      <c r="B1849" s="944" t="s">
        <v>3901</v>
      </c>
      <c r="C1849" s="919" t="s">
        <v>3902</v>
      </c>
      <c r="D1849" s="919" t="s">
        <v>4462</v>
      </c>
      <c r="E1849" s="920">
        <v>1700</v>
      </c>
      <c r="F1849" s="919" t="s">
        <v>7295</v>
      </c>
      <c r="G1849" s="919" t="s">
        <v>7296</v>
      </c>
      <c r="H1849" s="919" t="s">
        <v>4462</v>
      </c>
      <c r="I1849" s="919" t="s">
        <v>3686</v>
      </c>
      <c r="J1849" s="919"/>
      <c r="K1849" s="920">
        <v>1</v>
      </c>
      <c r="L1849" s="920">
        <v>12</v>
      </c>
      <c r="M1849" s="920">
        <f t="shared" si="56"/>
        <v>20400</v>
      </c>
      <c r="N1849" s="919"/>
      <c r="O1849" s="919"/>
      <c r="P1849" s="921">
        <f t="shared" si="57"/>
        <v>0</v>
      </c>
    </row>
    <row r="1850" spans="1:16" ht="20.100000000000001" customHeight="1" x14ac:dyDescent="0.25">
      <c r="A1850" s="918" t="s">
        <v>487</v>
      </c>
      <c r="B1850" s="944" t="s">
        <v>3901</v>
      </c>
      <c r="C1850" s="919" t="s">
        <v>3902</v>
      </c>
      <c r="D1850" s="919" t="s">
        <v>4391</v>
      </c>
      <c r="E1850" s="920">
        <v>1400</v>
      </c>
      <c r="F1850" s="919" t="s">
        <v>7297</v>
      </c>
      <c r="G1850" s="919" t="s">
        <v>7298</v>
      </c>
      <c r="H1850" s="919" t="s">
        <v>4391</v>
      </c>
      <c r="I1850" s="919" t="s">
        <v>3686</v>
      </c>
      <c r="J1850" s="919"/>
      <c r="K1850" s="920">
        <v>1</v>
      </c>
      <c r="L1850" s="920">
        <v>12</v>
      </c>
      <c r="M1850" s="920">
        <f t="shared" si="56"/>
        <v>16800</v>
      </c>
      <c r="N1850" s="919"/>
      <c r="O1850" s="919"/>
      <c r="P1850" s="921">
        <f t="shared" si="57"/>
        <v>0</v>
      </c>
    </row>
    <row r="1851" spans="1:16" ht="20.100000000000001" customHeight="1" x14ac:dyDescent="0.25">
      <c r="A1851" s="918" t="s">
        <v>487</v>
      </c>
      <c r="B1851" s="944" t="s">
        <v>3901</v>
      </c>
      <c r="C1851" s="919" t="s">
        <v>3902</v>
      </c>
      <c r="D1851" s="919" t="s">
        <v>4467</v>
      </c>
      <c r="E1851" s="920">
        <v>1700</v>
      </c>
      <c r="F1851" s="919" t="s">
        <v>7299</v>
      </c>
      <c r="G1851" s="919" t="s">
        <v>7300</v>
      </c>
      <c r="H1851" s="919" t="s">
        <v>4467</v>
      </c>
      <c r="I1851" s="919" t="s">
        <v>3686</v>
      </c>
      <c r="J1851" s="919"/>
      <c r="K1851" s="920">
        <v>1</v>
      </c>
      <c r="L1851" s="920">
        <v>12</v>
      </c>
      <c r="M1851" s="920">
        <f t="shared" si="56"/>
        <v>20400</v>
      </c>
      <c r="N1851" s="919"/>
      <c r="O1851" s="919"/>
      <c r="P1851" s="921">
        <f t="shared" si="57"/>
        <v>0</v>
      </c>
    </row>
    <row r="1852" spans="1:16" ht="20.100000000000001" customHeight="1" x14ac:dyDescent="0.25">
      <c r="A1852" s="918" t="s">
        <v>487</v>
      </c>
      <c r="B1852" s="944" t="s">
        <v>3901</v>
      </c>
      <c r="C1852" s="919" t="s">
        <v>3902</v>
      </c>
      <c r="D1852" s="919" t="s">
        <v>6130</v>
      </c>
      <c r="E1852" s="920">
        <v>1400</v>
      </c>
      <c r="F1852" s="919" t="s">
        <v>7301</v>
      </c>
      <c r="G1852" s="919" t="s">
        <v>7302</v>
      </c>
      <c r="H1852" s="919" t="s">
        <v>6130</v>
      </c>
      <c r="I1852" s="919" t="s">
        <v>3686</v>
      </c>
      <c r="J1852" s="919"/>
      <c r="K1852" s="920">
        <v>1</v>
      </c>
      <c r="L1852" s="920">
        <v>12</v>
      </c>
      <c r="M1852" s="920">
        <f t="shared" si="56"/>
        <v>16800</v>
      </c>
      <c r="N1852" s="919"/>
      <c r="O1852" s="919"/>
      <c r="P1852" s="921">
        <f t="shared" si="57"/>
        <v>0</v>
      </c>
    </row>
    <row r="1853" spans="1:16" ht="20.100000000000001" customHeight="1" x14ac:dyDescent="0.25">
      <c r="A1853" s="918" t="s">
        <v>487</v>
      </c>
      <c r="B1853" s="944" t="s">
        <v>3901</v>
      </c>
      <c r="C1853" s="919" t="s">
        <v>3902</v>
      </c>
      <c r="D1853" s="919" t="s">
        <v>6130</v>
      </c>
      <c r="E1853" s="920">
        <v>1600</v>
      </c>
      <c r="F1853" s="919" t="s">
        <v>7303</v>
      </c>
      <c r="G1853" s="919" t="s">
        <v>7304</v>
      </c>
      <c r="H1853" s="919" t="s">
        <v>6130</v>
      </c>
      <c r="I1853" s="919" t="s">
        <v>3686</v>
      </c>
      <c r="J1853" s="919"/>
      <c r="K1853" s="920">
        <v>1</v>
      </c>
      <c r="L1853" s="920">
        <v>12</v>
      </c>
      <c r="M1853" s="920">
        <f t="shared" si="56"/>
        <v>19200</v>
      </c>
      <c r="N1853" s="919"/>
      <c r="O1853" s="919"/>
      <c r="P1853" s="921">
        <f t="shared" si="57"/>
        <v>0</v>
      </c>
    </row>
    <row r="1854" spans="1:16" ht="20.100000000000001" customHeight="1" x14ac:dyDescent="0.25">
      <c r="A1854" s="918" t="s">
        <v>487</v>
      </c>
      <c r="B1854" s="944" t="s">
        <v>3901</v>
      </c>
      <c r="C1854" s="919" t="s">
        <v>3902</v>
      </c>
      <c r="D1854" s="919" t="s">
        <v>6130</v>
      </c>
      <c r="E1854" s="920">
        <v>1600</v>
      </c>
      <c r="F1854" s="919" t="s">
        <v>7305</v>
      </c>
      <c r="G1854" s="919" t="s">
        <v>7306</v>
      </c>
      <c r="H1854" s="919" t="s">
        <v>6130</v>
      </c>
      <c r="I1854" s="919" t="s">
        <v>3686</v>
      </c>
      <c r="J1854" s="919"/>
      <c r="K1854" s="920">
        <v>1</v>
      </c>
      <c r="L1854" s="920">
        <v>12</v>
      </c>
      <c r="M1854" s="920">
        <f t="shared" si="56"/>
        <v>19200</v>
      </c>
      <c r="N1854" s="919"/>
      <c r="O1854" s="919"/>
      <c r="P1854" s="921">
        <f t="shared" si="57"/>
        <v>0</v>
      </c>
    </row>
    <row r="1855" spans="1:16" ht="20.100000000000001" customHeight="1" x14ac:dyDescent="0.25">
      <c r="A1855" s="918" t="s">
        <v>487</v>
      </c>
      <c r="B1855" s="944" t="s">
        <v>3901</v>
      </c>
      <c r="C1855" s="919" t="s">
        <v>3902</v>
      </c>
      <c r="D1855" s="919" t="s">
        <v>6130</v>
      </c>
      <c r="E1855" s="920">
        <v>1400</v>
      </c>
      <c r="F1855" s="919" t="s">
        <v>7307</v>
      </c>
      <c r="G1855" s="919" t="s">
        <v>7308</v>
      </c>
      <c r="H1855" s="919" t="s">
        <v>6130</v>
      </c>
      <c r="I1855" s="919" t="s">
        <v>3686</v>
      </c>
      <c r="J1855" s="919"/>
      <c r="K1855" s="920">
        <v>1</v>
      </c>
      <c r="L1855" s="920">
        <v>12</v>
      </c>
      <c r="M1855" s="920">
        <f t="shared" si="56"/>
        <v>16800</v>
      </c>
      <c r="N1855" s="919"/>
      <c r="O1855" s="919"/>
      <c r="P1855" s="921">
        <f t="shared" si="57"/>
        <v>0</v>
      </c>
    </row>
    <row r="1856" spans="1:16" ht="20.100000000000001" customHeight="1" x14ac:dyDescent="0.25">
      <c r="A1856" s="918" t="s">
        <v>487</v>
      </c>
      <c r="B1856" s="944" t="s">
        <v>3901</v>
      </c>
      <c r="C1856" s="919" t="s">
        <v>3902</v>
      </c>
      <c r="D1856" s="919" t="s">
        <v>6130</v>
      </c>
      <c r="E1856" s="920">
        <v>1400</v>
      </c>
      <c r="F1856" s="919" t="s">
        <v>7309</v>
      </c>
      <c r="G1856" s="919" t="s">
        <v>7310</v>
      </c>
      <c r="H1856" s="919" t="s">
        <v>6130</v>
      </c>
      <c r="I1856" s="919" t="s">
        <v>3686</v>
      </c>
      <c r="J1856" s="919"/>
      <c r="K1856" s="920">
        <v>1</v>
      </c>
      <c r="L1856" s="920">
        <v>12</v>
      </c>
      <c r="M1856" s="920">
        <f t="shared" si="56"/>
        <v>16800</v>
      </c>
      <c r="N1856" s="919"/>
      <c r="O1856" s="919"/>
      <c r="P1856" s="921">
        <f t="shared" si="57"/>
        <v>0</v>
      </c>
    </row>
    <row r="1857" spans="1:16" ht="20.100000000000001" customHeight="1" x14ac:dyDescent="0.25">
      <c r="A1857" s="918" t="s">
        <v>487</v>
      </c>
      <c r="B1857" s="944" t="s">
        <v>3901</v>
      </c>
      <c r="C1857" s="919" t="s">
        <v>3902</v>
      </c>
      <c r="D1857" s="919" t="s">
        <v>6130</v>
      </c>
      <c r="E1857" s="920">
        <v>1400</v>
      </c>
      <c r="F1857" s="919" t="s">
        <v>7311</v>
      </c>
      <c r="G1857" s="919" t="s">
        <v>7312</v>
      </c>
      <c r="H1857" s="919" t="s">
        <v>6130</v>
      </c>
      <c r="I1857" s="919" t="s">
        <v>3686</v>
      </c>
      <c r="J1857" s="919"/>
      <c r="K1857" s="920">
        <v>1</v>
      </c>
      <c r="L1857" s="920">
        <v>12</v>
      </c>
      <c r="M1857" s="920">
        <f t="shared" si="56"/>
        <v>16800</v>
      </c>
      <c r="N1857" s="919"/>
      <c r="O1857" s="919"/>
      <c r="P1857" s="921">
        <f t="shared" si="57"/>
        <v>0</v>
      </c>
    </row>
    <row r="1858" spans="1:16" ht="20.100000000000001" customHeight="1" x14ac:dyDescent="0.25">
      <c r="A1858" s="918" t="s">
        <v>487</v>
      </c>
      <c r="B1858" s="944" t="s">
        <v>3901</v>
      </c>
      <c r="C1858" s="919" t="s">
        <v>3902</v>
      </c>
      <c r="D1858" s="919" t="s">
        <v>6130</v>
      </c>
      <c r="E1858" s="920">
        <v>1400</v>
      </c>
      <c r="F1858" s="919" t="s">
        <v>7313</v>
      </c>
      <c r="G1858" s="919" t="s">
        <v>7314</v>
      </c>
      <c r="H1858" s="919" t="s">
        <v>6130</v>
      </c>
      <c r="I1858" s="919" t="s">
        <v>3686</v>
      </c>
      <c r="J1858" s="919"/>
      <c r="K1858" s="920">
        <v>1</v>
      </c>
      <c r="L1858" s="920">
        <v>12</v>
      </c>
      <c r="M1858" s="920">
        <f t="shared" si="56"/>
        <v>16800</v>
      </c>
      <c r="N1858" s="919"/>
      <c r="O1858" s="919"/>
      <c r="P1858" s="921">
        <f t="shared" si="57"/>
        <v>0</v>
      </c>
    </row>
    <row r="1859" spans="1:16" ht="20.100000000000001" customHeight="1" x14ac:dyDescent="0.25">
      <c r="A1859" s="918" t="s">
        <v>487</v>
      </c>
      <c r="B1859" s="944" t="s">
        <v>3901</v>
      </c>
      <c r="C1859" s="919" t="s">
        <v>3902</v>
      </c>
      <c r="D1859" s="919" t="s">
        <v>6130</v>
      </c>
      <c r="E1859" s="920">
        <v>1600</v>
      </c>
      <c r="F1859" s="919" t="s">
        <v>7315</v>
      </c>
      <c r="G1859" s="919" t="s">
        <v>7316</v>
      </c>
      <c r="H1859" s="919" t="s">
        <v>6130</v>
      </c>
      <c r="I1859" s="919" t="s">
        <v>3686</v>
      </c>
      <c r="J1859" s="919"/>
      <c r="K1859" s="920">
        <v>1</v>
      </c>
      <c r="L1859" s="920">
        <v>12</v>
      </c>
      <c r="M1859" s="920">
        <f t="shared" si="56"/>
        <v>19200</v>
      </c>
      <c r="N1859" s="919"/>
      <c r="O1859" s="919"/>
      <c r="P1859" s="921">
        <f t="shared" si="57"/>
        <v>0</v>
      </c>
    </row>
    <row r="1860" spans="1:16" ht="20.100000000000001" customHeight="1" x14ac:dyDescent="0.25">
      <c r="A1860" s="918" t="s">
        <v>487</v>
      </c>
      <c r="B1860" s="944" t="s">
        <v>3901</v>
      </c>
      <c r="C1860" s="919" t="s">
        <v>3902</v>
      </c>
      <c r="D1860" s="919" t="s">
        <v>6130</v>
      </c>
      <c r="E1860" s="920">
        <v>1400</v>
      </c>
      <c r="F1860" s="919" t="s">
        <v>7317</v>
      </c>
      <c r="G1860" s="919" t="s">
        <v>7318</v>
      </c>
      <c r="H1860" s="919" t="s">
        <v>6130</v>
      </c>
      <c r="I1860" s="919" t="s">
        <v>3686</v>
      </c>
      <c r="J1860" s="919"/>
      <c r="K1860" s="920">
        <v>1</v>
      </c>
      <c r="L1860" s="920">
        <v>12</v>
      </c>
      <c r="M1860" s="920">
        <f t="shared" si="56"/>
        <v>16800</v>
      </c>
      <c r="N1860" s="919"/>
      <c r="O1860" s="919"/>
      <c r="P1860" s="921">
        <f t="shared" si="57"/>
        <v>0</v>
      </c>
    </row>
    <row r="1861" spans="1:16" ht="20.100000000000001" customHeight="1" x14ac:dyDescent="0.25">
      <c r="A1861" s="918" t="s">
        <v>487</v>
      </c>
      <c r="B1861" s="944" t="s">
        <v>3901</v>
      </c>
      <c r="C1861" s="919" t="s">
        <v>3902</v>
      </c>
      <c r="D1861" s="919" t="s">
        <v>6130</v>
      </c>
      <c r="E1861" s="920">
        <v>1500</v>
      </c>
      <c r="F1861" s="919" t="s">
        <v>7319</v>
      </c>
      <c r="G1861" s="919" t="s">
        <v>7320</v>
      </c>
      <c r="H1861" s="919" t="s">
        <v>6130</v>
      </c>
      <c r="I1861" s="919" t="s">
        <v>3686</v>
      </c>
      <c r="J1861" s="919"/>
      <c r="K1861" s="920">
        <v>1</v>
      </c>
      <c r="L1861" s="920">
        <v>12</v>
      </c>
      <c r="M1861" s="920">
        <f t="shared" si="56"/>
        <v>18000</v>
      </c>
      <c r="N1861" s="919"/>
      <c r="O1861" s="919"/>
      <c r="P1861" s="921">
        <f t="shared" si="57"/>
        <v>0</v>
      </c>
    </row>
    <row r="1862" spans="1:16" ht="20.100000000000001" customHeight="1" x14ac:dyDescent="0.25">
      <c r="A1862" s="918" t="s">
        <v>487</v>
      </c>
      <c r="B1862" s="944" t="s">
        <v>3901</v>
      </c>
      <c r="C1862" s="919" t="s">
        <v>3902</v>
      </c>
      <c r="D1862" s="919" t="s">
        <v>6130</v>
      </c>
      <c r="E1862" s="920">
        <v>1500</v>
      </c>
      <c r="F1862" s="919" t="s">
        <v>7321</v>
      </c>
      <c r="G1862" s="919" t="s">
        <v>7322</v>
      </c>
      <c r="H1862" s="919" t="s">
        <v>6130</v>
      </c>
      <c r="I1862" s="919" t="s">
        <v>3686</v>
      </c>
      <c r="J1862" s="919"/>
      <c r="K1862" s="920">
        <v>1</v>
      </c>
      <c r="L1862" s="920">
        <v>12</v>
      </c>
      <c r="M1862" s="920">
        <f t="shared" ref="M1862:M1925" si="58">E1862*L1862</f>
        <v>18000</v>
      </c>
      <c r="N1862" s="919"/>
      <c r="O1862" s="919"/>
      <c r="P1862" s="921">
        <f t="shared" ref="P1862:P1925" si="59">E1862*O1862</f>
        <v>0</v>
      </c>
    </row>
    <row r="1863" spans="1:16" ht="20.100000000000001" customHeight="1" x14ac:dyDescent="0.25">
      <c r="A1863" s="918" t="s">
        <v>487</v>
      </c>
      <c r="B1863" s="944" t="s">
        <v>3901</v>
      </c>
      <c r="C1863" s="919" t="s">
        <v>3902</v>
      </c>
      <c r="D1863" s="919" t="s">
        <v>6617</v>
      </c>
      <c r="E1863" s="920">
        <v>1200</v>
      </c>
      <c r="F1863" s="919" t="s">
        <v>7323</v>
      </c>
      <c r="G1863" s="919" t="s">
        <v>7324</v>
      </c>
      <c r="H1863" s="919" t="s">
        <v>6617</v>
      </c>
      <c r="I1863" s="919" t="s">
        <v>3693</v>
      </c>
      <c r="J1863" s="919"/>
      <c r="K1863" s="920">
        <v>1</v>
      </c>
      <c r="L1863" s="920">
        <v>12</v>
      </c>
      <c r="M1863" s="920">
        <f t="shared" si="58"/>
        <v>14400</v>
      </c>
      <c r="N1863" s="919"/>
      <c r="O1863" s="919"/>
      <c r="P1863" s="921">
        <f t="shared" si="59"/>
        <v>0</v>
      </c>
    </row>
    <row r="1864" spans="1:16" ht="20.100000000000001" customHeight="1" x14ac:dyDescent="0.25">
      <c r="A1864" s="918" t="s">
        <v>487</v>
      </c>
      <c r="B1864" s="944" t="s">
        <v>3901</v>
      </c>
      <c r="C1864" s="919" t="s">
        <v>3902</v>
      </c>
      <c r="D1864" s="919" t="s">
        <v>6617</v>
      </c>
      <c r="E1864" s="920">
        <v>1200</v>
      </c>
      <c r="F1864" s="919" t="s">
        <v>7325</v>
      </c>
      <c r="G1864" s="919" t="s">
        <v>7326</v>
      </c>
      <c r="H1864" s="919" t="s">
        <v>6617</v>
      </c>
      <c r="I1864" s="919" t="s">
        <v>3693</v>
      </c>
      <c r="J1864" s="919"/>
      <c r="K1864" s="920">
        <v>1</v>
      </c>
      <c r="L1864" s="920">
        <v>12</v>
      </c>
      <c r="M1864" s="920">
        <f t="shared" si="58"/>
        <v>14400</v>
      </c>
      <c r="N1864" s="919"/>
      <c r="O1864" s="919"/>
      <c r="P1864" s="921">
        <f t="shared" si="59"/>
        <v>0</v>
      </c>
    </row>
    <row r="1865" spans="1:16" ht="20.100000000000001" customHeight="1" x14ac:dyDescent="0.25">
      <c r="A1865" s="918" t="s">
        <v>487</v>
      </c>
      <c r="B1865" s="944" t="s">
        <v>3901</v>
      </c>
      <c r="C1865" s="919" t="s">
        <v>3902</v>
      </c>
      <c r="D1865" s="919" t="s">
        <v>6617</v>
      </c>
      <c r="E1865" s="920">
        <v>1200</v>
      </c>
      <c r="F1865" s="919" t="s">
        <v>7327</v>
      </c>
      <c r="G1865" s="919" t="s">
        <v>7328</v>
      </c>
      <c r="H1865" s="919" t="s">
        <v>6617</v>
      </c>
      <c r="I1865" s="919" t="s">
        <v>3693</v>
      </c>
      <c r="J1865" s="919"/>
      <c r="K1865" s="920">
        <v>1</v>
      </c>
      <c r="L1865" s="920">
        <v>12</v>
      </c>
      <c r="M1865" s="920">
        <f t="shared" si="58"/>
        <v>14400</v>
      </c>
      <c r="N1865" s="919"/>
      <c r="O1865" s="919"/>
      <c r="P1865" s="921">
        <f t="shared" si="59"/>
        <v>0</v>
      </c>
    </row>
    <row r="1866" spans="1:16" ht="20.100000000000001" customHeight="1" x14ac:dyDescent="0.25">
      <c r="A1866" s="918" t="s">
        <v>487</v>
      </c>
      <c r="B1866" s="944" t="s">
        <v>3901</v>
      </c>
      <c r="C1866" s="919" t="s">
        <v>3902</v>
      </c>
      <c r="D1866" s="919" t="s">
        <v>6617</v>
      </c>
      <c r="E1866" s="920">
        <v>1200</v>
      </c>
      <c r="F1866" s="919" t="s">
        <v>7329</v>
      </c>
      <c r="G1866" s="919" t="s">
        <v>7330</v>
      </c>
      <c r="H1866" s="919" t="s">
        <v>6617</v>
      </c>
      <c r="I1866" s="919" t="s">
        <v>3693</v>
      </c>
      <c r="J1866" s="919"/>
      <c r="K1866" s="920">
        <v>1</v>
      </c>
      <c r="L1866" s="920">
        <v>12</v>
      </c>
      <c r="M1866" s="920">
        <f t="shared" si="58"/>
        <v>14400</v>
      </c>
      <c r="N1866" s="919"/>
      <c r="O1866" s="919"/>
      <c r="P1866" s="921">
        <f t="shared" si="59"/>
        <v>0</v>
      </c>
    </row>
    <row r="1867" spans="1:16" ht="20.100000000000001" customHeight="1" x14ac:dyDescent="0.25">
      <c r="A1867" s="918" t="s">
        <v>487</v>
      </c>
      <c r="B1867" s="944" t="s">
        <v>3901</v>
      </c>
      <c r="C1867" s="919" t="s">
        <v>3902</v>
      </c>
      <c r="D1867" s="919" t="s">
        <v>6617</v>
      </c>
      <c r="E1867" s="920">
        <v>1200</v>
      </c>
      <c r="F1867" s="919" t="s">
        <v>7331</v>
      </c>
      <c r="G1867" s="919" t="s">
        <v>7332</v>
      </c>
      <c r="H1867" s="919" t="s">
        <v>6617</v>
      </c>
      <c r="I1867" s="919" t="s">
        <v>3693</v>
      </c>
      <c r="J1867" s="919"/>
      <c r="K1867" s="920">
        <v>1</v>
      </c>
      <c r="L1867" s="920">
        <v>12</v>
      </c>
      <c r="M1867" s="920">
        <f t="shared" si="58"/>
        <v>14400</v>
      </c>
      <c r="N1867" s="919"/>
      <c r="O1867" s="919"/>
      <c r="P1867" s="921">
        <f t="shared" si="59"/>
        <v>0</v>
      </c>
    </row>
    <row r="1868" spans="1:16" ht="20.100000000000001" customHeight="1" x14ac:dyDescent="0.25">
      <c r="A1868" s="918" t="s">
        <v>487</v>
      </c>
      <c r="B1868" s="944" t="s">
        <v>3901</v>
      </c>
      <c r="C1868" s="919" t="s">
        <v>3902</v>
      </c>
      <c r="D1868" s="919" t="s">
        <v>6617</v>
      </c>
      <c r="E1868" s="920">
        <v>1200</v>
      </c>
      <c r="F1868" s="919" t="s">
        <v>4041</v>
      </c>
      <c r="G1868" s="919" t="s">
        <v>4042</v>
      </c>
      <c r="H1868" s="919" t="s">
        <v>6617</v>
      </c>
      <c r="I1868" s="919" t="s">
        <v>3693</v>
      </c>
      <c r="J1868" s="919"/>
      <c r="K1868" s="920">
        <v>1</v>
      </c>
      <c r="L1868" s="920">
        <v>12</v>
      </c>
      <c r="M1868" s="920">
        <f t="shared" si="58"/>
        <v>14400</v>
      </c>
      <c r="N1868" s="919"/>
      <c r="O1868" s="919"/>
      <c r="P1868" s="921">
        <f t="shared" si="59"/>
        <v>0</v>
      </c>
    </row>
    <row r="1869" spans="1:16" ht="20.100000000000001" customHeight="1" x14ac:dyDescent="0.25">
      <c r="A1869" s="918" t="s">
        <v>487</v>
      </c>
      <c r="B1869" s="944" t="s">
        <v>3901</v>
      </c>
      <c r="C1869" s="919" t="s">
        <v>3902</v>
      </c>
      <c r="D1869" s="919" t="s">
        <v>6617</v>
      </c>
      <c r="E1869" s="920">
        <v>1200</v>
      </c>
      <c r="F1869" s="919" t="s">
        <v>4041</v>
      </c>
      <c r="G1869" s="919" t="s">
        <v>4042</v>
      </c>
      <c r="H1869" s="919" t="s">
        <v>6617</v>
      </c>
      <c r="I1869" s="919" t="s">
        <v>3693</v>
      </c>
      <c r="J1869" s="919"/>
      <c r="K1869" s="920">
        <v>1</v>
      </c>
      <c r="L1869" s="920">
        <v>12</v>
      </c>
      <c r="M1869" s="920">
        <f t="shared" si="58"/>
        <v>14400</v>
      </c>
      <c r="N1869" s="919"/>
      <c r="O1869" s="919"/>
      <c r="P1869" s="921">
        <f t="shared" si="59"/>
        <v>0</v>
      </c>
    </row>
    <row r="1870" spans="1:16" ht="20.100000000000001" customHeight="1" x14ac:dyDescent="0.25">
      <c r="A1870" s="918" t="s">
        <v>487</v>
      </c>
      <c r="B1870" s="944" t="s">
        <v>3901</v>
      </c>
      <c r="C1870" s="919" t="s">
        <v>3902</v>
      </c>
      <c r="D1870" s="919" t="s">
        <v>6617</v>
      </c>
      <c r="E1870" s="920">
        <v>1200</v>
      </c>
      <c r="F1870" s="919" t="s">
        <v>7333</v>
      </c>
      <c r="G1870" s="919" t="s">
        <v>7334</v>
      </c>
      <c r="H1870" s="919" t="s">
        <v>6617</v>
      </c>
      <c r="I1870" s="919" t="s">
        <v>3693</v>
      </c>
      <c r="J1870" s="919"/>
      <c r="K1870" s="920">
        <v>1</v>
      </c>
      <c r="L1870" s="920">
        <v>12</v>
      </c>
      <c r="M1870" s="920">
        <f t="shared" si="58"/>
        <v>14400</v>
      </c>
      <c r="N1870" s="919"/>
      <c r="O1870" s="919"/>
      <c r="P1870" s="921">
        <f t="shared" si="59"/>
        <v>0</v>
      </c>
    </row>
    <row r="1871" spans="1:16" ht="20.100000000000001" customHeight="1" x14ac:dyDescent="0.25">
      <c r="A1871" s="918" t="s">
        <v>487</v>
      </c>
      <c r="B1871" s="944" t="s">
        <v>3901</v>
      </c>
      <c r="C1871" s="919" t="s">
        <v>3902</v>
      </c>
      <c r="D1871" s="919" t="s">
        <v>6617</v>
      </c>
      <c r="E1871" s="920">
        <v>1200</v>
      </c>
      <c r="F1871" s="919" t="s">
        <v>7335</v>
      </c>
      <c r="G1871" s="919" t="s">
        <v>7336</v>
      </c>
      <c r="H1871" s="919" t="s">
        <v>6617</v>
      </c>
      <c r="I1871" s="919" t="s">
        <v>3693</v>
      </c>
      <c r="J1871" s="919"/>
      <c r="K1871" s="920">
        <v>1</v>
      </c>
      <c r="L1871" s="920">
        <v>12</v>
      </c>
      <c r="M1871" s="920">
        <f t="shared" si="58"/>
        <v>14400</v>
      </c>
      <c r="N1871" s="919"/>
      <c r="O1871" s="919"/>
      <c r="P1871" s="921">
        <f t="shared" si="59"/>
        <v>0</v>
      </c>
    </row>
    <row r="1872" spans="1:16" ht="20.100000000000001" customHeight="1" x14ac:dyDescent="0.25">
      <c r="A1872" s="918" t="s">
        <v>487</v>
      </c>
      <c r="B1872" s="944" t="s">
        <v>3901</v>
      </c>
      <c r="C1872" s="919" t="s">
        <v>3902</v>
      </c>
      <c r="D1872" s="919" t="s">
        <v>6617</v>
      </c>
      <c r="E1872" s="920">
        <v>1200</v>
      </c>
      <c r="F1872" s="919" t="s">
        <v>7337</v>
      </c>
      <c r="G1872" s="919" t="s">
        <v>7338</v>
      </c>
      <c r="H1872" s="919" t="s">
        <v>6617</v>
      </c>
      <c r="I1872" s="919" t="s">
        <v>3693</v>
      </c>
      <c r="J1872" s="919"/>
      <c r="K1872" s="920">
        <v>1</v>
      </c>
      <c r="L1872" s="920">
        <v>12</v>
      </c>
      <c r="M1872" s="920">
        <f t="shared" si="58"/>
        <v>14400</v>
      </c>
      <c r="N1872" s="919"/>
      <c r="O1872" s="919"/>
      <c r="P1872" s="921">
        <f t="shared" si="59"/>
        <v>0</v>
      </c>
    </row>
    <row r="1873" spans="1:16" ht="20.100000000000001" customHeight="1" x14ac:dyDescent="0.25">
      <c r="A1873" s="918" t="s">
        <v>487</v>
      </c>
      <c r="B1873" s="944" t="s">
        <v>3901</v>
      </c>
      <c r="C1873" s="919" t="s">
        <v>3902</v>
      </c>
      <c r="D1873" s="919" t="s">
        <v>3991</v>
      </c>
      <c r="E1873" s="920">
        <v>1400</v>
      </c>
      <c r="F1873" s="919" t="s">
        <v>7339</v>
      </c>
      <c r="G1873" s="919" t="s">
        <v>7340</v>
      </c>
      <c r="H1873" s="919" t="s">
        <v>3991</v>
      </c>
      <c r="I1873" s="919" t="s">
        <v>3693</v>
      </c>
      <c r="J1873" s="919"/>
      <c r="K1873" s="920">
        <v>1</v>
      </c>
      <c r="L1873" s="920">
        <v>12</v>
      </c>
      <c r="M1873" s="920">
        <f t="shared" si="58"/>
        <v>16800</v>
      </c>
      <c r="N1873" s="919"/>
      <c r="O1873" s="919"/>
      <c r="P1873" s="921">
        <f t="shared" si="59"/>
        <v>0</v>
      </c>
    </row>
    <row r="1874" spans="1:16" ht="20.100000000000001" customHeight="1" x14ac:dyDescent="0.25">
      <c r="A1874" s="918" t="s">
        <v>487</v>
      </c>
      <c r="B1874" s="944" t="s">
        <v>3901</v>
      </c>
      <c r="C1874" s="919" t="s">
        <v>3902</v>
      </c>
      <c r="D1874" s="919" t="s">
        <v>7341</v>
      </c>
      <c r="E1874" s="920">
        <v>1400</v>
      </c>
      <c r="F1874" s="919" t="s">
        <v>7342</v>
      </c>
      <c r="G1874" s="919" t="s">
        <v>7343</v>
      </c>
      <c r="H1874" s="919" t="s">
        <v>7341</v>
      </c>
      <c r="I1874" s="919" t="s">
        <v>3693</v>
      </c>
      <c r="J1874" s="919"/>
      <c r="K1874" s="920">
        <v>1</v>
      </c>
      <c r="L1874" s="920">
        <v>12</v>
      </c>
      <c r="M1874" s="920">
        <f t="shared" si="58"/>
        <v>16800</v>
      </c>
      <c r="N1874" s="919"/>
      <c r="O1874" s="919"/>
      <c r="P1874" s="921">
        <f t="shared" si="59"/>
        <v>0</v>
      </c>
    </row>
    <row r="1875" spans="1:16" ht="20.100000000000001" customHeight="1" x14ac:dyDescent="0.25">
      <c r="A1875" s="918" t="s">
        <v>487</v>
      </c>
      <c r="B1875" s="944" t="s">
        <v>3901</v>
      </c>
      <c r="C1875" s="919" t="s">
        <v>3902</v>
      </c>
      <c r="D1875" s="919" t="s">
        <v>6203</v>
      </c>
      <c r="E1875" s="920">
        <v>2100</v>
      </c>
      <c r="F1875" s="919" t="s">
        <v>4041</v>
      </c>
      <c r="G1875" s="919" t="s">
        <v>4042</v>
      </c>
      <c r="H1875" s="919" t="s">
        <v>6203</v>
      </c>
      <c r="I1875" s="919" t="s">
        <v>3724</v>
      </c>
      <c r="J1875" s="919"/>
      <c r="K1875" s="920">
        <v>1</v>
      </c>
      <c r="L1875" s="920">
        <v>12</v>
      </c>
      <c r="M1875" s="920">
        <f t="shared" si="58"/>
        <v>25200</v>
      </c>
      <c r="N1875" s="919"/>
      <c r="O1875" s="919"/>
      <c r="P1875" s="921">
        <f t="shared" si="59"/>
        <v>0</v>
      </c>
    </row>
    <row r="1876" spans="1:16" ht="20.100000000000001" customHeight="1" x14ac:dyDescent="0.25">
      <c r="A1876" s="918" t="s">
        <v>487</v>
      </c>
      <c r="B1876" s="944" t="s">
        <v>3901</v>
      </c>
      <c r="C1876" s="919" t="s">
        <v>3902</v>
      </c>
      <c r="D1876" s="919" t="s">
        <v>6601</v>
      </c>
      <c r="E1876" s="920">
        <v>2400</v>
      </c>
      <c r="F1876" s="919" t="s">
        <v>7344</v>
      </c>
      <c r="G1876" s="919" t="s">
        <v>7345</v>
      </c>
      <c r="H1876" s="919" t="s">
        <v>6601</v>
      </c>
      <c r="I1876" s="919" t="s">
        <v>3679</v>
      </c>
      <c r="J1876" s="919"/>
      <c r="K1876" s="920">
        <v>1</v>
      </c>
      <c r="L1876" s="920">
        <v>12</v>
      </c>
      <c r="M1876" s="920">
        <f t="shared" si="58"/>
        <v>28800</v>
      </c>
      <c r="N1876" s="919"/>
      <c r="O1876" s="919"/>
      <c r="P1876" s="921">
        <f t="shared" si="59"/>
        <v>0</v>
      </c>
    </row>
    <row r="1877" spans="1:16" ht="20.100000000000001" customHeight="1" x14ac:dyDescent="0.25">
      <c r="A1877" s="918" t="s">
        <v>487</v>
      </c>
      <c r="B1877" s="944" t="s">
        <v>3901</v>
      </c>
      <c r="C1877" s="919" t="s">
        <v>3902</v>
      </c>
      <c r="D1877" s="919" t="s">
        <v>6115</v>
      </c>
      <c r="E1877" s="920">
        <v>2400</v>
      </c>
      <c r="F1877" s="919" t="s">
        <v>4041</v>
      </c>
      <c r="G1877" s="919" t="s">
        <v>4042</v>
      </c>
      <c r="H1877" s="919" t="s">
        <v>6115</v>
      </c>
      <c r="I1877" s="919" t="s">
        <v>3679</v>
      </c>
      <c r="J1877" s="919"/>
      <c r="K1877" s="920">
        <v>1</v>
      </c>
      <c r="L1877" s="920">
        <v>12</v>
      </c>
      <c r="M1877" s="920">
        <f t="shared" si="58"/>
        <v>28800</v>
      </c>
      <c r="N1877" s="919"/>
      <c r="O1877" s="919"/>
      <c r="P1877" s="921">
        <f t="shared" si="59"/>
        <v>0</v>
      </c>
    </row>
    <row r="1878" spans="1:16" ht="20.100000000000001" customHeight="1" x14ac:dyDescent="0.25">
      <c r="A1878" s="918" t="s">
        <v>487</v>
      </c>
      <c r="B1878" s="944" t="s">
        <v>3901</v>
      </c>
      <c r="C1878" s="919" t="s">
        <v>3902</v>
      </c>
      <c r="D1878" s="919" t="s">
        <v>6115</v>
      </c>
      <c r="E1878" s="920">
        <v>2500</v>
      </c>
      <c r="F1878" s="919" t="s">
        <v>7346</v>
      </c>
      <c r="G1878" s="919" t="s">
        <v>7347</v>
      </c>
      <c r="H1878" s="919" t="s">
        <v>6115</v>
      </c>
      <c r="I1878" s="919" t="s">
        <v>3679</v>
      </c>
      <c r="J1878" s="919"/>
      <c r="K1878" s="920">
        <v>1</v>
      </c>
      <c r="L1878" s="920">
        <v>12</v>
      </c>
      <c r="M1878" s="920">
        <f t="shared" si="58"/>
        <v>30000</v>
      </c>
      <c r="N1878" s="919"/>
      <c r="O1878" s="919"/>
      <c r="P1878" s="921">
        <f t="shared" si="59"/>
        <v>0</v>
      </c>
    </row>
    <row r="1879" spans="1:16" ht="20.100000000000001" customHeight="1" x14ac:dyDescent="0.25">
      <c r="A1879" s="918" t="s">
        <v>487</v>
      </c>
      <c r="B1879" s="944" t="s">
        <v>3901</v>
      </c>
      <c r="C1879" s="919" t="s">
        <v>3902</v>
      </c>
      <c r="D1879" s="919" t="s">
        <v>6071</v>
      </c>
      <c r="E1879" s="920">
        <v>1500</v>
      </c>
      <c r="F1879" s="919" t="s">
        <v>7348</v>
      </c>
      <c r="G1879" s="919" t="s">
        <v>7349</v>
      </c>
      <c r="H1879" s="919" t="s">
        <v>6071</v>
      </c>
      <c r="I1879" s="919" t="s">
        <v>3686</v>
      </c>
      <c r="J1879" s="919"/>
      <c r="K1879" s="920">
        <v>1</v>
      </c>
      <c r="L1879" s="920">
        <v>12</v>
      </c>
      <c r="M1879" s="920">
        <f t="shared" si="58"/>
        <v>18000</v>
      </c>
      <c r="N1879" s="919"/>
      <c r="O1879" s="919"/>
      <c r="P1879" s="921">
        <f t="shared" si="59"/>
        <v>0</v>
      </c>
    </row>
    <row r="1880" spans="1:16" ht="20.100000000000001" customHeight="1" x14ac:dyDescent="0.25">
      <c r="A1880" s="918" t="s">
        <v>487</v>
      </c>
      <c r="B1880" s="944" t="s">
        <v>3901</v>
      </c>
      <c r="C1880" s="919" t="s">
        <v>3902</v>
      </c>
      <c r="D1880" s="919" t="s">
        <v>6071</v>
      </c>
      <c r="E1880" s="920">
        <v>1500</v>
      </c>
      <c r="F1880" s="919" t="s">
        <v>7350</v>
      </c>
      <c r="G1880" s="919" t="s">
        <v>7351</v>
      </c>
      <c r="H1880" s="919" t="s">
        <v>6071</v>
      </c>
      <c r="I1880" s="919" t="s">
        <v>3686</v>
      </c>
      <c r="J1880" s="919"/>
      <c r="K1880" s="920">
        <v>1</v>
      </c>
      <c r="L1880" s="920">
        <v>12</v>
      </c>
      <c r="M1880" s="920">
        <f t="shared" si="58"/>
        <v>18000</v>
      </c>
      <c r="N1880" s="919"/>
      <c r="O1880" s="919"/>
      <c r="P1880" s="921">
        <f t="shared" si="59"/>
        <v>0</v>
      </c>
    </row>
    <row r="1881" spans="1:16" ht="20.100000000000001" customHeight="1" x14ac:dyDescent="0.25">
      <c r="A1881" s="918" t="s">
        <v>487</v>
      </c>
      <c r="B1881" s="944" t="s">
        <v>3901</v>
      </c>
      <c r="C1881" s="919" t="s">
        <v>3902</v>
      </c>
      <c r="D1881" s="919" t="s">
        <v>6071</v>
      </c>
      <c r="E1881" s="920">
        <v>1500</v>
      </c>
      <c r="F1881" s="919" t="s">
        <v>7352</v>
      </c>
      <c r="G1881" s="919" t="s">
        <v>7353</v>
      </c>
      <c r="H1881" s="919" t="s">
        <v>6071</v>
      </c>
      <c r="I1881" s="919" t="s">
        <v>3686</v>
      </c>
      <c r="J1881" s="919"/>
      <c r="K1881" s="920">
        <v>1</v>
      </c>
      <c r="L1881" s="920">
        <v>12</v>
      </c>
      <c r="M1881" s="920">
        <f t="shared" si="58"/>
        <v>18000</v>
      </c>
      <c r="N1881" s="919"/>
      <c r="O1881" s="919"/>
      <c r="P1881" s="921">
        <f t="shared" si="59"/>
        <v>0</v>
      </c>
    </row>
    <row r="1882" spans="1:16" ht="20.100000000000001" customHeight="1" x14ac:dyDescent="0.25">
      <c r="A1882" s="918" t="s">
        <v>487</v>
      </c>
      <c r="B1882" s="944" t="s">
        <v>3901</v>
      </c>
      <c r="C1882" s="919" t="s">
        <v>3902</v>
      </c>
      <c r="D1882" s="919" t="s">
        <v>6071</v>
      </c>
      <c r="E1882" s="920">
        <v>1500</v>
      </c>
      <c r="F1882" s="919" t="s">
        <v>4041</v>
      </c>
      <c r="G1882" s="919" t="s">
        <v>4042</v>
      </c>
      <c r="H1882" s="919" t="s">
        <v>6071</v>
      </c>
      <c r="I1882" s="919" t="s">
        <v>3686</v>
      </c>
      <c r="J1882" s="919"/>
      <c r="K1882" s="920">
        <v>1</v>
      </c>
      <c r="L1882" s="920">
        <v>12</v>
      </c>
      <c r="M1882" s="920">
        <f t="shared" si="58"/>
        <v>18000</v>
      </c>
      <c r="N1882" s="919"/>
      <c r="O1882" s="919"/>
      <c r="P1882" s="921">
        <f t="shared" si="59"/>
        <v>0</v>
      </c>
    </row>
    <row r="1883" spans="1:16" ht="20.100000000000001" customHeight="1" x14ac:dyDescent="0.25">
      <c r="A1883" s="918" t="s">
        <v>487</v>
      </c>
      <c r="B1883" s="944" t="s">
        <v>3901</v>
      </c>
      <c r="C1883" s="919" t="s">
        <v>3902</v>
      </c>
      <c r="D1883" s="919" t="s">
        <v>6071</v>
      </c>
      <c r="E1883" s="920">
        <v>1500</v>
      </c>
      <c r="F1883" s="919" t="s">
        <v>7354</v>
      </c>
      <c r="G1883" s="919" t="s">
        <v>7355</v>
      </c>
      <c r="H1883" s="919" t="s">
        <v>6071</v>
      </c>
      <c r="I1883" s="919" t="s">
        <v>3686</v>
      </c>
      <c r="J1883" s="919"/>
      <c r="K1883" s="920">
        <v>1</v>
      </c>
      <c r="L1883" s="920">
        <v>12</v>
      </c>
      <c r="M1883" s="920">
        <f t="shared" si="58"/>
        <v>18000</v>
      </c>
      <c r="N1883" s="919"/>
      <c r="O1883" s="919"/>
      <c r="P1883" s="921">
        <f t="shared" si="59"/>
        <v>0</v>
      </c>
    </row>
    <row r="1884" spans="1:16" ht="20.100000000000001" customHeight="1" x14ac:dyDescent="0.25">
      <c r="A1884" s="918" t="s">
        <v>487</v>
      </c>
      <c r="B1884" s="944" t="s">
        <v>3901</v>
      </c>
      <c r="C1884" s="919" t="s">
        <v>3902</v>
      </c>
      <c r="D1884" s="919" t="s">
        <v>6071</v>
      </c>
      <c r="E1884" s="920">
        <v>1600</v>
      </c>
      <c r="F1884" s="919" t="s">
        <v>4041</v>
      </c>
      <c r="G1884" s="919" t="s">
        <v>4042</v>
      </c>
      <c r="H1884" s="919" t="s">
        <v>6071</v>
      </c>
      <c r="I1884" s="919" t="s">
        <v>3686</v>
      </c>
      <c r="J1884" s="919"/>
      <c r="K1884" s="920">
        <v>1</v>
      </c>
      <c r="L1884" s="920">
        <v>12</v>
      </c>
      <c r="M1884" s="920">
        <f t="shared" si="58"/>
        <v>19200</v>
      </c>
      <c r="N1884" s="919"/>
      <c r="O1884" s="919"/>
      <c r="P1884" s="921">
        <f t="shared" si="59"/>
        <v>0</v>
      </c>
    </row>
    <row r="1885" spans="1:16" ht="20.100000000000001" customHeight="1" x14ac:dyDescent="0.25">
      <c r="A1885" s="918" t="s">
        <v>487</v>
      </c>
      <c r="B1885" s="944" t="s">
        <v>3901</v>
      </c>
      <c r="C1885" s="919" t="s">
        <v>3902</v>
      </c>
      <c r="D1885" s="919" t="s">
        <v>6071</v>
      </c>
      <c r="E1885" s="920">
        <v>1600</v>
      </c>
      <c r="F1885" s="919" t="s">
        <v>7356</v>
      </c>
      <c r="G1885" s="919" t="s">
        <v>7357</v>
      </c>
      <c r="H1885" s="919" t="s">
        <v>6071</v>
      </c>
      <c r="I1885" s="919" t="s">
        <v>3686</v>
      </c>
      <c r="J1885" s="919"/>
      <c r="K1885" s="920">
        <v>1</v>
      </c>
      <c r="L1885" s="920">
        <v>12</v>
      </c>
      <c r="M1885" s="920">
        <f t="shared" si="58"/>
        <v>19200</v>
      </c>
      <c r="N1885" s="919"/>
      <c r="O1885" s="919"/>
      <c r="P1885" s="921">
        <f t="shared" si="59"/>
        <v>0</v>
      </c>
    </row>
    <row r="1886" spans="1:16" ht="20.100000000000001" customHeight="1" x14ac:dyDescent="0.25">
      <c r="A1886" s="918" t="s">
        <v>487</v>
      </c>
      <c r="B1886" s="944" t="s">
        <v>3901</v>
      </c>
      <c r="C1886" s="919" t="s">
        <v>3902</v>
      </c>
      <c r="D1886" s="919" t="s">
        <v>6071</v>
      </c>
      <c r="E1886" s="920">
        <v>1600</v>
      </c>
      <c r="F1886" s="919" t="s">
        <v>7358</v>
      </c>
      <c r="G1886" s="919" t="s">
        <v>7359</v>
      </c>
      <c r="H1886" s="919" t="s">
        <v>6071</v>
      </c>
      <c r="I1886" s="919" t="s">
        <v>3686</v>
      </c>
      <c r="J1886" s="919"/>
      <c r="K1886" s="920">
        <v>1</v>
      </c>
      <c r="L1886" s="920">
        <v>12</v>
      </c>
      <c r="M1886" s="920">
        <f t="shared" si="58"/>
        <v>19200</v>
      </c>
      <c r="N1886" s="919"/>
      <c r="O1886" s="919"/>
      <c r="P1886" s="921">
        <f t="shared" si="59"/>
        <v>0</v>
      </c>
    </row>
    <row r="1887" spans="1:16" ht="20.100000000000001" customHeight="1" x14ac:dyDescent="0.25">
      <c r="A1887" s="918" t="s">
        <v>487</v>
      </c>
      <c r="B1887" s="944" t="s">
        <v>3901</v>
      </c>
      <c r="C1887" s="919" t="s">
        <v>3902</v>
      </c>
      <c r="D1887" s="919" t="s">
        <v>6071</v>
      </c>
      <c r="E1887" s="920">
        <v>1700</v>
      </c>
      <c r="F1887" s="919" t="s">
        <v>7360</v>
      </c>
      <c r="G1887" s="919" t="s">
        <v>7361</v>
      </c>
      <c r="H1887" s="919" t="s">
        <v>6071</v>
      </c>
      <c r="I1887" s="919" t="s">
        <v>3686</v>
      </c>
      <c r="J1887" s="919"/>
      <c r="K1887" s="920">
        <v>1</v>
      </c>
      <c r="L1887" s="920">
        <v>12</v>
      </c>
      <c r="M1887" s="920">
        <f t="shared" si="58"/>
        <v>20400</v>
      </c>
      <c r="N1887" s="919"/>
      <c r="O1887" s="919"/>
      <c r="P1887" s="921">
        <f t="shared" si="59"/>
        <v>0</v>
      </c>
    </row>
    <row r="1888" spans="1:16" ht="20.100000000000001" customHeight="1" x14ac:dyDescent="0.25">
      <c r="A1888" s="918" t="s">
        <v>487</v>
      </c>
      <c r="B1888" s="944" t="s">
        <v>3901</v>
      </c>
      <c r="C1888" s="919" t="s">
        <v>3902</v>
      </c>
      <c r="D1888" s="919" t="s">
        <v>6071</v>
      </c>
      <c r="E1888" s="920">
        <v>1700</v>
      </c>
      <c r="F1888" s="919" t="s">
        <v>7362</v>
      </c>
      <c r="G1888" s="919" t="s">
        <v>7363</v>
      </c>
      <c r="H1888" s="919" t="s">
        <v>6071</v>
      </c>
      <c r="I1888" s="919" t="s">
        <v>3686</v>
      </c>
      <c r="J1888" s="919"/>
      <c r="K1888" s="920">
        <v>1</v>
      </c>
      <c r="L1888" s="920">
        <v>12</v>
      </c>
      <c r="M1888" s="920">
        <f t="shared" si="58"/>
        <v>20400</v>
      </c>
      <c r="N1888" s="919"/>
      <c r="O1888" s="919"/>
      <c r="P1888" s="921">
        <f t="shared" si="59"/>
        <v>0</v>
      </c>
    </row>
    <row r="1889" spans="1:16" ht="20.100000000000001" customHeight="1" x14ac:dyDescent="0.25">
      <c r="A1889" s="918" t="s">
        <v>487</v>
      </c>
      <c r="B1889" s="944" t="s">
        <v>3901</v>
      </c>
      <c r="C1889" s="919" t="s">
        <v>3902</v>
      </c>
      <c r="D1889" s="919" t="s">
        <v>6071</v>
      </c>
      <c r="E1889" s="920">
        <v>2200</v>
      </c>
      <c r="F1889" s="919" t="s">
        <v>4041</v>
      </c>
      <c r="G1889" s="919" t="s">
        <v>4042</v>
      </c>
      <c r="H1889" s="919" t="s">
        <v>6071</v>
      </c>
      <c r="I1889" s="919" t="s">
        <v>3686</v>
      </c>
      <c r="J1889" s="919"/>
      <c r="K1889" s="920">
        <v>1</v>
      </c>
      <c r="L1889" s="920">
        <v>12</v>
      </c>
      <c r="M1889" s="920">
        <f t="shared" si="58"/>
        <v>26400</v>
      </c>
      <c r="N1889" s="919"/>
      <c r="O1889" s="919"/>
      <c r="P1889" s="921">
        <f t="shared" si="59"/>
        <v>0</v>
      </c>
    </row>
    <row r="1890" spans="1:16" ht="20.100000000000001" customHeight="1" x14ac:dyDescent="0.25">
      <c r="A1890" s="918" t="s">
        <v>487</v>
      </c>
      <c r="B1890" s="944" t="s">
        <v>3901</v>
      </c>
      <c r="C1890" s="919" t="s">
        <v>3902</v>
      </c>
      <c r="D1890" s="919" t="s">
        <v>3999</v>
      </c>
      <c r="E1890" s="920">
        <v>2100</v>
      </c>
      <c r="F1890" s="919" t="s">
        <v>7364</v>
      </c>
      <c r="G1890" s="919" t="s">
        <v>7365</v>
      </c>
      <c r="H1890" s="919" t="s">
        <v>3999</v>
      </c>
      <c r="I1890" s="919" t="s">
        <v>3724</v>
      </c>
      <c r="J1890" s="919"/>
      <c r="K1890" s="920">
        <v>1</v>
      </c>
      <c r="L1890" s="920">
        <v>12</v>
      </c>
      <c r="M1890" s="920">
        <f t="shared" si="58"/>
        <v>25200</v>
      </c>
      <c r="N1890" s="919"/>
      <c r="O1890" s="919"/>
      <c r="P1890" s="921">
        <f t="shared" si="59"/>
        <v>0</v>
      </c>
    </row>
    <row r="1891" spans="1:16" ht="20.100000000000001" customHeight="1" x14ac:dyDescent="0.25">
      <c r="A1891" s="918" t="s">
        <v>487</v>
      </c>
      <c r="B1891" s="944" t="s">
        <v>3901</v>
      </c>
      <c r="C1891" s="919" t="s">
        <v>3902</v>
      </c>
      <c r="D1891" s="919" t="s">
        <v>3999</v>
      </c>
      <c r="E1891" s="920">
        <v>2100</v>
      </c>
      <c r="F1891" s="919" t="s">
        <v>4041</v>
      </c>
      <c r="G1891" s="919" t="s">
        <v>4042</v>
      </c>
      <c r="H1891" s="919" t="s">
        <v>3999</v>
      </c>
      <c r="I1891" s="919" t="s">
        <v>3724</v>
      </c>
      <c r="J1891" s="919"/>
      <c r="K1891" s="920">
        <v>1</v>
      </c>
      <c r="L1891" s="920">
        <v>12</v>
      </c>
      <c r="M1891" s="920">
        <f t="shared" si="58"/>
        <v>25200</v>
      </c>
      <c r="N1891" s="919"/>
      <c r="O1891" s="919"/>
      <c r="P1891" s="921">
        <f t="shared" si="59"/>
        <v>0</v>
      </c>
    </row>
    <row r="1892" spans="1:16" ht="20.100000000000001" customHeight="1" x14ac:dyDescent="0.25">
      <c r="A1892" s="918" t="s">
        <v>487</v>
      </c>
      <c r="B1892" s="944" t="s">
        <v>3901</v>
      </c>
      <c r="C1892" s="919" t="s">
        <v>3902</v>
      </c>
      <c r="D1892" s="919" t="s">
        <v>3999</v>
      </c>
      <c r="E1892" s="920">
        <v>2100</v>
      </c>
      <c r="F1892" s="919" t="s">
        <v>7366</v>
      </c>
      <c r="G1892" s="919" t="s">
        <v>7367</v>
      </c>
      <c r="H1892" s="919" t="s">
        <v>3999</v>
      </c>
      <c r="I1892" s="919" t="s">
        <v>3724</v>
      </c>
      <c r="J1892" s="919"/>
      <c r="K1892" s="920">
        <v>1</v>
      </c>
      <c r="L1892" s="920">
        <v>12</v>
      </c>
      <c r="M1892" s="920">
        <f t="shared" si="58"/>
        <v>25200</v>
      </c>
      <c r="N1892" s="919"/>
      <c r="O1892" s="919"/>
      <c r="P1892" s="921">
        <f t="shared" si="59"/>
        <v>0</v>
      </c>
    </row>
    <row r="1893" spans="1:16" ht="20.100000000000001" customHeight="1" x14ac:dyDescent="0.25">
      <c r="A1893" s="918" t="s">
        <v>487</v>
      </c>
      <c r="B1893" s="944" t="s">
        <v>3901</v>
      </c>
      <c r="C1893" s="919" t="s">
        <v>3902</v>
      </c>
      <c r="D1893" s="919" t="s">
        <v>3999</v>
      </c>
      <c r="E1893" s="920">
        <v>2400</v>
      </c>
      <c r="F1893" s="919" t="s">
        <v>7368</v>
      </c>
      <c r="G1893" s="919" t="s">
        <v>7369</v>
      </c>
      <c r="H1893" s="919" t="s">
        <v>3999</v>
      </c>
      <c r="I1893" s="919" t="s">
        <v>3724</v>
      </c>
      <c r="J1893" s="919"/>
      <c r="K1893" s="920">
        <v>1</v>
      </c>
      <c r="L1893" s="920">
        <v>12</v>
      </c>
      <c r="M1893" s="920">
        <f t="shared" si="58"/>
        <v>28800</v>
      </c>
      <c r="N1893" s="919"/>
      <c r="O1893" s="919"/>
      <c r="P1893" s="921">
        <f t="shared" si="59"/>
        <v>0</v>
      </c>
    </row>
    <row r="1894" spans="1:16" ht="20.100000000000001" customHeight="1" x14ac:dyDescent="0.25">
      <c r="A1894" s="918" t="s">
        <v>487</v>
      </c>
      <c r="B1894" s="944" t="s">
        <v>3901</v>
      </c>
      <c r="C1894" s="919" t="s">
        <v>3902</v>
      </c>
      <c r="D1894" s="919" t="s">
        <v>3999</v>
      </c>
      <c r="E1894" s="920">
        <v>2400</v>
      </c>
      <c r="F1894" s="919" t="s">
        <v>7370</v>
      </c>
      <c r="G1894" s="919" t="s">
        <v>7371</v>
      </c>
      <c r="H1894" s="919" t="s">
        <v>3999</v>
      </c>
      <c r="I1894" s="919" t="s">
        <v>3724</v>
      </c>
      <c r="J1894" s="919"/>
      <c r="K1894" s="920">
        <v>1</v>
      </c>
      <c r="L1894" s="920">
        <v>12</v>
      </c>
      <c r="M1894" s="920">
        <f t="shared" si="58"/>
        <v>28800</v>
      </c>
      <c r="N1894" s="919"/>
      <c r="O1894" s="919"/>
      <c r="P1894" s="921">
        <f t="shared" si="59"/>
        <v>0</v>
      </c>
    </row>
    <row r="1895" spans="1:16" ht="20.100000000000001" customHeight="1" x14ac:dyDescent="0.25">
      <c r="A1895" s="918" t="s">
        <v>487</v>
      </c>
      <c r="B1895" s="944" t="s">
        <v>3901</v>
      </c>
      <c r="C1895" s="919" t="s">
        <v>3902</v>
      </c>
      <c r="D1895" s="919" t="s">
        <v>3999</v>
      </c>
      <c r="E1895" s="920">
        <v>2400</v>
      </c>
      <c r="F1895" s="919" t="s">
        <v>4041</v>
      </c>
      <c r="G1895" s="919" t="s">
        <v>4042</v>
      </c>
      <c r="H1895" s="919" t="s">
        <v>3999</v>
      </c>
      <c r="I1895" s="919" t="s">
        <v>3724</v>
      </c>
      <c r="J1895" s="919"/>
      <c r="K1895" s="920">
        <v>1</v>
      </c>
      <c r="L1895" s="920">
        <v>12</v>
      </c>
      <c r="M1895" s="920">
        <f t="shared" si="58"/>
        <v>28800</v>
      </c>
      <c r="N1895" s="919"/>
      <c r="O1895" s="919"/>
      <c r="P1895" s="921">
        <f t="shared" si="59"/>
        <v>0</v>
      </c>
    </row>
    <row r="1896" spans="1:16" ht="20.100000000000001" customHeight="1" x14ac:dyDescent="0.25">
      <c r="A1896" s="918" t="s">
        <v>487</v>
      </c>
      <c r="B1896" s="944" t="s">
        <v>3901</v>
      </c>
      <c r="C1896" s="919" t="s">
        <v>3902</v>
      </c>
      <c r="D1896" s="919" t="s">
        <v>3999</v>
      </c>
      <c r="E1896" s="920">
        <v>2500</v>
      </c>
      <c r="F1896" s="919" t="s">
        <v>7372</v>
      </c>
      <c r="G1896" s="919" t="s">
        <v>7373</v>
      </c>
      <c r="H1896" s="919" t="s">
        <v>3999</v>
      </c>
      <c r="I1896" s="919" t="s">
        <v>3724</v>
      </c>
      <c r="J1896" s="919"/>
      <c r="K1896" s="920">
        <v>1</v>
      </c>
      <c r="L1896" s="920">
        <v>12</v>
      </c>
      <c r="M1896" s="920">
        <f t="shared" si="58"/>
        <v>30000</v>
      </c>
      <c r="N1896" s="919"/>
      <c r="O1896" s="919"/>
      <c r="P1896" s="921">
        <f t="shared" si="59"/>
        <v>0</v>
      </c>
    </row>
    <row r="1897" spans="1:16" ht="20.100000000000001" customHeight="1" x14ac:dyDescent="0.25">
      <c r="A1897" s="918" t="s">
        <v>487</v>
      </c>
      <c r="B1897" s="944" t="s">
        <v>3901</v>
      </c>
      <c r="C1897" s="919" t="s">
        <v>3902</v>
      </c>
      <c r="D1897" s="919" t="s">
        <v>3999</v>
      </c>
      <c r="E1897" s="920">
        <v>2500</v>
      </c>
      <c r="F1897" s="919" t="s">
        <v>7374</v>
      </c>
      <c r="G1897" s="919" t="s">
        <v>7375</v>
      </c>
      <c r="H1897" s="919" t="s">
        <v>3999</v>
      </c>
      <c r="I1897" s="919" t="s">
        <v>3724</v>
      </c>
      <c r="J1897" s="919"/>
      <c r="K1897" s="920">
        <v>1</v>
      </c>
      <c r="L1897" s="920">
        <v>12</v>
      </c>
      <c r="M1897" s="920">
        <f t="shared" si="58"/>
        <v>30000</v>
      </c>
      <c r="N1897" s="919"/>
      <c r="O1897" s="919"/>
      <c r="P1897" s="921">
        <f t="shared" si="59"/>
        <v>0</v>
      </c>
    </row>
    <row r="1898" spans="1:16" ht="20.100000000000001" customHeight="1" x14ac:dyDescent="0.25">
      <c r="A1898" s="918" t="s">
        <v>487</v>
      </c>
      <c r="B1898" s="944" t="s">
        <v>3901</v>
      </c>
      <c r="C1898" s="919" t="s">
        <v>3902</v>
      </c>
      <c r="D1898" s="919" t="s">
        <v>3999</v>
      </c>
      <c r="E1898" s="920">
        <v>2600</v>
      </c>
      <c r="F1898" s="919" t="s">
        <v>4041</v>
      </c>
      <c r="G1898" s="919" t="s">
        <v>4042</v>
      </c>
      <c r="H1898" s="919" t="s">
        <v>3999</v>
      </c>
      <c r="I1898" s="919" t="s">
        <v>3724</v>
      </c>
      <c r="J1898" s="919"/>
      <c r="K1898" s="920">
        <v>1</v>
      </c>
      <c r="L1898" s="920">
        <v>12</v>
      </c>
      <c r="M1898" s="920">
        <f t="shared" si="58"/>
        <v>31200</v>
      </c>
      <c r="N1898" s="919"/>
      <c r="O1898" s="919"/>
      <c r="P1898" s="921">
        <f t="shared" si="59"/>
        <v>0</v>
      </c>
    </row>
    <row r="1899" spans="1:16" ht="20.100000000000001" customHeight="1" x14ac:dyDescent="0.25">
      <c r="A1899" s="918" t="s">
        <v>487</v>
      </c>
      <c r="B1899" s="944" t="s">
        <v>3901</v>
      </c>
      <c r="C1899" s="919" t="s">
        <v>3902</v>
      </c>
      <c r="D1899" s="919" t="s">
        <v>3999</v>
      </c>
      <c r="E1899" s="920">
        <v>3300</v>
      </c>
      <c r="F1899" s="919" t="s">
        <v>7376</v>
      </c>
      <c r="G1899" s="919" t="s">
        <v>7377</v>
      </c>
      <c r="H1899" s="919" t="s">
        <v>3999</v>
      </c>
      <c r="I1899" s="919" t="s">
        <v>3724</v>
      </c>
      <c r="J1899" s="919"/>
      <c r="K1899" s="920">
        <v>1</v>
      </c>
      <c r="L1899" s="920">
        <v>12</v>
      </c>
      <c r="M1899" s="920">
        <f t="shared" si="58"/>
        <v>39600</v>
      </c>
      <c r="N1899" s="919"/>
      <c r="O1899" s="919"/>
      <c r="P1899" s="921">
        <f t="shared" si="59"/>
        <v>0</v>
      </c>
    </row>
    <row r="1900" spans="1:16" ht="20.100000000000001" customHeight="1" x14ac:dyDescent="0.25">
      <c r="A1900" s="918" t="s">
        <v>487</v>
      </c>
      <c r="B1900" s="944" t="s">
        <v>3901</v>
      </c>
      <c r="C1900" s="919" t="s">
        <v>3902</v>
      </c>
      <c r="D1900" s="919" t="s">
        <v>3999</v>
      </c>
      <c r="E1900" s="920">
        <v>3300</v>
      </c>
      <c r="F1900" s="919" t="s">
        <v>7378</v>
      </c>
      <c r="G1900" s="919" t="s">
        <v>7379</v>
      </c>
      <c r="H1900" s="919" t="s">
        <v>3999</v>
      </c>
      <c r="I1900" s="919" t="s">
        <v>3724</v>
      </c>
      <c r="J1900" s="919"/>
      <c r="K1900" s="920">
        <v>1</v>
      </c>
      <c r="L1900" s="920">
        <v>12</v>
      </c>
      <c r="M1900" s="920">
        <f t="shared" si="58"/>
        <v>39600</v>
      </c>
      <c r="N1900" s="919"/>
      <c r="O1900" s="919"/>
      <c r="P1900" s="921">
        <f t="shared" si="59"/>
        <v>0</v>
      </c>
    </row>
    <row r="1901" spans="1:16" ht="20.100000000000001" customHeight="1" x14ac:dyDescent="0.25">
      <c r="A1901" s="918" t="s">
        <v>487</v>
      </c>
      <c r="B1901" s="944" t="s">
        <v>3901</v>
      </c>
      <c r="C1901" s="919" t="s">
        <v>3902</v>
      </c>
      <c r="D1901" s="919" t="s">
        <v>3999</v>
      </c>
      <c r="E1901" s="920">
        <v>3500</v>
      </c>
      <c r="F1901" s="919" t="s">
        <v>4041</v>
      </c>
      <c r="G1901" s="919" t="s">
        <v>4042</v>
      </c>
      <c r="H1901" s="919" t="s">
        <v>3999</v>
      </c>
      <c r="I1901" s="919" t="s">
        <v>3724</v>
      </c>
      <c r="J1901" s="919"/>
      <c r="K1901" s="920">
        <v>1</v>
      </c>
      <c r="L1901" s="920">
        <v>12</v>
      </c>
      <c r="M1901" s="920">
        <f t="shared" si="58"/>
        <v>42000</v>
      </c>
      <c r="N1901" s="919"/>
      <c r="O1901" s="919"/>
      <c r="P1901" s="921">
        <f t="shared" si="59"/>
        <v>0</v>
      </c>
    </row>
    <row r="1902" spans="1:16" ht="20.100000000000001" customHeight="1" x14ac:dyDescent="0.25">
      <c r="A1902" s="918" t="s">
        <v>487</v>
      </c>
      <c r="B1902" s="944" t="s">
        <v>3901</v>
      </c>
      <c r="C1902" s="919" t="s">
        <v>3902</v>
      </c>
      <c r="D1902" s="919" t="s">
        <v>3999</v>
      </c>
      <c r="E1902" s="920">
        <v>3500</v>
      </c>
      <c r="F1902" s="919" t="s">
        <v>4041</v>
      </c>
      <c r="G1902" s="919" t="s">
        <v>4042</v>
      </c>
      <c r="H1902" s="919" t="s">
        <v>3999</v>
      </c>
      <c r="I1902" s="919" t="s">
        <v>3724</v>
      </c>
      <c r="J1902" s="919"/>
      <c r="K1902" s="920">
        <v>1</v>
      </c>
      <c r="L1902" s="920">
        <v>12</v>
      </c>
      <c r="M1902" s="920">
        <f t="shared" si="58"/>
        <v>42000</v>
      </c>
      <c r="N1902" s="919"/>
      <c r="O1902" s="919"/>
      <c r="P1902" s="921">
        <f t="shared" si="59"/>
        <v>0</v>
      </c>
    </row>
    <row r="1903" spans="1:16" ht="20.100000000000001" customHeight="1" x14ac:dyDescent="0.25">
      <c r="A1903" s="918" t="s">
        <v>487</v>
      </c>
      <c r="B1903" s="944" t="s">
        <v>3901</v>
      </c>
      <c r="C1903" s="919" t="s">
        <v>3902</v>
      </c>
      <c r="D1903" s="919" t="s">
        <v>3999</v>
      </c>
      <c r="E1903" s="920">
        <v>3800</v>
      </c>
      <c r="F1903" s="919" t="s">
        <v>7380</v>
      </c>
      <c r="G1903" s="919" t="s">
        <v>7381</v>
      </c>
      <c r="H1903" s="919" t="s">
        <v>3999</v>
      </c>
      <c r="I1903" s="919" t="s">
        <v>3724</v>
      </c>
      <c r="J1903" s="919"/>
      <c r="K1903" s="920">
        <v>1</v>
      </c>
      <c r="L1903" s="920">
        <v>12</v>
      </c>
      <c r="M1903" s="920">
        <f t="shared" si="58"/>
        <v>45600</v>
      </c>
      <c r="N1903" s="919"/>
      <c r="O1903" s="919"/>
      <c r="P1903" s="921">
        <f t="shared" si="59"/>
        <v>0</v>
      </c>
    </row>
    <row r="1904" spans="1:16" ht="20.100000000000001" customHeight="1" x14ac:dyDescent="0.25">
      <c r="A1904" s="918" t="s">
        <v>487</v>
      </c>
      <c r="B1904" s="944" t="s">
        <v>3901</v>
      </c>
      <c r="C1904" s="919" t="s">
        <v>3902</v>
      </c>
      <c r="D1904" s="919" t="s">
        <v>6324</v>
      </c>
      <c r="E1904" s="920">
        <v>2400</v>
      </c>
      <c r="F1904" s="919" t="s">
        <v>7382</v>
      </c>
      <c r="G1904" s="919" t="s">
        <v>7383</v>
      </c>
      <c r="H1904" s="919" t="s">
        <v>6324</v>
      </c>
      <c r="I1904" s="919" t="s">
        <v>3679</v>
      </c>
      <c r="J1904" s="919"/>
      <c r="K1904" s="920">
        <v>1</v>
      </c>
      <c r="L1904" s="920">
        <v>12</v>
      </c>
      <c r="M1904" s="920">
        <f t="shared" si="58"/>
        <v>28800</v>
      </c>
      <c r="N1904" s="919"/>
      <c r="O1904" s="919"/>
      <c r="P1904" s="921">
        <f t="shared" si="59"/>
        <v>0</v>
      </c>
    </row>
    <row r="1905" spans="1:16" ht="20.100000000000001" customHeight="1" x14ac:dyDescent="0.25">
      <c r="A1905" s="918" t="s">
        <v>487</v>
      </c>
      <c r="B1905" s="944" t="s">
        <v>3901</v>
      </c>
      <c r="C1905" s="919" t="s">
        <v>3902</v>
      </c>
      <c r="D1905" s="919" t="s">
        <v>7384</v>
      </c>
      <c r="E1905" s="920">
        <v>1500</v>
      </c>
      <c r="F1905" s="919" t="s">
        <v>7385</v>
      </c>
      <c r="G1905" s="919" t="s">
        <v>7386</v>
      </c>
      <c r="H1905" s="919" t="s">
        <v>7384</v>
      </c>
      <c r="I1905" s="919" t="s">
        <v>3686</v>
      </c>
      <c r="J1905" s="919"/>
      <c r="K1905" s="920">
        <v>1</v>
      </c>
      <c r="L1905" s="920">
        <v>12</v>
      </c>
      <c r="M1905" s="920">
        <f t="shared" si="58"/>
        <v>18000</v>
      </c>
      <c r="N1905" s="919"/>
      <c r="O1905" s="919"/>
      <c r="P1905" s="921">
        <f t="shared" si="59"/>
        <v>0</v>
      </c>
    </row>
    <row r="1906" spans="1:16" ht="20.100000000000001" customHeight="1" x14ac:dyDescent="0.25">
      <c r="A1906" s="918" t="s">
        <v>487</v>
      </c>
      <c r="B1906" s="944" t="s">
        <v>3901</v>
      </c>
      <c r="C1906" s="919" t="s">
        <v>3902</v>
      </c>
      <c r="D1906" s="919" t="s">
        <v>6120</v>
      </c>
      <c r="E1906" s="920">
        <v>3300</v>
      </c>
      <c r="F1906" s="919" t="s">
        <v>4041</v>
      </c>
      <c r="G1906" s="919" t="s">
        <v>4042</v>
      </c>
      <c r="H1906" s="919" t="s">
        <v>6120</v>
      </c>
      <c r="I1906" s="919" t="s">
        <v>3724</v>
      </c>
      <c r="J1906" s="919"/>
      <c r="K1906" s="920">
        <v>1</v>
      </c>
      <c r="L1906" s="920">
        <v>12</v>
      </c>
      <c r="M1906" s="920">
        <f t="shared" si="58"/>
        <v>39600</v>
      </c>
      <c r="N1906" s="919"/>
      <c r="O1906" s="919"/>
      <c r="P1906" s="921">
        <f t="shared" si="59"/>
        <v>0</v>
      </c>
    </row>
    <row r="1907" spans="1:16" ht="20.100000000000001" customHeight="1" x14ac:dyDescent="0.25">
      <c r="A1907" s="918" t="s">
        <v>487</v>
      </c>
      <c r="B1907" s="944" t="s">
        <v>3901</v>
      </c>
      <c r="C1907" s="919" t="s">
        <v>3902</v>
      </c>
      <c r="D1907" s="919" t="s">
        <v>6120</v>
      </c>
      <c r="E1907" s="920">
        <v>3300</v>
      </c>
      <c r="F1907" s="919" t="s">
        <v>7387</v>
      </c>
      <c r="G1907" s="919" t="s">
        <v>7388</v>
      </c>
      <c r="H1907" s="919" t="s">
        <v>6120</v>
      </c>
      <c r="I1907" s="919" t="s">
        <v>3724</v>
      </c>
      <c r="J1907" s="919"/>
      <c r="K1907" s="920">
        <v>1</v>
      </c>
      <c r="L1907" s="920">
        <v>12</v>
      </c>
      <c r="M1907" s="920">
        <f t="shared" si="58"/>
        <v>39600</v>
      </c>
      <c r="N1907" s="919"/>
      <c r="O1907" s="919"/>
      <c r="P1907" s="921">
        <f t="shared" si="59"/>
        <v>0</v>
      </c>
    </row>
    <row r="1908" spans="1:16" ht="20.100000000000001" customHeight="1" x14ac:dyDescent="0.25">
      <c r="A1908" s="918" t="s">
        <v>487</v>
      </c>
      <c r="B1908" s="944" t="s">
        <v>3901</v>
      </c>
      <c r="C1908" s="919" t="s">
        <v>3902</v>
      </c>
      <c r="D1908" s="919" t="s">
        <v>6120</v>
      </c>
      <c r="E1908" s="920">
        <v>3300</v>
      </c>
      <c r="F1908" s="919" t="s">
        <v>4041</v>
      </c>
      <c r="G1908" s="919" t="s">
        <v>4042</v>
      </c>
      <c r="H1908" s="919" t="s">
        <v>6120</v>
      </c>
      <c r="I1908" s="919" t="s">
        <v>3724</v>
      </c>
      <c r="J1908" s="919"/>
      <c r="K1908" s="920">
        <v>1</v>
      </c>
      <c r="L1908" s="920">
        <v>12</v>
      </c>
      <c r="M1908" s="920">
        <f t="shared" si="58"/>
        <v>39600</v>
      </c>
      <c r="N1908" s="919"/>
      <c r="O1908" s="919"/>
      <c r="P1908" s="921">
        <f t="shared" si="59"/>
        <v>0</v>
      </c>
    </row>
    <row r="1909" spans="1:16" ht="20.100000000000001" customHeight="1" x14ac:dyDescent="0.25">
      <c r="A1909" s="918" t="s">
        <v>487</v>
      </c>
      <c r="B1909" s="944" t="s">
        <v>3901</v>
      </c>
      <c r="C1909" s="919" t="s">
        <v>3902</v>
      </c>
      <c r="D1909" s="919" t="s">
        <v>6120</v>
      </c>
      <c r="E1909" s="920">
        <v>3300</v>
      </c>
      <c r="F1909" s="919" t="s">
        <v>7389</v>
      </c>
      <c r="G1909" s="919" t="s">
        <v>7390</v>
      </c>
      <c r="H1909" s="919" t="s">
        <v>6120</v>
      </c>
      <c r="I1909" s="919" t="s">
        <v>3724</v>
      </c>
      <c r="J1909" s="919"/>
      <c r="K1909" s="920">
        <v>1</v>
      </c>
      <c r="L1909" s="920">
        <v>12</v>
      </c>
      <c r="M1909" s="920">
        <f t="shared" si="58"/>
        <v>39600</v>
      </c>
      <c r="N1909" s="919"/>
      <c r="O1909" s="919"/>
      <c r="P1909" s="921">
        <f t="shared" si="59"/>
        <v>0</v>
      </c>
    </row>
    <row r="1910" spans="1:16" ht="20.100000000000001" customHeight="1" x14ac:dyDescent="0.25">
      <c r="A1910" s="918" t="s">
        <v>487</v>
      </c>
      <c r="B1910" s="944" t="s">
        <v>3901</v>
      </c>
      <c r="C1910" s="919" t="s">
        <v>3902</v>
      </c>
      <c r="D1910" s="919" t="s">
        <v>6120</v>
      </c>
      <c r="E1910" s="920">
        <v>3300</v>
      </c>
      <c r="F1910" s="919" t="s">
        <v>4041</v>
      </c>
      <c r="G1910" s="919" t="s">
        <v>4042</v>
      </c>
      <c r="H1910" s="919" t="s">
        <v>6120</v>
      </c>
      <c r="I1910" s="919" t="s">
        <v>3724</v>
      </c>
      <c r="J1910" s="919"/>
      <c r="K1910" s="920">
        <v>1</v>
      </c>
      <c r="L1910" s="920">
        <v>12</v>
      </c>
      <c r="M1910" s="920">
        <f t="shared" si="58"/>
        <v>39600</v>
      </c>
      <c r="N1910" s="919"/>
      <c r="O1910" s="919"/>
      <c r="P1910" s="921">
        <f t="shared" si="59"/>
        <v>0</v>
      </c>
    </row>
    <row r="1911" spans="1:16" ht="20.100000000000001" customHeight="1" x14ac:dyDescent="0.25">
      <c r="A1911" s="918" t="s">
        <v>487</v>
      </c>
      <c r="B1911" s="944" t="s">
        <v>3901</v>
      </c>
      <c r="C1911" s="919" t="s">
        <v>3902</v>
      </c>
      <c r="D1911" s="919" t="s">
        <v>6120</v>
      </c>
      <c r="E1911" s="920">
        <v>4000</v>
      </c>
      <c r="F1911" s="919" t="s">
        <v>4041</v>
      </c>
      <c r="G1911" s="919" t="s">
        <v>4042</v>
      </c>
      <c r="H1911" s="919" t="s">
        <v>6120</v>
      </c>
      <c r="I1911" s="919" t="s">
        <v>3724</v>
      </c>
      <c r="J1911" s="919"/>
      <c r="K1911" s="920">
        <v>1</v>
      </c>
      <c r="L1911" s="920">
        <v>12</v>
      </c>
      <c r="M1911" s="920">
        <f t="shared" si="58"/>
        <v>48000</v>
      </c>
      <c r="N1911" s="919"/>
      <c r="O1911" s="919"/>
      <c r="P1911" s="921">
        <f t="shared" si="59"/>
        <v>0</v>
      </c>
    </row>
    <row r="1912" spans="1:16" ht="20.100000000000001" customHeight="1" x14ac:dyDescent="0.25">
      <c r="A1912" s="918" t="s">
        <v>487</v>
      </c>
      <c r="B1912" s="944" t="s">
        <v>3901</v>
      </c>
      <c r="C1912" s="919" t="s">
        <v>3902</v>
      </c>
      <c r="D1912" s="919" t="s">
        <v>6125</v>
      </c>
      <c r="E1912" s="920">
        <v>2300</v>
      </c>
      <c r="F1912" s="919" t="s">
        <v>4041</v>
      </c>
      <c r="G1912" s="919" t="s">
        <v>4042</v>
      </c>
      <c r="H1912" s="919" t="s">
        <v>6125</v>
      </c>
      <c r="I1912" s="919" t="s">
        <v>3724</v>
      </c>
      <c r="J1912" s="919"/>
      <c r="K1912" s="920">
        <v>1</v>
      </c>
      <c r="L1912" s="920">
        <v>12</v>
      </c>
      <c r="M1912" s="920">
        <f t="shared" si="58"/>
        <v>27600</v>
      </c>
      <c r="N1912" s="919"/>
      <c r="O1912" s="919"/>
      <c r="P1912" s="921">
        <f t="shared" si="59"/>
        <v>0</v>
      </c>
    </row>
    <row r="1913" spans="1:16" ht="20.100000000000001" customHeight="1" x14ac:dyDescent="0.25">
      <c r="A1913" s="918" t="s">
        <v>487</v>
      </c>
      <c r="B1913" s="944" t="s">
        <v>3901</v>
      </c>
      <c r="C1913" s="919" t="s">
        <v>3902</v>
      </c>
      <c r="D1913" s="919" t="s">
        <v>4352</v>
      </c>
      <c r="E1913" s="920">
        <v>2100</v>
      </c>
      <c r="F1913" s="919" t="s">
        <v>4041</v>
      </c>
      <c r="G1913" s="919" t="s">
        <v>4042</v>
      </c>
      <c r="H1913" s="919" t="s">
        <v>4352</v>
      </c>
      <c r="I1913" s="919" t="s">
        <v>3724</v>
      </c>
      <c r="J1913" s="919"/>
      <c r="K1913" s="920">
        <v>1</v>
      </c>
      <c r="L1913" s="920">
        <v>12</v>
      </c>
      <c r="M1913" s="920">
        <f t="shared" si="58"/>
        <v>25200</v>
      </c>
      <c r="N1913" s="919"/>
      <c r="O1913" s="919"/>
      <c r="P1913" s="921">
        <f t="shared" si="59"/>
        <v>0</v>
      </c>
    </row>
    <row r="1914" spans="1:16" ht="20.100000000000001" customHeight="1" x14ac:dyDescent="0.25">
      <c r="A1914" s="918" t="s">
        <v>487</v>
      </c>
      <c r="B1914" s="944" t="s">
        <v>3901</v>
      </c>
      <c r="C1914" s="919" t="s">
        <v>3902</v>
      </c>
      <c r="D1914" s="919" t="s">
        <v>4352</v>
      </c>
      <c r="E1914" s="920">
        <v>2100</v>
      </c>
      <c r="F1914" s="919" t="s">
        <v>7391</v>
      </c>
      <c r="G1914" s="919" t="s">
        <v>7392</v>
      </c>
      <c r="H1914" s="919" t="s">
        <v>4352</v>
      </c>
      <c r="I1914" s="919" t="s">
        <v>3724</v>
      </c>
      <c r="J1914" s="919"/>
      <c r="K1914" s="920">
        <v>1</v>
      </c>
      <c r="L1914" s="920">
        <v>12</v>
      </c>
      <c r="M1914" s="920">
        <f t="shared" si="58"/>
        <v>25200</v>
      </c>
      <c r="N1914" s="919"/>
      <c r="O1914" s="919"/>
      <c r="P1914" s="921">
        <f t="shared" si="59"/>
        <v>0</v>
      </c>
    </row>
    <row r="1915" spans="1:16" ht="20.100000000000001" customHeight="1" x14ac:dyDescent="0.25">
      <c r="A1915" s="918" t="s">
        <v>487</v>
      </c>
      <c r="B1915" s="944" t="s">
        <v>3901</v>
      </c>
      <c r="C1915" s="919" t="s">
        <v>3902</v>
      </c>
      <c r="D1915" s="919" t="s">
        <v>4352</v>
      </c>
      <c r="E1915" s="920">
        <v>2300</v>
      </c>
      <c r="F1915" s="919" t="s">
        <v>7393</v>
      </c>
      <c r="G1915" s="919" t="s">
        <v>7394</v>
      </c>
      <c r="H1915" s="919" t="s">
        <v>4352</v>
      </c>
      <c r="I1915" s="919" t="s">
        <v>3724</v>
      </c>
      <c r="J1915" s="919"/>
      <c r="K1915" s="920">
        <v>1</v>
      </c>
      <c r="L1915" s="920">
        <v>12</v>
      </c>
      <c r="M1915" s="920">
        <f t="shared" si="58"/>
        <v>27600</v>
      </c>
      <c r="N1915" s="919"/>
      <c r="O1915" s="919"/>
      <c r="P1915" s="921">
        <f t="shared" si="59"/>
        <v>0</v>
      </c>
    </row>
    <row r="1916" spans="1:16" ht="20.100000000000001" customHeight="1" x14ac:dyDescent="0.25">
      <c r="A1916" s="918" t="s">
        <v>487</v>
      </c>
      <c r="B1916" s="944" t="s">
        <v>3901</v>
      </c>
      <c r="C1916" s="919" t="s">
        <v>3902</v>
      </c>
      <c r="D1916" s="919" t="s">
        <v>4352</v>
      </c>
      <c r="E1916" s="920">
        <v>2300</v>
      </c>
      <c r="F1916" s="919" t="s">
        <v>7395</v>
      </c>
      <c r="G1916" s="919" t="s">
        <v>7396</v>
      </c>
      <c r="H1916" s="919" t="s">
        <v>4352</v>
      </c>
      <c r="I1916" s="919" t="s">
        <v>3724</v>
      </c>
      <c r="J1916" s="919"/>
      <c r="K1916" s="920">
        <v>1</v>
      </c>
      <c r="L1916" s="920">
        <v>12</v>
      </c>
      <c r="M1916" s="920">
        <f t="shared" si="58"/>
        <v>27600</v>
      </c>
      <c r="N1916" s="919"/>
      <c r="O1916" s="919"/>
      <c r="P1916" s="921">
        <f t="shared" si="59"/>
        <v>0</v>
      </c>
    </row>
    <row r="1917" spans="1:16" ht="20.100000000000001" customHeight="1" x14ac:dyDescent="0.25">
      <c r="A1917" s="918" t="s">
        <v>487</v>
      </c>
      <c r="B1917" s="944" t="s">
        <v>3901</v>
      </c>
      <c r="C1917" s="919" t="s">
        <v>3902</v>
      </c>
      <c r="D1917" s="919" t="s">
        <v>4352</v>
      </c>
      <c r="E1917" s="920">
        <v>3300</v>
      </c>
      <c r="F1917" s="919" t="s">
        <v>7397</v>
      </c>
      <c r="G1917" s="919" t="s">
        <v>7398</v>
      </c>
      <c r="H1917" s="919" t="s">
        <v>4352</v>
      </c>
      <c r="I1917" s="919" t="s">
        <v>3724</v>
      </c>
      <c r="J1917" s="919"/>
      <c r="K1917" s="920">
        <v>1</v>
      </c>
      <c r="L1917" s="920">
        <v>12</v>
      </c>
      <c r="M1917" s="920">
        <f t="shared" si="58"/>
        <v>39600</v>
      </c>
      <c r="N1917" s="919"/>
      <c r="O1917" s="919"/>
      <c r="P1917" s="921">
        <f t="shared" si="59"/>
        <v>0</v>
      </c>
    </row>
    <row r="1918" spans="1:16" ht="20.100000000000001" customHeight="1" x14ac:dyDescent="0.25">
      <c r="A1918" s="918" t="s">
        <v>487</v>
      </c>
      <c r="B1918" s="944" t="s">
        <v>3901</v>
      </c>
      <c r="C1918" s="919" t="s">
        <v>3902</v>
      </c>
      <c r="D1918" s="919" t="s">
        <v>4352</v>
      </c>
      <c r="E1918" s="920">
        <v>3800</v>
      </c>
      <c r="F1918" s="919" t="s">
        <v>4041</v>
      </c>
      <c r="G1918" s="919" t="s">
        <v>4042</v>
      </c>
      <c r="H1918" s="919" t="s">
        <v>4352</v>
      </c>
      <c r="I1918" s="919" t="s">
        <v>3724</v>
      </c>
      <c r="J1918" s="919"/>
      <c r="K1918" s="920">
        <v>1</v>
      </c>
      <c r="L1918" s="920">
        <v>12</v>
      </c>
      <c r="M1918" s="920">
        <f t="shared" si="58"/>
        <v>45600</v>
      </c>
      <c r="N1918" s="919"/>
      <c r="O1918" s="919"/>
      <c r="P1918" s="921">
        <f t="shared" si="59"/>
        <v>0</v>
      </c>
    </row>
    <row r="1919" spans="1:16" ht="20.100000000000001" customHeight="1" x14ac:dyDescent="0.25">
      <c r="A1919" s="918" t="s">
        <v>487</v>
      </c>
      <c r="B1919" s="944" t="s">
        <v>3901</v>
      </c>
      <c r="C1919" s="919" t="s">
        <v>3902</v>
      </c>
      <c r="D1919" s="919" t="s">
        <v>7399</v>
      </c>
      <c r="E1919" s="920">
        <v>1400</v>
      </c>
      <c r="F1919" s="919" t="s">
        <v>7400</v>
      </c>
      <c r="G1919" s="919" t="s">
        <v>7401</v>
      </c>
      <c r="H1919" s="919" t="s">
        <v>7399</v>
      </c>
      <c r="I1919" s="919" t="s">
        <v>3686</v>
      </c>
      <c r="J1919" s="919"/>
      <c r="K1919" s="920">
        <v>1</v>
      </c>
      <c r="L1919" s="920">
        <v>12</v>
      </c>
      <c r="M1919" s="920">
        <f t="shared" si="58"/>
        <v>16800</v>
      </c>
      <c r="N1919" s="919"/>
      <c r="O1919" s="919"/>
      <c r="P1919" s="921">
        <f t="shared" si="59"/>
        <v>0</v>
      </c>
    </row>
    <row r="1920" spans="1:16" ht="20.100000000000001" customHeight="1" x14ac:dyDescent="0.25">
      <c r="A1920" s="918" t="s">
        <v>487</v>
      </c>
      <c r="B1920" s="944" t="s">
        <v>3901</v>
      </c>
      <c r="C1920" s="919" t="s">
        <v>3902</v>
      </c>
      <c r="D1920" s="919" t="s">
        <v>7399</v>
      </c>
      <c r="E1920" s="920">
        <v>1400</v>
      </c>
      <c r="F1920" s="919" t="s">
        <v>7402</v>
      </c>
      <c r="G1920" s="919" t="s">
        <v>7403</v>
      </c>
      <c r="H1920" s="919" t="s">
        <v>7399</v>
      </c>
      <c r="I1920" s="919" t="s">
        <v>3686</v>
      </c>
      <c r="J1920" s="919"/>
      <c r="K1920" s="920">
        <v>1</v>
      </c>
      <c r="L1920" s="920">
        <v>12</v>
      </c>
      <c r="M1920" s="920">
        <f t="shared" si="58"/>
        <v>16800</v>
      </c>
      <c r="N1920" s="919"/>
      <c r="O1920" s="919"/>
      <c r="P1920" s="921">
        <f t="shared" si="59"/>
        <v>0</v>
      </c>
    </row>
    <row r="1921" spans="1:16" ht="20.100000000000001" customHeight="1" x14ac:dyDescent="0.25">
      <c r="A1921" s="918" t="s">
        <v>487</v>
      </c>
      <c r="B1921" s="944" t="s">
        <v>3901</v>
      </c>
      <c r="C1921" s="919" t="s">
        <v>3902</v>
      </c>
      <c r="D1921" s="919" t="s">
        <v>7399</v>
      </c>
      <c r="E1921" s="920">
        <v>1400</v>
      </c>
      <c r="F1921" s="919" t="s">
        <v>7404</v>
      </c>
      <c r="G1921" s="919" t="s">
        <v>7405</v>
      </c>
      <c r="H1921" s="919" t="s">
        <v>7399</v>
      </c>
      <c r="I1921" s="919" t="s">
        <v>3686</v>
      </c>
      <c r="J1921" s="919"/>
      <c r="K1921" s="920">
        <v>1</v>
      </c>
      <c r="L1921" s="920">
        <v>12</v>
      </c>
      <c r="M1921" s="920">
        <f t="shared" si="58"/>
        <v>16800</v>
      </c>
      <c r="N1921" s="919"/>
      <c r="O1921" s="919"/>
      <c r="P1921" s="921">
        <f t="shared" si="59"/>
        <v>0</v>
      </c>
    </row>
    <row r="1922" spans="1:16" ht="20.100000000000001" customHeight="1" x14ac:dyDescent="0.25">
      <c r="A1922" s="918" t="s">
        <v>487</v>
      </c>
      <c r="B1922" s="944" t="s">
        <v>3901</v>
      </c>
      <c r="C1922" s="919" t="s">
        <v>3902</v>
      </c>
      <c r="D1922" s="919" t="s">
        <v>7399</v>
      </c>
      <c r="E1922" s="920">
        <v>1800</v>
      </c>
      <c r="F1922" s="919" t="s">
        <v>7406</v>
      </c>
      <c r="G1922" s="919" t="s">
        <v>7407</v>
      </c>
      <c r="H1922" s="919" t="s">
        <v>7399</v>
      </c>
      <c r="I1922" s="919" t="s">
        <v>3686</v>
      </c>
      <c r="J1922" s="919"/>
      <c r="K1922" s="920">
        <v>1</v>
      </c>
      <c r="L1922" s="920">
        <v>12</v>
      </c>
      <c r="M1922" s="920">
        <f t="shared" si="58"/>
        <v>21600</v>
      </c>
      <c r="N1922" s="919"/>
      <c r="O1922" s="919"/>
      <c r="P1922" s="921">
        <f t="shared" si="59"/>
        <v>0</v>
      </c>
    </row>
    <row r="1923" spans="1:16" ht="20.100000000000001" customHeight="1" x14ac:dyDescent="0.25">
      <c r="A1923" s="918" t="s">
        <v>487</v>
      </c>
      <c r="B1923" s="944" t="s">
        <v>3901</v>
      </c>
      <c r="C1923" s="919" t="s">
        <v>3902</v>
      </c>
      <c r="D1923" s="919" t="s">
        <v>7399</v>
      </c>
      <c r="E1923" s="920">
        <v>1800</v>
      </c>
      <c r="F1923" s="919" t="s">
        <v>7408</v>
      </c>
      <c r="G1923" s="919" t="s">
        <v>7409</v>
      </c>
      <c r="H1923" s="919" t="s">
        <v>7399</v>
      </c>
      <c r="I1923" s="919" t="s">
        <v>3686</v>
      </c>
      <c r="J1923" s="919"/>
      <c r="K1923" s="920">
        <v>1</v>
      </c>
      <c r="L1923" s="920">
        <v>12</v>
      </c>
      <c r="M1923" s="920">
        <f t="shared" si="58"/>
        <v>21600</v>
      </c>
      <c r="N1923" s="919"/>
      <c r="O1923" s="919"/>
      <c r="P1923" s="921">
        <f t="shared" si="59"/>
        <v>0</v>
      </c>
    </row>
    <row r="1924" spans="1:16" ht="20.100000000000001" customHeight="1" x14ac:dyDescent="0.25">
      <c r="A1924" s="918" t="s">
        <v>487</v>
      </c>
      <c r="B1924" s="944" t="s">
        <v>3901</v>
      </c>
      <c r="C1924" s="919" t="s">
        <v>3902</v>
      </c>
      <c r="D1924" s="919" t="s">
        <v>7399</v>
      </c>
      <c r="E1924" s="920">
        <v>2100</v>
      </c>
      <c r="F1924" s="919" t="s">
        <v>7410</v>
      </c>
      <c r="G1924" s="919" t="s">
        <v>7411</v>
      </c>
      <c r="H1924" s="919" t="s">
        <v>7399</v>
      </c>
      <c r="I1924" s="919" t="s">
        <v>3686</v>
      </c>
      <c r="J1924" s="919"/>
      <c r="K1924" s="920">
        <v>1</v>
      </c>
      <c r="L1924" s="920">
        <v>12</v>
      </c>
      <c r="M1924" s="920">
        <f t="shared" si="58"/>
        <v>25200</v>
      </c>
      <c r="N1924" s="919"/>
      <c r="O1924" s="919"/>
      <c r="P1924" s="921">
        <f t="shared" si="59"/>
        <v>0</v>
      </c>
    </row>
    <row r="1925" spans="1:16" ht="20.100000000000001" customHeight="1" x14ac:dyDescent="0.25">
      <c r="A1925" s="918" t="s">
        <v>487</v>
      </c>
      <c r="B1925" s="944" t="s">
        <v>3901</v>
      </c>
      <c r="C1925" s="919" t="s">
        <v>3902</v>
      </c>
      <c r="D1925" s="919" t="s">
        <v>7399</v>
      </c>
      <c r="E1925" s="920">
        <v>2100</v>
      </c>
      <c r="F1925" s="919" t="s">
        <v>7412</v>
      </c>
      <c r="G1925" s="919" t="s">
        <v>7413</v>
      </c>
      <c r="H1925" s="919" t="s">
        <v>7399</v>
      </c>
      <c r="I1925" s="919" t="s">
        <v>3686</v>
      </c>
      <c r="J1925" s="919"/>
      <c r="K1925" s="920">
        <v>1</v>
      </c>
      <c r="L1925" s="920">
        <v>12</v>
      </c>
      <c r="M1925" s="920">
        <f t="shared" si="58"/>
        <v>25200</v>
      </c>
      <c r="N1925" s="919"/>
      <c r="O1925" s="919"/>
      <c r="P1925" s="921">
        <f t="shared" si="59"/>
        <v>0</v>
      </c>
    </row>
    <row r="1926" spans="1:16" ht="20.100000000000001" customHeight="1" x14ac:dyDescent="0.25">
      <c r="A1926" s="918" t="s">
        <v>487</v>
      </c>
      <c r="B1926" s="944" t="s">
        <v>3901</v>
      </c>
      <c r="C1926" s="919" t="s">
        <v>3902</v>
      </c>
      <c r="D1926" s="919" t="s">
        <v>4382</v>
      </c>
      <c r="E1926" s="920">
        <v>2600</v>
      </c>
      <c r="F1926" s="919" t="s">
        <v>7414</v>
      </c>
      <c r="G1926" s="919" t="s">
        <v>7415</v>
      </c>
      <c r="H1926" s="919" t="s">
        <v>4382</v>
      </c>
      <c r="I1926" s="919" t="s">
        <v>3724</v>
      </c>
      <c r="J1926" s="919"/>
      <c r="K1926" s="920">
        <v>1</v>
      </c>
      <c r="L1926" s="920">
        <v>12</v>
      </c>
      <c r="M1926" s="920">
        <f t="shared" ref="M1926:M1989" si="60">E1926*L1926</f>
        <v>31200</v>
      </c>
      <c r="N1926" s="919"/>
      <c r="O1926" s="919"/>
      <c r="P1926" s="921">
        <f t="shared" ref="P1926:P1989" si="61">E1926*O1926</f>
        <v>0</v>
      </c>
    </row>
    <row r="1927" spans="1:16" ht="20.100000000000001" customHeight="1" x14ac:dyDescent="0.25">
      <c r="A1927" s="918" t="s">
        <v>487</v>
      </c>
      <c r="B1927" s="944" t="s">
        <v>3901</v>
      </c>
      <c r="C1927" s="919" t="s">
        <v>3902</v>
      </c>
      <c r="D1927" s="919" t="s">
        <v>4383</v>
      </c>
      <c r="E1927" s="920">
        <v>2100</v>
      </c>
      <c r="F1927" s="919" t="s">
        <v>4041</v>
      </c>
      <c r="G1927" s="919" t="s">
        <v>4042</v>
      </c>
      <c r="H1927" s="919" t="s">
        <v>4383</v>
      </c>
      <c r="I1927" s="919" t="s">
        <v>3724</v>
      </c>
      <c r="J1927" s="919"/>
      <c r="K1927" s="920">
        <v>1</v>
      </c>
      <c r="L1927" s="920">
        <v>12</v>
      </c>
      <c r="M1927" s="920">
        <f t="shared" si="60"/>
        <v>25200</v>
      </c>
      <c r="N1927" s="919"/>
      <c r="O1927" s="919"/>
      <c r="P1927" s="921">
        <f t="shared" si="61"/>
        <v>0</v>
      </c>
    </row>
    <row r="1928" spans="1:16" ht="20.100000000000001" customHeight="1" x14ac:dyDescent="0.25">
      <c r="A1928" s="918" t="s">
        <v>487</v>
      </c>
      <c r="B1928" s="944" t="s">
        <v>3901</v>
      </c>
      <c r="C1928" s="919" t="s">
        <v>3902</v>
      </c>
      <c r="D1928" s="919" t="s">
        <v>4390</v>
      </c>
      <c r="E1928" s="920">
        <v>1500</v>
      </c>
      <c r="F1928" s="919" t="s">
        <v>7416</v>
      </c>
      <c r="G1928" s="919" t="s">
        <v>7417</v>
      </c>
      <c r="H1928" s="919" t="s">
        <v>4390</v>
      </c>
      <c r="I1928" s="919" t="s">
        <v>3686</v>
      </c>
      <c r="J1928" s="919"/>
      <c r="K1928" s="920">
        <v>1</v>
      </c>
      <c r="L1928" s="920">
        <v>12</v>
      </c>
      <c r="M1928" s="920">
        <f t="shared" si="60"/>
        <v>18000</v>
      </c>
      <c r="N1928" s="919"/>
      <c r="O1928" s="919"/>
      <c r="P1928" s="921">
        <f t="shared" si="61"/>
        <v>0</v>
      </c>
    </row>
    <row r="1929" spans="1:16" ht="20.100000000000001" customHeight="1" x14ac:dyDescent="0.25">
      <c r="A1929" s="918" t="s">
        <v>487</v>
      </c>
      <c r="B1929" s="944" t="s">
        <v>3901</v>
      </c>
      <c r="C1929" s="919" t="s">
        <v>3902</v>
      </c>
      <c r="D1929" s="919" t="s">
        <v>6074</v>
      </c>
      <c r="E1929" s="920">
        <v>1300</v>
      </c>
      <c r="F1929" s="919" t="s">
        <v>7418</v>
      </c>
      <c r="G1929" s="919" t="s">
        <v>7419</v>
      </c>
      <c r="H1929" s="919" t="s">
        <v>6074</v>
      </c>
      <c r="I1929" s="919" t="s">
        <v>3686</v>
      </c>
      <c r="J1929" s="919"/>
      <c r="K1929" s="920">
        <v>1</v>
      </c>
      <c r="L1929" s="920">
        <v>12</v>
      </c>
      <c r="M1929" s="920">
        <f t="shared" si="60"/>
        <v>15600</v>
      </c>
      <c r="N1929" s="919"/>
      <c r="O1929" s="919"/>
      <c r="P1929" s="921">
        <f t="shared" si="61"/>
        <v>0</v>
      </c>
    </row>
    <row r="1930" spans="1:16" ht="20.100000000000001" customHeight="1" x14ac:dyDescent="0.25">
      <c r="A1930" s="918" t="s">
        <v>487</v>
      </c>
      <c r="B1930" s="944" t="s">
        <v>3901</v>
      </c>
      <c r="C1930" s="919" t="s">
        <v>3902</v>
      </c>
      <c r="D1930" s="919" t="s">
        <v>6074</v>
      </c>
      <c r="E1930" s="920">
        <v>1300</v>
      </c>
      <c r="F1930" s="919" t="s">
        <v>7420</v>
      </c>
      <c r="G1930" s="919" t="s">
        <v>7421</v>
      </c>
      <c r="H1930" s="919" t="s">
        <v>6074</v>
      </c>
      <c r="I1930" s="919" t="s">
        <v>3686</v>
      </c>
      <c r="J1930" s="919"/>
      <c r="K1930" s="920">
        <v>1</v>
      </c>
      <c r="L1930" s="920">
        <v>12</v>
      </c>
      <c r="M1930" s="920">
        <f t="shared" si="60"/>
        <v>15600</v>
      </c>
      <c r="N1930" s="919"/>
      <c r="O1930" s="919"/>
      <c r="P1930" s="921">
        <f t="shared" si="61"/>
        <v>0</v>
      </c>
    </row>
    <row r="1931" spans="1:16" ht="20.100000000000001" customHeight="1" x14ac:dyDescent="0.25">
      <c r="A1931" s="918" t="s">
        <v>487</v>
      </c>
      <c r="B1931" s="944" t="s">
        <v>3901</v>
      </c>
      <c r="C1931" s="919" t="s">
        <v>3902</v>
      </c>
      <c r="D1931" s="919" t="s">
        <v>6074</v>
      </c>
      <c r="E1931" s="920">
        <v>1300</v>
      </c>
      <c r="F1931" s="919" t="s">
        <v>7422</v>
      </c>
      <c r="G1931" s="919" t="s">
        <v>7423</v>
      </c>
      <c r="H1931" s="919" t="s">
        <v>6074</v>
      </c>
      <c r="I1931" s="919" t="s">
        <v>3686</v>
      </c>
      <c r="J1931" s="919"/>
      <c r="K1931" s="920">
        <v>1</v>
      </c>
      <c r="L1931" s="920">
        <v>12</v>
      </c>
      <c r="M1931" s="920">
        <f t="shared" si="60"/>
        <v>15600</v>
      </c>
      <c r="N1931" s="919"/>
      <c r="O1931" s="919"/>
      <c r="P1931" s="921">
        <f t="shared" si="61"/>
        <v>0</v>
      </c>
    </row>
    <row r="1932" spans="1:16" ht="20.100000000000001" customHeight="1" x14ac:dyDescent="0.25">
      <c r="A1932" s="918" t="s">
        <v>487</v>
      </c>
      <c r="B1932" s="944" t="s">
        <v>3901</v>
      </c>
      <c r="C1932" s="919" t="s">
        <v>3902</v>
      </c>
      <c r="D1932" s="919" t="s">
        <v>6074</v>
      </c>
      <c r="E1932" s="920">
        <v>1300</v>
      </c>
      <c r="F1932" s="919" t="s">
        <v>7424</v>
      </c>
      <c r="G1932" s="919" t="s">
        <v>7425</v>
      </c>
      <c r="H1932" s="919" t="s">
        <v>6074</v>
      </c>
      <c r="I1932" s="919" t="s">
        <v>3686</v>
      </c>
      <c r="J1932" s="919"/>
      <c r="K1932" s="920">
        <v>1</v>
      </c>
      <c r="L1932" s="920">
        <v>12</v>
      </c>
      <c r="M1932" s="920">
        <f t="shared" si="60"/>
        <v>15600</v>
      </c>
      <c r="N1932" s="919"/>
      <c r="O1932" s="919"/>
      <c r="P1932" s="921">
        <f t="shared" si="61"/>
        <v>0</v>
      </c>
    </row>
    <row r="1933" spans="1:16" ht="20.100000000000001" customHeight="1" x14ac:dyDescent="0.25">
      <c r="A1933" s="918" t="s">
        <v>487</v>
      </c>
      <c r="B1933" s="944" t="s">
        <v>3901</v>
      </c>
      <c r="C1933" s="919" t="s">
        <v>3902</v>
      </c>
      <c r="D1933" s="919" t="s">
        <v>6074</v>
      </c>
      <c r="E1933" s="920">
        <v>1600</v>
      </c>
      <c r="F1933" s="919" t="s">
        <v>7426</v>
      </c>
      <c r="G1933" s="919" t="s">
        <v>7427</v>
      </c>
      <c r="H1933" s="919" t="s">
        <v>6074</v>
      </c>
      <c r="I1933" s="919" t="s">
        <v>3686</v>
      </c>
      <c r="J1933" s="919"/>
      <c r="K1933" s="920">
        <v>1</v>
      </c>
      <c r="L1933" s="920">
        <v>12</v>
      </c>
      <c r="M1933" s="920">
        <f t="shared" si="60"/>
        <v>19200</v>
      </c>
      <c r="N1933" s="919"/>
      <c r="O1933" s="919"/>
      <c r="P1933" s="921">
        <f t="shared" si="61"/>
        <v>0</v>
      </c>
    </row>
    <row r="1934" spans="1:16" ht="20.100000000000001" customHeight="1" x14ac:dyDescent="0.25">
      <c r="A1934" s="918" t="s">
        <v>487</v>
      </c>
      <c r="B1934" s="944" t="s">
        <v>3901</v>
      </c>
      <c r="C1934" s="919" t="s">
        <v>3902</v>
      </c>
      <c r="D1934" s="919" t="s">
        <v>6074</v>
      </c>
      <c r="E1934" s="920">
        <v>2200</v>
      </c>
      <c r="F1934" s="919" t="s">
        <v>7428</v>
      </c>
      <c r="G1934" s="919" t="s">
        <v>7429</v>
      </c>
      <c r="H1934" s="919" t="s">
        <v>6074</v>
      </c>
      <c r="I1934" s="919" t="s">
        <v>3686</v>
      </c>
      <c r="J1934" s="919"/>
      <c r="K1934" s="920">
        <v>1</v>
      </c>
      <c r="L1934" s="920">
        <v>12</v>
      </c>
      <c r="M1934" s="920">
        <f t="shared" si="60"/>
        <v>26400</v>
      </c>
      <c r="N1934" s="919"/>
      <c r="O1934" s="919"/>
      <c r="P1934" s="921">
        <f t="shared" si="61"/>
        <v>0</v>
      </c>
    </row>
    <row r="1935" spans="1:16" ht="20.100000000000001" customHeight="1" x14ac:dyDescent="0.25">
      <c r="A1935" s="918" t="s">
        <v>487</v>
      </c>
      <c r="B1935" s="944" t="s">
        <v>3901</v>
      </c>
      <c r="C1935" s="919" t="s">
        <v>3902</v>
      </c>
      <c r="D1935" s="919" t="s">
        <v>6074</v>
      </c>
      <c r="E1935" s="920">
        <v>2200</v>
      </c>
      <c r="F1935" s="919" t="s">
        <v>7430</v>
      </c>
      <c r="G1935" s="919" t="s">
        <v>7431</v>
      </c>
      <c r="H1935" s="919" t="s">
        <v>6074</v>
      </c>
      <c r="I1935" s="919" t="s">
        <v>3686</v>
      </c>
      <c r="J1935" s="919"/>
      <c r="K1935" s="920">
        <v>1</v>
      </c>
      <c r="L1935" s="920">
        <v>12</v>
      </c>
      <c r="M1935" s="920">
        <f t="shared" si="60"/>
        <v>26400</v>
      </c>
      <c r="N1935" s="919"/>
      <c r="O1935" s="919"/>
      <c r="P1935" s="921">
        <f t="shared" si="61"/>
        <v>0</v>
      </c>
    </row>
    <row r="1936" spans="1:16" ht="20.100000000000001" customHeight="1" x14ac:dyDescent="0.25">
      <c r="A1936" s="918" t="s">
        <v>487</v>
      </c>
      <c r="B1936" s="944" t="s">
        <v>3901</v>
      </c>
      <c r="C1936" s="919" t="s">
        <v>3902</v>
      </c>
      <c r="D1936" s="919" t="s">
        <v>6074</v>
      </c>
      <c r="E1936" s="920">
        <v>2200</v>
      </c>
      <c r="F1936" s="919" t="s">
        <v>7432</v>
      </c>
      <c r="G1936" s="919" t="s">
        <v>7433</v>
      </c>
      <c r="H1936" s="919" t="s">
        <v>6074</v>
      </c>
      <c r="I1936" s="919" t="s">
        <v>3686</v>
      </c>
      <c r="J1936" s="919"/>
      <c r="K1936" s="920">
        <v>1</v>
      </c>
      <c r="L1936" s="920">
        <v>12</v>
      </c>
      <c r="M1936" s="920">
        <f t="shared" si="60"/>
        <v>26400</v>
      </c>
      <c r="N1936" s="919"/>
      <c r="O1936" s="919"/>
      <c r="P1936" s="921">
        <f t="shared" si="61"/>
        <v>0</v>
      </c>
    </row>
    <row r="1937" spans="1:16" ht="20.100000000000001" customHeight="1" x14ac:dyDescent="0.25">
      <c r="A1937" s="918" t="s">
        <v>487</v>
      </c>
      <c r="B1937" s="944" t="s">
        <v>3901</v>
      </c>
      <c r="C1937" s="919" t="s">
        <v>3902</v>
      </c>
      <c r="D1937" s="919" t="s">
        <v>6074</v>
      </c>
      <c r="E1937" s="920">
        <v>2200</v>
      </c>
      <c r="F1937" s="919" t="s">
        <v>7434</v>
      </c>
      <c r="G1937" s="919" t="s">
        <v>7435</v>
      </c>
      <c r="H1937" s="919" t="s">
        <v>6074</v>
      </c>
      <c r="I1937" s="919" t="s">
        <v>3686</v>
      </c>
      <c r="J1937" s="919"/>
      <c r="K1937" s="920">
        <v>1</v>
      </c>
      <c r="L1937" s="920">
        <v>12</v>
      </c>
      <c r="M1937" s="920">
        <f t="shared" si="60"/>
        <v>26400</v>
      </c>
      <c r="N1937" s="919"/>
      <c r="O1937" s="919"/>
      <c r="P1937" s="921">
        <f t="shared" si="61"/>
        <v>0</v>
      </c>
    </row>
    <row r="1938" spans="1:16" ht="20.100000000000001" customHeight="1" x14ac:dyDescent="0.25">
      <c r="A1938" s="918" t="s">
        <v>487</v>
      </c>
      <c r="B1938" s="944" t="s">
        <v>3901</v>
      </c>
      <c r="C1938" s="919" t="s">
        <v>3902</v>
      </c>
      <c r="D1938" s="919" t="s">
        <v>6074</v>
      </c>
      <c r="E1938" s="920">
        <v>2200</v>
      </c>
      <c r="F1938" s="919" t="s">
        <v>7436</v>
      </c>
      <c r="G1938" s="919" t="s">
        <v>7437</v>
      </c>
      <c r="H1938" s="919" t="s">
        <v>6074</v>
      </c>
      <c r="I1938" s="919" t="s">
        <v>3686</v>
      </c>
      <c r="J1938" s="919"/>
      <c r="K1938" s="920">
        <v>1</v>
      </c>
      <c r="L1938" s="920">
        <v>12</v>
      </c>
      <c r="M1938" s="920">
        <f t="shared" si="60"/>
        <v>26400</v>
      </c>
      <c r="N1938" s="919"/>
      <c r="O1938" s="919"/>
      <c r="P1938" s="921">
        <f t="shared" si="61"/>
        <v>0</v>
      </c>
    </row>
    <row r="1939" spans="1:16" ht="20.100000000000001" customHeight="1" x14ac:dyDescent="0.25">
      <c r="A1939" s="918" t="s">
        <v>487</v>
      </c>
      <c r="B1939" s="944" t="s">
        <v>3901</v>
      </c>
      <c r="C1939" s="919" t="s">
        <v>3902</v>
      </c>
      <c r="D1939" s="919" t="s">
        <v>6074</v>
      </c>
      <c r="E1939" s="920">
        <v>2500</v>
      </c>
      <c r="F1939" s="919" t="s">
        <v>7438</v>
      </c>
      <c r="G1939" s="919" t="s">
        <v>7439</v>
      </c>
      <c r="H1939" s="919" t="s">
        <v>6074</v>
      </c>
      <c r="I1939" s="919" t="s">
        <v>3686</v>
      </c>
      <c r="J1939" s="919"/>
      <c r="K1939" s="920">
        <v>1</v>
      </c>
      <c r="L1939" s="920">
        <v>12</v>
      </c>
      <c r="M1939" s="920">
        <f t="shared" si="60"/>
        <v>30000</v>
      </c>
      <c r="N1939" s="919"/>
      <c r="O1939" s="919"/>
      <c r="P1939" s="921">
        <f t="shared" si="61"/>
        <v>0</v>
      </c>
    </row>
    <row r="1940" spans="1:16" ht="20.100000000000001" customHeight="1" x14ac:dyDescent="0.25">
      <c r="A1940" s="918" t="s">
        <v>487</v>
      </c>
      <c r="B1940" s="944" t="s">
        <v>3901</v>
      </c>
      <c r="C1940" s="919" t="s">
        <v>3902</v>
      </c>
      <c r="D1940" s="919" t="s">
        <v>7145</v>
      </c>
      <c r="E1940" s="920">
        <v>1300</v>
      </c>
      <c r="F1940" s="919" t="s">
        <v>7440</v>
      </c>
      <c r="G1940" s="919" t="s">
        <v>7441</v>
      </c>
      <c r="H1940" s="919" t="s">
        <v>7145</v>
      </c>
      <c r="I1940" s="919" t="s">
        <v>3686</v>
      </c>
      <c r="J1940" s="919"/>
      <c r="K1940" s="920">
        <v>1</v>
      </c>
      <c r="L1940" s="920">
        <v>12</v>
      </c>
      <c r="M1940" s="920">
        <f t="shared" si="60"/>
        <v>15600</v>
      </c>
      <c r="N1940" s="919"/>
      <c r="O1940" s="919"/>
      <c r="P1940" s="921">
        <f t="shared" si="61"/>
        <v>0</v>
      </c>
    </row>
    <row r="1941" spans="1:16" ht="20.100000000000001" customHeight="1" x14ac:dyDescent="0.25">
      <c r="A1941" s="918" t="s">
        <v>487</v>
      </c>
      <c r="B1941" s="944" t="s">
        <v>3901</v>
      </c>
      <c r="C1941" s="919" t="s">
        <v>3902</v>
      </c>
      <c r="D1941" s="919" t="s">
        <v>7145</v>
      </c>
      <c r="E1941" s="920">
        <v>1600</v>
      </c>
      <c r="F1941" s="919" t="s">
        <v>4041</v>
      </c>
      <c r="G1941" s="919" t="s">
        <v>4042</v>
      </c>
      <c r="H1941" s="919" t="s">
        <v>7145</v>
      </c>
      <c r="I1941" s="919" t="s">
        <v>3686</v>
      </c>
      <c r="J1941" s="919"/>
      <c r="K1941" s="920">
        <v>1</v>
      </c>
      <c r="L1941" s="920">
        <v>12</v>
      </c>
      <c r="M1941" s="920">
        <f t="shared" si="60"/>
        <v>19200</v>
      </c>
      <c r="N1941" s="919"/>
      <c r="O1941" s="919"/>
      <c r="P1941" s="921">
        <f t="shared" si="61"/>
        <v>0</v>
      </c>
    </row>
    <row r="1942" spans="1:16" ht="20.100000000000001" customHeight="1" x14ac:dyDescent="0.25">
      <c r="A1942" s="918" t="s">
        <v>487</v>
      </c>
      <c r="B1942" s="944" t="s">
        <v>3901</v>
      </c>
      <c r="C1942" s="919" t="s">
        <v>3902</v>
      </c>
      <c r="D1942" s="919" t="s">
        <v>7442</v>
      </c>
      <c r="E1942" s="920">
        <v>1500</v>
      </c>
      <c r="F1942" s="919" t="s">
        <v>7443</v>
      </c>
      <c r="G1942" s="919" t="s">
        <v>7444</v>
      </c>
      <c r="H1942" s="919" t="s">
        <v>7442</v>
      </c>
      <c r="I1942" s="919" t="s">
        <v>3686</v>
      </c>
      <c r="J1942" s="919"/>
      <c r="K1942" s="920">
        <v>1</v>
      </c>
      <c r="L1942" s="920">
        <v>12</v>
      </c>
      <c r="M1942" s="920">
        <f t="shared" si="60"/>
        <v>18000</v>
      </c>
      <c r="N1942" s="919"/>
      <c r="O1942" s="919"/>
      <c r="P1942" s="921">
        <f t="shared" si="61"/>
        <v>0</v>
      </c>
    </row>
    <row r="1943" spans="1:16" ht="20.100000000000001" customHeight="1" x14ac:dyDescent="0.25">
      <c r="A1943" s="918" t="s">
        <v>487</v>
      </c>
      <c r="B1943" s="944" t="s">
        <v>3901</v>
      </c>
      <c r="C1943" s="919" t="s">
        <v>3902</v>
      </c>
      <c r="D1943" s="919" t="s">
        <v>4483</v>
      </c>
      <c r="E1943" s="920">
        <v>1500</v>
      </c>
      <c r="F1943" s="919" t="s">
        <v>7445</v>
      </c>
      <c r="G1943" s="919" t="s">
        <v>7446</v>
      </c>
      <c r="H1943" s="919" t="s">
        <v>4483</v>
      </c>
      <c r="I1943" s="919" t="s">
        <v>3686</v>
      </c>
      <c r="J1943" s="919"/>
      <c r="K1943" s="920">
        <v>1</v>
      </c>
      <c r="L1943" s="920">
        <v>12</v>
      </c>
      <c r="M1943" s="920">
        <f t="shared" si="60"/>
        <v>18000</v>
      </c>
      <c r="N1943" s="919"/>
      <c r="O1943" s="919"/>
      <c r="P1943" s="921">
        <f t="shared" si="61"/>
        <v>0</v>
      </c>
    </row>
    <row r="1944" spans="1:16" ht="20.100000000000001" customHeight="1" x14ac:dyDescent="0.25">
      <c r="A1944" s="918" t="s">
        <v>487</v>
      </c>
      <c r="B1944" s="944" t="s">
        <v>3901</v>
      </c>
      <c r="C1944" s="919" t="s">
        <v>3902</v>
      </c>
      <c r="D1944" s="919" t="s">
        <v>4483</v>
      </c>
      <c r="E1944" s="920">
        <v>1500</v>
      </c>
      <c r="F1944" s="919" t="s">
        <v>4041</v>
      </c>
      <c r="G1944" s="919" t="s">
        <v>4042</v>
      </c>
      <c r="H1944" s="919" t="s">
        <v>4483</v>
      </c>
      <c r="I1944" s="919" t="s">
        <v>3686</v>
      </c>
      <c r="J1944" s="919"/>
      <c r="K1944" s="920">
        <v>1</v>
      </c>
      <c r="L1944" s="920">
        <v>12</v>
      </c>
      <c r="M1944" s="920">
        <f t="shared" si="60"/>
        <v>18000</v>
      </c>
      <c r="N1944" s="919"/>
      <c r="O1944" s="919"/>
      <c r="P1944" s="921">
        <f t="shared" si="61"/>
        <v>0</v>
      </c>
    </row>
    <row r="1945" spans="1:16" ht="20.100000000000001" customHeight="1" x14ac:dyDescent="0.25">
      <c r="A1945" s="918" t="s">
        <v>487</v>
      </c>
      <c r="B1945" s="944" t="s">
        <v>3901</v>
      </c>
      <c r="C1945" s="919" t="s">
        <v>3902</v>
      </c>
      <c r="D1945" s="919" t="s">
        <v>4483</v>
      </c>
      <c r="E1945" s="920">
        <v>1700</v>
      </c>
      <c r="F1945" s="919" t="s">
        <v>7447</v>
      </c>
      <c r="G1945" s="919" t="s">
        <v>7448</v>
      </c>
      <c r="H1945" s="919" t="s">
        <v>4483</v>
      </c>
      <c r="I1945" s="919" t="s">
        <v>3686</v>
      </c>
      <c r="J1945" s="919"/>
      <c r="K1945" s="920">
        <v>1</v>
      </c>
      <c r="L1945" s="920">
        <v>12</v>
      </c>
      <c r="M1945" s="920">
        <f t="shared" si="60"/>
        <v>20400</v>
      </c>
      <c r="N1945" s="919"/>
      <c r="O1945" s="919"/>
      <c r="P1945" s="921">
        <f t="shared" si="61"/>
        <v>0</v>
      </c>
    </row>
    <row r="1946" spans="1:16" ht="20.100000000000001" customHeight="1" x14ac:dyDescent="0.25">
      <c r="A1946" s="918" t="s">
        <v>487</v>
      </c>
      <c r="B1946" s="944" t="s">
        <v>3901</v>
      </c>
      <c r="C1946" s="919" t="s">
        <v>3902</v>
      </c>
      <c r="D1946" s="919" t="s">
        <v>6366</v>
      </c>
      <c r="E1946" s="920">
        <v>910</v>
      </c>
      <c r="F1946" s="919" t="s">
        <v>4041</v>
      </c>
      <c r="G1946" s="919" t="s">
        <v>4042</v>
      </c>
      <c r="H1946" s="919" t="s">
        <v>6366</v>
      </c>
      <c r="I1946" s="919" t="s">
        <v>3693</v>
      </c>
      <c r="J1946" s="919"/>
      <c r="K1946" s="920">
        <v>1</v>
      </c>
      <c r="L1946" s="920">
        <v>12</v>
      </c>
      <c r="M1946" s="920">
        <f t="shared" si="60"/>
        <v>10920</v>
      </c>
      <c r="N1946" s="919"/>
      <c r="O1946" s="919"/>
      <c r="P1946" s="921">
        <f t="shared" si="61"/>
        <v>0</v>
      </c>
    </row>
    <row r="1947" spans="1:16" ht="20.100000000000001" customHeight="1" x14ac:dyDescent="0.25">
      <c r="A1947" s="918" t="s">
        <v>487</v>
      </c>
      <c r="B1947" s="944" t="s">
        <v>3901</v>
      </c>
      <c r="C1947" s="919" t="s">
        <v>3902</v>
      </c>
      <c r="D1947" s="919" t="s">
        <v>6366</v>
      </c>
      <c r="E1947" s="920">
        <v>1200</v>
      </c>
      <c r="F1947" s="919" t="s">
        <v>7449</v>
      </c>
      <c r="G1947" s="919" t="s">
        <v>7450</v>
      </c>
      <c r="H1947" s="919" t="s">
        <v>6366</v>
      </c>
      <c r="I1947" s="919" t="s">
        <v>3693</v>
      </c>
      <c r="J1947" s="919"/>
      <c r="K1947" s="920">
        <v>1</v>
      </c>
      <c r="L1947" s="920">
        <v>12</v>
      </c>
      <c r="M1947" s="920">
        <f t="shared" si="60"/>
        <v>14400</v>
      </c>
      <c r="N1947" s="919"/>
      <c r="O1947" s="919"/>
      <c r="P1947" s="921">
        <f t="shared" si="61"/>
        <v>0</v>
      </c>
    </row>
    <row r="1948" spans="1:16" ht="20.100000000000001" customHeight="1" x14ac:dyDescent="0.25">
      <c r="A1948" s="918" t="s">
        <v>487</v>
      </c>
      <c r="B1948" s="944" t="s">
        <v>3901</v>
      </c>
      <c r="C1948" s="919" t="s">
        <v>3902</v>
      </c>
      <c r="D1948" s="919" t="s">
        <v>6120</v>
      </c>
      <c r="E1948" s="920">
        <v>4500</v>
      </c>
      <c r="F1948" s="919" t="s">
        <v>4041</v>
      </c>
      <c r="G1948" s="919" t="s">
        <v>4042</v>
      </c>
      <c r="H1948" s="919" t="s">
        <v>6120</v>
      </c>
      <c r="I1948" s="919" t="s">
        <v>3724</v>
      </c>
      <c r="J1948" s="919"/>
      <c r="K1948" s="920">
        <v>1</v>
      </c>
      <c r="L1948" s="920">
        <v>12</v>
      </c>
      <c r="M1948" s="920">
        <f t="shared" si="60"/>
        <v>54000</v>
      </c>
      <c r="N1948" s="919"/>
      <c r="O1948" s="919"/>
      <c r="P1948" s="921">
        <f t="shared" si="61"/>
        <v>0</v>
      </c>
    </row>
    <row r="1949" spans="1:16" ht="20.100000000000001" customHeight="1" x14ac:dyDescent="0.25">
      <c r="A1949" s="918" t="s">
        <v>487</v>
      </c>
      <c r="B1949" s="944" t="s">
        <v>3901</v>
      </c>
      <c r="C1949" s="919" t="s">
        <v>3902</v>
      </c>
      <c r="D1949" s="919" t="s">
        <v>3999</v>
      </c>
      <c r="E1949" s="920">
        <v>2500</v>
      </c>
      <c r="F1949" s="919" t="s">
        <v>7451</v>
      </c>
      <c r="G1949" s="919" t="s">
        <v>7452</v>
      </c>
      <c r="H1949" s="919" t="s">
        <v>3999</v>
      </c>
      <c r="I1949" s="919" t="s">
        <v>3724</v>
      </c>
      <c r="J1949" s="919"/>
      <c r="K1949" s="920"/>
      <c r="L1949" s="920"/>
      <c r="M1949" s="920">
        <f t="shared" si="60"/>
        <v>0</v>
      </c>
      <c r="N1949" s="919">
        <v>1</v>
      </c>
      <c r="O1949" s="919">
        <v>4</v>
      </c>
      <c r="P1949" s="921">
        <f t="shared" si="61"/>
        <v>10000</v>
      </c>
    </row>
    <row r="1950" spans="1:16" ht="20.100000000000001" customHeight="1" x14ac:dyDescent="0.25">
      <c r="A1950" s="918" t="s">
        <v>487</v>
      </c>
      <c r="B1950" s="944" t="s">
        <v>3901</v>
      </c>
      <c r="C1950" s="919" t="s">
        <v>3902</v>
      </c>
      <c r="D1950" s="919" t="s">
        <v>3999</v>
      </c>
      <c r="E1950" s="920">
        <v>3300</v>
      </c>
      <c r="F1950" s="919" t="s">
        <v>7453</v>
      </c>
      <c r="G1950" s="919" t="s">
        <v>7454</v>
      </c>
      <c r="H1950" s="919" t="s">
        <v>3999</v>
      </c>
      <c r="I1950" s="919" t="s">
        <v>3724</v>
      </c>
      <c r="J1950" s="919"/>
      <c r="K1950" s="920">
        <v>1</v>
      </c>
      <c r="L1950" s="920">
        <v>12</v>
      </c>
      <c r="M1950" s="920">
        <f t="shared" si="60"/>
        <v>39600</v>
      </c>
      <c r="N1950" s="919"/>
      <c r="O1950" s="919"/>
      <c r="P1950" s="921">
        <f t="shared" si="61"/>
        <v>0</v>
      </c>
    </row>
    <row r="1951" spans="1:16" ht="20.100000000000001" customHeight="1" x14ac:dyDescent="0.25">
      <c r="A1951" s="918" t="s">
        <v>487</v>
      </c>
      <c r="B1951" s="944" t="s">
        <v>3901</v>
      </c>
      <c r="C1951" s="919" t="s">
        <v>3902</v>
      </c>
      <c r="D1951" s="919" t="s">
        <v>6120</v>
      </c>
      <c r="E1951" s="920">
        <v>4000</v>
      </c>
      <c r="F1951" s="919" t="s">
        <v>7455</v>
      </c>
      <c r="G1951" s="919" t="s">
        <v>7456</v>
      </c>
      <c r="H1951" s="919" t="s">
        <v>6120</v>
      </c>
      <c r="I1951" s="919" t="s">
        <v>3724</v>
      </c>
      <c r="J1951" s="919"/>
      <c r="K1951" s="920">
        <v>1</v>
      </c>
      <c r="L1951" s="920">
        <v>12</v>
      </c>
      <c r="M1951" s="920">
        <f t="shared" si="60"/>
        <v>48000</v>
      </c>
      <c r="N1951" s="919"/>
      <c r="O1951" s="919"/>
      <c r="P1951" s="921">
        <f t="shared" si="61"/>
        <v>0</v>
      </c>
    </row>
    <row r="1952" spans="1:16" ht="20.100000000000001" customHeight="1" x14ac:dyDescent="0.25">
      <c r="A1952" s="918" t="s">
        <v>487</v>
      </c>
      <c r="B1952" s="944" t="s">
        <v>3901</v>
      </c>
      <c r="C1952" s="919" t="s">
        <v>3902</v>
      </c>
      <c r="D1952" s="919" t="s">
        <v>3999</v>
      </c>
      <c r="E1952" s="920">
        <v>3300</v>
      </c>
      <c r="F1952" s="919" t="s">
        <v>4041</v>
      </c>
      <c r="G1952" s="919" t="s">
        <v>4042</v>
      </c>
      <c r="H1952" s="919" t="s">
        <v>3999</v>
      </c>
      <c r="I1952" s="919" t="s">
        <v>3724</v>
      </c>
      <c r="J1952" s="919"/>
      <c r="K1952" s="920">
        <v>1</v>
      </c>
      <c r="L1952" s="920">
        <v>12</v>
      </c>
      <c r="M1952" s="920">
        <f t="shared" si="60"/>
        <v>39600</v>
      </c>
      <c r="N1952" s="919"/>
      <c r="O1952" s="919"/>
      <c r="P1952" s="921">
        <f t="shared" si="61"/>
        <v>0</v>
      </c>
    </row>
    <row r="1953" spans="1:16" ht="20.100000000000001" customHeight="1" x14ac:dyDescent="0.25">
      <c r="A1953" s="918" t="s">
        <v>487</v>
      </c>
      <c r="B1953" s="944" t="s">
        <v>3901</v>
      </c>
      <c r="C1953" s="919" t="s">
        <v>3902</v>
      </c>
      <c r="D1953" s="919" t="s">
        <v>6120</v>
      </c>
      <c r="E1953" s="920">
        <v>5000</v>
      </c>
      <c r="F1953" s="919" t="s">
        <v>7457</v>
      </c>
      <c r="G1953" s="919" t="s">
        <v>7458</v>
      </c>
      <c r="H1953" s="919" t="s">
        <v>6120</v>
      </c>
      <c r="I1953" s="919" t="s">
        <v>3724</v>
      </c>
      <c r="J1953" s="919"/>
      <c r="K1953" s="920"/>
      <c r="L1953" s="920"/>
      <c r="M1953" s="920">
        <f t="shared" si="60"/>
        <v>0</v>
      </c>
      <c r="N1953" s="919">
        <v>1</v>
      </c>
      <c r="O1953" s="919">
        <v>1</v>
      </c>
      <c r="P1953" s="921">
        <f t="shared" si="61"/>
        <v>5000</v>
      </c>
    </row>
    <row r="1954" spans="1:16" ht="20.100000000000001" customHeight="1" x14ac:dyDescent="0.25">
      <c r="A1954" s="918" t="s">
        <v>487</v>
      </c>
      <c r="B1954" s="944" t="s">
        <v>3901</v>
      </c>
      <c r="C1954" s="919" t="s">
        <v>3902</v>
      </c>
      <c r="D1954" s="919" t="s">
        <v>6120</v>
      </c>
      <c r="E1954" s="920">
        <v>4000</v>
      </c>
      <c r="F1954" s="919" t="s">
        <v>7459</v>
      </c>
      <c r="G1954" s="919" t="s">
        <v>7460</v>
      </c>
      <c r="H1954" s="919" t="s">
        <v>6120</v>
      </c>
      <c r="I1954" s="919" t="s">
        <v>3724</v>
      </c>
      <c r="J1954" s="919"/>
      <c r="K1954" s="920">
        <v>1</v>
      </c>
      <c r="L1954" s="920">
        <v>12</v>
      </c>
      <c r="M1954" s="920">
        <f t="shared" si="60"/>
        <v>48000</v>
      </c>
      <c r="N1954" s="919"/>
      <c r="O1954" s="919"/>
      <c r="P1954" s="921">
        <f t="shared" si="61"/>
        <v>0</v>
      </c>
    </row>
    <row r="1955" spans="1:16" ht="20.100000000000001" customHeight="1" x14ac:dyDescent="0.25">
      <c r="A1955" s="918" t="s">
        <v>487</v>
      </c>
      <c r="B1955" s="944" t="s">
        <v>3901</v>
      </c>
      <c r="C1955" s="919" t="s">
        <v>3902</v>
      </c>
      <c r="D1955" s="919" t="s">
        <v>3999</v>
      </c>
      <c r="E1955" s="920">
        <v>3800</v>
      </c>
      <c r="F1955" s="919" t="s">
        <v>7461</v>
      </c>
      <c r="G1955" s="919" t="s">
        <v>7462</v>
      </c>
      <c r="H1955" s="919" t="s">
        <v>3999</v>
      </c>
      <c r="I1955" s="919" t="s">
        <v>3724</v>
      </c>
      <c r="J1955" s="919"/>
      <c r="K1955" s="920"/>
      <c r="L1955" s="920"/>
      <c r="M1955" s="920">
        <f t="shared" si="60"/>
        <v>0</v>
      </c>
      <c r="N1955" s="919">
        <v>1</v>
      </c>
      <c r="O1955" s="919">
        <v>4</v>
      </c>
      <c r="P1955" s="921">
        <f t="shared" si="61"/>
        <v>15200</v>
      </c>
    </row>
    <row r="1956" spans="1:16" ht="20.100000000000001" customHeight="1" x14ac:dyDescent="0.25">
      <c r="A1956" s="918" t="s">
        <v>487</v>
      </c>
      <c r="B1956" s="944" t="s">
        <v>3901</v>
      </c>
      <c r="C1956" s="919" t="s">
        <v>3902</v>
      </c>
      <c r="D1956" s="919" t="s">
        <v>6120</v>
      </c>
      <c r="E1956" s="920">
        <v>3300</v>
      </c>
      <c r="F1956" s="919" t="s">
        <v>4041</v>
      </c>
      <c r="G1956" s="919" t="s">
        <v>4042</v>
      </c>
      <c r="H1956" s="919" t="s">
        <v>6120</v>
      </c>
      <c r="I1956" s="919" t="s">
        <v>3724</v>
      </c>
      <c r="J1956" s="919"/>
      <c r="K1956" s="920">
        <v>1</v>
      </c>
      <c r="L1956" s="920">
        <v>12</v>
      </c>
      <c r="M1956" s="920">
        <f t="shared" si="60"/>
        <v>39600</v>
      </c>
      <c r="N1956" s="919"/>
      <c r="O1956" s="919"/>
      <c r="P1956" s="921">
        <f t="shared" si="61"/>
        <v>0</v>
      </c>
    </row>
    <row r="1957" spans="1:16" ht="20.100000000000001" customHeight="1" x14ac:dyDescent="0.25">
      <c r="A1957" s="918" t="s">
        <v>487</v>
      </c>
      <c r="B1957" s="944" t="s">
        <v>3901</v>
      </c>
      <c r="C1957" s="919" t="s">
        <v>3902</v>
      </c>
      <c r="D1957" s="919" t="s">
        <v>3999</v>
      </c>
      <c r="E1957" s="920">
        <v>2100</v>
      </c>
      <c r="F1957" s="919" t="s">
        <v>7463</v>
      </c>
      <c r="G1957" s="919" t="s">
        <v>7464</v>
      </c>
      <c r="H1957" s="919" t="s">
        <v>3999</v>
      </c>
      <c r="I1957" s="919" t="s">
        <v>3724</v>
      </c>
      <c r="J1957" s="919"/>
      <c r="K1957" s="920">
        <v>1</v>
      </c>
      <c r="L1957" s="920">
        <v>12</v>
      </c>
      <c r="M1957" s="920">
        <f t="shared" si="60"/>
        <v>25200</v>
      </c>
      <c r="N1957" s="919"/>
      <c r="O1957" s="919"/>
      <c r="P1957" s="921">
        <f t="shared" si="61"/>
        <v>0</v>
      </c>
    </row>
    <row r="1958" spans="1:16" ht="20.100000000000001" customHeight="1" x14ac:dyDescent="0.25">
      <c r="A1958" s="918" t="s">
        <v>487</v>
      </c>
      <c r="B1958" s="944" t="s">
        <v>3901</v>
      </c>
      <c r="C1958" s="919" t="s">
        <v>3902</v>
      </c>
      <c r="D1958" s="919" t="s">
        <v>4352</v>
      </c>
      <c r="E1958" s="920">
        <v>3300</v>
      </c>
      <c r="F1958" s="919" t="s">
        <v>7465</v>
      </c>
      <c r="G1958" s="919" t="s">
        <v>7466</v>
      </c>
      <c r="H1958" s="919" t="s">
        <v>4352</v>
      </c>
      <c r="I1958" s="919" t="s">
        <v>3724</v>
      </c>
      <c r="J1958" s="919"/>
      <c r="K1958" s="920">
        <v>1</v>
      </c>
      <c r="L1958" s="920">
        <v>12</v>
      </c>
      <c r="M1958" s="920">
        <f t="shared" si="60"/>
        <v>39600</v>
      </c>
      <c r="N1958" s="919"/>
      <c r="O1958" s="919"/>
      <c r="P1958" s="921">
        <f t="shared" si="61"/>
        <v>0</v>
      </c>
    </row>
    <row r="1959" spans="1:16" ht="20.100000000000001" customHeight="1" x14ac:dyDescent="0.25">
      <c r="A1959" s="918" t="s">
        <v>487</v>
      </c>
      <c r="B1959" s="944" t="s">
        <v>3901</v>
      </c>
      <c r="C1959" s="919" t="s">
        <v>3902</v>
      </c>
      <c r="D1959" s="919" t="s">
        <v>4382</v>
      </c>
      <c r="E1959" s="920">
        <v>2600</v>
      </c>
      <c r="F1959" s="919" t="s">
        <v>4041</v>
      </c>
      <c r="G1959" s="919" t="s">
        <v>4042</v>
      </c>
      <c r="H1959" s="919" t="s">
        <v>4382</v>
      </c>
      <c r="I1959" s="919" t="s">
        <v>3724</v>
      </c>
      <c r="J1959" s="919"/>
      <c r="K1959" s="920">
        <v>1</v>
      </c>
      <c r="L1959" s="920">
        <v>12</v>
      </c>
      <c r="M1959" s="920">
        <f t="shared" si="60"/>
        <v>31200</v>
      </c>
      <c r="N1959" s="919"/>
      <c r="O1959" s="919"/>
      <c r="P1959" s="921">
        <f t="shared" si="61"/>
        <v>0</v>
      </c>
    </row>
    <row r="1960" spans="1:16" ht="20.100000000000001" customHeight="1" x14ac:dyDescent="0.25">
      <c r="A1960" s="918" t="s">
        <v>487</v>
      </c>
      <c r="B1960" s="944" t="s">
        <v>3901</v>
      </c>
      <c r="C1960" s="919" t="s">
        <v>3902</v>
      </c>
      <c r="D1960" s="919" t="s">
        <v>3999</v>
      </c>
      <c r="E1960" s="920">
        <v>2100</v>
      </c>
      <c r="F1960" s="919" t="s">
        <v>4041</v>
      </c>
      <c r="G1960" s="919" t="s">
        <v>4042</v>
      </c>
      <c r="H1960" s="919" t="s">
        <v>3999</v>
      </c>
      <c r="I1960" s="919" t="s">
        <v>3724</v>
      </c>
      <c r="J1960" s="919"/>
      <c r="K1960" s="920">
        <v>1</v>
      </c>
      <c r="L1960" s="920">
        <v>12</v>
      </c>
      <c r="M1960" s="920">
        <f t="shared" si="60"/>
        <v>25200</v>
      </c>
      <c r="N1960" s="919"/>
      <c r="O1960" s="919"/>
      <c r="P1960" s="921">
        <f t="shared" si="61"/>
        <v>0</v>
      </c>
    </row>
    <row r="1961" spans="1:16" ht="20.100000000000001" customHeight="1" x14ac:dyDescent="0.25">
      <c r="A1961" s="918" t="s">
        <v>487</v>
      </c>
      <c r="B1961" s="944" t="s">
        <v>3901</v>
      </c>
      <c r="C1961" s="919" t="s">
        <v>3902</v>
      </c>
      <c r="D1961" s="919" t="s">
        <v>4352</v>
      </c>
      <c r="E1961" s="920">
        <v>2100</v>
      </c>
      <c r="F1961" s="919" t="s">
        <v>7467</v>
      </c>
      <c r="G1961" s="919" t="s">
        <v>7468</v>
      </c>
      <c r="H1961" s="919" t="s">
        <v>4352</v>
      </c>
      <c r="I1961" s="919" t="s">
        <v>3724</v>
      </c>
      <c r="J1961" s="919"/>
      <c r="K1961" s="920">
        <v>1</v>
      </c>
      <c r="L1961" s="920">
        <v>12</v>
      </c>
      <c r="M1961" s="920">
        <f t="shared" si="60"/>
        <v>25200</v>
      </c>
      <c r="N1961" s="919"/>
      <c r="O1961" s="919"/>
      <c r="P1961" s="921">
        <f t="shared" si="61"/>
        <v>0</v>
      </c>
    </row>
    <row r="1962" spans="1:16" ht="20.100000000000001" customHeight="1" x14ac:dyDescent="0.25">
      <c r="A1962" s="918" t="s">
        <v>487</v>
      </c>
      <c r="B1962" s="944" t="s">
        <v>3901</v>
      </c>
      <c r="C1962" s="919" t="s">
        <v>3902</v>
      </c>
      <c r="D1962" s="919" t="s">
        <v>4382</v>
      </c>
      <c r="E1962" s="920">
        <v>2100</v>
      </c>
      <c r="F1962" s="919" t="s">
        <v>7469</v>
      </c>
      <c r="G1962" s="919" t="s">
        <v>7470</v>
      </c>
      <c r="H1962" s="919" t="s">
        <v>4382</v>
      </c>
      <c r="I1962" s="919" t="s">
        <v>3724</v>
      </c>
      <c r="J1962" s="919"/>
      <c r="K1962" s="920">
        <v>1</v>
      </c>
      <c r="L1962" s="920">
        <v>12</v>
      </c>
      <c r="M1962" s="920">
        <f t="shared" si="60"/>
        <v>25200</v>
      </c>
      <c r="N1962" s="919"/>
      <c r="O1962" s="919"/>
      <c r="P1962" s="921">
        <f t="shared" si="61"/>
        <v>0</v>
      </c>
    </row>
    <row r="1963" spans="1:16" ht="20.100000000000001" customHeight="1" x14ac:dyDescent="0.25">
      <c r="A1963" s="918" t="s">
        <v>487</v>
      </c>
      <c r="B1963" s="944" t="s">
        <v>3901</v>
      </c>
      <c r="C1963" s="919" t="s">
        <v>3902</v>
      </c>
      <c r="D1963" s="919" t="s">
        <v>4352</v>
      </c>
      <c r="E1963" s="920">
        <v>2100</v>
      </c>
      <c r="F1963" s="919" t="s">
        <v>4041</v>
      </c>
      <c r="G1963" s="919" t="s">
        <v>4042</v>
      </c>
      <c r="H1963" s="919" t="s">
        <v>4352</v>
      </c>
      <c r="I1963" s="919" t="s">
        <v>3724</v>
      </c>
      <c r="J1963" s="919"/>
      <c r="K1963" s="920">
        <v>1</v>
      </c>
      <c r="L1963" s="920">
        <v>12</v>
      </c>
      <c r="M1963" s="920">
        <f t="shared" si="60"/>
        <v>25200</v>
      </c>
      <c r="N1963" s="919"/>
      <c r="O1963" s="919"/>
      <c r="P1963" s="921">
        <f t="shared" si="61"/>
        <v>0</v>
      </c>
    </row>
    <row r="1964" spans="1:16" ht="20.100000000000001" customHeight="1" x14ac:dyDescent="0.25">
      <c r="A1964" s="918" t="s">
        <v>487</v>
      </c>
      <c r="B1964" s="944" t="s">
        <v>3901</v>
      </c>
      <c r="C1964" s="919" t="s">
        <v>3902</v>
      </c>
      <c r="D1964" s="919" t="s">
        <v>3999</v>
      </c>
      <c r="E1964" s="920">
        <v>3300</v>
      </c>
      <c r="F1964" s="919" t="s">
        <v>7471</v>
      </c>
      <c r="G1964" s="919" t="s">
        <v>7472</v>
      </c>
      <c r="H1964" s="919" t="s">
        <v>3999</v>
      </c>
      <c r="I1964" s="919" t="s">
        <v>3724</v>
      </c>
      <c r="J1964" s="919"/>
      <c r="K1964" s="920">
        <v>1</v>
      </c>
      <c r="L1964" s="920">
        <v>12</v>
      </c>
      <c r="M1964" s="920">
        <f t="shared" si="60"/>
        <v>39600</v>
      </c>
      <c r="N1964" s="919"/>
      <c r="O1964" s="919"/>
      <c r="P1964" s="921">
        <f t="shared" si="61"/>
        <v>0</v>
      </c>
    </row>
    <row r="1965" spans="1:16" ht="20.100000000000001" customHeight="1" x14ac:dyDescent="0.25">
      <c r="A1965" s="918" t="s">
        <v>487</v>
      </c>
      <c r="B1965" s="944" t="s">
        <v>3901</v>
      </c>
      <c r="C1965" s="919" t="s">
        <v>3902</v>
      </c>
      <c r="D1965" s="919" t="s">
        <v>3999</v>
      </c>
      <c r="E1965" s="920">
        <v>3300</v>
      </c>
      <c r="F1965" s="919" t="s">
        <v>4041</v>
      </c>
      <c r="G1965" s="919" t="s">
        <v>4042</v>
      </c>
      <c r="H1965" s="919" t="s">
        <v>3999</v>
      </c>
      <c r="I1965" s="919" t="s">
        <v>3724</v>
      </c>
      <c r="J1965" s="919"/>
      <c r="K1965" s="920">
        <v>1</v>
      </c>
      <c r="L1965" s="920">
        <v>12</v>
      </c>
      <c r="M1965" s="920">
        <f t="shared" si="60"/>
        <v>39600</v>
      </c>
      <c r="N1965" s="919"/>
      <c r="O1965" s="919"/>
      <c r="P1965" s="921">
        <f t="shared" si="61"/>
        <v>0</v>
      </c>
    </row>
    <row r="1966" spans="1:16" ht="20.100000000000001" customHeight="1" x14ac:dyDescent="0.25">
      <c r="A1966" s="918" t="s">
        <v>487</v>
      </c>
      <c r="B1966" s="944" t="s">
        <v>3901</v>
      </c>
      <c r="C1966" s="919" t="s">
        <v>3902</v>
      </c>
      <c r="D1966" s="919" t="s">
        <v>4352</v>
      </c>
      <c r="E1966" s="920">
        <v>3300</v>
      </c>
      <c r="F1966" s="919" t="s">
        <v>4041</v>
      </c>
      <c r="G1966" s="919" t="s">
        <v>4042</v>
      </c>
      <c r="H1966" s="919" t="s">
        <v>4352</v>
      </c>
      <c r="I1966" s="919" t="s">
        <v>3724</v>
      </c>
      <c r="J1966" s="919"/>
      <c r="K1966" s="920">
        <v>1</v>
      </c>
      <c r="L1966" s="920">
        <v>12</v>
      </c>
      <c r="M1966" s="920">
        <f t="shared" si="60"/>
        <v>39600</v>
      </c>
      <c r="N1966" s="919"/>
      <c r="O1966" s="919"/>
      <c r="P1966" s="921">
        <f t="shared" si="61"/>
        <v>0</v>
      </c>
    </row>
    <row r="1967" spans="1:16" ht="20.100000000000001" customHeight="1" x14ac:dyDescent="0.25">
      <c r="A1967" s="918" t="s">
        <v>487</v>
      </c>
      <c r="B1967" s="944" t="s">
        <v>3901</v>
      </c>
      <c r="C1967" s="919" t="s">
        <v>3902</v>
      </c>
      <c r="D1967" s="919" t="s">
        <v>4352</v>
      </c>
      <c r="E1967" s="920">
        <v>3300</v>
      </c>
      <c r="F1967" s="919" t="s">
        <v>7473</v>
      </c>
      <c r="G1967" s="919" t="s">
        <v>7474</v>
      </c>
      <c r="H1967" s="919" t="s">
        <v>4352</v>
      </c>
      <c r="I1967" s="919" t="s">
        <v>3724</v>
      </c>
      <c r="J1967" s="919"/>
      <c r="K1967" s="920">
        <v>1</v>
      </c>
      <c r="L1967" s="920">
        <v>12</v>
      </c>
      <c r="M1967" s="920">
        <f t="shared" si="60"/>
        <v>39600</v>
      </c>
      <c r="N1967" s="919"/>
      <c r="O1967" s="919"/>
      <c r="P1967" s="921">
        <f t="shared" si="61"/>
        <v>0</v>
      </c>
    </row>
    <row r="1968" spans="1:16" ht="20.100000000000001" customHeight="1" x14ac:dyDescent="0.25">
      <c r="A1968" s="918" t="s">
        <v>487</v>
      </c>
      <c r="B1968" s="944" t="s">
        <v>3901</v>
      </c>
      <c r="C1968" s="919" t="s">
        <v>3902</v>
      </c>
      <c r="D1968" s="919" t="s">
        <v>3999</v>
      </c>
      <c r="E1968" s="920">
        <v>2800</v>
      </c>
      <c r="F1968" s="919" t="s">
        <v>7475</v>
      </c>
      <c r="G1968" s="919" t="s">
        <v>7476</v>
      </c>
      <c r="H1968" s="919" t="s">
        <v>3999</v>
      </c>
      <c r="I1968" s="919" t="s">
        <v>3724</v>
      </c>
      <c r="J1968" s="919"/>
      <c r="K1968" s="920"/>
      <c r="L1968" s="920"/>
      <c r="M1968" s="920">
        <f t="shared" si="60"/>
        <v>0</v>
      </c>
      <c r="N1968" s="919">
        <v>1</v>
      </c>
      <c r="O1968" s="919">
        <v>3</v>
      </c>
      <c r="P1968" s="921">
        <f t="shared" si="61"/>
        <v>8400</v>
      </c>
    </row>
    <row r="1969" spans="1:16" ht="20.100000000000001" customHeight="1" x14ac:dyDescent="0.25">
      <c r="A1969" s="918" t="s">
        <v>487</v>
      </c>
      <c r="B1969" s="944" t="s">
        <v>3901</v>
      </c>
      <c r="C1969" s="919" t="s">
        <v>3902</v>
      </c>
      <c r="D1969" s="919" t="s">
        <v>3999</v>
      </c>
      <c r="E1969" s="920">
        <v>2800</v>
      </c>
      <c r="F1969" s="919" t="s">
        <v>7477</v>
      </c>
      <c r="G1969" s="919" t="s">
        <v>7478</v>
      </c>
      <c r="H1969" s="919" t="s">
        <v>3999</v>
      </c>
      <c r="I1969" s="919" t="s">
        <v>3724</v>
      </c>
      <c r="J1969" s="919"/>
      <c r="K1969" s="920"/>
      <c r="L1969" s="920"/>
      <c r="M1969" s="920">
        <f t="shared" si="60"/>
        <v>0</v>
      </c>
      <c r="N1969" s="919">
        <v>1</v>
      </c>
      <c r="O1969" s="919">
        <v>1</v>
      </c>
      <c r="P1969" s="921">
        <f t="shared" si="61"/>
        <v>2800</v>
      </c>
    </row>
    <row r="1970" spans="1:16" ht="20.100000000000001" customHeight="1" x14ac:dyDescent="0.25">
      <c r="A1970" s="918" t="s">
        <v>487</v>
      </c>
      <c r="B1970" s="944" t="s">
        <v>3901</v>
      </c>
      <c r="C1970" s="919" t="s">
        <v>3902</v>
      </c>
      <c r="D1970" s="919" t="s">
        <v>3999</v>
      </c>
      <c r="E1970" s="920">
        <v>2800</v>
      </c>
      <c r="F1970" s="919" t="s">
        <v>7479</v>
      </c>
      <c r="G1970" s="919" t="s">
        <v>7480</v>
      </c>
      <c r="H1970" s="919" t="s">
        <v>3999</v>
      </c>
      <c r="I1970" s="919" t="s">
        <v>3724</v>
      </c>
      <c r="J1970" s="919"/>
      <c r="K1970" s="920"/>
      <c r="L1970" s="920"/>
      <c r="M1970" s="920">
        <f t="shared" si="60"/>
        <v>0</v>
      </c>
      <c r="N1970" s="919">
        <v>1</v>
      </c>
      <c r="O1970" s="919">
        <v>1</v>
      </c>
      <c r="P1970" s="921">
        <f t="shared" si="61"/>
        <v>2800</v>
      </c>
    </row>
    <row r="1971" spans="1:16" ht="20.100000000000001" customHeight="1" x14ac:dyDescent="0.25">
      <c r="A1971" s="918" t="s">
        <v>487</v>
      </c>
      <c r="B1971" s="944" t="s">
        <v>3901</v>
      </c>
      <c r="C1971" s="919" t="s">
        <v>3902</v>
      </c>
      <c r="D1971" s="919" t="s">
        <v>3999</v>
      </c>
      <c r="E1971" s="920">
        <v>2800</v>
      </c>
      <c r="F1971" s="919" t="s">
        <v>7481</v>
      </c>
      <c r="G1971" s="919" t="s">
        <v>7482</v>
      </c>
      <c r="H1971" s="919" t="s">
        <v>3999</v>
      </c>
      <c r="I1971" s="919" t="s">
        <v>3724</v>
      </c>
      <c r="J1971" s="919"/>
      <c r="K1971" s="920"/>
      <c r="L1971" s="920"/>
      <c r="M1971" s="920">
        <f t="shared" si="60"/>
        <v>0</v>
      </c>
      <c r="N1971" s="919">
        <v>1</v>
      </c>
      <c r="O1971" s="919">
        <v>1</v>
      </c>
      <c r="P1971" s="921">
        <f t="shared" si="61"/>
        <v>2800</v>
      </c>
    </row>
    <row r="1972" spans="1:16" ht="20.100000000000001" customHeight="1" x14ac:dyDescent="0.25">
      <c r="A1972" s="918" t="s">
        <v>487</v>
      </c>
      <c r="B1972" s="944" t="s">
        <v>3901</v>
      </c>
      <c r="C1972" s="919" t="s">
        <v>3902</v>
      </c>
      <c r="D1972" s="919" t="s">
        <v>4382</v>
      </c>
      <c r="E1972" s="920">
        <v>2800</v>
      </c>
      <c r="F1972" s="919" t="s">
        <v>7483</v>
      </c>
      <c r="G1972" s="919" t="s">
        <v>7484</v>
      </c>
      <c r="H1972" s="919" t="s">
        <v>4382</v>
      </c>
      <c r="I1972" s="919" t="s">
        <v>3724</v>
      </c>
      <c r="J1972" s="919"/>
      <c r="K1972" s="920"/>
      <c r="L1972" s="920"/>
      <c r="M1972" s="920">
        <f t="shared" si="60"/>
        <v>0</v>
      </c>
      <c r="N1972" s="919">
        <v>1</v>
      </c>
      <c r="O1972" s="919">
        <v>3</v>
      </c>
      <c r="P1972" s="921">
        <f t="shared" si="61"/>
        <v>8400</v>
      </c>
    </row>
    <row r="1973" spans="1:16" ht="20.100000000000001" customHeight="1" x14ac:dyDescent="0.25">
      <c r="A1973" s="918" t="s">
        <v>487</v>
      </c>
      <c r="B1973" s="944" t="s">
        <v>3901</v>
      </c>
      <c r="C1973" s="919" t="s">
        <v>3902</v>
      </c>
      <c r="D1973" s="919" t="s">
        <v>4382</v>
      </c>
      <c r="E1973" s="920">
        <v>2800</v>
      </c>
      <c r="F1973" s="919" t="s">
        <v>7485</v>
      </c>
      <c r="G1973" s="919" t="s">
        <v>7486</v>
      </c>
      <c r="H1973" s="919" t="s">
        <v>4382</v>
      </c>
      <c r="I1973" s="919" t="s">
        <v>3724</v>
      </c>
      <c r="J1973" s="919"/>
      <c r="K1973" s="920"/>
      <c r="L1973" s="920"/>
      <c r="M1973" s="920">
        <f t="shared" si="60"/>
        <v>0</v>
      </c>
      <c r="N1973" s="919">
        <v>1</v>
      </c>
      <c r="O1973" s="919">
        <v>3</v>
      </c>
      <c r="P1973" s="921">
        <f t="shared" si="61"/>
        <v>8400</v>
      </c>
    </row>
    <row r="1974" spans="1:16" ht="20.100000000000001" customHeight="1" x14ac:dyDescent="0.25">
      <c r="A1974" s="918" t="s">
        <v>487</v>
      </c>
      <c r="B1974" s="944" t="s">
        <v>3901</v>
      </c>
      <c r="C1974" s="919" t="s">
        <v>3902</v>
      </c>
      <c r="D1974" s="919" t="s">
        <v>4382</v>
      </c>
      <c r="E1974" s="920">
        <v>2800</v>
      </c>
      <c r="F1974" s="919" t="s">
        <v>7487</v>
      </c>
      <c r="G1974" s="919" t="s">
        <v>7488</v>
      </c>
      <c r="H1974" s="919" t="s">
        <v>4382</v>
      </c>
      <c r="I1974" s="919" t="s">
        <v>3724</v>
      </c>
      <c r="J1974" s="919"/>
      <c r="K1974" s="920"/>
      <c r="L1974" s="920"/>
      <c r="M1974" s="920">
        <f t="shared" si="60"/>
        <v>0</v>
      </c>
      <c r="N1974" s="919">
        <v>1</v>
      </c>
      <c r="O1974" s="919">
        <v>3</v>
      </c>
      <c r="P1974" s="921">
        <f t="shared" si="61"/>
        <v>8400</v>
      </c>
    </row>
    <row r="1975" spans="1:16" ht="20.100000000000001" customHeight="1" x14ac:dyDescent="0.25">
      <c r="A1975" s="918" t="s">
        <v>487</v>
      </c>
      <c r="B1975" s="944" t="s">
        <v>3901</v>
      </c>
      <c r="C1975" s="919" t="s">
        <v>3902</v>
      </c>
      <c r="D1975" s="919" t="s">
        <v>4383</v>
      </c>
      <c r="E1975" s="920">
        <v>2800</v>
      </c>
      <c r="F1975" s="919" t="s">
        <v>7489</v>
      </c>
      <c r="G1975" s="919" t="s">
        <v>7490</v>
      </c>
      <c r="H1975" s="919" t="s">
        <v>4383</v>
      </c>
      <c r="I1975" s="919" t="s">
        <v>3724</v>
      </c>
      <c r="J1975" s="919"/>
      <c r="K1975" s="920"/>
      <c r="L1975" s="920"/>
      <c r="M1975" s="920">
        <f t="shared" si="60"/>
        <v>0</v>
      </c>
      <c r="N1975" s="919">
        <v>1</v>
      </c>
      <c r="O1975" s="919">
        <v>3</v>
      </c>
      <c r="P1975" s="921">
        <f t="shared" si="61"/>
        <v>8400</v>
      </c>
    </row>
    <row r="1976" spans="1:16" ht="20.100000000000001" customHeight="1" x14ac:dyDescent="0.25">
      <c r="A1976" s="918" t="s">
        <v>487</v>
      </c>
      <c r="B1976" s="944" t="s">
        <v>3901</v>
      </c>
      <c r="C1976" s="919" t="s">
        <v>3902</v>
      </c>
      <c r="D1976" s="919" t="s">
        <v>4462</v>
      </c>
      <c r="E1976" s="920">
        <v>2000</v>
      </c>
      <c r="F1976" s="919" t="s">
        <v>7491</v>
      </c>
      <c r="G1976" s="919" t="s">
        <v>7492</v>
      </c>
      <c r="H1976" s="919" t="s">
        <v>4462</v>
      </c>
      <c r="I1976" s="919" t="s">
        <v>3686</v>
      </c>
      <c r="J1976" s="919"/>
      <c r="K1976" s="920"/>
      <c r="L1976" s="920"/>
      <c r="M1976" s="920">
        <f t="shared" si="60"/>
        <v>0</v>
      </c>
      <c r="N1976" s="919">
        <v>1</v>
      </c>
      <c r="O1976" s="919">
        <v>3</v>
      </c>
      <c r="P1976" s="921">
        <f t="shared" si="61"/>
        <v>6000</v>
      </c>
    </row>
    <row r="1977" spans="1:16" ht="20.100000000000001" customHeight="1" x14ac:dyDescent="0.25">
      <c r="A1977" s="918" t="s">
        <v>487</v>
      </c>
      <c r="B1977" s="944" t="s">
        <v>3901</v>
      </c>
      <c r="C1977" s="919" t="s">
        <v>3902</v>
      </c>
      <c r="D1977" s="919" t="s">
        <v>4462</v>
      </c>
      <c r="E1977" s="920">
        <v>2000</v>
      </c>
      <c r="F1977" s="919" t="s">
        <v>7493</v>
      </c>
      <c r="G1977" s="919" t="s">
        <v>7494</v>
      </c>
      <c r="H1977" s="919" t="s">
        <v>4462</v>
      </c>
      <c r="I1977" s="919" t="s">
        <v>3686</v>
      </c>
      <c r="J1977" s="919"/>
      <c r="K1977" s="920"/>
      <c r="L1977" s="920"/>
      <c r="M1977" s="920">
        <f t="shared" si="60"/>
        <v>0</v>
      </c>
      <c r="N1977" s="919">
        <v>1</v>
      </c>
      <c r="O1977" s="919">
        <v>3</v>
      </c>
      <c r="P1977" s="921">
        <f t="shared" si="61"/>
        <v>6000</v>
      </c>
    </row>
    <row r="1978" spans="1:16" ht="20.100000000000001" customHeight="1" x14ac:dyDescent="0.25">
      <c r="A1978" s="918" t="s">
        <v>487</v>
      </c>
      <c r="B1978" s="944" t="s">
        <v>3901</v>
      </c>
      <c r="C1978" s="919" t="s">
        <v>3902</v>
      </c>
      <c r="D1978" s="919" t="s">
        <v>4038</v>
      </c>
      <c r="E1978" s="920">
        <v>2000</v>
      </c>
      <c r="F1978" s="919" t="s">
        <v>7495</v>
      </c>
      <c r="G1978" s="919" t="s">
        <v>7496</v>
      </c>
      <c r="H1978" s="919" t="s">
        <v>4038</v>
      </c>
      <c r="I1978" s="919" t="s">
        <v>3686</v>
      </c>
      <c r="J1978" s="919"/>
      <c r="K1978" s="920"/>
      <c r="L1978" s="920"/>
      <c r="M1978" s="920">
        <f t="shared" si="60"/>
        <v>0</v>
      </c>
      <c r="N1978" s="919">
        <v>1</v>
      </c>
      <c r="O1978" s="919">
        <v>3</v>
      </c>
      <c r="P1978" s="921">
        <f t="shared" si="61"/>
        <v>6000</v>
      </c>
    </row>
    <row r="1979" spans="1:16" ht="20.100000000000001" customHeight="1" x14ac:dyDescent="0.25">
      <c r="A1979" s="918" t="s">
        <v>487</v>
      </c>
      <c r="B1979" s="944" t="s">
        <v>3901</v>
      </c>
      <c r="C1979" s="919" t="s">
        <v>3902</v>
      </c>
      <c r="D1979" s="919" t="s">
        <v>4038</v>
      </c>
      <c r="E1979" s="920">
        <v>2000</v>
      </c>
      <c r="F1979" s="919" t="s">
        <v>7497</v>
      </c>
      <c r="G1979" s="919" t="s">
        <v>7498</v>
      </c>
      <c r="H1979" s="919" t="s">
        <v>4038</v>
      </c>
      <c r="I1979" s="919" t="s">
        <v>3686</v>
      </c>
      <c r="J1979" s="919"/>
      <c r="K1979" s="920"/>
      <c r="L1979" s="920"/>
      <c r="M1979" s="920">
        <f t="shared" si="60"/>
        <v>0</v>
      </c>
      <c r="N1979" s="919">
        <v>1</v>
      </c>
      <c r="O1979" s="919">
        <v>3</v>
      </c>
      <c r="P1979" s="921">
        <f t="shared" si="61"/>
        <v>6000</v>
      </c>
    </row>
    <row r="1980" spans="1:16" ht="20.100000000000001" customHeight="1" x14ac:dyDescent="0.25">
      <c r="A1980" s="918" t="s">
        <v>487</v>
      </c>
      <c r="B1980" s="944" t="s">
        <v>3901</v>
      </c>
      <c r="C1980" s="919" t="s">
        <v>3902</v>
      </c>
      <c r="D1980" s="919" t="s">
        <v>4391</v>
      </c>
      <c r="E1980" s="920">
        <v>2000</v>
      </c>
      <c r="F1980" s="919" t="s">
        <v>7499</v>
      </c>
      <c r="G1980" s="919" t="s">
        <v>7500</v>
      </c>
      <c r="H1980" s="919" t="s">
        <v>4391</v>
      </c>
      <c r="I1980" s="919" t="s">
        <v>3686</v>
      </c>
      <c r="J1980" s="919"/>
      <c r="K1980" s="920"/>
      <c r="L1980" s="920"/>
      <c r="M1980" s="920">
        <f t="shared" si="60"/>
        <v>0</v>
      </c>
      <c r="N1980" s="919">
        <v>1</v>
      </c>
      <c r="O1980" s="919">
        <v>3</v>
      </c>
      <c r="P1980" s="921">
        <f t="shared" si="61"/>
        <v>6000</v>
      </c>
    </row>
    <row r="1981" spans="1:16" ht="20.100000000000001" customHeight="1" x14ac:dyDescent="0.25">
      <c r="A1981" s="918" t="s">
        <v>487</v>
      </c>
      <c r="B1981" s="944" t="s">
        <v>3901</v>
      </c>
      <c r="C1981" s="919" t="s">
        <v>3902</v>
      </c>
      <c r="D1981" s="919" t="s">
        <v>6315</v>
      </c>
      <c r="E1981" s="920">
        <v>2800</v>
      </c>
      <c r="F1981" s="919" t="s">
        <v>7501</v>
      </c>
      <c r="G1981" s="919" t="s">
        <v>7502</v>
      </c>
      <c r="H1981" s="919" t="s">
        <v>6315</v>
      </c>
      <c r="I1981" s="919" t="s">
        <v>3724</v>
      </c>
      <c r="J1981" s="919"/>
      <c r="K1981" s="920"/>
      <c r="L1981" s="920"/>
      <c r="M1981" s="920">
        <f t="shared" si="60"/>
        <v>0</v>
      </c>
      <c r="N1981" s="919">
        <v>1</v>
      </c>
      <c r="O1981" s="919">
        <v>1</v>
      </c>
      <c r="P1981" s="921">
        <f t="shared" si="61"/>
        <v>2800</v>
      </c>
    </row>
    <row r="1982" spans="1:16" ht="20.100000000000001" customHeight="1" x14ac:dyDescent="0.25">
      <c r="A1982" s="918" t="s">
        <v>487</v>
      </c>
      <c r="B1982" s="944" t="s">
        <v>3901</v>
      </c>
      <c r="C1982" s="919" t="s">
        <v>3902</v>
      </c>
      <c r="D1982" s="919" t="s">
        <v>6366</v>
      </c>
      <c r="E1982" s="920">
        <v>1500</v>
      </c>
      <c r="F1982" s="919" t="s">
        <v>7503</v>
      </c>
      <c r="G1982" s="919" t="s">
        <v>7504</v>
      </c>
      <c r="H1982" s="919" t="s">
        <v>6366</v>
      </c>
      <c r="I1982" s="919" t="s">
        <v>3686</v>
      </c>
      <c r="J1982" s="919"/>
      <c r="K1982" s="920"/>
      <c r="L1982" s="920"/>
      <c r="M1982" s="920">
        <f t="shared" si="60"/>
        <v>0</v>
      </c>
      <c r="N1982" s="919">
        <v>1</v>
      </c>
      <c r="O1982" s="919">
        <v>3</v>
      </c>
      <c r="P1982" s="921">
        <f t="shared" si="61"/>
        <v>4500</v>
      </c>
    </row>
    <row r="1983" spans="1:16" ht="20.100000000000001" customHeight="1" x14ac:dyDescent="0.25">
      <c r="A1983" s="918" t="s">
        <v>487</v>
      </c>
      <c r="B1983" s="944" t="s">
        <v>3901</v>
      </c>
      <c r="C1983" s="919" t="s">
        <v>3902</v>
      </c>
      <c r="D1983" s="919" t="s">
        <v>6366</v>
      </c>
      <c r="E1983" s="920">
        <v>1500</v>
      </c>
      <c r="F1983" s="919" t="s">
        <v>7505</v>
      </c>
      <c r="G1983" s="919" t="s">
        <v>7506</v>
      </c>
      <c r="H1983" s="919" t="s">
        <v>6366</v>
      </c>
      <c r="I1983" s="919" t="s">
        <v>3686</v>
      </c>
      <c r="J1983" s="919"/>
      <c r="K1983" s="920"/>
      <c r="L1983" s="920"/>
      <c r="M1983" s="920">
        <f t="shared" si="60"/>
        <v>0</v>
      </c>
      <c r="N1983" s="919">
        <v>1</v>
      </c>
      <c r="O1983" s="919">
        <v>1</v>
      </c>
      <c r="P1983" s="921">
        <f t="shared" si="61"/>
        <v>1500</v>
      </c>
    </row>
    <row r="1984" spans="1:16" ht="20.100000000000001" customHeight="1" x14ac:dyDescent="0.25">
      <c r="A1984" s="918" t="s">
        <v>487</v>
      </c>
      <c r="B1984" s="944" t="s">
        <v>3901</v>
      </c>
      <c r="C1984" s="919" t="s">
        <v>3902</v>
      </c>
      <c r="D1984" s="919" t="s">
        <v>6120</v>
      </c>
      <c r="E1984" s="920">
        <v>6500</v>
      </c>
      <c r="F1984" s="919" t="s">
        <v>7507</v>
      </c>
      <c r="G1984" s="919" t="s">
        <v>7508</v>
      </c>
      <c r="H1984" s="919" t="s">
        <v>6120</v>
      </c>
      <c r="I1984" s="919" t="s">
        <v>3724</v>
      </c>
      <c r="J1984" s="919"/>
      <c r="K1984" s="920"/>
      <c r="L1984" s="920"/>
      <c r="M1984" s="920">
        <f t="shared" si="60"/>
        <v>0</v>
      </c>
      <c r="N1984" s="919">
        <v>1</v>
      </c>
      <c r="O1984" s="919">
        <v>3</v>
      </c>
      <c r="P1984" s="921">
        <f t="shared" si="61"/>
        <v>19500</v>
      </c>
    </row>
    <row r="1985" spans="1:16" ht="20.100000000000001" customHeight="1" x14ac:dyDescent="0.25">
      <c r="A1985" s="918" t="s">
        <v>487</v>
      </c>
      <c r="B1985" s="944" t="s">
        <v>3901</v>
      </c>
      <c r="C1985" s="919" t="s">
        <v>3902</v>
      </c>
      <c r="D1985" s="919" t="s">
        <v>6339</v>
      </c>
      <c r="E1985" s="920">
        <v>8000</v>
      </c>
      <c r="F1985" s="919" t="s">
        <v>7509</v>
      </c>
      <c r="G1985" s="919" t="s">
        <v>7510</v>
      </c>
      <c r="H1985" s="919" t="s">
        <v>6339</v>
      </c>
      <c r="I1985" s="919" t="s">
        <v>3724</v>
      </c>
      <c r="J1985" s="919"/>
      <c r="K1985" s="920"/>
      <c r="L1985" s="920"/>
      <c r="M1985" s="920">
        <f t="shared" si="60"/>
        <v>0</v>
      </c>
      <c r="N1985" s="919">
        <v>1</v>
      </c>
      <c r="O1985" s="919">
        <v>1</v>
      </c>
      <c r="P1985" s="921">
        <f t="shared" si="61"/>
        <v>8000</v>
      </c>
    </row>
    <row r="1986" spans="1:16" ht="20.100000000000001" customHeight="1" x14ac:dyDescent="0.25">
      <c r="A1986" s="918" t="s">
        <v>487</v>
      </c>
      <c r="B1986" s="944" t="s">
        <v>3901</v>
      </c>
      <c r="C1986" s="919" t="s">
        <v>3902</v>
      </c>
      <c r="D1986" s="919" t="s">
        <v>7511</v>
      </c>
      <c r="E1986" s="920">
        <v>2800</v>
      </c>
      <c r="F1986" s="919" t="s">
        <v>4041</v>
      </c>
      <c r="G1986" s="919" t="s">
        <v>4042</v>
      </c>
      <c r="H1986" s="919" t="s">
        <v>7511</v>
      </c>
      <c r="I1986" s="919" t="s">
        <v>3724</v>
      </c>
      <c r="J1986" s="919"/>
      <c r="K1986" s="920">
        <v>1</v>
      </c>
      <c r="L1986" s="920">
        <v>12</v>
      </c>
      <c r="M1986" s="920">
        <f t="shared" si="60"/>
        <v>33600</v>
      </c>
      <c r="N1986" s="919"/>
      <c r="O1986" s="919"/>
      <c r="P1986" s="921">
        <f t="shared" si="61"/>
        <v>0</v>
      </c>
    </row>
    <row r="1987" spans="1:16" ht="20.100000000000001" customHeight="1" x14ac:dyDescent="0.25">
      <c r="A1987" s="918" t="s">
        <v>487</v>
      </c>
      <c r="B1987" s="944" t="s">
        <v>3901</v>
      </c>
      <c r="C1987" s="919" t="s">
        <v>3902</v>
      </c>
      <c r="D1987" s="919" t="s">
        <v>6366</v>
      </c>
      <c r="E1987" s="920">
        <v>1500</v>
      </c>
      <c r="F1987" s="919" t="s">
        <v>7512</v>
      </c>
      <c r="G1987" s="919" t="s">
        <v>7513</v>
      </c>
      <c r="H1987" s="919" t="s">
        <v>6366</v>
      </c>
      <c r="I1987" s="919" t="s">
        <v>3686</v>
      </c>
      <c r="J1987" s="919"/>
      <c r="K1987" s="920"/>
      <c r="L1987" s="920"/>
      <c r="M1987" s="920">
        <f t="shared" si="60"/>
        <v>0</v>
      </c>
      <c r="N1987" s="919">
        <v>1</v>
      </c>
      <c r="O1987" s="919">
        <v>1</v>
      </c>
      <c r="P1987" s="921">
        <f t="shared" si="61"/>
        <v>1500</v>
      </c>
    </row>
    <row r="1988" spans="1:16" ht="20.100000000000001" customHeight="1" x14ac:dyDescent="0.25">
      <c r="A1988" s="918" t="s">
        <v>487</v>
      </c>
      <c r="B1988" s="944" t="s">
        <v>3901</v>
      </c>
      <c r="C1988" s="919" t="s">
        <v>3902</v>
      </c>
      <c r="D1988" s="919" t="s">
        <v>6366</v>
      </c>
      <c r="E1988" s="920">
        <v>1500</v>
      </c>
      <c r="F1988" s="919" t="s">
        <v>7514</v>
      </c>
      <c r="G1988" s="919" t="s">
        <v>7515</v>
      </c>
      <c r="H1988" s="919" t="s">
        <v>6366</v>
      </c>
      <c r="I1988" s="919" t="s">
        <v>3686</v>
      </c>
      <c r="J1988" s="919"/>
      <c r="K1988" s="920"/>
      <c r="L1988" s="920"/>
      <c r="M1988" s="920">
        <f t="shared" si="60"/>
        <v>0</v>
      </c>
      <c r="N1988" s="919">
        <v>1</v>
      </c>
      <c r="O1988" s="919">
        <v>1</v>
      </c>
      <c r="P1988" s="921">
        <f t="shared" si="61"/>
        <v>1500</v>
      </c>
    </row>
    <row r="1989" spans="1:16" ht="20.100000000000001" customHeight="1" x14ac:dyDescent="0.25">
      <c r="A1989" s="918" t="s">
        <v>487</v>
      </c>
      <c r="B1989" s="944" t="s">
        <v>3901</v>
      </c>
      <c r="C1989" s="919" t="s">
        <v>3902</v>
      </c>
      <c r="D1989" s="919" t="s">
        <v>7516</v>
      </c>
      <c r="E1989" s="920">
        <v>2800</v>
      </c>
      <c r="F1989" s="919" t="s">
        <v>7517</v>
      </c>
      <c r="G1989" s="919" t="s">
        <v>7518</v>
      </c>
      <c r="H1989" s="919" t="s">
        <v>7516</v>
      </c>
      <c r="I1989" s="919" t="s">
        <v>3724</v>
      </c>
      <c r="J1989" s="919"/>
      <c r="K1989" s="920"/>
      <c r="L1989" s="920"/>
      <c r="M1989" s="920">
        <f t="shared" si="60"/>
        <v>0</v>
      </c>
      <c r="N1989" s="919">
        <v>1</v>
      </c>
      <c r="O1989" s="919">
        <v>1</v>
      </c>
      <c r="P1989" s="921">
        <f t="shared" si="61"/>
        <v>2800</v>
      </c>
    </row>
    <row r="1990" spans="1:16" ht="20.100000000000001" customHeight="1" x14ac:dyDescent="0.25">
      <c r="A1990" s="918" t="s">
        <v>472</v>
      </c>
      <c r="B1990" s="944" t="s">
        <v>3901</v>
      </c>
      <c r="C1990" s="919" t="s">
        <v>3902</v>
      </c>
      <c r="D1990" s="919" t="s">
        <v>4250</v>
      </c>
      <c r="E1990" s="920">
        <v>3500</v>
      </c>
      <c r="F1990" s="919" t="s">
        <v>7519</v>
      </c>
      <c r="G1990" s="919" t="s">
        <v>7520</v>
      </c>
      <c r="H1990" s="919" t="s">
        <v>4250</v>
      </c>
      <c r="I1990" s="919" t="s">
        <v>3679</v>
      </c>
      <c r="J1990" s="919"/>
      <c r="K1990" s="920"/>
      <c r="L1990" s="920"/>
      <c r="M1990" s="920">
        <f t="shared" ref="M1990:M2053" si="62">E1990*L1990</f>
        <v>0</v>
      </c>
      <c r="N1990" s="919">
        <v>1</v>
      </c>
      <c r="O1990" s="919">
        <v>4</v>
      </c>
      <c r="P1990" s="921">
        <f t="shared" ref="P1990:P2053" si="63">E1990*O1990</f>
        <v>14000</v>
      </c>
    </row>
    <row r="1991" spans="1:16" ht="20.100000000000001" customHeight="1" x14ac:dyDescent="0.25">
      <c r="A1991" s="918" t="s">
        <v>472</v>
      </c>
      <c r="B1991" s="944" t="s">
        <v>3901</v>
      </c>
      <c r="C1991" s="919" t="s">
        <v>3902</v>
      </c>
      <c r="D1991" s="919" t="s">
        <v>4492</v>
      </c>
      <c r="E1991" s="920">
        <v>2800</v>
      </c>
      <c r="F1991" s="919" t="s">
        <v>7521</v>
      </c>
      <c r="G1991" s="919" t="s">
        <v>7522</v>
      </c>
      <c r="H1991" s="919" t="s">
        <v>4492</v>
      </c>
      <c r="I1991" s="919" t="s">
        <v>3679</v>
      </c>
      <c r="J1991" s="919"/>
      <c r="K1991" s="920"/>
      <c r="L1991" s="920"/>
      <c r="M1991" s="920">
        <f t="shared" si="62"/>
        <v>0</v>
      </c>
      <c r="N1991" s="919">
        <v>1</v>
      </c>
      <c r="O1991" s="919">
        <v>1</v>
      </c>
      <c r="P1991" s="921">
        <f t="shared" si="63"/>
        <v>2800</v>
      </c>
    </row>
    <row r="1992" spans="1:16" ht="20.100000000000001" customHeight="1" x14ac:dyDescent="0.25">
      <c r="A1992" s="918" t="s">
        <v>472</v>
      </c>
      <c r="B1992" s="944" t="s">
        <v>3901</v>
      </c>
      <c r="C1992" s="919" t="s">
        <v>3902</v>
      </c>
      <c r="D1992" s="919" t="s">
        <v>4492</v>
      </c>
      <c r="E1992" s="920">
        <v>2800</v>
      </c>
      <c r="F1992" s="919" t="s">
        <v>7523</v>
      </c>
      <c r="G1992" s="919" t="s">
        <v>7524</v>
      </c>
      <c r="H1992" s="919" t="s">
        <v>4492</v>
      </c>
      <c r="I1992" s="919" t="s">
        <v>3679</v>
      </c>
      <c r="J1992" s="919"/>
      <c r="K1992" s="920"/>
      <c r="L1992" s="920"/>
      <c r="M1992" s="920">
        <f t="shared" si="62"/>
        <v>0</v>
      </c>
      <c r="N1992" s="919">
        <v>1</v>
      </c>
      <c r="O1992" s="919">
        <v>1</v>
      </c>
      <c r="P1992" s="921">
        <f t="shared" si="63"/>
        <v>2800</v>
      </c>
    </row>
    <row r="1993" spans="1:16" ht="20.100000000000001" customHeight="1" x14ac:dyDescent="0.25">
      <c r="A1993" s="918" t="s">
        <v>472</v>
      </c>
      <c r="B1993" s="944" t="s">
        <v>3901</v>
      </c>
      <c r="C1993" s="919" t="s">
        <v>3902</v>
      </c>
      <c r="D1993" s="919" t="s">
        <v>4492</v>
      </c>
      <c r="E1993" s="920">
        <v>2800</v>
      </c>
      <c r="F1993" s="919" t="s">
        <v>7525</v>
      </c>
      <c r="G1993" s="919" t="s">
        <v>7526</v>
      </c>
      <c r="H1993" s="919" t="s">
        <v>4492</v>
      </c>
      <c r="I1993" s="919" t="s">
        <v>3679</v>
      </c>
      <c r="J1993" s="919"/>
      <c r="K1993" s="920"/>
      <c r="L1993" s="920"/>
      <c r="M1993" s="920">
        <f t="shared" si="62"/>
        <v>0</v>
      </c>
      <c r="N1993" s="919">
        <v>1</v>
      </c>
      <c r="O1993" s="919">
        <v>4</v>
      </c>
      <c r="P1993" s="921">
        <f t="shared" si="63"/>
        <v>11200</v>
      </c>
    </row>
    <row r="1994" spans="1:16" ht="20.100000000000001" customHeight="1" x14ac:dyDescent="0.25">
      <c r="A1994" s="918" t="s">
        <v>472</v>
      </c>
      <c r="B1994" s="944" t="s">
        <v>3901</v>
      </c>
      <c r="C1994" s="919" t="s">
        <v>3902</v>
      </c>
      <c r="D1994" s="919" t="s">
        <v>4499</v>
      </c>
      <c r="E1994" s="920">
        <v>2500</v>
      </c>
      <c r="F1994" s="919" t="s">
        <v>7527</v>
      </c>
      <c r="G1994" s="919" t="s">
        <v>7528</v>
      </c>
      <c r="H1994" s="919" t="s">
        <v>4499</v>
      </c>
      <c r="I1994" s="919" t="s">
        <v>3679</v>
      </c>
      <c r="J1994" s="919"/>
      <c r="K1994" s="920"/>
      <c r="L1994" s="920"/>
      <c r="M1994" s="920">
        <f t="shared" si="62"/>
        <v>0</v>
      </c>
      <c r="N1994" s="919">
        <v>1</v>
      </c>
      <c r="O1994" s="919">
        <v>4</v>
      </c>
      <c r="P1994" s="921">
        <f t="shared" si="63"/>
        <v>10000</v>
      </c>
    </row>
    <row r="1995" spans="1:16" ht="20.100000000000001" customHeight="1" x14ac:dyDescent="0.25">
      <c r="A1995" s="918" t="s">
        <v>472</v>
      </c>
      <c r="B1995" s="944" t="s">
        <v>3901</v>
      </c>
      <c r="C1995" s="919" t="s">
        <v>3902</v>
      </c>
      <c r="D1995" s="919" t="s">
        <v>4881</v>
      </c>
      <c r="E1995" s="920">
        <v>3200</v>
      </c>
      <c r="F1995" s="919" t="s">
        <v>7529</v>
      </c>
      <c r="G1995" s="919" t="s">
        <v>7530</v>
      </c>
      <c r="H1995" s="919" t="s">
        <v>4881</v>
      </c>
      <c r="I1995" s="919" t="s">
        <v>3679</v>
      </c>
      <c r="J1995" s="919"/>
      <c r="K1995" s="920"/>
      <c r="L1995" s="920"/>
      <c r="M1995" s="920">
        <f t="shared" si="62"/>
        <v>0</v>
      </c>
      <c r="N1995" s="919">
        <v>1</v>
      </c>
      <c r="O1995" s="919">
        <v>5</v>
      </c>
      <c r="P1995" s="921">
        <f t="shared" si="63"/>
        <v>16000</v>
      </c>
    </row>
    <row r="1996" spans="1:16" ht="20.100000000000001" customHeight="1" x14ac:dyDescent="0.25">
      <c r="A1996" s="918" t="s">
        <v>472</v>
      </c>
      <c r="B1996" s="944" t="s">
        <v>3901</v>
      </c>
      <c r="C1996" s="919" t="s">
        <v>3902</v>
      </c>
      <c r="D1996" s="919" t="s">
        <v>4881</v>
      </c>
      <c r="E1996" s="920">
        <v>3200</v>
      </c>
      <c r="F1996" s="919" t="s">
        <v>7531</v>
      </c>
      <c r="G1996" s="919" t="s">
        <v>7532</v>
      </c>
      <c r="H1996" s="919" t="s">
        <v>4881</v>
      </c>
      <c r="I1996" s="919" t="s">
        <v>3679</v>
      </c>
      <c r="J1996" s="919"/>
      <c r="K1996" s="920"/>
      <c r="L1996" s="920"/>
      <c r="M1996" s="920">
        <f t="shared" si="62"/>
        <v>0</v>
      </c>
      <c r="N1996" s="919">
        <v>1</v>
      </c>
      <c r="O1996" s="919">
        <v>3</v>
      </c>
      <c r="P1996" s="921">
        <f t="shared" si="63"/>
        <v>9600</v>
      </c>
    </row>
    <row r="1997" spans="1:16" ht="20.100000000000001" customHeight="1" x14ac:dyDescent="0.25">
      <c r="A1997" s="918" t="s">
        <v>472</v>
      </c>
      <c r="B1997" s="944" t="s">
        <v>3901</v>
      </c>
      <c r="C1997" s="919" t="s">
        <v>3902</v>
      </c>
      <c r="D1997" s="919" t="s">
        <v>4886</v>
      </c>
      <c r="E1997" s="920">
        <v>2300</v>
      </c>
      <c r="F1997" s="919" t="s">
        <v>7533</v>
      </c>
      <c r="G1997" s="919" t="s">
        <v>7534</v>
      </c>
      <c r="H1997" s="919" t="s">
        <v>4886</v>
      </c>
      <c r="I1997" s="919" t="s">
        <v>3679</v>
      </c>
      <c r="J1997" s="919"/>
      <c r="K1997" s="920"/>
      <c r="L1997" s="920"/>
      <c r="M1997" s="920">
        <f t="shared" si="62"/>
        <v>0</v>
      </c>
      <c r="N1997" s="919">
        <v>1</v>
      </c>
      <c r="O1997" s="919">
        <v>1</v>
      </c>
      <c r="P1997" s="921">
        <f t="shared" si="63"/>
        <v>2300</v>
      </c>
    </row>
    <row r="1998" spans="1:16" ht="20.100000000000001" customHeight="1" x14ac:dyDescent="0.25">
      <c r="A1998" s="918" t="s">
        <v>472</v>
      </c>
      <c r="B1998" s="944" t="s">
        <v>3901</v>
      </c>
      <c r="C1998" s="919" t="s">
        <v>3902</v>
      </c>
      <c r="D1998" s="919" t="s">
        <v>4886</v>
      </c>
      <c r="E1998" s="920">
        <v>2300</v>
      </c>
      <c r="F1998" s="919" t="s">
        <v>7535</v>
      </c>
      <c r="G1998" s="919" t="s">
        <v>7536</v>
      </c>
      <c r="H1998" s="919" t="s">
        <v>4886</v>
      </c>
      <c r="I1998" s="919" t="s">
        <v>3679</v>
      </c>
      <c r="J1998" s="919"/>
      <c r="K1998" s="920"/>
      <c r="L1998" s="920"/>
      <c r="M1998" s="920">
        <f t="shared" si="62"/>
        <v>0</v>
      </c>
      <c r="N1998" s="919">
        <v>1</v>
      </c>
      <c r="O1998" s="919">
        <v>1</v>
      </c>
      <c r="P1998" s="921">
        <f t="shared" si="63"/>
        <v>2300</v>
      </c>
    </row>
    <row r="1999" spans="1:16" ht="20.100000000000001" customHeight="1" x14ac:dyDescent="0.25">
      <c r="A1999" s="918" t="s">
        <v>472</v>
      </c>
      <c r="B1999" s="944" t="s">
        <v>3901</v>
      </c>
      <c r="C1999" s="919" t="s">
        <v>3902</v>
      </c>
      <c r="D1999" s="919" t="s">
        <v>4657</v>
      </c>
      <c r="E1999" s="920">
        <v>1150</v>
      </c>
      <c r="F1999" s="919" t="s">
        <v>7537</v>
      </c>
      <c r="G1999" s="919" t="s">
        <v>7538</v>
      </c>
      <c r="H1999" s="919" t="s">
        <v>4657</v>
      </c>
      <c r="I1999" s="919" t="s">
        <v>3686</v>
      </c>
      <c r="J1999" s="919"/>
      <c r="K1999" s="920"/>
      <c r="L1999" s="920"/>
      <c r="M1999" s="920">
        <f t="shared" si="62"/>
        <v>0</v>
      </c>
      <c r="N1999" s="919">
        <v>1</v>
      </c>
      <c r="O1999" s="919">
        <v>3</v>
      </c>
      <c r="P1999" s="921">
        <f t="shared" si="63"/>
        <v>3450</v>
      </c>
    </row>
    <row r="2000" spans="1:16" ht="20.100000000000001" customHeight="1" x14ac:dyDescent="0.25">
      <c r="A2000" s="918" t="s">
        <v>472</v>
      </c>
      <c r="B2000" s="944" t="s">
        <v>3901</v>
      </c>
      <c r="C2000" s="919" t="s">
        <v>3902</v>
      </c>
      <c r="D2000" s="919" t="s">
        <v>4657</v>
      </c>
      <c r="E2000" s="920">
        <v>1150</v>
      </c>
      <c r="F2000" s="919" t="s">
        <v>7539</v>
      </c>
      <c r="G2000" s="919" t="s">
        <v>7540</v>
      </c>
      <c r="H2000" s="919" t="s">
        <v>4657</v>
      </c>
      <c r="I2000" s="919" t="s">
        <v>3686</v>
      </c>
      <c r="J2000" s="919"/>
      <c r="K2000" s="920"/>
      <c r="L2000" s="920"/>
      <c r="M2000" s="920">
        <f t="shared" si="62"/>
        <v>0</v>
      </c>
      <c r="N2000" s="919">
        <v>1</v>
      </c>
      <c r="O2000" s="919">
        <v>4</v>
      </c>
      <c r="P2000" s="921">
        <f t="shared" si="63"/>
        <v>4600</v>
      </c>
    </row>
    <row r="2001" spans="1:16" ht="20.100000000000001" customHeight="1" x14ac:dyDescent="0.25">
      <c r="A2001" s="918" t="s">
        <v>472</v>
      </c>
      <c r="B2001" s="944" t="s">
        <v>3901</v>
      </c>
      <c r="C2001" s="919" t="s">
        <v>3902</v>
      </c>
      <c r="D2001" s="919" t="s">
        <v>4895</v>
      </c>
      <c r="E2001" s="920">
        <v>1150</v>
      </c>
      <c r="F2001" s="919" t="s">
        <v>4041</v>
      </c>
      <c r="G2001" s="919" t="s">
        <v>4042</v>
      </c>
      <c r="H2001" s="919" t="s">
        <v>4895</v>
      </c>
      <c r="I2001" s="919" t="s">
        <v>3693</v>
      </c>
      <c r="J2001" s="919"/>
      <c r="K2001" s="920">
        <v>1</v>
      </c>
      <c r="L2001" s="920">
        <v>12</v>
      </c>
      <c r="M2001" s="920">
        <f t="shared" si="62"/>
        <v>13800</v>
      </c>
      <c r="N2001" s="919"/>
      <c r="O2001" s="919"/>
      <c r="P2001" s="921">
        <f t="shared" si="63"/>
        <v>0</v>
      </c>
    </row>
    <row r="2002" spans="1:16" ht="20.100000000000001" customHeight="1" x14ac:dyDescent="0.25">
      <c r="A2002" s="918" t="s">
        <v>472</v>
      </c>
      <c r="B2002" s="944" t="s">
        <v>3901</v>
      </c>
      <c r="C2002" s="919" t="s">
        <v>3902</v>
      </c>
      <c r="D2002" s="919" t="s">
        <v>4895</v>
      </c>
      <c r="E2002" s="920">
        <v>1150</v>
      </c>
      <c r="F2002" s="919" t="s">
        <v>7541</v>
      </c>
      <c r="G2002" s="919" t="s">
        <v>7542</v>
      </c>
      <c r="H2002" s="919" t="s">
        <v>4895</v>
      </c>
      <c r="I2002" s="919" t="s">
        <v>3693</v>
      </c>
      <c r="J2002" s="919"/>
      <c r="K2002" s="920"/>
      <c r="L2002" s="920"/>
      <c r="M2002" s="920">
        <f t="shared" si="62"/>
        <v>0</v>
      </c>
      <c r="N2002" s="919">
        <v>1</v>
      </c>
      <c r="O2002" s="919">
        <v>4</v>
      </c>
      <c r="P2002" s="921">
        <f t="shared" si="63"/>
        <v>4600</v>
      </c>
    </row>
    <row r="2003" spans="1:16" ht="20.100000000000001" customHeight="1" x14ac:dyDescent="0.25">
      <c r="A2003" s="918" t="s">
        <v>472</v>
      </c>
      <c r="B2003" s="944" t="s">
        <v>3901</v>
      </c>
      <c r="C2003" s="919" t="s">
        <v>3902</v>
      </c>
      <c r="D2003" s="919" t="s">
        <v>4895</v>
      </c>
      <c r="E2003" s="920">
        <v>1150</v>
      </c>
      <c r="F2003" s="919" t="s">
        <v>7543</v>
      </c>
      <c r="G2003" s="919" t="s">
        <v>7544</v>
      </c>
      <c r="H2003" s="919" t="s">
        <v>4895</v>
      </c>
      <c r="I2003" s="919" t="s">
        <v>3693</v>
      </c>
      <c r="J2003" s="919"/>
      <c r="K2003" s="920"/>
      <c r="L2003" s="920"/>
      <c r="M2003" s="920">
        <f t="shared" si="62"/>
        <v>0</v>
      </c>
      <c r="N2003" s="919">
        <v>1</v>
      </c>
      <c r="O2003" s="919">
        <v>4</v>
      </c>
      <c r="P2003" s="921">
        <f t="shared" si="63"/>
        <v>4600</v>
      </c>
    </row>
    <row r="2004" spans="1:16" ht="20.100000000000001" customHeight="1" x14ac:dyDescent="0.25">
      <c r="A2004" s="918" t="s">
        <v>472</v>
      </c>
      <c r="B2004" s="944" t="s">
        <v>3901</v>
      </c>
      <c r="C2004" s="919" t="s">
        <v>3902</v>
      </c>
      <c r="D2004" s="919" t="s">
        <v>4895</v>
      </c>
      <c r="E2004" s="920">
        <v>1150</v>
      </c>
      <c r="F2004" s="919" t="s">
        <v>7545</v>
      </c>
      <c r="G2004" s="919" t="s">
        <v>7546</v>
      </c>
      <c r="H2004" s="919" t="s">
        <v>4895</v>
      </c>
      <c r="I2004" s="919" t="s">
        <v>3693</v>
      </c>
      <c r="J2004" s="919"/>
      <c r="K2004" s="920"/>
      <c r="L2004" s="920"/>
      <c r="M2004" s="920">
        <f t="shared" si="62"/>
        <v>0</v>
      </c>
      <c r="N2004" s="919">
        <v>1</v>
      </c>
      <c r="O2004" s="919">
        <v>4</v>
      </c>
      <c r="P2004" s="921">
        <f t="shared" si="63"/>
        <v>4600</v>
      </c>
    </row>
    <row r="2005" spans="1:16" ht="20.100000000000001" customHeight="1" x14ac:dyDescent="0.25">
      <c r="A2005" s="918" t="s">
        <v>472</v>
      </c>
      <c r="B2005" s="944" t="s">
        <v>3901</v>
      </c>
      <c r="C2005" s="919" t="s">
        <v>3902</v>
      </c>
      <c r="D2005" s="919" t="s">
        <v>4895</v>
      </c>
      <c r="E2005" s="920">
        <v>1150</v>
      </c>
      <c r="F2005" s="919" t="s">
        <v>7547</v>
      </c>
      <c r="G2005" s="919" t="s">
        <v>7548</v>
      </c>
      <c r="H2005" s="919" t="s">
        <v>4895</v>
      </c>
      <c r="I2005" s="919" t="s">
        <v>3693</v>
      </c>
      <c r="J2005" s="919"/>
      <c r="K2005" s="920"/>
      <c r="L2005" s="920"/>
      <c r="M2005" s="920">
        <f t="shared" si="62"/>
        <v>0</v>
      </c>
      <c r="N2005" s="919">
        <v>1</v>
      </c>
      <c r="O2005" s="919">
        <v>4</v>
      </c>
      <c r="P2005" s="921">
        <f t="shared" si="63"/>
        <v>4600</v>
      </c>
    </row>
    <row r="2006" spans="1:16" ht="20.100000000000001" customHeight="1" x14ac:dyDescent="0.25">
      <c r="A2006" s="918" t="s">
        <v>472</v>
      </c>
      <c r="B2006" s="944" t="s">
        <v>3901</v>
      </c>
      <c r="C2006" s="919" t="s">
        <v>3902</v>
      </c>
      <c r="D2006" s="919" t="s">
        <v>4502</v>
      </c>
      <c r="E2006" s="920">
        <v>1150</v>
      </c>
      <c r="F2006" s="919" t="s">
        <v>7549</v>
      </c>
      <c r="G2006" s="919" t="s">
        <v>7550</v>
      </c>
      <c r="H2006" s="919" t="s">
        <v>4502</v>
      </c>
      <c r="I2006" s="919" t="s">
        <v>3686</v>
      </c>
      <c r="J2006" s="919"/>
      <c r="K2006" s="920"/>
      <c r="L2006" s="920"/>
      <c r="M2006" s="920">
        <f t="shared" si="62"/>
        <v>0</v>
      </c>
      <c r="N2006" s="919">
        <v>1</v>
      </c>
      <c r="O2006" s="919">
        <v>5</v>
      </c>
      <c r="P2006" s="921">
        <f t="shared" si="63"/>
        <v>5750</v>
      </c>
    </row>
    <row r="2007" spans="1:16" ht="20.100000000000001" customHeight="1" x14ac:dyDescent="0.25">
      <c r="A2007" s="918" t="s">
        <v>472</v>
      </c>
      <c r="B2007" s="944" t="s">
        <v>3901</v>
      </c>
      <c r="C2007" s="919" t="s">
        <v>3902</v>
      </c>
      <c r="D2007" s="919" t="s">
        <v>4502</v>
      </c>
      <c r="E2007" s="920">
        <v>1150</v>
      </c>
      <c r="F2007" s="919" t="s">
        <v>7551</v>
      </c>
      <c r="G2007" s="919" t="s">
        <v>7552</v>
      </c>
      <c r="H2007" s="919" t="s">
        <v>4502</v>
      </c>
      <c r="I2007" s="919" t="s">
        <v>3686</v>
      </c>
      <c r="J2007" s="919"/>
      <c r="K2007" s="920"/>
      <c r="L2007" s="920"/>
      <c r="M2007" s="920">
        <f t="shared" si="62"/>
        <v>0</v>
      </c>
      <c r="N2007" s="919">
        <v>1</v>
      </c>
      <c r="O2007" s="919">
        <v>5</v>
      </c>
      <c r="P2007" s="921">
        <f t="shared" si="63"/>
        <v>5750</v>
      </c>
    </row>
    <row r="2008" spans="1:16" ht="20.100000000000001" customHeight="1" x14ac:dyDescent="0.25">
      <c r="A2008" s="918" t="s">
        <v>472</v>
      </c>
      <c r="B2008" s="944" t="s">
        <v>3901</v>
      </c>
      <c r="C2008" s="919" t="s">
        <v>3902</v>
      </c>
      <c r="D2008" s="919" t="s">
        <v>4502</v>
      </c>
      <c r="E2008" s="920">
        <v>1150</v>
      </c>
      <c r="F2008" s="919" t="s">
        <v>7553</v>
      </c>
      <c r="G2008" s="919" t="s">
        <v>7554</v>
      </c>
      <c r="H2008" s="919" t="s">
        <v>4502</v>
      </c>
      <c r="I2008" s="919" t="s">
        <v>3686</v>
      </c>
      <c r="J2008" s="919"/>
      <c r="K2008" s="920"/>
      <c r="L2008" s="920"/>
      <c r="M2008" s="920">
        <f t="shared" si="62"/>
        <v>0</v>
      </c>
      <c r="N2008" s="919">
        <v>1</v>
      </c>
      <c r="O2008" s="919">
        <v>4</v>
      </c>
      <c r="P2008" s="921">
        <f t="shared" si="63"/>
        <v>4600</v>
      </c>
    </row>
    <row r="2009" spans="1:16" ht="20.100000000000001" customHeight="1" x14ac:dyDescent="0.25">
      <c r="A2009" s="918" t="s">
        <v>472</v>
      </c>
      <c r="B2009" s="944" t="s">
        <v>3901</v>
      </c>
      <c r="C2009" s="919" t="s">
        <v>3902</v>
      </c>
      <c r="D2009" s="919" t="s">
        <v>4502</v>
      </c>
      <c r="E2009" s="920">
        <v>1150</v>
      </c>
      <c r="F2009" s="919" t="s">
        <v>7555</v>
      </c>
      <c r="G2009" s="919" t="s">
        <v>7556</v>
      </c>
      <c r="H2009" s="919" t="s">
        <v>4502</v>
      </c>
      <c r="I2009" s="919" t="s">
        <v>3686</v>
      </c>
      <c r="J2009" s="919"/>
      <c r="K2009" s="920"/>
      <c r="L2009" s="920"/>
      <c r="M2009" s="920">
        <f t="shared" si="62"/>
        <v>0</v>
      </c>
      <c r="N2009" s="919">
        <v>1</v>
      </c>
      <c r="O2009" s="919">
        <v>4</v>
      </c>
      <c r="P2009" s="921">
        <f t="shared" si="63"/>
        <v>4600</v>
      </c>
    </row>
    <row r="2010" spans="1:16" ht="20.100000000000001" customHeight="1" x14ac:dyDescent="0.25">
      <c r="A2010" s="918" t="s">
        <v>472</v>
      </c>
      <c r="B2010" s="944" t="s">
        <v>3901</v>
      </c>
      <c r="C2010" s="919" t="s">
        <v>3902</v>
      </c>
      <c r="D2010" s="919" t="s">
        <v>4502</v>
      </c>
      <c r="E2010" s="920">
        <v>1150</v>
      </c>
      <c r="F2010" s="919" t="s">
        <v>7557</v>
      </c>
      <c r="G2010" s="919" t="s">
        <v>7558</v>
      </c>
      <c r="H2010" s="919" t="s">
        <v>4502</v>
      </c>
      <c r="I2010" s="919" t="s">
        <v>3686</v>
      </c>
      <c r="J2010" s="919"/>
      <c r="K2010" s="920"/>
      <c r="L2010" s="920"/>
      <c r="M2010" s="920">
        <f t="shared" si="62"/>
        <v>0</v>
      </c>
      <c r="N2010" s="919">
        <v>1</v>
      </c>
      <c r="O2010" s="919">
        <v>4</v>
      </c>
      <c r="P2010" s="921">
        <f t="shared" si="63"/>
        <v>4600</v>
      </c>
    </row>
    <row r="2011" spans="1:16" ht="20.100000000000001" customHeight="1" x14ac:dyDescent="0.25">
      <c r="A2011" s="918" t="s">
        <v>472</v>
      </c>
      <c r="B2011" s="944" t="s">
        <v>3901</v>
      </c>
      <c r="C2011" s="919" t="s">
        <v>3902</v>
      </c>
      <c r="D2011" s="919" t="s">
        <v>4502</v>
      </c>
      <c r="E2011" s="920">
        <v>1150</v>
      </c>
      <c r="F2011" s="919" t="s">
        <v>7559</v>
      </c>
      <c r="G2011" s="919" t="s">
        <v>7560</v>
      </c>
      <c r="H2011" s="919" t="s">
        <v>4502</v>
      </c>
      <c r="I2011" s="919" t="s">
        <v>3686</v>
      </c>
      <c r="J2011" s="919"/>
      <c r="K2011" s="920"/>
      <c r="L2011" s="920"/>
      <c r="M2011" s="920">
        <f t="shared" si="62"/>
        <v>0</v>
      </c>
      <c r="N2011" s="919">
        <v>1</v>
      </c>
      <c r="O2011" s="919">
        <v>1</v>
      </c>
      <c r="P2011" s="921">
        <f t="shared" si="63"/>
        <v>1150</v>
      </c>
    </row>
    <row r="2012" spans="1:16" ht="20.100000000000001" customHeight="1" x14ac:dyDescent="0.25">
      <c r="A2012" s="918" t="s">
        <v>472</v>
      </c>
      <c r="B2012" s="944" t="s">
        <v>3901</v>
      </c>
      <c r="C2012" s="919" t="s">
        <v>3902</v>
      </c>
      <c r="D2012" s="919" t="s">
        <v>4502</v>
      </c>
      <c r="E2012" s="920">
        <v>1150</v>
      </c>
      <c r="F2012" s="919" t="s">
        <v>7561</v>
      </c>
      <c r="G2012" s="919" t="s">
        <v>7562</v>
      </c>
      <c r="H2012" s="919" t="s">
        <v>4502</v>
      </c>
      <c r="I2012" s="919" t="s">
        <v>3686</v>
      </c>
      <c r="J2012" s="919"/>
      <c r="K2012" s="920"/>
      <c r="L2012" s="920"/>
      <c r="M2012" s="920">
        <f t="shared" si="62"/>
        <v>0</v>
      </c>
      <c r="N2012" s="919">
        <v>1</v>
      </c>
      <c r="O2012" s="919">
        <v>4</v>
      </c>
      <c r="P2012" s="921">
        <f t="shared" si="63"/>
        <v>4600</v>
      </c>
    </row>
    <row r="2013" spans="1:16" ht="20.100000000000001" customHeight="1" x14ac:dyDescent="0.25">
      <c r="A2013" s="918" t="s">
        <v>472</v>
      </c>
      <c r="B2013" s="944" t="s">
        <v>3901</v>
      </c>
      <c r="C2013" s="919" t="s">
        <v>3902</v>
      </c>
      <c r="D2013" s="919" t="s">
        <v>4502</v>
      </c>
      <c r="E2013" s="920">
        <v>1150</v>
      </c>
      <c r="F2013" s="919" t="s">
        <v>7563</v>
      </c>
      <c r="G2013" s="919" t="s">
        <v>7564</v>
      </c>
      <c r="H2013" s="919" t="s">
        <v>4502</v>
      </c>
      <c r="I2013" s="919" t="s">
        <v>3686</v>
      </c>
      <c r="J2013" s="919"/>
      <c r="K2013" s="920"/>
      <c r="L2013" s="920"/>
      <c r="M2013" s="920">
        <f t="shared" si="62"/>
        <v>0</v>
      </c>
      <c r="N2013" s="919">
        <v>1</v>
      </c>
      <c r="O2013" s="919">
        <v>4</v>
      </c>
      <c r="P2013" s="921">
        <f t="shared" si="63"/>
        <v>4600</v>
      </c>
    </row>
    <row r="2014" spans="1:16" ht="20.100000000000001" customHeight="1" x14ac:dyDescent="0.25">
      <c r="A2014" s="918" t="s">
        <v>472</v>
      </c>
      <c r="B2014" s="944" t="s">
        <v>3901</v>
      </c>
      <c r="C2014" s="919" t="s">
        <v>3902</v>
      </c>
      <c r="D2014" s="919" t="s">
        <v>4502</v>
      </c>
      <c r="E2014" s="920">
        <v>1150</v>
      </c>
      <c r="F2014" s="919" t="s">
        <v>7565</v>
      </c>
      <c r="G2014" s="919" t="s">
        <v>7566</v>
      </c>
      <c r="H2014" s="919" t="s">
        <v>4502</v>
      </c>
      <c r="I2014" s="919" t="s">
        <v>3686</v>
      </c>
      <c r="J2014" s="919"/>
      <c r="K2014" s="920"/>
      <c r="L2014" s="920"/>
      <c r="M2014" s="920">
        <f t="shared" si="62"/>
        <v>0</v>
      </c>
      <c r="N2014" s="919">
        <v>1</v>
      </c>
      <c r="O2014" s="919">
        <v>5</v>
      </c>
      <c r="P2014" s="921">
        <f t="shared" si="63"/>
        <v>5750</v>
      </c>
    </row>
    <row r="2015" spans="1:16" ht="20.100000000000001" customHeight="1" x14ac:dyDescent="0.25">
      <c r="A2015" s="918" t="s">
        <v>472</v>
      </c>
      <c r="B2015" s="944" t="s">
        <v>3901</v>
      </c>
      <c r="C2015" s="919" t="s">
        <v>3902</v>
      </c>
      <c r="D2015" s="919" t="s">
        <v>4502</v>
      </c>
      <c r="E2015" s="920">
        <v>1150</v>
      </c>
      <c r="F2015" s="919" t="s">
        <v>7567</v>
      </c>
      <c r="G2015" s="919" t="s">
        <v>7568</v>
      </c>
      <c r="H2015" s="919" t="s">
        <v>4502</v>
      </c>
      <c r="I2015" s="919" t="s">
        <v>3686</v>
      </c>
      <c r="J2015" s="919"/>
      <c r="K2015" s="920"/>
      <c r="L2015" s="920"/>
      <c r="M2015" s="920">
        <f t="shared" si="62"/>
        <v>0</v>
      </c>
      <c r="N2015" s="919">
        <v>1</v>
      </c>
      <c r="O2015" s="919">
        <v>5</v>
      </c>
      <c r="P2015" s="921">
        <f t="shared" si="63"/>
        <v>5750</v>
      </c>
    </row>
    <row r="2016" spans="1:16" ht="20.100000000000001" customHeight="1" x14ac:dyDescent="0.25">
      <c r="A2016" s="918" t="s">
        <v>472</v>
      </c>
      <c r="B2016" s="944" t="s">
        <v>3901</v>
      </c>
      <c r="C2016" s="919" t="s">
        <v>3902</v>
      </c>
      <c r="D2016" s="919" t="s">
        <v>4502</v>
      </c>
      <c r="E2016" s="920">
        <v>1150</v>
      </c>
      <c r="F2016" s="919" t="s">
        <v>7569</v>
      </c>
      <c r="G2016" s="919" t="s">
        <v>7570</v>
      </c>
      <c r="H2016" s="919" t="s">
        <v>4502</v>
      </c>
      <c r="I2016" s="919" t="s">
        <v>3686</v>
      </c>
      <c r="J2016" s="919"/>
      <c r="K2016" s="920"/>
      <c r="L2016" s="920"/>
      <c r="M2016" s="920">
        <f t="shared" si="62"/>
        <v>0</v>
      </c>
      <c r="N2016" s="919">
        <v>1</v>
      </c>
      <c r="O2016" s="919">
        <v>3</v>
      </c>
      <c r="P2016" s="921">
        <f t="shared" si="63"/>
        <v>3450</v>
      </c>
    </row>
    <row r="2017" spans="1:16" ht="20.100000000000001" customHeight="1" x14ac:dyDescent="0.25">
      <c r="A2017" s="918" t="s">
        <v>472</v>
      </c>
      <c r="B2017" s="944" t="s">
        <v>3901</v>
      </c>
      <c r="C2017" s="919" t="s">
        <v>3902</v>
      </c>
      <c r="D2017" s="919" t="s">
        <v>4531</v>
      </c>
      <c r="E2017" s="920">
        <v>1800</v>
      </c>
      <c r="F2017" s="919" t="s">
        <v>7571</v>
      </c>
      <c r="G2017" s="919" t="s">
        <v>7572</v>
      </c>
      <c r="H2017" s="919" t="s">
        <v>4531</v>
      </c>
      <c r="I2017" s="919" t="s">
        <v>3679</v>
      </c>
      <c r="J2017" s="919"/>
      <c r="K2017" s="920"/>
      <c r="L2017" s="920"/>
      <c r="M2017" s="920">
        <f t="shared" si="62"/>
        <v>0</v>
      </c>
      <c r="N2017" s="919">
        <v>1</v>
      </c>
      <c r="O2017" s="919">
        <v>3</v>
      </c>
      <c r="P2017" s="921">
        <f t="shared" si="63"/>
        <v>5400</v>
      </c>
    </row>
    <row r="2018" spans="1:16" ht="20.100000000000001" customHeight="1" x14ac:dyDescent="0.25">
      <c r="A2018" s="918" t="s">
        <v>472</v>
      </c>
      <c r="B2018" s="944" t="s">
        <v>3901</v>
      </c>
      <c r="C2018" s="919" t="s">
        <v>3902</v>
      </c>
      <c r="D2018" s="919" t="s">
        <v>4531</v>
      </c>
      <c r="E2018" s="920">
        <v>1800</v>
      </c>
      <c r="F2018" s="919" t="s">
        <v>7573</v>
      </c>
      <c r="G2018" s="919" t="s">
        <v>7574</v>
      </c>
      <c r="H2018" s="919" t="s">
        <v>4531</v>
      </c>
      <c r="I2018" s="919" t="s">
        <v>3679</v>
      </c>
      <c r="J2018" s="919"/>
      <c r="K2018" s="920"/>
      <c r="L2018" s="920"/>
      <c r="M2018" s="920">
        <f t="shared" si="62"/>
        <v>0</v>
      </c>
      <c r="N2018" s="919">
        <v>1</v>
      </c>
      <c r="O2018" s="919">
        <v>4</v>
      </c>
      <c r="P2018" s="921">
        <f t="shared" si="63"/>
        <v>7200</v>
      </c>
    </row>
    <row r="2019" spans="1:16" ht="20.100000000000001" customHeight="1" x14ac:dyDescent="0.25">
      <c r="A2019" s="918" t="s">
        <v>472</v>
      </c>
      <c r="B2019" s="944" t="s">
        <v>3901</v>
      </c>
      <c r="C2019" s="919" t="s">
        <v>3902</v>
      </c>
      <c r="D2019" s="919" t="s">
        <v>4531</v>
      </c>
      <c r="E2019" s="920">
        <v>1800</v>
      </c>
      <c r="F2019" s="919" t="s">
        <v>7575</v>
      </c>
      <c r="G2019" s="919" t="s">
        <v>7576</v>
      </c>
      <c r="H2019" s="919" t="s">
        <v>4531</v>
      </c>
      <c r="I2019" s="919" t="s">
        <v>3679</v>
      </c>
      <c r="J2019" s="919"/>
      <c r="K2019" s="920"/>
      <c r="L2019" s="920"/>
      <c r="M2019" s="920">
        <f t="shared" si="62"/>
        <v>0</v>
      </c>
      <c r="N2019" s="919">
        <v>1</v>
      </c>
      <c r="O2019" s="919">
        <v>4</v>
      </c>
      <c r="P2019" s="921">
        <f t="shared" si="63"/>
        <v>7200</v>
      </c>
    </row>
    <row r="2020" spans="1:16" ht="20.100000000000001" customHeight="1" x14ac:dyDescent="0.25">
      <c r="A2020" s="918" t="s">
        <v>472</v>
      </c>
      <c r="B2020" s="944" t="s">
        <v>3901</v>
      </c>
      <c r="C2020" s="919" t="s">
        <v>3902</v>
      </c>
      <c r="D2020" s="919" t="s">
        <v>4531</v>
      </c>
      <c r="E2020" s="920">
        <v>1800</v>
      </c>
      <c r="F2020" s="919" t="s">
        <v>7577</v>
      </c>
      <c r="G2020" s="919" t="s">
        <v>7578</v>
      </c>
      <c r="H2020" s="919" t="s">
        <v>4531</v>
      </c>
      <c r="I2020" s="919" t="s">
        <v>3679</v>
      </c>
      <c r="J2020" s="919"/>
      <c r="K2020" s="920"/>
      <c r="L2020" s="920"/>
      <c r="M2020" s="920">
        <f t="shared" si="62"/>
        <v>0</v>
      </c>
      <c r="N2020" s="919">
        <v>1</v>
      </c>
      <c r="O2020" s="919">
        <v>4</v>
      </c>
      <c r="P2020" s="921">
        <f t="shared" si="63"/>
        <v>7200</v>
      </c>
    </row>
    <row r="2021" spans="1:16" ht="20.100000000000001" customHeight="1" x14ac:dyDescent="0.25">
      <c r="A2021" s="918" t="s">
        <v>472</v>
      </c>
      <c r="B2021" s="944" t="s">
        <v>3901</v>
      </c>
      <c r="C2021" s="919" t="s">
        <v>3902</v>
      </c>
      <c r="D2021" s="919" t="s">
        <v>4531</v>
      </c>
      <c r="E2021" s="920">
        <v>1800</v>
      </c>
      <c r="F2021" s="919" t="s">
        <v>7579</v>
      </c>
      <c r="G2021" s="919" t="s">
        <v>7580</v>
      </c>
      <c r="H2021" s="919" t="s">
        <v>4531</v>
      </c>
      <c r="I2021" s="919" t="s">
        <v>3679</v>
      </c>
      <c r="J2021" s="919"/>
      <c r="K2021" s="920"/>
      <c r="L2021" s="920"/>
      <c r="M2021" s="920">
        <f t="shared" si="62"/>
        <v>0</v>
      </c>
      <c r="N2021" s="919">
        <v>1</v>
      </c>
      <c r="O2021" s="919">
        <v>4</v>
      </c>
      <c r="P2021" s="921">
        <f t="shared" si="63"/>
        <v>7200</v>
      </c>
    </row>
    <row r="2022" spans="1:16" ht="20.100000000000001" customHeight="1" x14ac:dyDescent="0.25">
      <c r="A2022" s="918" t="s">
        <v>472</v>
      </c>
      <c r="B2022" s="944" t="s">
        <v>3901</v>
      </c>
      <c r="C2022" s="919" t="s">
        <v>3902</v>
      </c>
      <c r="D2022" s="919" t="s">
        <v>4531</v>
      </c>
      <c r="E2022" s="920">
        <v>1800</v>
      </c>
      <c r="F2022" s="919" t="s">
        <v>7581</v>
      </c>
      <c r="G2022" s="919" t="s">
        <v>7582</v>
      </c>
      <c r="H2022" s="919" t="s">
        <v>4531</v>
      </c>
      <c r="I2022" s="919" t="s">
        <v>3679</v>
      </c>
      <c r="J2022" s="919"/>
      <c r="K2022" s="920"/>
      <c r="L2022" s="920"/>
      <c r="M2022" s="920">
        <f t="shared" si="62"/>
        <v>0</v>
      </c>
      <c r="N2022" s="919">
        <v>1</v>
      </c>
      <c r="O2022" s="919">
        <v>4</v>
      </c>
      <c r="P2022" s="921">
        <f t="shared" si="63"/>
        <v>7200</v>
      </c>
    </row>
    <row r="2023" spans="1:16" ht="20.100000000000001" customHeight="1" x14ac:dyDescent="0.25">
      <c r="A2023" s="918" t="s">
        <v>472</v>
      </c>
      <c r="B2023" s="944" t="s">
        <v>3901</v>
      </c>
      <c r="C2023" s="919" t="s">
        <v>3902</v>
      </c>
      <c r="D2023" s="919" t="s">
        <v>4531</v>
      </c>
      <c r="E2023" s="920">
        <v>1800</v>
      </c>
      <c r="F2023" s="919" t="s">
        <v>4041</v>
      </c>
      <c r="G2023" s="919" t="s">
        <v>4042</v>
      </c>
      <c r="H2023" s="919" t="s">
        <v>4531</v>
      </c>
      <c r="I2023" s="919" t="s">
        <v>3679</v>
      </c>
      <c r="J2023" s="919"/>
      <c r="K2023" s="920">
        <v>1</v>
      </c>
      <c r="L2023" s="920">
        <v>12</v>
      </c>
      <c r="M2023" s="920">
        <f t="shared" si="62"/>
        <v>21600</v>
      </c>
      <c r="N2023" s="919"/>
      <c r="O2023" s="919"/>
      <c r="P2023" s="921">
        <f t="shared" si="63"/>
        <v>0</v>
      </c>
    </row>
    <row r="2024" spans="1:16" ht="20.100000000000001" customHeight="1" x14ac:dyDescent="0.25">
      <c r="A2024" s="918" t="s">
        <v>472</v>
      </c>
      <c r="B2024" s="944" t="s">
        <v>3901</v>
      </c>
      <c r="C2024" s="919" t="s">
        <v>3902</v>
      </c>
      <c r="D2024" s="919" t="s">
        <v>4531</v>
      </c>
      <c r="E2024" s="920">
        <v>1800</v>
      </c>
      <c r="F2024" s="919" t="s">
        <v>7583</v>
      </c>
      <c r="G2024" s="919" t="s">
        <v>7584</v>
      </c>
      <c r="H2024" s="919" t="s">
        <v>4531</v>
      </c>
      <c r="I2024" s="919" t="s">
        <v>3679</v>
      </c>
      <c r="J2024" s="919"/>
      <c r="K2024" s="920"/>
      <c r="L2024" s="920"/>
      <c r="M2024" s="920">
        <f t="shared" si="62"/>
        <v>0</v>
      </c>
      <c r="N2024" s="919">
        <v>1</v>
      </c>
      <c r="O2024" s="919">
        <v>4</v>
      </c>
      <c r="P2024" s="921">
        <f t="shared" si="63"/>
        <v>7200</v>
      </c>
    </row>
    <row r="2025" spans="1:16" ht="20.100000000000001" customHeight="1" x14ac:dyDescent="0.25">
      <c r="A2025" s="918" t="s">
        <v>472</v>
      </c>
      <c r="B2025" s="944" t="s">
        <v>3901</v>
      </c>
      <c r="C2025" s="919" t="s">
        <v>3902</v>
      </c>
      <c r="D2025" s="919" t="s">
        <v>4531</v>
      </c>
      <c r="E2025" s="920">
        <v>1800</v>
      </c>
      <c r="F2025" s="919" t="s">
        <v>4041</v>
      </c>
      <c r="G2025" s="919" t="s">
        <v>4042</v>
      </c>
      <c r="H2025" s="919" t="s">
        <v>4531</v>
      </c>
      <c r="I2025" s="919" t="s">
        <v>3679</v>
      </c>
      <c r="J2025" s="919"/>
      <c r="K2025" s="920">
        <v>1</v>
      </c>
      <c r="L2025" s="920">
        <v>12</v>
      </c>
      <c r="M2025" s="920">
        <f t="shared" si="62"/>
        <v>21600</v>
      </c>
      <c r="N2025" s="919"/>
      <c r="O2025" s="919"/>
      <c r="P2025" s="921">
        <f t="shared" si="63"/>
        <v>0</v>
      </c>
    </row>
    <row r="2026" spans="1:16" ht="20.100000000000001" customHeight="1" x14ac:dyDescent="0.25">
      <c r="A2026" s="918" t="s">
        <v>472</v>
      </c>
      <c r="B2026" s="944" t="s">
        <v>3901</v>
      </c>
      <c r="C2026" s="919" t="s">
        <v>3902</v>
      </c>
      <c r="D2026" s="919" t="s">
        <v>4531</v>
      </c>
      <c r="E2026" s="920">
        <v>1800</v>
      </c>
      <c r="F2026" s="919" t="s">
        <v>7585</v>
      </c>
      <c r="G2026" s="919" t="s">
        <v>7586</v>
      </c>
      <c r="H2026" s="919" t="s">
        <v>4531</v>
      </c>
      <c r="I2026" s="919" t="s">
        <v>3679</v>
      </c>
      <c r="J2026" s="919"/>
      <c r="K2026" s="920"/>
      <c r="L2026" s="920"/>
      <c r="M2026" s="920">
        <f t="shared" si="62"/>
        <v>0</v>
      </c>
      <c r="N2026" s="919">
        <v>1</v>
      </c>
      <c r="O2026" s="919">
        <v>4</v>
      </c>
      <c r="P2026" s="921">
        <f t="shared" si="63"/>
        <v>7200</v>
      </c>
    </row>
    <row r="2027" spans="1:16" ht="20.100000000000001" customHeight="1" x14ac:dyDescent="0.25">
      <c r="A2027" s="918" t="s">
        <v>472</v>
      </c>
      <c r="B2027" s="944" t="s">
        <v>3901</v>
      </c>
      <c r="C2027" s="919" t="s">
        <v>3902</v>
      </c>
      <c r="D2027" s="919" t="s">
        <v>4531</v>
      </c>
      <c r="E2027" s="920">
        <v>1800</v>
      </c>
      <c r="F2027" s="919" t="s">
        <v>7587</v>
      </c>
      <c r="G2027" s="919" t="s">
        <v>7588</v>
      </c>
      <c r="H2027" s="919" t="s">
        <v>4531</v>
      </c>
      <c r="I2027" s="919" t="s">
        <v>3679</v>
      </c>
      <c r="J2027" s="919"/>
      <c r="K2027" s="920"/>
      <c r="L2027" s="920"/>
      <c r="M2027" s="920">
        <f t="shared" si="62"/>
        <v>0</v>
      </c>
      <c r="N2027" s="919">
        <v>1</v>
      </c>
      <c r="O2027" s="919">
        <v>4</v>
      </c>
      <c r="P2027" s="921">
        <f t="shared" si="63"/>
        <v>7200</v>
      </c>
    </row>
    <row r="2028" spans="1:16" ht="20.100000000000001" customHeight="1" x14ac:dyDescent="0.25">
      <c r="A2028" s="918" t="s">
        <v>472</v>
      </c>
      <c r="B2028" s="944" t="s">
        <v>3901</v>
      </c>
      <c r="C2028" s="919" t="s">
        <v>3902</v>
      </c>
      <c r="D2028" s="919" t="s">
        <v>4531</v>
      </c>
      <c r="E2028" s="920">
        <v>1800</v>
      </c>
      <c r="F2028" s="919" t="s">
        <v>7589</v>
      </c>
      <c r="G2028" s="919" t="s">
        <v>7590</v>
      </c>
      <c r="H2028" s="919" t="s">
        <v>4531</v>
      </c>
      <c r="I2028" s="919" t="s">
        <v>3679</v>
      </c>
      <c r="J2028" s="919"/>
      <c r="K2028" s="920"/>
      <c r="L2028" s="920"/>
      <c r="M2028" s="920">
        <f t="shared" si="62"/>
        <v>0</v>
      </c>
      <c r="N2028" s="919">
        <v>1</v>
      </c>
      <c r="O2028" s="919">
        <v>4</v>
      </c>
      <c r="P2028" s="921">
        <f t="shared" si="63"/>
        <v>7200</v>
      </c>
    </row>
    <row r="2029" spans="1:16" ht="20.100000000000001" customHeight="1" x14ac:dyDescent="0.25">
      <c r="A2029" s="918" t="s">
        <v>472</v>
      </c>
      <c r="B2029" s="944" t="s">
        <v>3901</v>
      </c>
      <c r="C2029" s="919" t="s">
        <v>3902</v>
      </c>
      <c r="D2029" s="919" t="s">
        <v>4531</v>
      </c>
      <c r="E2029" s="920">
        <v>1800</v>
      </c>
      <c r="F2029" s="919" t="s">
        <v>7591</v>
      </c>
      <c r="G2029" s="919" t="s">
        <v>7592</v>
      </c>
      <c r="H2029" s="919" t="s">
        <v>4531</v>
      </c>
      <c r="I2029" s="919" t="s">
        <v>3679</v>
      </c>
      <c r="J2029" s="919"/>
      <c r="K2029" s="920"/>
      <c r="L2029" s="920"/>
      <c r="M2029" s="920">
        <f t="shared" si="62"/>
        <v>0</v>
      </c>
      <c r="N2029" s="919">
        <v>1</v>
      </c>
      <c r="O2029" s="919">
        <v>4</v>
      </c>
      <c r="P2029" s="921">
        <f t="shared" si="63"/>
        <v>7200</v>
      </c>
    </row>
    <row r="2030" spans="1:16" ht="20.100000000000001" customHeight="1" x14ac:dyDescent="0.25">
      <c r="A2030" s="918" t="s">
        <v>472</v>
      </c>
      <c r="B2030" s="944" t="s">
        <v>3901</v>
      </c>
      <c r="C2030" s="919" t="s">
        <v>3902</v>
      </c>
      <c r="D2030" s="919" t="s">
        <v>4531</v>
      </c>
      <c r="E2030" s="920">
        <v>1800</v>
      </c>
      <c r="F2030" s="919" t="s">
        <v>7593</v>
      </c>
      <c r="G2030" s="919" t="s">
        <v>7594</v>
      </c>
      <c r="H2030" s="919" t="s">
        <v>4531</v>
      </c>
      <c r="I2030" s="919" t="s">
        <v>3679</v>
      </c>
      <c r="J2030" s="919"/>
      <c r="K2030" s="920"/>
      <c r="L2030" s="920"/>
      <c r="M2030" s="920">
        <f t="shared" si="62"/>
        <v>0</v>
      </c>
      <c r="N2030" s="919">
        <v>1</v>
      </c>
      <c r="O2030" s="919">
        <v>4</v>
      </c>
      <c r="P2030" s="921">
        <f t="shared" si="63"/>
        <v>7200</v>
      </c>
    </row>
    <row r="2031" spans="1:16" ht="20.100000000000001" customHeight="1" x14ac:dyDescent="0.25">
      <c r="A2031" s="918" t="s">
        <v>472</v>
      </c>
      <c r="B2031" s="944" t="s">
        <v>3901</v>
      </c>
      <c r="C2031" s="919" t="s">
        <v>3902</v>
      </c>
      <c r="D2031" s="919" t="s">
        <v>4531</v>
      </c>
      <c r="E2031" s="920">
        <v>1800</v>
      </c>
      <c r="F2031" s="919" t="s">
        <v>7595</v>
      </c>
      <c r="G2031" s="919" t="s">
        <v>7596</v>
      </c>
      <c r="H2031" s="919" t="s">
        <v>4531</v>
      </c>
      <c r="I2031" s="919" t="s">
        <v>3679</v>
      </c>
      <c r="J2031" s="919"/>
      <c r="K2031" s="920"/>
      <c r="L2031" s="920"/>
      <c r="M2031" s="920">
        <f t="shared" si="62"/>
        <v>0</v>
      </c>
      <c r="N2031" s="919">
        <v>1</v>
      </c>
      <c r="O2031" s="919">
        <v>4</v>
      </c>
      <c r="P2031" s="921">
        <f t="shared" si="63"/>
        <v>7200</v>
      </c>
    </row>
    <row r="2032" spans="1:16" ht="20.100000000000001" customHeight="1" x14ac:dyDescent="0.25">
      <c r="A2032" s="918" t="s">
        <v>472</v>
      </c>
      <c r="B2032" s="944" t="s">
        <v>3901</v>
      </c>
      <c r="C2032" s="919" t="s">
        <v>3902</v>
      </c>
      <c r="D2032" s="919" t="s">
        <v>4382</v>
      </c>
      <c r="E2032" s="920">
        <v>2500</v>
      </c>
      <c r="F2032" s="919" t="s">
        <v>7597</v>
      </c>
      <c r="G2032" s="919" t="s">
        <v>7598</v>
      </c>
      <c r="H2032" s="919" t="s">
        <v>4382</v>
      </c>
      <c r="I2032" s="919" t="s">
        <v>3679</v>
      </c>
      <c r="J2032" s="919"/>
      <c r="K2032" s="920"/>
      <c r="L2032" s="920"/>
      <c r="M2032" s="920">
        <f t="shared" si="62"/>
        <v>0</v>
      </c>
      <c r="N2032" s="919">
        <v>1</v>
      </c>
      <c r="O2032" s="919">
        <v>4</v>
      </c>
      <c r="P2032" s="921">
        <f t="shared" si="63"/>
        <v>10000</v>
      </c>
    </row>
    <row r="2033" spans="1:16" ht="20.100000000000001" customHeight="1" x14ac:dyDescent="0.25">
      <c r="A2033" s="918" t="s">
        <v>472</v>
      </c>
      <c r="B2033" s="944" t="s">
        <v>3901</v>
      </c>
      <c r="C2033" s="919" t="s">
        <v>3902</v>
      </c>
      <c r="D2033" s="919" t="s">
        <v>4382</v>
      </c>
      <c r="E2033" s="920">
        <v>2500</v>
      </c>
      <c r="F2033" s="919" t="s">
        <v>7599</v>
      </c>
      <c r="G2033" s="919" t="s">
        <v>7600</v>
      </c>
      <c r="H2033" s="919" t="s">
        <v>4382</v>
      </c>
      <c r="I2033" s="919" t="s">
        <v>3679</v>
      </c>
      <c r="J2033" s="919"/>
      <c r="K2033" s="920"/>
      <c r="L2033" s="920"/>
      <c r="M2033" s="920">
        <f t="shared" si="62"/>
        <v>0</v>
      </c>
      <c r="N2033" s="919">
        <v>1</v>
      </c>
      <c r="O2033" s="919">
        <v>1</v>
      </c>
      <c r="P2033" s="921">
        <f t="shared" si="63"/>
        <v>2500</v>
      </c>
    </row>
    <row r="2034" spans="1:16" ht="20.100000000000001" customHeight="1" x14ac:dyDescent="0.25">
      <c r="A2034" s="918" t="s">
        <v>472</v>
      </c>
      <c r="B2034" s="944" t="s">
        <v>3901</v>
      </c>
      <c r="C2034" s="919" t="s">
        <v>3902</v>
      </c>
      <c r="D2034" s="919" t="s">
        <v>4382</v>
      </c>
      <c r="E2034" s="920">
        <v>2500</v>
      </c>
      <c r="F2034" s="919" t="s">
        <v>7601</v>
      </c>
      <c r="G2034" s="919" t="s">
        <v>7602</v>
      </c>
      <c r="H2034" s="919" t="s">
        <v>4382</v>
      </c>
      <c r="I2034" s="919" t="s">
        <v>3679</v>
      </c>
      <c r="J2034" s="919"/>
      <c r="K2034" s="920"/>
      <c r="L2034" s="920"/>
      <c r="M2034" s="920">
        <f t="shared" si="62"/>
        <v>0</v>
      </c>
      <c r="N2034" s="919">
        <v>1</v>
      </c>
      <c r="O2034" s="919">
        <v>1</v>
      </c>
      <c r="P2034" s="921">
        <f t="shared" si="63"/>
        <v>2500</v>
      </c>
    </row>
    <row r="2035" spans="1:16" ht="20.100000000000001" customHeight="1" x14ac:dyDescent="0.25">
      <c r="A2035" s="918" t="s">
        <v>472</v>
      </c>
      <c r="B2035" s="944" t="s">
        <v>3901</v>
      </c>
      <c r="C2035" s="919" t="s">
        <v>3902</v>
      </c>
      <c r="D2035" s="919" t="s">
        <v>4382</v>
      </c>
      <c r="E2035" s="920">
        <v>2500</v>
      </c>
      <c r="F2035" s="919" t="s">
        <v>7603</v>
      </c>
      <c r="G2035" s="919" t="s">
        <v>7604</v>
      </c>
      <c r="H2035" s="919" t="s">
        <v>4382</v>
      </c>
      <c r="I2035" s="919" t="s">
        <v>3679</v>
      </c>
      <c r="J2035" s="919"/>
      <c r="K2035" s="920"/>
      <c r="L2035" s="920"/>
      <c r="M2035" s="920">
        <f t="shared" si="62"/>
        <v>0</v>
      </c>
      <c r="N2035" s="919">
        <v>1</v>
      </c>
      <c r="O2035" s="919">
        <v>4</v>
      </c>
      <c r="P2035" s="921">
        <f t="shared" si="63"/>
        <v>10000</v>
      </c>
    </row>
    <row r="2036" spans="1:16" ht="20.100000000000001" customHeight="1" x14ac:dyDescent="0.25">
      <c r="A2036" s="918" t="s">
        <v>472</v>
      </c>
      <c r="B2036" s="944" t="s">
        <v>3901</v>
      </c>
      <c r="C2036" s="919" t="s">
        <v>3902</v>
      </c>
      <c r="D2036" s="919" t="s">
        <v>4382</v>
      </c>
      <c r="E2036" s="920">
        <v>2500</v>
      </c>
      <c r="F2036" s="919" t="s">
        <v>7605</v>
      </c>
      <c r="G2036" s="919" t="s">
        <v>7606</v>
      </c>
      <c r="H2036" s="919" t="s">
        <v>4382</v>
      </c>
      <c r="I2036" s="919" t="s">
        <v>3679</v>
      </c>
      <c r="J2036" s="919"/>
      <c r="K2036" s="920"/>
      <c r="L2036" s="920"/>
      <c r="M2036" s="920">
        <f t="shared" si="62"/>
        <v>0</v>
      </c>
      <c r="N2036" s="919">
        <v>1</v>
      </c>
      <c r="O2036" s="919">
        <v>1</v>
      </c>
      <c r="P2036" s="921">
        <f t="shared" si="63"/>
        <v>2500</v>
      </c>
    </row>
    <row r="2037" spans="1:16" ht="20.100000000000001" customHeight="1" x14ac:dyDescent="0.25">
      <c r="A2037" s="918" t="s">
        <v>472</v>
      </c>
      <c r="B2037" s="944" t="s">
        <v>3901</v>
      </c>
      <c r="C2037" s="919" t="s">
        <v>3902</v>
      </c>
      <c r="D2037" s="919" t="s">
        <v>4382</v>
      </c>
      <c r="E2037" s="920">
        <v>2500</v>
      </c>
      <c r="F2037" s="919" t="s">
        <v>7607</v>
      </c>
      <c r="G2037" s="919" t="s">
        <v>7608</v>
      </c>
      <c r="H2037" s="919" t="s">
        <v>4382</v>
      </c>
      <c r="I2037" s="919" t="s">
        <v>3679</v>
      </c>
      <c r="J2037" s="919"/>
      <c r="K2037" s="920"/>
      <c r="L2037" s="920"/>
      <c r="M2037" s="920">
        <f t="shared" si="62"/>
        <v>0</v>
      </c>
      <c r="N2037" s="919">
        <v>1</v>
      </c>
      <c r="O2037" s="919">
        <v>1</v>
      </c>
      <c r="P2037" s="921">
        <f t="shared" si="63"/>
        <v>2500</v>
      </c>
    </row>
    <row r="2038" spans="1:16" ht="20.100000000000001" customHeight="1" x14ac:dyDescent="0.25">
      <c r="A2038" s="918" t="s">
        <v>472</v>
      </c>
      <c r="B2038" s="944" t="s">
        <v>3901</v>
      </c>
      <c r="C2038" s="919" t="s">
        <v>3902</v>
      </c>
      <c r="D2038" s="919" t="s">
        <v>4382</v>
      </c>
      <c r="E2038" s="920">
        <v>2500</v>
      </c>
      <c r="F2038" s="919" t="s">
        <v>7609</v>
      </c>
      <c r="G2038" s="919" t="s">
        <v>7610</v>
      </c>
      <c r="H2038" s="919" t="s">
        <v>4382</v>
      </c>
      <c r="I2038" s="919" t="s">
        <v>3679</v>
      </c>
      <c r="J2038" s="919"/>
      <c r="K2038" s="920"/>
      <c r="L2038" s="920"/>
      <c r="M2038" s="920">
        <f t="shared" si="62"/>
        <v>0</v>
      </c>
      <c r="N2038" s="919">
        <v>1</v>
      </c>
      <c r="O2038" s="919">
        <v>1</v>
      </c>
      <c r="P2038" s="921">
        <f t="shared" si="63"/>
        <v>2500</v>
      </c>
    </row>
    <row r="2039" spans="1:16" ht="20.100000000000001" customHeight="1" x14ac:dyDescent="0.25">
      <c r="A2039" s="918" t="s">
        <v>472</v>
      </c>
      <c r="B2039" s="944" t="s">
        <v>3901</v>
      </c>
      <c r="C2039" s="919" t="s">
        <v>3902</v>
      </c>
      <c r="D2039" s="919" t="s">
        <v>4382</v>
      </c>
      <c r="E2039" s="920">
        <v>2500</v>
      </c>
      <c r="F2039" s="919" t="s">
        <v>7611</v>
      </c>
      <c r="G2039" s="919" t="s">
        <v>7612</v>
      </c>
      <c r="H2039" s="919" t="s">
        <v>4382</v>
      </c>
      <c r="I2039" s="919" t="s">
        <v>3679</v>
      </c>
      <c r="J2039" s="919"/>
      <c r="K2039" s="920"/>
      <c r="L2039" s="920"/>
      <c r="M2039" s="920">
        <f t="shared" si="62"/>
        <v>0</v>
      </c>
      <c r="N2039" s="919">
        <v>1</v>
      </c>
      <c r="O2039" s="919">
        <v>1</v>
      </c>
      <c r="P2039" s="921">
        <f t="shared" si="63"/>
        <v>2500</v>
      </c>
    </row>
    <row r="2040" spans="1:16" ht="20.100000000000001" customHeight="1" x14ac:dyDescent="0.25">
      <c r="A2040" s="918" t="s">
        <v>472</v>
      </c>
      <c r="B2040" s="944" t="s">
        <v>3901</v>
      </c>
      <c r="C2040" s="919" t="s">
        <v>3902</v>
      </c>
      <c r="D2040" s="919" t="s">
        <v>4382</v>
      </c>
      <c r="E2040" s="920">
        <v>2500</v>
      </c>
      <c r="F2040" s="919" t="s">
        <v>7613</v>
      </c>
      <c r="G2040" s="919" t="s">
        <v>7614</v>
      </c>
      <c r="H2040" s="919" t="s">
        <v>4382</v>
      </c>
      <c r="I2040" s="919" t="s">
        <v>3679</v>
      </c>
      <c r="J2040" s="919"/>
      <c r="K2040" s="920"/>
      <c r="L2040" s="920"/>
      <c r="M2040" s="920">
        <f t="shared" si="62"/>
        <v>0</v>
      </c>
      <c r="N2040" s="919">
        <v>1</v>
      </c>
      <c r="O2040" s="919">
        <v>4</v>
      </c>
      <c r="P2040" s="921">
        <f t="shared" si="63"/>
        <v>10000</v>
      </c>
    </row>
    <row r="2041" spans="1:16" ht="20.100000000000001" customHeight="1" x14ac:dyDescent="0.25">
      <c r="A2041" s="918" t="s">
        <v>472</v>
      </c>
      <c r="B2041" s="944" t="s">
        <v>3901</v>
      </c>
      <c r="C2041" s="919" t="s">
        <v>3902</v>
      </c>
      <c r="D2041" s="919" t="s">
        <v>4382</v>
      </c>
      <c r="E2041" s="920">
        <v>2500</v>
      </c>
      <c r="F2041" s="919" t="s">
        <v>7615</v>
      </c>
      <c r="G2041" s="919" t="s">
        <v>7616</v>
      </c>
      <c r="H2041" s="919" t="s">
        <v>4382</v>
      </c>
      <c r="I2041" s="919" t="s">
        <v>3679</v>
      </c>
      <c r="J2041" s="919"/>
      <c r="K2041" s="920"/>
      <c r="L2041" s="920"/>
      <c r="M2041" s="920">
        <f t="shared" si="62"/>
        <v>0</v>
      </c>
      <c r="N2041" s="919">
        <v>1</v>
      </c>
      <c r="O2041" s="919">
        <v>1</v>
      </c>
      <c r="P2041" s="921">
        <f t="shared" si="63"/>
        <v>2500</v>
      </c>
    </row>
    <row r="2042" spans="1:16" ht="20.100000000000001" customHeight="1" x14ac:dyDescent="0.25">
      <c r="A2042" s="918" t="s">
        <v>472</v>
      </c>
      <c r="B2042" s="944" t="s">
        <v>3901</v>
      </c>
      <c r="C2042" s="919" t="s">
        <v>3902</v>
      </c>
      <c r="D2042" s="919" t="s">
        <v>4382</v>
      </c>
      <c r="E2042" s="920">
        <v>2500</v>
      </c>
      <c r="F2042" s="919" t="s">
        <v>7617</v>
      </c>
      <c r="G2042" s="919" t="s">
        <v>7618</v>
      </c>
      <c r="H2042" s="919" t="s">
        <v>4382</v>
      </c>
      <c r="I2042" s="919" t="s">
        <v>3679</v>
      </c>
      <c r="J2042" s="919"/>
      <c r="K2042" s="920"/>
      <c r="L2042" s="920"/>
      <c r="M2042" s="920">
        <f t="shared" si="62"/>
        <v>0</v>
      </c>
      <c r="N2042" s="919">
        <v>1</v>
      </c>
      <c r="O2042" s="919">
        <v>1</v>
      </c>
      <c r="P2042" s="921">
        <f t="shared" si="63"/>
        <v>2500</v>
      </c>
    </row>
    <row r="2043" spans="1:16" ht="20.100000000000001" customHeight="1" x14ac:dyDescent="0.25">
      <c r="A2043" s="918" t="s">
        <v>472</v>
      </c>
      <c r="B2043" s="944" t="s">
        <v>3901</v>
      </c>
      <c r="C2043" s="919" t="s">
        <v>3902</v>
      </c>
      <c r="D2043" s="919" t="s">
        <v>4382</v>
      </c>
      <c r="E2043" s="920">
        <v>2500</v>
      </c>
      <c r="F2043" s="919" t="s">
        <v>7619</v>
      </c>
      <c r="G2043" s="919" t="s">
        <v>7620</v>
      </c>
      <c r="H2043" s="919" t="s">
        <v>4382</v>
      </c>
      <c r="I2043" s="919" t="s">
        <v>3679</v>
      </c>
      <c r="J2043" s="919"/>
      <c r="K2043" s="920"/>
      <c r="L2043" s="920"/>
      <c r="M2043" s="920">
        <f t="shared" si="62"/>
        <v>0</v>
      </c>
      <c r="N2043" s="919">
        <v>1</v>
      </c>
      <c r="O2043" s="919">
        <v>4</v>
      </c>
      <c r="P2043" s="921">
        <f t="shared" si="63"/>
        <v>10000</v>
      </c>
    </row>
    <row r="2044" spans="1:16" ht="20.100000000000001" customHeight="1" x14ac:dyDescent="0.25">
      <c r="A2044" s="918" t="s">
        <v>472</v>
      </c>
      <c r="B2044" s="944" t="s">
        <v>3901</v>
      </c>
      <c r="C2044" s="919" t="s">
        <v>3902</v>
      </c>
      <c r="D2044" s="919" t="s">
        <v>4382</v>
      </c>
      <c r="E2044" s="920">
        <v>2500</v>
      </c>
      <c r="F2044" s="919" t="s">
        <v>7621</v>
      </c>
      <c r="G2044" s="919" t="s">
        <v>7622</v>
      </c>
      <c r="H2044" s="919" t="s">
        <v>4382</v>
      </c>
      <c r="I2044" s="919" t="s">
        <v>3679</v>
      </c>
      <c r="J2044" s="919"/>
      <c r="K2044" s="920"/>
      <c r="L2044" s="920"/>
      <c r="M2044" s="920">
        <f t="shared" si="62"/>
        <v>0</v>
      </c>
      <c r="N2044" s="919">
        <v>1</v>
      </c>
      <c r="O2044" s="919">
        <v>1</v>
      </c>
      <c r="P2044" s="921">
        <f t="shared" si="63"/>
        <v>2500</v>
      </c>
    </row>
    <row r="2045" spans="1:16" ht="20.100000000000001" customHeight="1" x14ac:dyDescent="0.25">
      <c r="A2045" s="918" t="s">
        <v>472</v>
      </c>
      <c r="B2045" s="944" t="s">
        <v>3901</v>
      </c>
      <c r="C2045" s="919" t="s">
        <v>3902</v>
      </c>
      <c r="D2045" s="919" t="s">
        <v>4382</v>
      </c>
      <c r="E2045" s="920">
        <v>2500</v>
      </c>
      <c r="F2045" s="919" t="s">
        <v>7623</v>
      </c>
      <c r="G2045" s="919" t="s">
        <v>7624</v>
      </c>
      <c r="H2045" s="919" t="s">
        <v>4382</v>
      </c>
      <c r="I2045" s="919" t="s">
        <v>3679</v>
      </c>
      <c r="J2045" s="919"/>
      <c r="K2045" s="920"/>
      <c r="L2045" s="920"/>
      <c r="M2045" s="920">
        <f t="shared" si="62"/>
        <v>0</v>
      </c>
      <c r="N2045" s="919">
        <v>1</v>
      </c>
      <c r="O2045" s="919">
        <v>4</v>
      </c>
      <c r="P2045" s="921">
        <f t="shared" si="63"/>
        <v>10000</v>
      </c>
    </row>
    <row r="2046" spans="1:16" ht="20.100000000000001" customHeight="1" x14ac:dyDescent="0.25">
      <c r="A2046" s="918" t="s">
        <v>472</v>
      </c>
      <c r="B2046" s="944" t="s">
        <v>3901</v>
      </c>
      <c r="C2046" s="919" t="s">
        <v>3902</v>
      </c>
      <c r="D2046" s="919" t="s">
        <v>4592</v>
      </c>
      <c r="E2046" s="920">
        <v>1150</v>
      </c>
      <c r="F2046" s="919" t="s">
        <v>7625</v>
      </c>
      <c r="G2046" s="919" t="s">
        <v>7626</v>
      </c>
      <c r="H2046" s="919" t="s">
        <v>4592</v>
      </c>
      <c r="I2046" s="919" t="s">
        <v>3686</v>
      </c>
      <c r="J2046" s="919"/>
      <c r="K2046" s="920"/>
      <c r="L2046" s="920"/>
      <c r="M2046" s="920">
        <f t="shared" si="62"/>
        <v>0</v>
      </c>
      <c r="N2046" s="919">
        <v>1</v>
      </c>
      <c r="O2046" s="919">
        <v>4</v>
      </c>
      <c r="P2046" s="921">
        <f t="shared" si="63"/>
        <v>4600</v>
      </c>
    </row>
    <row r="2047" spans="1:16" ht="20.100000000000001" customHeight="1" x14ac:dyDescent="0.25">
      <c r="A2047" s="918" t="s">
        <v>472</v>
      </c>
      <c r="B2047" s="944" t="s">
        <v>3901</v>
      </c>
      <c r="C2047" s="919" t="s">
        <v>3902</v>
      </c>
      <c r="D2047" s="919" t="s">
        <v>4592</v>
      </c>
      <c r="E2047" s="920">
        <v>1150</v>
      </c>
      <c r="F2047" s="919" t="s">
        <v>7627</v>
      </c>
      <c r="G2047" s="919" t="s">
        <v>7628</v>
      </c>
      <c r="H2047" s="919" t="s">
        <v>4592</v>
      </c>
      <c r="I2047" s="919" t="s">
        <v>3686</v>
      </c>
      <c r="J2047" s="919"/>
      <c r="K2047" s="920"/>
      <c r="L2047" s="920"/>
      <c r="M2047" s="920">
        <f t="shared" si="62"/>
        <v>0</v>
      </c>
      <c r="N2047" s="919">
        <v>1</v>
      </c>
      <c r="O2047" s="919">
        <v>4</v>
      </c>
      <c r="P2047" s="921">
        <f t="shared" si="63"/>
        <v>4600</v>
      </c>
    </row>
    <row r="2048" spans="1:16" ht="20.100000000000001" customHeight="1" x14ac:dyDescent="0.25">
      <c r="A2048" s="918" t="s">
        <v>472</v>
      </c>
      <c r="B2048" s="944" t="s">
        <v>3901</v>
      </c>
      <c r="C2048" s="919" t="s">
        <v>3902</v>
      </c>
      <c r="D2048" s="919" t="s">
        <v>4592</v>
      </c>
      <c r="E2048" s="920">
        <v>1150</v>
      </c>
      <c r="F2048" s="919" t="s">
        <v>7629</v>
      </c>
      <c r="G2048" s="919" t="s">
        <v>7630</v>
      </c>
      <c r="H2048" s="919" t="s">
        <v>4592</v>
      </c>
      <c r="I2048" s="919" t="s">
        <v>3686</v>
      </c>
      <c r="J2048" s="919"/>
      <c r="K2048" s="920"/>
      <c r="L2048" s="920"/>
      <c r="M2048" s="920">
        <f t="shared" si="62"/>
        <v>0</v>
      </c>
      <c r="N2048" s="919">
        <v>1</v>
      </c>
      <c r="O2048" s="919">
        <v>1</v>
      </c>
      <c r="P2048" s="921">
        <f t="shared" si="63"/>
        <v>1150</v>
      </c>
    </row>
    <row r="2049" spans="1:16" ht="20.100000000000001" customHeight="1" x14ac:dyDescent="0.25">
      <c r="A2049" s="918" t="s">
        <v>472</v>
      </c>
      <c r="B2049" s="944" t="s">
        <v>3901</v>
      </c>
      <c r="C2049" s="919" t="s">
        <v>3902</v>
      </c>
      <c r="D2049" s="919" t="s">
        <v>4592</v>
      </c>
      <c r="E2049" s="920">
        <v>1150</v>
      </c>
      <c r="F2049" s="919" t="s">
        <v>7631</v>
      </c>
      <c r="G2049" s="919" t="s">
        <v>7632</v>
      </c>
      <c r="H2049" s="919" t="s">
        <v>4592</v>
      </c>
      <c r="I2049" s="919" t="s">
        <v>3686</v>
      </c>
      <c r="J2049" s="919"/>
      <c r="K2049" s="920"/>
      <c r="L2049" s="920"/>
      <c r="M2049" s="920">
        <f t="shared" si="62"/>
        <v>0</v>
      </c>
      <c r="N2049" s="919">
        <v>1</v>
      </c>
      <c r="O2049" s="919">
        <v>1</v>
      </c>
      <c r="P2049" s="921">
        <f t="shared" si="63"/>
        <v>1150</v>
      </c>
    </row>
    <row r="2050" spans="1:16" ht="20.100000000000001" customHeight="1" x14ac:dyDescent="0.25">
      <c r="A2050" s="918" t="s">
        <v>472</v>
      </c>
      <c r="B2050" s="944" t="s">
        <v>3901</v>
      </c>
      <c r="C2050" s="919" t="s">
        <v>3902</v>
      </c>
      <c r="D2050" s="919" t="s">
        <v>4592</v>
      </c>
      <c r="E2050" s="920">
        <v>1150</v>
      </c>
      <c r="F2050" s="919" t="s">
        <v>7633</v>
      </c>
      <c r="G2050" s="919" t="s">
        <v>7634</v>
      </c>
      <c r="H2050" s="919" t="s">
        <v>4592</v>
      </c>
      <c r="I2050" s="919" t="s">
        <v>3686</v>
      </c>
      <c r="J2050" s="919"/>
      <c r="K2050" s="920"/>
      <c r="L2050" s="920"/>
      <c r="M2050" s="920">
        <f t="shared" si="62"/>
        <v>0</v>
      </c>
      <c r="N2050" s="919">
        <v>1</v>
      </c>
      <c r="O2050" s="919">
        <v>1</v>
      </c>
      <c r="P2050" s="921">
        <f t="shared" si="63"/>
        <v>1150</v>
      </c>
    </row>
    <row r="2051" spans="1:16" ht="20.100000000000001" customHeight="1" x14ac:dyDescent="0.25">
      <c r="A2051" s="918" t="s">
        <v>472</v>
      </c>
      <c r="B2051" s="944" t="s">
        <v>3901</v>
      </c>
      <c r="C2051" s="919" t="s">
        <v>3902</v>
      </c>
      <c r="D2051" s="919" t="s">
        <v>4592</v>
      </c>
      <c r="E2051" s="920">
        <v>1150</v>
      </c>
      <c r="F2051" s="919" t="s">
        <v>7635</v>
      </c>
      <c r="G2051" s="919" t="s">
        <v>7636</v>
      </c>
      <c r="H2051" s="919" t="s">
        <v>4592</v>
      </c>
      <c r="I2051" s="919" t="s">
        <v>3686</v>
      </c>
      <c r="J2051" s="919"/>
      <c r="K2051" s="920"/>
      <c r="L2051" s="920"/>
      <c r="M2051" s="920">
        <f t="shared" si="62"/>
        <v>0</v>
      </c>
      <c r="N2051" s="919">
        <v>1</v>
      </c>
      <c r="O2051" s="919">
        <v>4</v>
      </c>
      <c r="P2051" s="921">
        <f t="shared" si="63"/>
        <v>4600</v>
      </c>
    </row>
    <row r="2052" spans="1:16" ht="20.100000000000001" customHeight="1" x14ac:dyDescent="0.25">
      <c r="A2052" s="918" t="s">
        <v>472</v>
      </c>
      <c r="B2052" s="944" t="s">
        <v>3901</v>
      </c>
      <c r="C2052" s="919" t="s">
        <v>3902</v>
      </c>
      <c r="D2052" s="919" t="s">
        <v>4592</v>
      </c>
      <c r="E2052" s="920">
        <v>1150</v>
      </c>
      <c r="F2052" s="919" t="s">
        <v>7637</v>
      </c>
      <c r="G2052" s="919" t="s">
        <v>7638</v>
      </c>
      <c r="H2052" s="919" t="s">
        <v>4592</v>
      </c>
      <c r="I2052" s="919" t="s">
        <v>3686</v>
      </c>
      <c r="J2052" s="919"/>
      <c r="K2052" s="920"/>
      <c r="L2052" s="920"/>
      <c r="M2052" s="920">
        <f t="shared" si="62"/>
        <v>0</v>
      </c>
      <c r="N2052" s="919">
        <v>1</v>
      </c>
      <c r="O2052" s="919">
        <v>1</v>
      </c>
      <c r="P2052" s="921">
        <f t="shared" si="63"/>
        <v>1150</v>
      </c>
    </row>
    <row r="2053" spans="1:16" ht="20.100000000000001" customHeight="1" x14ac:dyDescent="0.25">
      <c r="A2053" s="918" t="s">
        <v>472</v>
      </c>
      <c r="B2053" s="944" t="s">
        <v>3901</v>
      </c>
      <c r="C2053" s="919" t="s">
        <v>3902</v>
      </c>
      <c r="D2053" s="919" t="s">
        <v>4592</v>
      </c>
      <c r="E2053" s="920">
        <v>1150</v>
      </c>
      <c r="F2053" s="919" t="s">
        <v>7639</v>
      </c>
      <c r="G2053" s="919" t="s">
        <v>7640</v>
      </c>
      <c r="H2053" s="919" t="s">
        <v>4592</v>
      </c>
      <c r="I2053" s="919" t="s">
        <v>3686</v>
      </c>
      <c r="J2053" s="919"/>
      <c r="K2053" s="920"/>
      <c r="L2053" s="920"/>
      <c r="M2053" s="920">
        <f t="shared" si="62"/>
        <v>0</v>
      </c>
      <c r="N2053" s="919">
        <v>1</v>
      </c>
      <c r="O2053" s="919">
        <v>1</v>
      </c>
      <c r="P2053" s="921">
        <f t="shared" si="63"/>
        <v>1150</v>
      </c>
    </row>
    <row r="2054" spans="1:16" ht="20.100000000000001" customHeight="1" x14ac:dyDescent="0.25">
      <c r="A2054" s="918" t="s">
        <v>472</v>
      </c>
      <c r="B2054" s="944" t="s">
        <v>3901</v>
      </c>
      <c r="C2054" s="919" t="s">
        <v>3902</v>
      </c>
      <c r="D2054" s="919" t="s">
        <v>4592</v>
      </c>
      <c r="E2054" s="920">
        <v>1150</v>
      </c>
      <c r="F2054" s="919" t="s">
        <v>4041</v>
      </c>
      <c r="G2054" s="919" t="s">
        <v>4042</v>
      </c>
      <c r="H2054" s="919" t="s">
        <v>4592</v>
      </c>
      <c r="I2054" s="919" t="s">
        <v>3686</v>
      </c>
      <c r="J2054" s="919"/>
      <c r="K2054" s="920">
        <v>1</v>
      </c>
      <c r="L2054" s="920">
        <v>12</v>
      </c>
      <c r="M2054" s="920">
        <f t="shared" ref="M2054:M2117" si="64">E2054*L2054</f>
        <v>13800</v>
      </c>
      <c r="N2054" s="919"/>
      <c r="O2054" s="919"/>
      <c r="P2054" s="921">
        <f t="shared" ref="P2054:P2117" si="65">E2054*O2054</f>
        <v>0</v>
      </c>
    </row>
    <row r="2055" spans="1:16" ht="20.100000000000001" customHeight="1" x14ac:dyDescent="0.25">
      <c r="A2055" s="918" t="s">
        <v>472</v>
      </c>
      <c r="B2055" s="944" t="s">
        <v>3901</v>
      </c>
      <c r="C2055" s="919" t="s">
        <v>3902</v>
      </c>
      <c r="D2055" s="919" t="s">
        <v>4592</v>
      </c>
      <c r="E2055" s="920">
        <v>1150</v>
      </c>
      <c r="F2055" s="919" t="s">
        <v>7641</v>
      </c>
      <c r="G2055" s="919" t="s">
        <v>7642</v>
      </c>
      <c r="H2055" s="919" t="s">
        <v>4592</v>
      </c>
      <c r="I2055" s="919" t="s">
        <v>3686</v>
      </c>
      <c r="J2055" s="919"/>
      <c r="K2055" s="920"/>
      <c r="L2055" s="920"/>
      <c r="M2055" s="920">
        <f t="shared" si="64"/>
        <v>0</v>
      </c>
      <c r="N2055" s="919">
        <v>1</v>
      </c>
      <c r="O2055" s="919">
        <v>1</v>
      </c>
      <c r="P2055" s="921">
        <f t="shared" si="65"/>
        <v>1150</v>
      </c>
    </row>
    <row r="2056" spans="1:16" ht="20.100000000000001" customHeight="1" x14ac:dyDescent="0.25">
      <c r="A2056" s="918" t="s">
        <v>472</v>
      </c>
      <c r="B2056" s="944" t="s">
        <v>3901</v>
      </c>
      <c r="C2056" s="919" t="s">
        <v>3902</v>
      </c>
      <c r="D2056" s="919" t="s">
        <v>4592</v>
      </c>
      <c r="E2056" s="920">
        <v>1150</v>
      </c>
      <c r="F2056" s="919" t="s">
        <v>7643</v>
      </c>
      <c r="G2056" s="919" t="s">
        <v>7644</v>
      </c>
      <c r="H2056" s="919" t="s">
        <v>4592</v>
      </c>
      <c r="I2056" s="919" t="s">
        <v>3686</v>
      </c>
      <c r="J2056" s="919"/>
      <c r="K2056" s="920"/>
      <c r="L2056" s="920"/>
      <c r="M2056" s="920">
        <f t="shared" si="64"/>
        <v>0</v>
      </c>
      <c r="N2056" s="919">
        <v>1</v>
      </c>
      <c r="O2056" s="919">
        <v>1</v>
      </c>
      <c r="P2056" s="921">
        <f t="shared" si="65"/>
        <v>1150</v>
      </c>
    </row>
    <row r="2057" spans="1:16" ht="20.100000000000001" customHeight="1" x14ac:dyDescent="0.25">
      <c r="A2057" s="918" t="s">
        <v>472</v>
      </c>
      <c r="B2057" s="944" t="s">
        <v>3901</v>
      </c>
      <c r="C2057" s="919" t="s">
        <v>3902</v>
      </c>
      <c r="D2057" s="919" t="s">
        <v>4592</v>
      </c>
      <c r="E2057" s="920">
        <v>1150</v>
      </c>
      <c r="F2057" s="919" t="s">
        <v>4041</v>
      </c>
      <c r="G2057" s="919" t="s">
        <v>4042</v>
      </c>
      <c r="H2057" s="919" t="s">
        <v>4592</v>
      </c>
      <c r="I2057" s="919" t="s">
        <v>3686</v>
      </c>
      <c r="J2057" s="919"/>
      <c r="K2057" s="920">
        <v>1</v>
      </c>
      <c r="L2057" s="920">
        <v>12</v>
      </c>
      <c r="M2057" s="920">
        <f t="shared" si="64"/>
        <v>13800</v>
      </c>
      <c r="N2057" s="919"/>
      <c r="O2057" s="919"/>
      <c r="P2057" s="921">
        <f t="shared" si="65"/>
        <v>0</v>
      </c>
    </row>
    <row r="2058" spans="1:16" ht="20.100000000000001" customHeight="1" x14ac:dyDescent="0.25">
      <c r="A2058" s="918" t="s">
        <v>472</v>
      </c>
      <c r="B2058" s="944" t="s">
        <v>3901</v>
      </c>
      <c r="C2058" s="919" t="s">
        <v>3902</v>
      </c>
      <c r="D2058" s="919" t="s">
        <v>4592</v>
      </c>
      <c r="E2058" s="920">
        <v>1150</v>
      </c>
      <c r="F2058" s="919" t="s">
        <v>7645</v>
      </c>
      <c r="G2058" s="919" t="s">
        <v>7646</v>
      </c>
      <c r="H2058" s="919" t="s">
        <v>4592</v>
      </c>
      <c r="I2058" s="919" t="s">
        <v>3686</v>
      </c>
      <c r="J2058" s="919"/>
      <c r="K2058" s="920"/>
      <c r="L2058" s="920"/>
      <c r="M2058" s="920">
        <f t="shared" si="64"/>
        <v>0</v>
      </c>
      <c r="N2058" s="919">
        <v>1</v>
      </c>
      <c r="O2058" s="919">
        <v>1</v>
      </c>
      <c r="P2058" s="921">
        <f t="shared" si="65"/>
        <v>1150</v>
      </c>
    </row>
    <row r="2059" spans="1:16" ht="20.100000000000001" customHeight="1" x14ac:dyDescent="0.25">
      <c r="A2059" s="918" t="s">
        <v>472</v>
      </c>
      <c r="B2059" s="944" t="s">
        <v>3901</v>
      </c>
      <c r="C2059" s="919" t="s">
        <v>3902</v>
      </c>
      <c r="D2059" s="919" t="s">
        <v>4592</v>
      </c>
      <c r="E2059" s="920">
        <v>1150</v>
      </c>
      <c r="F2059" s="919" t="s">
        <v>7647</v>
      </c>
      <c r="G2059" s="919" t="s">
        <v>7648</v>
      </c>
      <c r="H2059" s="919" t="s">
        <v>4592</v>
      </c>
      <c r="I2059" s="919" t="s">
        <v>3686</v>
      </c>
      <c r="J2059" s="919"/>
      <c r="K2059" s="920"/>
      <c r="L2059" s="920"/>
      <c r="M2059" s="920">
        <f t="shared" si="64"/>
        <v>0</v>
      </c>
      <c r="N2059" s="919">
        <v>1</v>
      </c>
      <c r="O2059" s="919">
        <v>4</v>
      </c>
      <c r="P2059" s="921">
        <f t="shared" si="65"/>
        <v>4600</v>
      </c>
    </row>
    <row r="2060" spans="1:16" ht="20.100000000000001" customHeight="1" x14ac:dyDescent="0.25">
      <c r="A2060" s="918" t="s">
        <v>472</v>
      </c>
      <c r="B2060" s="944" t="s">
        <v>3901</v>
      </c>
      <c r="C2060" s="919" t="s">
        <v>3902</v>
      </c>
      <c r="D2060" s="919" t="s">
        <v>4592</v>
      </c>
      <c r="E2060" s="920">
        <v>1150</v>
      </c>
      <c r="F2060" s="919" t="s">
        <v>7649</v>
      </c>
      <c r="G2060" s="919" t="s">
        <v>7650</v>
      </c>
      <c r="H2060" s="919" t="s">
        <v>4592</v>
      </c>
      <c r="I2060" s="919" t="s">
        <v>3686</v>
      </c>
      <c r="J2060" s="919"/>
      <c r="K2060" s="920"/>
      <c r="L2060" s="920"/>
      <c r="M2060" s="920">
        <f t="shared" si="64"/>
        <v>0</v>
      </c>
      <c r="N2060" s="919">
        <v>1</v>
      </c>
      <c r="O2060" s="919">
        <v>4</v>
      </c>
      <c r="P2060" s="921">
        <f t="shared" si="65"/>
        <v>4600</v>
      </c>
    </row>
    <row r="2061" spans="1:16" ht="20.100000000000001" customHeight="1" x14ac:dyDescent="0.25">
      <c r="A2061" s="918" t="s">
        <v>472</v>
      </c>
      <c r="B2061" s="944" t="s">
        <v>3901</v>
      </c>
      <c r="C2061" s="919" t="s">
        <v>3902</v>
      </c>
      <c r="D2061" s="919" t="s">
        <v>4592</v>
      </c>
      <c r="E2061" s="920">
        <v>1150</v>
      </c>
      <c r="F2061" s="919" t="s">
        <v>7651</v>
      </c>
      <c r="G2061" s="919" t="s">
        <v>7652</v>
      </c>
      <c r="H2061" s="919" t="s">
        <v>4592</v>
      </c>
      <c r="I2061" s="919" t="s">
        <v>3686</v>
      </c>
      <c r="J2061" s="919"/>
      <c r="K2061" s="920"/>
      <c r="L2061" s="920"/>
      <c r="M2061" s="920">
        <f t="shared" si="64"/>
        <v>0</v>
      </c>
      <c r="N2061" s="919">
        <v>1</v>
      </c>
      <c r="O2061" s="919">
        <v>1</v>
      </c>
      <c r="P2061" s="921">
        <f t="shared" si="65"/>
        <v>1150</v>
      </c>
    </row>
    <row r="2062" spans="1:16" ht="20.100000000000001" customHeight="1" x14ac:dyDescent="0.25">
      <c r="A2062" s="918" t="s">
        <v>472</v>
      </c>
      <c r="B2062" s="944" t="s">
        <v>3901</v>
      </c>
      <c r="C2062" s="919" t="s">
        <v>3902</v>
      </c>
      <c r="D2062" s="919" t="s">
        <v>4592</v>
      </c>
      <c r="E2062" s="920">
        <v>1150</v>
      </c>
      <c r="F2062" s="919" t="s">
        <v>7653</v>
      </c>
      <c r="G2062" s="919" t="s">
        <v>7654</v>
      </c>
      <c r="H2062" s="919" t="s">
        <v>4592</v>
      </c>
      <c r="I2062" s="919" t="s">
        <v>3686</v>
      </c>
      <c r="J2062" s="919"/>
      <c r="K2062" s="920"/>
      <c r="L2062" s="920"/>
      <c r="M2062" s="920">
        <f t="shared" si="64"/>
        <v>0</v>
      </c>
      <c r="N2062" s="919">
        <v>1</v>
      </c>
      <c r="O2062" s="919">
        <v>1</v>
      </c>
      <c r="P2062" s="921">
        <f t="shared" si="65"/>
        <v>1150</v>
      </c>
    </row>
    <row r="2063" spans="1:16" ht="20.100000000000001" customHeight="1" x14ac:dyDescent="0.25">
      <c r="A2063" s="918" t="s">
        <v>472</v>
      </c>
      <c r="B2063" s="944" t="s">
        <v>3901</v>
      </c>
      <c r="C2063" s="919" t="s">
        <v>3902</v>
      </c>
      <c r="D2063" s="919" t="s">
        <v>4592</v>
      </c>
      <c r="E2063" s="920">
        <v>1150</v>
      </c>
      <c r="F2063" s="919" t="s">
        <v>7655</v>
      </c>
      <c r="G2063" s="919" t="s">
        <v>7656</v>
      </c>
      <c r="H2063" s="919" t="s">
        <v>4592</v>
      </c>
      <c r="I2063" s="919" t="s">
        <v>3686</v>
      </c>
      <c r="J2063" s="919"/>
      <c r="K2063" s="920"/>
      <c r="L2063" s="920"/>
      <c r="M2063" s="920">
        <f t="shared" si="64"/>
        <v>0</v>
      </c>
      <c r="N2063" s="919">
        <v>1</v>
      </c>
      <c r="O2063" s="919">
        <v>4</v>
      </c>
      <c r="P2063" s="921">
        <f t="shared" si="65"/>
        <v>4600</v>
      </c>
    </row>
    <row r="2064" spans="1:16" ht="20.100000000000001" customHeight="1" x14ac:dyDescent="0.25">
      <c r="A2064" s="918" t="s">
        <v>472</v>
      </c>
      <c r="B2064" s="944" t="s">
        <v>3901</v>
      </c>
      <c r="C2064" s="919" t="s">
        <v>3902</v>
      </c>
      <c r="D2064" s="919" t="s">
        <v>4592</v>
      </c>
      <c r="E2064" s="920">
        <v>1150</v>
      </c>
      <c r="F2064" s="919" t="s">
        <v>7657</v>
      </c>
      <c r="G2064" s="919" t="s">
        <v>7658</v>
      </c>
      <c r="H2064" s="919" t="s">
        <v>4592</v>
      </c>
      <c r="I2064" s="919" t="s">
        <v>3686</v>
      </c>
      <c r="J2064" s="919"/>
      <c r="K2064" s="920"/>
      <c r="L2064" s="920"/>
      <c r="M2064" s="920">
        <f t="shared" si="64"/>
        <v>0</v>
      </c>
      <c r="N2064" s="919">
        <v>1</v>
      </c>
      <c r="O2064" s="919">
        <v>4</v>
      </c>
      <c r="P2064" s="921">
        <f t="shared" si="65"/>
        <v>4600</v>
      </c>
    </row>
    <row r="2065" spans="1:16" ht="20.100000000000001" customHeight="1" x14ac:dyDescent="0.25">
      <c r="A2065" s="918" t="s">
        <v>472</v>
      </c>
      <c r="B2065" s="944" t="s">
        <v>3901</v>
      </c>
      <c r="C2065" s="919" t="s">
        <v>3902</v>
      </c>
      <c r="D2065" s="919" t="s">
        <v>4592</v>
      </c>
      <c r="E2065" s="920">
        <v>1150</v>
      </c>
      <c r="F2065" s="919" t="s">
        <v>7659</v>
      </c>
      <c r="G2065" s="919" t="s">
        <v>7660</v>
      </c>
      <c r="H2065" s="919" t="s">
        <v>4592</v>
      </c>
      <c r="I2065" s="919" t="s">
        <v>3686</v>
      </c>
      <c r="J2065" s="919"/>
      <c r="K2065" s="920"/>
      <c r="L2065" s="920"/>
      <c r="M2065" s="920">
        <f t="shared" si="64"/>
        <v>0</v>
      </c>
      <c r="N2065" s="919">
        <v>1</v>
      </c>
      <c r="O2065" s="919">
        <v>1</v>
      </c>
      <c r="P2065" s="921">
        <f t="shared" si="65"/>
        <v>1150</v>
      </c>
    </row>
    <row r="2066" spans="1:16" ht="20.100000000000001" customHeight="1" x14ac:dyDescent="0.25">
      <c r="A2066" s="918" t="s">
        <v>472</v>
      </c>
      <c r="B2066" s="944" t="s">
        <v>3901</v>
      </c>
      <c r="C2066" s="919" t="s">
        <v>3902</v>
      </c>
      <c r="D2066" s="919" t="s">
        <v>4109</v>
      </c>
      <c r="E2066" s="920">
        <v>1400</v>
      </c>
      <c r="F2066" s="919" t="s">
        <v>7661</v>
      </c>
      <c r="G2066" s="919" t="s">
        <v>7662</v>
      </c>
      <c r="H2066" s="919" t="s">
        <v>4109</v>
      </c>
      <c r="I2066" s="919" t="s">
        <v>3686</v>
      </c>
      <c r="J2066" s="919"/>
      <c r="K2066" s="920"/>
      <c r="L2066" s="920"/>
      <c r="M2066" s="920">
        <f t="shared" si="64"/>
        <v>0</v>
      </c>
      <c r="N2066" s="919">
        <v>1</v>
      </c>
      <c r="O2066" s="919">
        <v>5</v>
      </c>
      <c r="P2066" s="921">
        <f t="shared" si="65"/>
        <v>7000</v>
      </c>
    </row>
    <row r="2067" spans="1:16" ht="20.100000000000001" customHeight="1" x14ac:dyDescent="0.25">
      <c r="A2067" s="918" t="s">
        <v>472</v>
      </c>
      <c r="B2067" s="944" t="s">
        <v>3901</v>
      </c>
      <c r="C2067" s="919" t="s">
        <v>3902</v>
      </c>
      <c r="D2067" s="919" t="s">
        <v>4109</v>
      </c>
      <c r="E2067" s="920">
        <v>1400</v>
      </c>
      <c r="F2067" s="919" t="s">
        <v>7663</v>
      </c>
      <c r="G2067" s="919" t="s">
        <v>7664</v>
      </c>
      <c r="H2067" s="919" t="s">
        <v>4109</v>
      </c>
      <c r="I2067" s="919" t="s">
        <v>3686</v>
      </c>
      <c r="J2067" s="919"/>
      <c r="K2067" s="920"/>
      <c r="L2067" s="920"/>
      <c r="M2067" s="920">
        <f t="shared" si="64"/>
        <v>0</v>
      </c>
      <c r="N2067" s="919">
        <v>1</v>
      </c>
      <c r="O2067" s="919">
        <v>3</v>
      </c>
      <c r="P2067" s="921">
        <f t="shared" si="65"/>
        <v>4200</v>
      </c>
    </row>
    <row r="2068" spans="1:16" ht="20.100000000000001" customHeight="1" x14ac:dyDescent="0.25">
      <c r="A2068" s="918" t="s">
        <v>472</v>
      </c>
      <c r="B2068" s="944" t="s">
        <v>3901</v>
      </c>
      <c r="C2068" s="919" t="s">
        <v>3902</v>
      </c>
      <c r="D2068" s="919" t="s">
        <v>4109</v>
      </c>
      <c r="E2068" s="920">
        <v>1400</v>
      </c>
      <c r="F2068" s="919" t="s">
        <v>7665</v>
      </c>
      <c r="G2068" s="919" t="s">
        <v>7666</v>
      </c>
      <c r="H2068" s="919" t="s">
        <v>4109</v>
      </c>
      <c r="I2068" s="919" t="s">
        <v>3686</v>
      </c>
      <c r="J2068" s="919"/>
      <c r="K2068" s="920"/>
      <c r="L2068" s="920"/>
      <c r="M2068" s="920">
        <f t="shared" si="64"/>
        <v>0</v>
      </c>
      <c r="N2068" s="919">
        <v>1</v>
      </c>
      <c r="O2068" s="919">
        <v>1</v>
      </c>
      <c r="P2068" s="921">
        <f t="shared" si="65"/>
        <v>1400</v>
      </c>
    </row>
    <row r="2069" spans="1:16" ht="20.100000000000001" customHeight="1" x14ac:dyDescent="0.25">
      <c r="A2069" s="918" t="s">
        <v>472</v>
      </c>
      <c r="B2069" s="944" t="s">
        <v>3901</v>
      </c>
      <c r="C2069" s="919" t="s">
        <v>3902</v>
      </c>
      <c r="D2069" s="919" t="s">
        <v>4109</v>
      </c>
      <c r="E2069" s="920">
        <v>1400</v>
      </c>
      <c r="F2069" s="919" t="s">
        <v>7667</v>
      </c>
      <c r="G2069" s="919" t="s">
        <v>7668</v>
      </c>
      <c r="H2069" s="919" t="s">
        <v>4109</v>
      </c>
      <c r="I2069" s="919" t="s">
        <v>3686</v>
      </c>
      <c r="J2069" s="919"/>
      <c r="K2069" s="920"/>
      <c r="L2069" s="920"/>
      <c r="M2069" s="920">
        <f t="shared" si="64"/>
        <v>0</v>
      </c>
      <c r="N2069" s="919">
        <v>1</v>
      </c>
      <c r="O2069" s="919">
        <v>1</v>
      </c>
      <c r="P2069" s="921">
        <f t="shared" si="65"/>
        <v>1400</v>
      </c>
    </row>
    <row r="2070" spans="1:16" ht="20.100000000000001" customHeight="1" x14ac:dyDescent="0.25">
      <c r="A2070" s="918" t="s">
        <v>472</v>
      </c>
      <c r="B2070" s="944" t="s">
        <v>3901</v>
      </c>
      <c r="C2070" s="919" t="s">
        <v>3902</v>
      </c>
      <c r="D2070" s="919" t="s">
        <v>4109</v>
      </c>
      <c r="E2070" s="920">
        <v>1400</v>
      </c>
      <c r="F2070" s="919" t="s">
        <v>7669</v>
      </c>
      <c r="G2070" s="919" t="s">
        <v>7670</v>
      </c>
      <c r="H2070" s="919" t="s">
        <v>4109</v>
      </c>
      <c r="I2070" s="919" t="s">
        <v>3686</v>
      </c>
      <c r="J2070" s="919"/>
      <c r="K2070" s="920"/>
      <c r="L2070" s="920"/>
      <c r="M2070" s="920">
        <f t="shared" si="64"/>
        <v>0</v>
      </c>
      <c r="N2070" s="919">
        <v>1</v>
      </c>
      <c r="O2070" s="919">
        <v>1</v>
      </c>
      <c r="P2070" s="921">
        <f t="shared" si="65"/>
        <v>1400</v>
      </c>
    </row>
    <row r="2071" spans="1:16" ht="20.100000000000001" customHeight="1" x14ac:dyDescent="0.25">
      <c r="A2071" s="918" t="s">
        <v>472</v>
      </c>
      <c r="B2071" s="944" t="s">
        <v>3901</v>
      </c>
      <c r="C2071" s="919" t="s">
        <v>3902</v>
      </c>
      <c r="D2071" s="919" t="s">
        <v>4109</v>
      </c>
      <c r="E2071" s="920">
        <v>1400</v>
      </c>
      <c r="F2071" s="919" t="s">
        <v>7671</v>
      </c>
      <c r="G2071" s="919" t="s">
        <v>7672</v>
      </c>
      <c r="H2071" s="919" t="s">
        <v>4109</v>
      </c>
      <c r="I2071" s="919" t="s">
        <v>3686</v>
      </c>
      <c r="J2071" s="919"/>
      <c r="K2071" s="920"/>
      <c r="L2071" s="920"/>
      <c r="M2071" s="920">
        <f t="shared" si="64"/>
        <v>0</v>
      </c>
      <c r="N2071" s="919">
        <v>1</v>
      </c>
      <c r="O2071" s="919">
        <v>5</v>
      </c>
      <c r="P2071" s="921">
        <f t="shared" si="65"/>
        <v>7000</v>
      </c>
    </row>
    <row r="2072" spans="1:16" ht="20.100000000000001" customHeight="1" x14ac:dyDescent="0.25">
      <c r="A2072" s="918" t="s">
        <v>472</v>
      </c>
      <c r="B2072" s="944" t="s">
        <v>3901</v>
      </c>
      <c r="C2072" s="919" t="s">
        <v>3902</v>
      </c>
      <c r="D2072" s="919" t="s">
        <v>4109</v>
      </c>
      <c r="E2072" s="920">
        <v>1400</v>
      </c>
      <c r="F2072" s="919" t="s">
        <v>7673</v>
      </c>
      <c r="G2072" s="919" t="s">
        <v>7674</v>
      </c>
      <c r="H2072" s="919" t="s">
        <v>4109</v>
      </c>
      <c r="I2072" s="919" t="s">
        <v>3686</v>
      </c>
      <c r="J2072" s="919"/>
      <c r="K2072" s="920"/>
      <c r="L2072" s="920"/>
      <c r="M2072" s="920">
        <f t="shared" si="64"/>
        <v>0</v>
      </c>
      <c r="N2072" s="919">
        <v>1</v>
      </c>
      <c r="O2072" s="919">
        <v>5</v>
      </c>
      <c r="P2072" s="921">
        <f t="shared" si="65"/>
        <v>7000</v>
      </c>
    </row>
    <row r="2073" spans="1:16" ht="20.100000000000001" customHeight="1" x14ac:dyDescent="0.25">
      <c r="A2073" s="918" t="s">
        <v>472</v>
      </c>
      <c r="B2073" s="944" t="s">
        <v>3901</v>
      </c>
      <c r="C2073" s="919" t="s">
        <v>3902</v>
      </c>
      <c r="D2073" s="919" t="s">
        <v>4109</v>
      </c>
      <c r="E2073" s="920">
        <v>1400</v>
      </c>
      <c r="F2073" s="919" t="s">
        <v>7675</v>
      </c>
      <c r="G2073" s="919" t="s">
        <v>7676</v>
      </c>
      <c r="H2073" s="919" t="s">
        <v>4109</v>
      </c>
      <c r="I2073" s="919" t="s">
        <v>3686</v>
      </c>
      <c r="J2073" s="919"/>
      <c r="K2073" s="920"/>
      <c r="L2073" s="920"/>
      <c r="M2073" s="920">
        <f t="shared" si="64"/>
        <v>0</v>
      </c>
      <c r="N2073" s="919">
        <v>1</v>
      </c>
      <c r="O2073" s="919">
        <v>5</v>
      </c>
      <c r="P2073" s="921">
        <f t="shared" si="65"/>
        <v>7000</v>
      </c>
    </row>
    <row r="2074" spans="1:16" ht="20.100000000000001" customHeight="1" x14ac:dyDescent="0.25">
      <c r="A2074" s="918" t="s">
        <v>472</v>
      </c>
      <c r="B2074" s="944" t="s">
        <v>3901</v>
      </c>
      <c r="C2074" s="919" t="s">
        <v>3902</v>
      </c>
      <c r="D2074" s="919" t="s">
        <v>4109</v>
      </c>
      <c r="E2074" s="920">
        <v>1400</v>
      </c>
      <c r="F2074" s="919" t="s">
        <v>7677</v>
      </c>
      <c r="G2074" s="919" t="s">
        <v>7678</v>
      </c>
      <c r="H2074" s="919" t="s">
        <v>4109</v>
      </c>
      <c r="I2074" s="919" t="s">
        <v>3686</v>
      </c>
      <c r="J2074" s="919"/>
      <c r="K2074" s="920"/>
      <c r="L2074" s="920"/>
      <c r="M2074" s="920">
        <f t="shared" si="64"/>
        <v>0</v>
      </c>
      <c r="N2074" s="919">
        <v>1</v>
      </c>
      <c r="O2074" s="919">
        <v>5</v>
      </c>
      <c r="P2074" s="921">
        <f t="shared" si="65"/>
        <v>7000</v>
      </c>
    </row>
    <row r="2075" spans="1:16" ht="20.100000000000001" customHeight="1" x14ac:dyDescent="0.25">
      <c r="A2075" s="918" t="s">
        <v>472</v>
      </c>
      <c r="B2075" s="944" t="s">
        <v>3901</v>
      </c>
      <c r="C2075" s="919" t="s">
        <v>3902</v>
      </c>
      <c r="D2075" s="919" t="s">
        <v>4109</v>
      </c>
      <c r="E2075" s="920">
        <v>1400</v>
      </c>
      <c r="F2075" s="919" t="s">
        <v>4041</v>
      </c>
      <c r="G2075" s="919" t="s">
        <v>4042</v>
      </c>
      <c r="H2075" s="919" t="s">
        <v>4109</v>
      </c>
      <c r="I2075" s="919" t="s">
        <v>3686</v>
      </c>
      <c r="J2075" s="919"/>
      <c r="K2075" s="920">
        <v>1</v>
      </c>
      <c r="L2075" s="920">
        <v>12</v>
      </c>
      <c r="M2075" s="920">
        <f t="shared" si="64"/>
        <v>16800</v>
      </c>
      <c r="N2075" s="919"/>
      <c r="O2075" s="919"/>
      <c r="P2075" s="921">
        <f t="shared" si="65"/>
        <v>0</v>
      </c>
    </row>
    <row r="2076" spans="1:16" ht="20.100000000000001" customHeight="1" x14ac:dyDescent="0.25">
      <c r="A2076" s="918" t="s">
        <v>472</v>
      </c>
      <c r="B2076" s="944" t="s">
        <v>3901</v>
      </c>
      <c r="C2076" s="919" t="s">
        <v>3902</v>
      </c>
      <c r="D2076" s="919" t="s">
        <v>4109</v>
      </c>
      <c r="E2076" s="920">
        <v>1400</v>
      </c>
      <c r="F2076" s="919" t="s">
        <v>7679</v>
      </c>
      <c r="G2076" s="919" t="s">
        <v>7680</v>
      </c>
      <c r="H2076" s="919" t="s">
        <v>4109</v>
      </c>
      <c r="I2076" s="919" t="s">
        <v>3686</v>
      </c>
      <c r="J2076" s="919"/>
      <c r="K2076" s="920"/>
      <c r="L2076" s="920"/>
      <c r="M2076" s="920">
        <f t="shared" si="64"/>
        <v>0</v>
      </c>
      <c r="N2076" s="919">
        <v>1</v>
      </c>
      <c r="O2076" s="919">
        <v>5</v>
      </c>
      <c r="P2076" s="921">
        <f t="shared" si="65"/>
        <v>7000</v>
      </c>
    </row>
    <row r="2077" spans="1:16" ht="20.100000000000001" customHeight="1" x14ac:dyDescent="0.25">
      <c r="A2077" s="918" t="s">
        <v>472</v>
      </c>
      <c r="B2077" s="944" t="s">
        <v>3901</v>
      </c>
      <c r="C2077" s="919" t="s">
        <v>3902</v>
      </c>
      <c r="D2077" s="919" t="s">
        <v>4109</v>
      </c>
      <c r="E2077" s="920">
        <v>1400</v>
      </c>
      <c r="F2077" s="919" t="s">
        <v>7681</v>
      </c>
      <c r="G2077" s="919" t="s">
        <v>7682</v>
      </c>
      <c r="H2077" s="919" t="s">
        <v>4109</v>
      </c>
      <c r="I2077" s="919" t="s">
        <v>3686</v>
      </c>
      <c r="J2077" s="919"/>
      <c r="K2077" s="920"/>
      <c r="L2077" s="920"/>
      <c r="M2077" s="920">
        <f t="shared" si="64"/>
        <v>0</v>
      </c>
      <c r="N2077" s="919">
        <v>1</v>
      </c>
      <c r="O2077" s="919">
        <v>1</v>
      </c>
      <c r="P2077" s="921">
        <f t="shared" si="65"/>
        <v>1400</v>
      </c>
    </row>
    <row r="2078" spans="1:16" ht="20.100000000000001" customHeight="1" x14ac:dyDescent="0.25">
      <c r="A2078" s="918" t="s">
        <v>472</v>
      </c>
      <c r="B2078" s="944" t="s">
        <v>3901</v>
      </c>
      <c r="C2078" s="919" t="s">
        <v>3902</v>
      </c>
      <c r="D2078" s="919" t="s">
        <v>4657</v>
      </c>
      <c r="E2078" s="920">
        <v>1150</v>
      </c>
      <c r="F2078" s="919" t="s">
        <v>7683</v>
      </c>
      <c r="G2078" s="919" t="s">
        <v>7684</v>
      </c>
      <c r="H2078" s="919" t="s">
        <v>4657</v>
      </c>
      <c r="I2078" s="919" t="s">
        <v>3686</v>
      </c>
      <c r="J2078" s="919"/>
      <c r="K2078" s="920"/>
      <c r="L2078" s="920"/>
      <c r="M2078" s="920">
        <f t="shared" si="64"/>
        <v>0</v>
      </c>
      <c r="N2078" s="919">
        <v>1</v>
      </c>
      <c r="O2078" s="919">
        <v>3</v>
      </c>
      <c r="P2078" s="921">
        <f t="shared" si="65"/>
        <v>3450</v>
      </c>
    </row>
    <row r="2079" spans="1:16" ht="20.100000000000001" customHeight="1" x14ac:dyDescent="0.25">
      <c r="A2079" s="918" t="s">
        <v>472</v>
      </c>
      <c r="B2079" s="944" t="s">
        <v>3901</v>
      </c>
      <c r="C2079" s="919" t="s">
        <v>3902</v>
      </c>
      <c r="D2079" s="919" t="s">
        <v>4657</v>
      </c>
      <c r="E2079" s="920">
        <v>1150</v>
      </c>
      <c r="F2079" s="919" t="s">
        <v>7685</v>
      </c>
      <c r="G2079" s="919" t="s">
        <v>7686</v>
      </c>
      <c r="H2079" s="919" t="s">
        <v>4657</v>
      </c>
      <c r="I2079" s="919" t="s">
        <v>3686</v>
      </c>
      <c r="J2079" s="919"/>
      <c r="K2079" s="920"/>
      <c r="L2079" s="920"/>
      <c r="M2079" s="920">
        <f t="shared" si="64"/>
        <v>0</v>
      </c>
      <c r="N2079" s="919">
        <v>1</v>
      </c>
      <c r="O2079" s="919">
        <v>4</v>
      </c>
      <c r="P2079" s="921">
        <f t="shared" si="65"/>
        <v>4600</v>
      </c>
    </row>
    <row r="2080" spans="1:16" ht="20.100000000000001" customHeight="1" x14ac:dyDescent="0.25">
      <c r="A2080" s="918" t="s">
        <v>472</v>
      </c>
      <c r="B2080" s="944" t="s">
        <v>3901</v>
      </c>
      <c r="C2080" s="919" t="s">
        <v>3902</v>
      </c>
      <c r="D2080" s="919" t="s">
        <v>4657</v>
      </c>
      <c r="E2080" s="920">
        <v>1150</v>
      </c>
      <c r="F2080" s="919" t="s">
        <v>7687</v>
      </c>
      <c r="G2080" s="919" t="s">
        <v>7688</v>
      </c>
      <c r="H2080" s="919" t="s">
        <v>4657</v>
      </c>
      <c r="I2080" s="919" t="s">
        <v>3686</v>
      </c>
      <c r="J2080" s="919"/>
      <c r="K2080" s="920"/>
      <c r="L2080" s="920"/>
      <c r="M2080" s="920">
        <f t="shared" si="64"/>
        <v>0</v>
      </c>
      <c r="N2080" s="919">
        <v>1</v>
      </c>
      <c r="O2080" s="919">
        <v>5</v>
      </c>
      <c r="P2080" s="921">
        <f t="shared" si="65"/>
        <v>5750</v>
      </c>
    </row>
    <row r="2081" spans="1:16" ht="20.100000000000001" customHeight="1" x14ac:dyDescent="0.25">
      <c r="A2081" s="918" t="s">
        <v>472</v>
      </c>
      <c r="B2081" s="944" t="s">
        <v>3901</v>
      </c>
      <c r="C2081" s="919" t="s">
        <v>3902</v>
      </c>
      <c r="D2081" s="919" t="s">
        <v>4657</v>
      </c>
      <c r="E2081" s="920">
        <v>1150</v>
      </c>
      <c r="F2081" s="919" t="s">
        <v>4041</v>
      </c>
      <c r="G2081" s="919" t="s">
        <v>4042</v>
      </c>
      <c r="H2081" s="919" t="s">
        <v>4657</v>
      </c>
      <c r="I2081" s="919" t="s">
        <v>3686</v>
      </c>
      <c r="J2081" s="919"/>
      <c r="K2081" s="920">
        <v>1</v>
      </c>
      <c r="L2081" s="920">
        <v>12</v>
      </c>
      <c r="M2081" s="920">
        <f t="shared" si="64"/>
        <v>13800</v>
      </c>
      <c r="N2081" s="919"/>
      <c r="O2081" s="919"/>
      <c r="P2081" s="921">
        <f t="shared" si="65"/>
        <v>0</v>
      </c>
    </row>
    <row r="2082" spans="1:16" ht="20.100000000000001" customHeight="1" x14ac:dyDescent="0.25">
      <c r="A2082" s="918" t="s">
        <v>472</v>
      </c>
      <c r="B2082" s="944" t="s">
        <v>3901</v>
      </c>
      <c r="C2082" s="919" t="s">
        <v>3902</v>
      </c>
      <c r="D2082" s="919" t="s">
        <v>4657</v>
      </c>
      <c r="E2082" s="920">
        <v>1150</v>
      </c>
      <c r="F2082" s="919" t="s">
        <v>7689</v>
      </c>
      <c r="G2082" s="919" t="s">
        <v>7690</v>
      </c>
      <c r="H2082" s="919" t="s">
        <v>4657</v>
      </c>
      <c r="I2082" s="919" t="s">
        <v>3686</v>
      </c>
      <c r="J2082" s="919"/>
      <c r="K2082" s="920"/>
      <c r="L2082" s="920"/>
      <c r="M2082" s="920">
        <f t="shared" si="64"/>
        <v>0</v>
      </c>
      <c r="N2082" s="919">
        <v>1</v>
      </c>
      <c r="O2082" s="919">
        <v>5</v>
      </c>
      <c r="P2082" s="921">
        <f t="shared" si="65"/>
        <v>5750</v>
      </c>
    </row>
    <row r="2083" spans="1:16" ht="20.100000000000001" customHeight="1" x14ac:dyDescent="0.25">
      <c r="A2083" s="918" t="s">
        <v>472</v>
      </c>
      <c r="B2083" s="944" t="s">
        <v>3901</v>
      </c>
      <c r="C2083" s="919" t="s">
        <v>3902</v>
      </c>
      <c r="D2083" s="919" t="s">
        <v>4657</v>
      </c>
      <c r="E2083" s="920">
        <v>1150</v>
      </c>
      <c r="F2083" s="919" t="s">
        <v>7691</v>
      </c>
      <c r="G2083" s="919" t="s">
        <v>7692</v>
      </c>
      <c r="H2083" s="919" t="s">
        <v>4657</v>
      </c>
      <c r="I2083" s="919" t="s">
        <v>3686</v>
      </c>
      <c r="J2083" s="919"/>
      <c r="K2083" s="920"/>
      <c r="L2083" s="920"/>
      <c r="M2083" s="920">
        <f t="shared" si="64"/>
        <v>0</v>
      </c>
      <c r="N2083" s="919">
        <v>1</v>
      </c>
      <c r="O2083" s="919">
        <v>5</v>
      </c>
      <c r="P2083" s="921">
        <f t="shared" si="65"/>
        <v>5750</v>
      </c>
    </row>
    <row r="2084" spans="1:16" ht="20.100000000000001" customHeight="1" x14ac:dyDescent="0.25">
      <c r="A2084" s="918" t="s">
        <v>472</v>
      </c>
      <c r="B2084" s="944" t="s">
        <v>3901</v>
      </c>
      <c r="C2084" s="919" t="s">
        <v>3902</v>
      </c>
      <c r="D2084" s="919" t="s">
        <v>4502</v>
      </c>
      <c r="E2084" s="920">
        <v>1150</v>
      </c>
      <c r="F2084" s="919" t="s">
        <v>7693</v>
      </c>
      <c r="G2084" s="919" t="s">
        <v>7694</v>
      </c>
      <c r="H2084" s="919" t="s">
        <v>4502</v>
      </c>
      <c r="I2084" s="919" t="s">
        <v>3686</v>
      </c>
      <c r="J2084" s="919"/>
      <c r="K2084" s="920"/>
      <c r="L2084" s="920"/>
      <c r="M2084" s="920">
        <f t="shared" si="64"/>
        <v>0</v>
      </c>
      <c r="N2084" s="919">
        <v>1</v>
      </c>
      <c r="O2084" s="919">
        <v>4</v>
      </c>
      <c r="P2084" s="921">
        <f t="shared" si="65"/>
        <v>4600</v>
      </c>
    </row>
    <row r="2085" spans="1:16" ht="20.100000000000001" customHeight="1" x14ac:dyDescent="0.25">
      <c r="A2085" s="918" t="s">
        <v>472</v>
      </c>
      <c r="B2085" s="944" t="s">
        <v>3901</v>
      </c>
      <c r="C2085" s="919" t="s">
        <v>3902</v>
      </c>
      <c r="D2085" s="919" t="s">
        <v>4502</v>
      </c>
      <c r="E2085" s="920">
        <v>1150</v>
      </c>
      <c r="F2085" s="919" t="s">
        <v>7695</v>
      </c>
      <c r="G2085" s="919" t="s">
        <v>7696</v>
      </c>
      <c r="H2085" s="919" t="s">
        <v>4502</v>
      </c>
      <c r="I2085" s="919" t="s">
        <v>3686</v>
      </c>
      <c r="J2085" s="919"/>
      <c r="K2085" s="920"/>
      <c r="L2085" s="920"/>
      <c r="M2085" s="920">
        <f t="shared" si="64"/>
        <v>0</v>
      </c>
      <c r="N2085" s="919">
        <v>1</v>
      </c>
      <c r="O2085" s="919">
        <v>4</v>
      </c>
      <c r="P2085" s="921">
        <f t="shared" si="65"/>
        <v>4600</v>
      </c>
    </row>
    <row r="2086" spans="1:16" ht="20.100000000000001" customHeight="1" x14ac:dyDescent="0.25">
      <c r="A2086" s="918" t="s">
        <v>472</v>
      </c>
      <c r="B2086" s="944" t="s">
        <v>3901</v>
      </c>
      <c r="C2086" s="919" t="s">
        <v>3902</v>
      </c>
      <c r="D2086" s="919" t="s">
        <v>4502</v>
      </c>
      <c r="E2086" s="920">
        <v>1150</v>
      </c>
      <c r="F2086" s="919" t="s">
        <v>7697</v>
      </c>
      <c r="G2086" s="919" t="s">
        <v>7698</v>
      </c>
      <c r="H2086" s="919" t="s">
        <v>4502</v>
      </c>
      <c r="I2086" s="919" t="s">
        <v>3686</v>
      </c>
      <c r="J2086" s="919"/>
      <c r="K2086" s="920"/>
      <c r="L2086" s="920"/>
      <c r="M2086" s="920">
        <f t="shared" si="64"/>
        <v>0</v>
      </c>
      <c r="N2086" s="919">
        <v>1</v>
      </c>
      <c r="O2086" s="919">
        <v>4</v>
      </c>
      <c r="P2086" s="921">
        <f t="shared" si="65"/>
        <v>4600</v>
      </c>
    </row>
    <row r="2087" spans="1:16" ht="20.100000000000001" customHeight="1" x14ac:dyDescent="0.25">
      <c r="A2087" s="918" t="s">
        <v>472</v>
      </c>
      <c r="B2087" s="944" t="s">
        <v>3901</v>
      </c>
      <c r="C2087" s="919" t="s">
        <v>3902</v>
      </c>
      <c r="D2087" s="919" t="s">
        <v>4502</v>
      </c>
      <c r="E2087" s="920">
        <v>1150</v>
      </c>
      <c r="F2087" s="919" t="s">
        <v>7699</v>
      </c>
      <c r="G2087" s="919" t="s">
        <v>7700</v>
      </c>
      <c r="H2087" s="919" t="s">
        <v>4502</v>
      </c>
      <c r="I2087" s="919" t="s">
        <v>3686</v>
      </c>
      <c r="J2087" s="919"/>
      <c r="K2087" s="920"/>
      <c r="L2087" s="920"/>
      <c r="M2087" s="920">
        <f t="shared" si="64"/>
        <v>0</v>
      </c>
      <c r="N2087" s="919">
        <v>1</v>
      </c>
      <c r="O2087" s="919">
        <v>5</v>
      </c>
      <c r="P2087" s="921">
        <f t="shared" si="65"/>
        <v>5750</v>
      </c>
    </row>
    <row r="2088" spans="1:16" ht="20.100000000000001" customHeight="1" x14ac:dyDescent="0.25">
      <c r="A2088" s="918" t="s">
        <v>472</v>
      </c>
      <c r="B2088" s="944" t="s">
        <v>3901</v>
      </c>
      <c r="C2088" s="919" t="s">
        <v>3902</v>
      </c>
      <c r="D2088" s="919" t="s">
        <v>4502</v>
      </c>
      <c r="E2088" s="920">
        <v>1150</v>
      </c>
      <c r="F2088" s="919" t="s">
        <v>7701</v>
      </c>
      <c r="G2088" s="919" t="s">
        <v>7702</v>
      </c>
      <c r="H2088" s="919" t="s">
        <v>4502</v>
      </c>
      <c r="I2088" s="919" t="s">
        <v>3686</v>
      </c>
      <c r="J2088" s="919"/>
      <c r="K2088" s="920"/>
      <c r="L2088" s="920"/>
      <c r="M2088" s="920">
        <f t="shared" si="64"/>
        <v>0</v>
      </c>
      <c r="N2088" s="919">
        <v>1</v>
      </c>
      <c r="O2088" s="919">
        <v>5</v>
      </c>
      <c r="P2088" s="921">
        <f t="shared" si="65"/>
        <v>5750</v>
      </c>
    </row>
    <row r="2089" spans="1:16" ht="20.100000000000001" customHeight="1" x14ac:dyDescent="0.25">
      <c r="A2089" s="918" t="s">
        <v>472</v>
      </c>
      <c r="B2089" s="944" t="s">
        <v>3901</v>
      </c>
      <c r="C2089" s="919" t="s">
        <v>3902</v>
      </c>
      <c r="D2089" s="919" t="s">
        <v>4502</v>
      </c>
      <c r="E2089" s="920">
        <v>1150</v>
      </c>
      <c r="F2089" s="919" t="s">
        <v>7703</v>
      </c>
      <c r="G2089" s="919" t="s">
        <v>7704</v>
      </c>
      <c r="H2089" s="919" t="s">
        <v>4502</v>
      </c>
      <c r="I2089" s="919" t="s">
        <v>3686</v>
      </c>
      <c r="J2089" s="919"/>
      <c r="K2089" s="920"/>
      <c r="L2089" s="920"/>
      <c r="M2089" s="920">
        <f t="shared" si="64"/>
        <v>0</v>
      </c>
      <c r="N2089" s="919">
        <v>1</v>
      </c>
      <c r="O2089" s="919">
        <v>5</v>
      </c>
      <c r="P2089" s="921">
        <f t="shared" si="65"/>
        <v>5750</v>
      </c>
    </row>
    <row r="2090" spans="1:16" ht="20.100000000000001" customHeight="1" x14ac:dyDescent="0.25">
      <c r="A2090" s="918" t="s">
        <v>472</v>
      </c>
      <c r="B2090" s="944" t="s">
        <v>3901</v>
      </c>
      <c r="C2090" s="919" t="s">
        <v>3902</v>
      </c>
      <c r="D2090" s="919" t="s">
        <v>4502</v>
      </c>
      <c r="E2090" s="920">
        <v>1150</v>
      </c>
      <c r="F2090" s="919" t="s">
        <v>7705</v>
      </c>
      <c r="G2090" s="919" t="s">
        <v>7706</v>
      </c>
      <c r="H2090" s="919" t="s">
        <v>4502</v>
      </c>
      <c r="I2090" s="919" t="s">
        <v>3686</v>
      </c>
      <c r="J2090" s="919"/>
      <c r="K2090" s="920"/>
      <c r="L2090" s="920"/>
      <c r="M2090" s="920">
        <f t="shared" si="64"/>
        <v>0</v>
      </c>
      <c r="N2090" s="919">
        <v>1</v>
      </c>
      <c r="O2090" s="919">
        <v>5</v>
      </c>
      <c r="P2090" s="921">
        <f t="shared" si="65"/>
        <v>5750</v>
      </c>
    </row>
    <row r="2091" spans="1:16" ht="20.100000000000001" customHeight="1" x14ac:dyDescent="0.25">
      <c r="A2091" s="918" t="s">
        <v>472</v>
      </c>
      <c r="B2091" s="944" t="s">
        <v>3901</v>
      </c>
      <c r="C2091" s="919" t="s">
        <v>3902</v>
      </c>
      <c r="D2091" s="919" t="s">
        <v>4502</v>
      </c>
      <c r="E2091" s="920">
        <v>1150</v>
      </c>
      <c r="F2091" s="919" t="s">
        <v>7707</v>
      </c>
      <c r="G2091" s="919" t="s">
        <v>7708</v>
      </c>
      <c r="H2091" s="919" t="s">
        <v>4502</v>
      </c>
      <c r="I2091" s="919" t="s">
        <v>3686</v>
      </c>
      <c r="J2091" s="919"/>
      <c r="K2091" s="920"/>
      <c r="L2091" s="920"/>
      <c r="M2091" s="920">
        <f t="shared" si="64"/>
        <v>0</v>
      </c>
      <c r="N2091" s="919">
        <v>1</v>
      </c>
      <c r="O2091" s="919">
        <v>3</v>
      </c>
      <c r="P2091" s="921">
        <f t="shared" si="65"/>
        <v>3450</v>
      </c>
    </row>
    <row r="2092" spans="1:16" ht="20.100000000000001" customHeight="1" x14ac:dyDescent="0.25">
      <c r="A2092" s="918" t="s">
        <v>472</v>
      </c>
      <c r="B2092" s="944" t="s">
        <v>3901</v>
      </c>
      <c r="C2092" s="919" t="s">
        <v>3902</v>
      </c>
      <c r="D2092" s="919" t="s">
        <v>4502</v>
      </c>
      <c r="E2092" s="920">
        <v>1150</v>
      </c>
      <c r="F2092" s="919" t="s">
        <v>7709</v>
      </c>
      <c r="G2092" s="919" t="s">
        <v>7710</v>
      </c>
      <c r="H2092" s="919" t="s">
        <v>4502</v>
      </c>
      <c r="I2092" s="919" t="s">
        <v>3686</v>
      </c>
      <c r="J2092" s="919"/>
      <c r="K2092" s="920"/>
      <c r="L2092" s="920"/>
      <c r="M2092" s="920">
        <f t="shared" si="64"/>
        <v>0</v>
      </c>
      <c r="N2092" s="919">
        <v>1</v>
      </c>
      <c r="O2092" s="919">
        <v>3</v>
      </c>
      <c r="P2092" s="921">
        <f t="shared" si="65"/>
        <v>3450</v>
      </c>
    </row>
    <row r="2093" spans="1:16" ht="20.100000000000001" customHeight="1" x14ac:dyDescent="0.25">
      <c r="A2093" s="918" t="s">
        <v>472</v>
      </c>
      <c r="B2093" s="944" t="s">
        <v>3901</v>
      </c>
      <c r="C2093" s="919" t="s">
        <v>3902</v>
      </c>
      <c r="D2093" s="919" t="s">
        <v>4502</v>
      </c>
      <c r="E2093" s="920">
        <v>1150</v>
      </c>
      <c r="F2093" s="919" t="s">
        <v>7711</v>
      </c>
      <c r="G2093" s="919" t="s">
        <v>7712</v>
      </c>
      <c r="H2093" s="919" t="s">
        <v>4502</v>
      </c>
      <c r="I2093" s="919" t="s">
        <v>3686</v>
      </c>
      <c r="J2093" s="919"/>
      <c r="K2093" s="920"/>
      <c r="L2093" s="920"/>
      <c r="M2093" s="920">
        <f t="shared" si="64"/>
        <v>0</v>
      </c>
      <c r="N2093" s="919">
        <v>1</v>
      </c>
      <c r="O2093" s="919">
        <v>5</v>
      </c>
      <c r="P2093" s="921">
        <f t="shared" si="65"/>
        <v>5750</v>
      </c>
    </row>
    <row r="2094" spans="1:16" ht="20.100000000000001" customHeight="1" x14ac:dyDescent="0.25">
      <c r="A2094" s="918" t="s">
        <v>472</v>
      </c>
      <c r="B2094" s="944" t="s">
        <v>3901</v>
      </c>
      <c r="C2094" s="919" t="s">
        <v>3902</v>
      </c>
      <c r="D2094" s="919" t="s">
        <v>4502</v>
      </c>
      <c r="E2094" s="920">
        <v>1150</v>
      </c>
      <c r="F2094" s="919" t="s">
        <v>7713</v>
      </c>
      <c r="G2094" s="919" t="s">
        <v>7714</v>
      </c>
      <c r="H2094" s="919" t="s">
        <v>4502</v>
      </c>
      <c r="I2094" s="919" t="s">
        <v>3686</v>
      </c>
      <c r="J2094" s="919"/>
      <c r="K2094" s="920"/>
      <c r="L2094" s="920"/>
      <c r="M2094" s="920">
        <f t="shared" si="64"/>
        <v>0</v>
      </c>
      <c r="N2094" s="919">
        <v>1</v>
      </c>
      <c r="O2094" s="919">
        <v>5</v>
      </c>
      <c r="P2094" s="921">
        <f t="shared" si="65"/>
        <v>5750</v>
      </c>
    </row>
    <row r="2095" spans="1:16" ht="20.100000000000001" customHeight="1" x14ac:dyDescent="0.25">
      <c r="A2095" s="918" t="s">
        <v>472</v>
      </c>
      <c r="B2095" s="944" t="s">
        <v>3901</v>
      </c>
      <c r="C2095" s="919" t="s">
        <v>3902</v>
      </c>
      <c r="D2095" s="919" t="s">
        <v>4502</v>
      </c>
      <c r="E2095" s="920">
        <v>1150</v>
      </c>
      <c r="F2095" s="919" t="s">
        <v>7715</v>
      </c>
      <c r="G2095" s="919" t="s">
        <v>7716</v>
      </c>
      <c r="H2095" s="919" t="s">
        <v>4502</v>
      </c>
      <c r="I2095" s="919" t="s">
        <v>3686</v>
      </c>
      <c r="J2095" s="919"/>
      <c r="K2095" s="920"/>
      <c r="L2095" s="920"/>
      <c r="M2095" s="920">
        <f t="shared" si="64"/>
        <v>0</v>
      </c>
      <c r="N2095" s="919">
        <v>1</v>
      </c>
      <c r="O2095" s="919">
        <v>4</v>
      </c>
      <c r="P2095" s="921">
        <f t="shared" si="65"/>
        <v>4600</v>
      </c>
    </row>
    <row r="2096" spans="1:16" ht="20.100000000000001" customHeight="1" x14ac:dyDescent="0.25">
      <c r="A2096" s="918" t="s">
        <v>472</v>
      </c>
      <c r="B2096" s="944" t="s">
        <v>3901</v>
      </c>
      <c r="C2096" s="919" t="s">
        <v>3902</v>
      </c>
      <c r="D2096" s="919" t="s">
        <v>4502</v>
      </c>
      <c r="E2096" s="920">
        <v>1150</v>
      </c>
      <c r="F2096" s="919" t="s">
        <v>7717</v>
      </c>
      <c r="G2096" s="919" t="s">
        <v>7718</v>
      </c>
      <c r="H2096" s="919" t="s">
        <v>4502</v>
      </c>
      <c r="I2096" s="919" t="s">
        <v>3686</v>
      </c>
      <c r="J2096" s="919"/>
      <c r="K2096" s="920"/>
      <c r="L2096" s="920"/>
      <c r="M2096" s="920">
        <f t="shared" si="64"/>
        <v>0</v>
      </c>
      <c r="N2096" s="919">
        <v>1</v>
      </c>
      <c r="O2096" s="919">
        <v>5</v>
      </c>
      <c r="P2096" s="921">
        <f t="shared" si="65"/>
        <v>5750</v>
      </c>
    </row>
    <row r="2097" spans="1:16" ht="20.100000000000001" customHeight="1" x14ac:dyDescent="0.25">
      <c r="A2097" s="918" t="s">
        <v>472</v>
      </c>
      <c r="B2097" s="944" t="s">
        <v>3901</v>
      </c>
      <c r="C2097" s="919" t="s">
        <v>3902</v>
      </c>
      <c r="D2097" s="919" t="s">
        <v>4502</v>
      </c>
      <c r="E2097" s="920">
        <v>1150</v>
      </c>
      <c r="F2097" s="919" t="s">
        <v>7719</v>
      </c>
      <c r="G2097" s="919" t="s">
        <v>7720</v>
      </c>
      <c r="H2097" s="919" t="s">
        <v>4502</v>
      </c>
      <c r="I2097" s="919" t="s">
        <v>3686</v>
      </c>
      <c r="J2097" s="919"/>
      <c r="K2097" s="920"/>
      <c r="L2097" s="920"/>
      <c r="M2097" s="920">
        <f t="shared" si="64"/>
        <v>0</v>
      </c>
      <c r="N2097" s="919">
        <v>1</v>
      </c>
      <c r="O2097" s="919">
        <v>1</v>
      </c>
      <c r="P2097" s="921">
        <f t="shared" si="65"/>
        <v>1150</v>
      </c>
    </row>
    <row r="2098" spans="1:16" ht="20.100000000000001" customHeight="1" x14ac:dyDescent="0.25">
      <c r="A2098" s="918" t="s">
        <v>472</v>
      </c>
      <c r="B2098" s="944" t="s">
        <v>3901</v>
      </c>
      <c r="C2098" s="919" t="s">
        <v>3902</v>
      </c>
      <c r="D2098" s="919" t="s">
        <v>4502</v>
      </c>
      <c r="E2098" s="920">
        <v>1150</v>
      </c>
      <c r="F2098" s="919" t="s">
        <v>7721</v>
      </c>
      <c r="G2098" s="919" t="s">
        <v>7722</v>
      </c>
      <c r="H2098" s="919" t="s">
        <v>4502</v>
      </c>
      <c r="I2098" s="919" t="s">
        <v>3686</v>
      </c>
      <c r="J2098" s="919"/>
      <c r="K2098" s="920"/>
      <c r="L2098" s="920"/>
      <c r="M2098" s="920">
        <f t="shared" si="64"/>
        <v>0</v>
      </c>
      <c r="N2098" s="919">
        <v>1</v>
      </c>
      <c r="O2098" s="919">
        <v>5</v>
      </c>
      <c r="P2098" s="921">
        <f t="shared" si="65"/>
        <v>5750</v>
      </c>
    </row>
    <row r="2099" spans="1:16" ht="20.100000000000001" customHeight="1" x14ac:dyDescent="0.25">
      <c r="A2099" s="918" t="s">
        <v>472</v>
      </c>
      <c r="B2099" s="944" t="s">
        <v>3901</v>
      </c>
      <c r="C2099" s="919" t="s">
        <v>3902</v>
      </c>
      <c r="D2099" s="919" t="s">
        <v>4502</v>
      </c>
      <c r="E2099" s="920">
        <v>1150</v>
      </c>
      <c r="F2099" s="919" t="s">
        <v>4041</v>
      </c>
      <c r="G2099" s="919" t="s">
        <v>4042</v>
      </c>
      <c r="H2099" s="919" t="s">
        <v>4502</v>
      </c>
      <c r="I2099" s="919" t="s">
        <v>3686</v>
      </c>
      <c r="J2099" s="919"/>
      <c r="K2099" s="920">
        <v>1</v>
      </c>
      <c r="L2099" s="920">
        <v>12</v>
      </c>
      <c r="M2099" s="920">
        <f t="shared" si="64"/>
        <v>13800</v>
      </c>
      <c r="N2099" s="919"/>
      <c r="O2099" s="919"/>
      <c r="P2099" s="921">
        <f t="shared" si="65"/>
        <v>0</v>
      </c>
    </row>
    <row r="2100" spans="1:16" ht="20.100000000000001" customHeight="1" x14ac:dyDescent="0.25">
      <c r="A2100" s="918" t="s">
        <v>472</v>
      </c>
      <c r="B2100" s="944" t="s">
        <v>3901</v>
      </c>
      <c r="C2100" s="919" t="s">
        <v>3902</v>
      </c>
      <c r="D2100" s="919" t="s">
        <v>4502</v>
      </c>
      <c r="E2100" s="920">
        <v>1150</v>
      </c>
      <c r="F2100" s="919" t="s">
        <v>7723</v>
      </c>
      <c r="G2100" s="919" t="s">
        <v>7724</v>
      </c>
      <c r="H2100" s="919" t="s">
        <v>4502</v>
      </c>
      <c r="I2100" s="919" t="s">
        <v>3686</v>
      </c>
      <c r="J2100" s="919"/>
      <c r="K2100" s="920"/>
      <c r="L2100" s="920"/>
      <c r="M2100" s="920">
        <f t="shared" si="64"/>
        <v>0</v>
      </c>
      <c r="N2100" s="919">
        <v>1</v>
      </c>
      <c r="O2100" s="919">
        <v>4</v>
      </c>
      <c r="P2100" s="921">
        <f t="shared" si="65"/>
        <v>4600</v>
      </c>
    </row>
    <row r="2101" spans="1:16" ht="20.100000000000001" customHeight="1" x14ac:dyDescent="0.25">
      <c r="A2101" s="918" t="s">
        <v>472</v>
      </c>
      <c r="B2101" s="944" t="s">
        <v>3901</v>
      </c>
      <c r="C2101" s="919" t="s">
        <v>3902</v>
      </c>
      <c r="D2101" s="919" t="s">
        <v>4502</v>
      </c>
      <c r="E2101" s="920">
        <v>1150</v>
      </c>
      <c r="F2101" s="919" t="s">
        <v>7725</v>
      </c>
      <c r="G2101" s="919" t="s">
        <v>7726</v>
      </c>
      <c r="H2101" s="919" t="s">
        <v>4502</v>
      </c>
      <c r="I2101" s="919" t="s">
        <v>3686</v>
      </c>
      <c r="J2101" s="919"/>
      <c r="K2101" s="920"/>
      <c r="L2101" s="920"/>
      <c r="M2101" s="920">
        <f t="shared" si="64"/>
        <v>0</v>
      </c>
      <c r="N2101" s="919">
        <v>1</v>
      </c>
      <c r="O2101" s="919">
        <v>3</v>
      </c>
      <c r="P2101" s="921">
        <f t="shared" si="65"/>
        <v>3450</v>
      </c>
    </row>
    <row r="2102" spans="1:16" ht="20.100000000000001" customHeight="1" x14ac:dyDescent="0.25">
      <c r="A2102" s="918" t="s">
        <v>472</v>
      </c>
      <c r="B2102" s="944" t="s">
        <v>3901</v>
      </c>
      <c r="C2102" s="919" t="s">
        <v>3902</v>
      </c>
      <c r="D2102" s="919" t="s">
        <v>4502</v>
      </c>
      <c r="E2102" s="920">
        <v>1150</v>
      </c>
      <c r="F2102" s="919" t="s">
        <v>7727</v>
      </c>
      <c r="G2102" s="919" t="s">
        <v>7728</v>
      </c>
      <c r="H2102" s="919" t="s">
        <v>4502</v>
      </c>
      <c r="I2102" s="919" t="s">
        <v>3686</v>
      </c>
      <c r="J2102" s="919"/>
      <c r="K2102" s="920"/>
      <c r="L2102" s="920"/>
      <c r="M2102" s="920">
        <f t="shared" si="64"/>
        <v>0</v>
      </c>
      <c r="N2102" s="919">
        <v>1</v>
      </c>
      <c r="O2102" s="919">
        <v>5</v>
      </c>
      <c r="P2102" s="921">
        <f t="shared" si="65"/>
        <v>5750</v>
      </c>
    </row>
    <row r="2103" spans="1:16" ht="20.100000000000001" customHeight="1" x14ac:dyDescent="0.25">
      <c r="A2103" s="918" t="s">
        <v>472</v>
      </c>
      <c r="B2103" s="944" t="s">
        <v>3901</v>
      </c>
      <c r="C2103" s="919" t="s">
        <v>3902</v>
      </c>
      <c r="D2103" s="919" t="s">
        <v>4502</v>
      </c>
      <c r="E2103" s="920">
        <v>1150</v>
      </c>
      <c r="F2103" s="919" t="s">
        <v>7729</v>
      </c>
      <c r="G2103" s="919" t="s">
        <v>7730</v>
      </c>
      <c r="H2103" s="919" t="s">
        <v>4502</v>
      </c>
      <c r="I2103" s="919" t="s">
        <v>3686</v>
      </c>
      <c r="J2103" s="919"/>
      <c r="K2103" s="920"/>
      <c r="L2103" s="920"/>
      <c r="M2103" s="920">
        <f t="shared" si="64"/>
        <v>0</v>
      </c>
      <c r="N2103" s="919">
        <v>1</v>
      </c>
      <c r="O2103" s="919">
        <v>5</v>
      </c>
      <c r="P2103" s="921">
        <f t="shared" si="65"/>
        <v>5750</v>
      </c>
    </row>
    <row r="2104" spans="1:16" ht="20.100000000000001" customHeight="1" x14ac:dyDescent="0.25">
      <c r="A2104" s="918" t="s">
        <v>472</v>
      </c>
      <c r="B2104" s="944" t="s">
        <v>3901</v>
      </c>
      <c r="C2104" s="919" t="s">
        <v>3902</v>
      </c>
      <c r="D2104" s="919" t="s">
        <v>4502</v>
      </c>
      <c r="E2104" s="920">
        <v>1150</v>
      </c>
      <c r="F2104" s="919" t="s">
        <v>7731</v>
      </c>
      <c r="G2104" s="919" t="s">
        <v>7732</v>
      </c>
      <c r="H2104" s="919" t="s">
        <v>4502</v>
      </c>
      <c r="I2104" s="919" t="s">
        <v>3686</v>
      </c>
      <c r="J2104" s="919"/>
      <c r="K2104" s="920"/>
      <c r="L2104" s="920"/>
      <c r="M2104" s="920">
        <f t="shared" si="64"/>
        <v>0</v>
      </c>
      <c r="N2104" s="919">
        <v>1</v>
      </c>
      <c r="O2104" s="919">
        <v>5</v>
      </c>
      <c r="P2104" s="921">
        <f t="shared" si="65"/>
        <v>5750</v>
      </c>
    </row>
    <row r="2105" spans="1:16" ht="20.100000000000001" customHeight="1" x14ac:dyDescent="0.25">
      <c r="A2105" s="918" t="s">
        <v>472</v>
      </c>
      <c r="B2105" s="944" t="s">
        <v>3901</v>
      </c>
      <c r="C2105" s="919" t="s">
        <v>3902</v>
      </c>
      <c r="D2105" s="919" t="s">
        <v>4502</v>
      </c>
      <c r="E2105" s="920">
        <v>1150</v>
      </c>
      <c r="F2105" s="919" t="s">
        <v>7733</v>
      </c>
      <c r="G2105" s="919" t="s">
        <v>7734</v>
      </c>
      <c r="H2105" s="919" t="s">
        <v>4502</v>
      </c>
      <c r="I2105" s="919" t="s">
        <v>3686</v>
      </c>
      <c r="J2105" s="919"/>
      <c r="K2105" s="920"/>
      <c r="L2105" s="920"/>
      <c r="M2105" s="920">
        <f t="shared" si="64"/>
        <v>0</v>
      </c>
      <c r="N2105" s="919">
        <v>1</v>
      </c>
      <c r="O2105" s="919">
        <v>4</v>
      </c>
      <c r="P2105" s="921">
        <f t="shared" si="65"/>
        <v>4600</v>
      </c>
    </row>
    <row r="2106" spans="1:16" ht="20.100000000000001" customHeight="1" x14ac:dyDescent="0.25">
      <c r="A2106" s="918" t="s">
        <v>472</v>
      </c>
      <c r="B2106" s="944" t="s">
        <v>3901</v>
      </c>
      <c r="C2106" s="919" t="s">
        <v>3902</v>
      </c>
      <c r="D2106" s="919" t="s">
        <v>4502</v>
      </c>
      <c r="E2106" s="920">
        <v>1150</v>
      </c>
      <c r="F2106" s="919" t="s">
        <v>7735</v>
      </c>
      <c r="G2106" s="919" t="s">
        <v>7736</v>
      </c>
      <c r="H2106" s="919" t="s">
        <v>4502</v>
      </c>
      <c r="I2106" s="919" t="s">
        <v>3686</v>
      </c>
      <c r="J2106" s="919"/>
      <c r="K2106" s="920"/>
      <c r="L2106" s="920"/>
      <c r="M2106" s="920">
        <f t="shared" si="64"/>
        <v>0</v>
      </c>
      <c r="N2106" s="919">
        <v>1</v>
      </c>
      <c r="O2106" s="919">
        <v>4</v>
      </c>
      <c r="P2106" s="921">
        <f t="shared" si="65"/>
        <v>4600</v>
      </c>
    </row>
    <row r="2107" spans="1:16" ht="20.100000000000001" customHeight="1" x14ac:dyDescent="0.25">
      <c r="A2107" s="918" t="s">
        <v>472</v>
      </c>
      <c r="B2107" s="944" t="s">
        <v>3901</v>
      </c>
      <c r="C2107" s="919" t="s">
        <v>3902</v>
      </c>
      <c r="D2107" s="919" t="s">
        <v>4502</v>
      </c>
      <c r="E2107" s="920">
        <v>1150</v>
      </c>
      <c r="F2107" s="919" t="s">
        <v>7737</v>
      </c>
      <c r="G2107" s="919" t="s">
        <v>7738</v>
      </c>
      <c r="H2107" s="919" t="s">
        <v>4502</v>
      </c>
      <c r="I2107" s="919" t="s">
        <v>3686</v>
      </c>
      <c r="J2107" s="919"/>
      <c r="K2107" s="920"/>
      <c r="L2107" s="920"/>
      <c r="M2107" s="920">
        <f t="shared" si="64"/>
        <v>0</v>
      </c>
      <c r="N2107" s="919">
        <v>1</v>
      </c>
      <c r="O2107" s="919">
        <v>4</v>
      </c>
      <c r="P2107" s="921">
        <f t="shared" si="65"/>
        <v>4600</v>
      </c>
    </row>
    <row r="2108" spans="1:16" ht="20.100000000000001" customHeight="1" x14ac:dyDescent="0.25">
      <c r="A2108" s="918" t="s">
        <v>472</v>
      </c>
      <c r="B2108" s="944" t="s">
        <v>3901</v>
      </c>
      <c r="C2108" s="919" t="s">
        <v>3902</v>
      </c>
      <c r="D2108" s="919" t="s">
        <v>4502</v>
      </c>
      <c r="E2108" s="920">
        <v>1150</v>
      </c>
      <c r="F2108" s="919" t="s">
        <v>7739</v>
      </c>
      <c r="G2108" s="919" t="s">
        <v>7740</v>
      </c>
      <c r="H2108" s="919" t="s">
        <v>4502</v>
      </c>
      <c r="I2108" s="919" t="s">
        <v>3686</v>
      </c>
      <c r="J2108" s="919"/>
      <c r="K2108" s="920"/>
      <c r="L2108" s="920"/>
      <c r="M2108" s="920">
        <f t="shared" si="64"/>
        <v>0</v>
      </c>
      <c r="N2108" s="919">
        <v>1</v>
      </c>
      <c r="O2108" s="919">
        <v>4</v>
      </c>
      <c r="P2108" s="921">
        <f t="shared" si="65"/>
        <v>4600</v>
      </c>
    </row>
    <row r="2109" spans="1:16" ht="20.100000000000001" customHeight="1" x14ac:dyDescent="0.25">
      <c r="A2109" s="918" t="s">
        <v>472</v>
      </c>
      <c r="B2109" s="944" t="s">
        <v>3901</v>
      </c>
      <c r="C2109" s="919" t="s">
        <v>3902</v>
      </c>
      <c r="D2109" s="919" t="s">
        <v>4502</v>
      </c>
      <c r="E2109" s="920">
        <v>1150</v>
      </c>
      <c r="F2109" s="919" t="s">
        <v>7741</v>
      </c>
      <c r="G2109" s="919" t="s">
        <v>7742</v>
      </c>
      <c r="H2109" s="919" t="s">
        <v>4502</v>
      </c>
      <c r="I2109" s="919" t="s">
        <v>3686</v>
      </c>
      <c r="J2109" s="919"/>
      <c r="K2109" s="920"/>
      <c r="L2109" s="920"/>
      <c r="M2109" s="920">
        <f t="shared" si="64"/>
        <v>0</v>
      </c>
      <c r="N2109" s="919">
        <v>1</v>
      </c>
      <c r="O2109" s="919">
        <v>4</v>
      </c>
      <c r="P2109" s="921">
        <f t="shared" si="65"/>
        <v>4600</v>
      </c>
    </row>
    <row r="2110" spans="1:16" ht="20.100000000000001" customHeight="1" x14ac:dyDescent="0.25">
      <c r="A2110" s="918" t="s">
        <v>472</v>
      </c>
      <c r="B2110" s="944" t="s">
        <v>3901</v>
      </c>
      <c r="C2110" s="919" t="s">
        <v>3902</v>
      </c>
      <c r="D2110" s="919" t="s">
        <v>4502</v>
      </c>
      <c r="E2110" s="920">
        <v>1150</v>
      </c>
      <c r="F2110" s="919" t="s">
        <v>7743</v>
      </c>
      <c r="G2110" s="919" t="s">
        <v>7744</v>
      </c>
      <c r="H2110" s="919" t="s">
        <v>4502</v>
      </c>
      <c r="I2110" s="919" t="s">
        <v>3686</v>
      </c>
      <c r="J2110" s="919"/>
      <c r="K2110" s="920"/>
      <c r="L2110" s="920"/>
      <c r="M2110" s="920">
        <f t="shared" si="64"/>
        <v>0</v>
      </c>
      <c r="N2110" s="919">
        <v>1</v>
      </c>
      <c r="O2110" s="919">
        <v>4</v>
      </c>
      <c r="P2110" s="921">
        <f t="shared" si="65"/>
        <v>4600</v>
      </c>
    </row>
    <row r="2111" spans="1:16" ht="20.100000000000001" customHeight="1" x14ac:dyDescent="0.25">
      <c r="A2111" s="918" t="s">
        <v>472</v>
      </c>
      <c r="B2111" s="944" t="s">
        <v>3901</v>
      </c>
      <c r="C2111" s="919" t="s">
        <v>3902</v>
      </c>
      <c r="D2111" s="919" t="s">
        <v>4502</v>
      </c>
      <c r="E2111" s="920">
        <v>1150</v>
      </c>
      <c r="F2111" s="919" t="s">
        <v>7745</v>
      </c>
      <c r="G2111" s="919" t="s">
        <v>7746</v>
      </c>
      <c r="H2111" s="919" t="s">
        <v>4502</v>
      </c>
      <c r="I2111" s="919" t="s">
        <v>3686</v>
      </c>
      <c r="J2111" s="919"/>
      <c r="K2111" s="920"/>
      <c r="L2111" s="920"/>
      <c r="M2111" s="920">
        <f t="shared" si="64"/>
        <v>0</v>
      </c>
      <c r="N2111" s="919">
        <v>1</v>
      </c>
      <c r="O2111" s="919">
        <v>4</v>
      </c>
      <c r="P2111" s="921">
        <f t="shared" si="65"/>
        <v>4600</v>
      </c>
    </row>
    <row r="2112" spans="1:16" ht="20.100000000000001" customHeight="1" x14ac:dyDescent="0.25">
      <c r="A2112" s="918" t="s">
        <v>472</v>
      </c>
      <c r="B2112" s="944" t="s">
        <v>3901</v>
      </c>
      <c r="C2112" s="919" t="s">
        <v>3902</v>
      </c>
      <c r="D2112" s="919" t="s">
        <v>4502</v>
      </c>
      <c r="E2112" s="920">
        <v>1150</v>
      </c>
      <c r="F2112" s="919" t="s">
        <v>7747</v>
      </c>
      <c r="G2112" s="919" t="s">
        <v>7748</v>
      </c>
      <c r="H2112" s="919" t="s">
        <v>4502</v>
      </c>
      <c r="I2112" s="919" t="s">
        <v>3686</v>
      </c>
      <c r="J2112" s="919"/>
      <c r="K2112" s="920"/>
      <c r="L2112" s="920"/>
      <c r="M2112" s="920">
        <f t="shared" si="64"/>
        <v>0</v>
      </c>
      <c r="N2112" s="919">
        <v>1</v>
      </c>
      <c r="O2112" s="919">
        <v>4</v>
      </c>
      <c r="P2112" s="921">
        <f t="shared" si="65"/>
        <v>4600</v>
      </c>
    </row>
    <row r="2113" spans="1:16" ht="20.100000000000001" customHeight="1" x14ac:dyDescent="0.25">
      <c r="A2113" s="918" t="s">
        <v>472</v>
      </c>
      <c r="B2113" s="944" t="s">
        <v>3901</v>
      </c>
      <c r="C2113" s="919" t="s">
        <v>3902</v>
      </c>
      <c r="D2113" s="919" t="s">
        <v>4502</v>
      </c>
      <c r="E2113" s="920">
        <v>1150</v>
      </c>
      <c r="F2113" s="919" t="s">
        <v>7749</v>
      </c>
      <c r="G2113" s="919" t="s">
        <v>7750</v>
      </c>
      <c r="H2113" s="919" t="s">
        <v>4502</v>
      </c>
      <c r="I2113" s="919" t="s">
        <v>3686</v>
      </c>
      <c r="J2113" s="919"/>
      <c r="K2113" s="920"/>
      <c r="L2113" s="920"/>
      <c r="M2113" s="920">
        <f t="shared" si="64"/>
        <v>0</v>
      </c>
      <c r="N2113" s="919">
        <v>1</v>
      </c>
      <c r="O2113" s="919">
        <v>4</v>
      </c>
      <c r="P2113" s="921">
        <f t="shared" si="65"/>
        <v>4600</v>
      </c>
    </row>
    <row r="2114" spans="1:16" ht="20.100000000000001" customHeight="1" x14ac:dyDescent="0.25">
      <c r="A2114" s="918" t="s">
        <v>472</v>
      </c>
      <c r="B2114" s="944" t="s">
        <v>3901</v>
      </c>
      <c r="C2114" s="919" t="s">
        <v>3902</v>
      </c>
      <c r="D2114" s="919" t="s">
        <v>4502</v>
      </c>
      <c r="E2114" s="920">
        <v>1150</v>
      </c>
      <c r="F2114" s="919" t="s">
        <v>7751</v>
      </c>
      <c r="G2114" s="919" t="s">
        <v>7752</v>
      </c>
      <c r="H2114" s="919" t="s">
        <v>4502</v>
      </c>
      <c r="I2114" s="919" t="s">
        <v>3686</v>
      </c>
      <c r="J2114" s="919"/>
      <c r="K2114" s="920"/>
      <c r="L2114" s="920"/>
      <c r="M2114" s="920">
        <f t="shared" si="64"/>
        <v>0</v>
      </c>
      <c r="N2114" s="919">
        <v>1</v>
      </c>
      <c r="O2114" s="919">
        <v>5</v>
      </c>
      <c r="P2114" s="921">
        <f t="shared" si="65"/>
        <v>5750</v>
      </c>
    </row>
    <row r="2115" spans="1:16" ht="20.100000000000001" customHeight="1" x14ac:dyDescent="0.25">
      <c r="A2115" s="918" t="s">
        <v>472</v>
      </c>
      <c r="B2115" s="944" t="s">
        <v>3901</v>
      </c>
      <c r="C2115" s="919" t="s">
        <v>3902</v>
      </c>
      <c r="D2115" s="919" t="s">
        <v>4502</v>
      </c>
      <c r="E2115" s="920">
        <v>1150</v>
      </c>
      <c r="F2115" s="919" t="s">
        <v>7753</v>
      </c>
      <c r="G2115" s="919" t="s">
        <v>7754</v>
      </c>
      <c r="H2115" s="919" t="s">
        <v>4502</v>
      </c>
      <c r="I2115" s="919" t="s">
        <v>3686</v>
      </c>
      <c r="J2115" s="919"/>
      <c r="K2115" s="920"/>
      <c r="L2115" s="920"/>
      <c r="M2115" s="920">
        <f t="shared" si="64"/>
        <v>0</v>
      </c>
      <c r="N2115" s="919">
        <v>1</v>
      </c>
      <c r="O2115" s="919">
        <v>5</v>
      </c>
      <c r="P2115" s="921">
        <f t="shared" si="65"/>
        <v>5750</v>
      </c>
    </row>
    <row r="2116" spans="1:16" ht="20.100000000000001" customHeight="1" x14ac:dyDescent="0.25">
      <c r="A2116" s="918" t="s">
        <v>472</v>
      </c>
      <c r="B2116" s="944" t="s">
        <v>3901</v>
      </c>
      <c r="C2116" s="919" t="s">
        <v>3902</v>
      </c>
      <c r="D2116" s="919" t="s">
        <v>4502</v>
      </c>
      <c r="E2116" s="920">
        <v>1150</v>
      </c>
      <c r="F2116" s="919" t="s">
        <v>7755</v>
      </c>
      <c r="G2116" s="919" t="s">
        <v>7756</v>
      </c>
      <c r="H2116" s="919" t="s">
        <v>4502</v>
      </c>
      <c r="I2116" s="919" t="s">
        <v>3686</v>
      </c>
      <c r="J2116" s="919"/>
      <c r="K2116" s="920"/>
      <c r="L2116" s="920"/>
      <c r="M2116" s="920">
        <f t="shared" si="64"/>
        <v>0</v>
      </c>
      <c r="N2116" s="919">
        <v>1</v>
      </c>
      <c r="O2116" s="919">
        <v>5</v>
      </c>
      <c r="P2116" s="921">
        <f t="shared" si="65"/>
        <v>5750</v>
      </c>
    </row>
    <row r="2117" spans="1:16" ht="20.100000000000001" customHeight="1" x14ac:dyDescent="0.25">
      <c r="A2117" s="918" t="s">
        <v>472</v>
      </c>
      <c r="B2117" s="944" t="s">
        <v>3901</v>
      </c>
      <c r="C2117" s="919" t="s">
        <v>3902</v>
      </c>
      <c r="D2117" s="919" t="s">
        <v>4502</v>
      </c>
      <c r="E2117" s="920">
        <v>1150</v>
      </c>
      <c r="F2117" s="919" t="s">
        <v>7757</v>
      </c>
      <c r="G2117" s="919" t="s">
        <v>7758</v>
      </c>
      <c r="H2117" s="919" t="s">
        <v>4502</v>
      </c>
      <c r="I2117" s="919" t="s">
        <v>3686</v>
      </c>
      <c r="J2117" s="919"/>
      <c r="K2117" s="920"/>
      <c r="L2117" s="920"/>
      <c r="M2117" s="920">
        <f t="shared" si="64"/>
        <v>0</v>
      </c>
      <c r="N2117" s="919">
        <v>1</v>
      </c>
      <c r="O2117" s="919">
        <v>5</v>
      </c>
      <c r="P2117" s="921">
        <f t="shared" si="65"/>
        <v>5750</v>
      </c>
    </row>
    <row r="2118" spans="1:16" ht="20.100000000000001" customHeight="1" x14ac:dyDescent="0.25">
      <c r="A2118" s="918" t="s">
        <v>472</v>
      </c>
      <c r="B2118" s="944" t="s">
        <v>3901</v>
      </c>
      <c r="C2118" s="919" t="s">
        <v>3902</v>
      </c>
      <c r="D2118" s="919" t="s">
        <v>4502</v>
      </c>
      <c r="E2118" s="920">
        <v>1150</v>
      </c>
      <c r="F2118" s="919" t="s">
        <v>7759</v>
      </c>
      <c r="G2118" s="919" t="s">
        <v>7760</v>
      </c>
      <c r="H2118" s="919" t="s">
        <v>4502</v>
      </c>
      <c r="I2118" s="919" t="s">
        <v>3686</v>
      </c>
      <c r="J2118" s="919"/>
      <c r="K2118" s="920"/>
      <c r="L2118" s="920"/>
      <c r="M2118" s="920">
        <f t="shared" ref="M2118:M2181" si="66">E2118*L2118</f>
        <v>0</v>
      </c>
      <c r="N2118" s="919">
        <v>1</v>
      </c>
      <c r="O2118" s="919">
        <v>4</v>
      </c>
      <c r="P2118" s="921">
        <f t="shared" ref="P2118:P2181" si="67">E2118*O2118</f>
        <v>4600</v>
      </c>
    </row>
    <row r="2119" spans="1:16" ht="20.100000000000001" customHeight="1" x14ac:dyDescent="0.25">
      <c r="A2119" s="918" t="s">
        <v>472</v>
      </c>
      <c r="B2119" s="944" t="s">
        <v>3901</v>
      </c>
      <c r="C2119" s="919" t="s">
        <v>3902</v>
      </c>
      <c r="D2119" s="919" t="s">
        <v>4502</v>
      </c>
      <c r="E2119" s="920">
        <v>1150</v>
      </c>
      <c r="F2119" s="919" t="s">
        <v>4041</v>
      </c>
      <c r="G2119" s="919" t="s">
        <v>4042</v>
      </c>
      <c r="H2119" s="919" t="s">
        <v>4502</v>
      </c>
      <c r="I2119" s="919" t="s">
        <v>3686</v>
      </c>
      <c r="J2119" s="919"/>
      <c r="K2119" s="920">
        <v>1</v>
      </c>
      <c r="L2119" s="920">
        <v>12</v>
      </c>
      <c r="M2119" s="920">
        <f t="shared" si="66"/>
        <v>13800</v>
      </c>
      <c r="N2119" s="919"/>
      <c r="O2119" s="919"/>
      <c r="P2119" s="921">
        <f t="shared" si="67"/>
        <v>0</v>
      </c>
    </row>
    <row r="2120" spans="1:16" ht="20.100000000000001" customHeight="1" x14ac:dyDescent="0.25">
      <c r="A2120" s="918" t="s">
        <v>472</v>
      </c>
      <c r="B2120" s="944" t="s">
        <v>3901</v>
      </c>
      <c r="C2120" s="919" t="s">
        <v>3902</v>
      </c>
      <c r="D2120" s="919" t="s">
        <v>4502</v>
      </c>
      <c r="E2120" s="920">
        <v>1150</v>
      </c>
      <c r="F2120" s="919" t="s">
        <v>7761</v>
      </c>
      <c r="G2120" s="919" t="s">
        <v>7762</v>
      </c>
      <c r="H2120" s="919" t="s">
        <v>4502</v>
      </c>
      <c r="I2120" s="919" t="s">
        <v>3686</v>
      </c>
      <c r="J2120" s="919"/>
      <c r="K2120" s="920"/>
      <c r="L2120" s="920"/>
      <c r="M2120" s="920">
        <f t="shared" si="66"/>
        <v>0</v>
      </c>
      <c r="N2120" s="919">
        <v>1</v>
      </c>
      <c r="O2120" s="919">
        <v>4</v>
      </c>
      <c r="P2120" s="921">
        <f t="shared" si="67"/>
        <v>4600</v>
      </c>
    </row>
    <row r="2121" spans="1:16" ht="20.100000000000001" customHeight="1" x14ac:dyDescent="0.25">
      <c r="A2121" s="918" t="s">
        <v>472</v>
      </c>
      <c r="B2121" s="944" t="s">
        <v>3901</v>
      </c>
      <c r="C2121" s="919" t="s">
        <v>3902</v>
      </c>
      <c r="D2121" s="919" t="s">
        <v>4502</v>
      </c>
      <c r="E2121" s="920">
        <v>1150</v>
      </c>
      <c r="F2121" s="919" t="s">
        <v>7763</v>
      </c>
      <c r="G2121" s="919" t="s">
        <v>7764</v>
      </c>
      <c r="H2121" s="919" t="s">
        <v>4502</v>
      </c>
      <c r="I2121" s="919" t="s">
        <v>3686</v>
      </c>
      <c r="J2121" s="919"/>
      <c r="K2121" s="920"/>
      <c r="L2121" s="920"/>
      <c r="M2121" s="920">
        <f t="shared" si="66"/>
        <v>0</v>
      </c>
      <c r="N2121" s="919">
        <v>1</v>
      </c>
      <c r="O2121" s="919">
        <v>4</v>
      </c>
      <c r="P2121" s="921">
        <f t="shared" si="67"/>
        <v>4600</v>
      </c>
    </row>
    <row r="2122" spans="1:16" ht="20.100000000000001" customHeight="1" x14ac:dyDescent="0.25">
      <c r="A2122" s="918" t="s">
        <v>472</v>
      </c>
      <c r="B2122" s="944" t="s">
        <v>3901</v>
      </c>
      <c r="C2122" s="919" t="s">
        <v>3902</v>
      </c>
      <c r="D2122" s="919" t="s">
        <v>4502</v>
      </c>
      <c r="E2122" s="920">
        <v>1150</v>
      </c>
      <c r="F2122" s="919" t="s">
        <v>7765</v>
      </c>
      <c r="G2122" s="919" t="s">
        <v>7766</v>
      </c>
      <c r="H2122" s="919" t="s">
        <v>4502</v>
      </c>
      <c r="I2122" s="919" t="s">
        <v>3686</v>
      </c>
      <c r="J2122" s="919"/>
      <c r="K2122" s="920"/>
      <c r="L2122" s="920"/>
      <c r="M2122" s="920">
        <f t="shared" si="66"/>
        <v>0</v>
      </c>
      <c r="N2122" s="919">
        <v>1</v>
      </c>
      <c r="O2122" s="919">
        <v>3</v>
      </c>
      <c r="P2122" s="921">
        <f t="shared" si="67"/>
        <v>3450</v>
      </c>
    </row>
    <row r="2123" spans="1:16" ht="20.100000000000001" customHeight="1" x14ac:dyDescent="0.25">
      <c r="A2123" s="918" t="s">
        <v>472</v>
      </c>
      <c r="B2123" s="944" t="s">
        <v>3901</v>
      </c>
      <c r="C2123" s="919" t="s">
        <v>3902</v>
      </c>
      <c r="D2123" s="919" t="s">
        <v>4774</v>
      </c>
      <c r="E2123" s="920">
        <v>2000</v>
      </c>
      <c r="F2123" s="919" t="s">
        <v>7767</v>
      </c>
      <c r="G2123" s="919" t="s">
        <v>7768</v>
      </c>
      <c r="H2123" s="919" t="s">
        <v>4774</v>
      </c>
      <c r="I2123" s="919" t="s">
        <v>3679</v>
      </c>
      <c r="J2123" s="919"/>
      <c r="K2123" s="920"/>
      <c r="L2123" s="920"/>
      <c r="M2123" s="920">
        <f t="shared" si="66"/>
        <v>0</v>
      </c>
      <c r="N2123" s="919">
        <v>1</v>
      </c>
      <c r="O2123" s="919">
        <v>5</v>
      </c>
      <c r="P2123" s="921">
        <f t="shared" si="67"/>
        <v>10000</v>
      </c>
    </row>
    <row r="2124" spans="1:16" ht="20.100000000000001" customHeight="1" x14ac:dyDescent="0.25">
      <c r="A2124" s="918" t="s">
        <v>472</v>
      </c>
      <c r="B2124" s="944" t="s">
        <v>3901</v>
      </c>
      <c r="C2124" s="919" t="s">
        <v>3902</v>
      </c>
      <c r="D2124" s="919" t="s">
        <v>4774</v>
      </c>
      <c r="E2124" s="920">
        <v>2000</v>
      </c>
      <c r="F2124" s="919" t="s">
        <v>7769</v>
      </c>
      <c r="G2124" s="919" t="s">
        <v>7770</v>
      </c>
      <c r="H2124" s="919" t="s">
        <v>4774</v>
      </c>
      <c r="I2124" s="919" t="s">
        <v>3679</v>
      </c>
      <c r="J2124" s="919"/>
      <c r="K2124" s="920"/>
      <c r="L2124" s="920"/>
      <c r="M2124" s="920">
        <f t="shared" si="66"/>
        <v>0</v>
      </c>
      <c r="N2124" s="919">
        <v>1</v>
      </c>
      <c r="O2124" s="919">
        <v>5</v>
      </c>
      <c r="P2124" s="921">
        <f t="shared" si="67"/>
        <v>10000</v>
      </c>
    </row>
    <row r="2125" spans="1:16" ht="20.100000000000001" customHeight="1" x14ac:dyDescent="0.25">
      <c r="A2125" s="918" t="s">
        <v>472</v>
      </c>
      <c r="B2125" s="944" t="s">
        <v>3901</v>
      </c>
      <c r="C2125" s="919" t="s">
        <v>3902</v>
      </c>
      <c r="D2125" s="919" t="s">
        <v>4777</v>
      </c>
      <c r="E2125" s="920">
        <v>2000</v>
      </c>
      <c r="F2125" s="919" t="s">
        <v>7771</v>
      </c>
      <c r="G2125" s="919" t="s">
        <v>7772</v>
      </c>
      <c r="H2125" s="919" t="s">
        <v>4777</v>
      </c>
      <c r="I2125" s="919" t="s">
        <v>3679</v>
      </c>
      <c r="J2125" s="919"/>
      <c r="K2125" s="920"/>
      <c r="L2125" s="920"/>
      <c r="M2125" s="920">
        <f t="shared" si="66"/>
        <v>0</v>
      </c>
      <c r="N2125" s="919">
        <v>1</v>
      </c>
      <c r="O2125" s="919">
        <v>5</v>
      </c>
      <c r="P2125" s="921">
        <f t="shared" si="67"/>
        <v>10000</v>
      </c>
    </row>
    <row r="2126" spans="1:16" ht="20.100000000000001" customHeight="1" x14ac:dyDescent="0.25">
      <c r="A2126" s="918" t="s">
        <v>472</v>
      </c>
      <c r="B2126" s="944" t="s">
        <v>3901</v>
      </c>
      <c r="C2126" s="919" t="s">
        <v>3902</v>
      </c>
      <c r="D2126" s="919" t="s">
        <v>4777</v>
      </c>
      <c r="E2126" s="920">
        <v>2000</v>
      </c>
      <c r="F2126" s="919" t="s">
        <v>7773</v>
      </c>
      <c r="G2126" s="919" t="s">
        <v>7774</v>
      </c>
      <c r="H2126" s="919" t="s">
        <v>4777</v>
      </c>
      <c r="I2126" s="919" t="s">
        <v>3679</v>
      </c>
      <c r="J2126" s="919"/>
      <c r="K2126" s="920"/>
      <c r="L2126" s="920"/>
      <c r="M2126" s="920">
        <f t="shared" si="66"/>
        <v>0</v>
      </c>
      <c r="N2126" s="919">
        <v>1</v>
      </c>
      <c r="O2126" s="919">
        <v>5</v>
      </c>
      <c r="P2126" s="921">
        <f t="shared" si="67"/>
        <v>10000</v>
      </c>
    </row>
    <row r="2127" spans="1:16" ht="20.100000000000001" customHeight="1" x14ac:dyDescent="0.25">
      <c r="A2127" s="918" t="s">
        <v>472</v>
      </c>
      <c r="B2127" s="944" t="s">
        <v>3901</v>
      </c>
      <c r="C2127" s="919" t="s">
        <v>3902</v>
      </c>
      <c r="D2127" s="919" t="s">
        <v>4777</v>
      </c>
      <c r="E2127" s="920">
        <v>2000</v>
      </c>
      <c r="F2127" s="919" t="s">
        <v>4041</v>
      </c>
      <c r="G2127" s="919" t="s">
        <v>4042</v>
      </c>
      <c r="H2127" s="919" t="s">
        <v>4777</v>
      </c>
      <c r="I2127" s="919" t="s">
        <v>3679</v>
      </c>
      <c r="J2127" s="919"/>
      <c r="K2127" s="920">
        <v>1</v>
      </c>
      <c r="L2127" s="920">
        <v>12</v>
      </c>
      <c r="M2127" s="920">
        <f t="shared" si="66"/>
        <v>24000</v>
      </c>
      <c r="N2127" s="919"/>
      <c r="O2127" s="919"/>
      <c r="P2127" s="921">
        <f t="shared" si="67"/>
        <v>0</v>
      </c>
    </row>
    <row r="2128" spans="1:16" ht="20.100000000000001" customHeight="1" x14ac:dyDescent="0.25">
      <c r="A2128" s="918" t="s">
        <v>472</v>
      </c>
      <c r="B2128" s="944" t="s">
        <v>3901</v>
      </c>
      <c r="C2128" s="919" t="s">
        <v>3902</v>
      </c>
      <c r="D2128" s="919" t="s">
        <v>4774</v>
      </c>
      <c r="E2128" s="920">
        <v>2000</v>
      </c>
      <c r="F2128" s="919" t="s">
        <v>7775</v>
      </c>
      <c r="G2128" s="919" t="s">
        <v>7776</v>
      </c>
      <c r="H2128" s="919" t="s">
        <v>4774</v>
      </c>
      <c r="I2128" s="919" t="s">
        <v>3679</v>
      </c>
      <c r="J2128" s="919"/>
      <c r="K2128" s="920"/>
      <c r="L2128" s="920"/>
      <c r="M2128" s="920">
        <f t="shared" si="66"/>
        <v>0</v>
      </c>
      <c r="N2128" s="919">
        <v>1</v>
      </c>
      <c r="O2128" s="919">
        <v>5</v>
      </c>
      <c r="P2128" s="921">
        <f t="shared" si="67"/>
        <v>10000</v>
      </c>
    </row>
    <row r="2129" spans="1:16" ht="20.100000000000001" customHeight="1" x14ac:dyDescent="0.25">
      <c r="A2129" s="918" t="s">
        <v>472</v>
      </c>
      <c r="B2129" s="944" t="s">
        <v>3901</v>
      </c>
      <c r="C2129" s="919" t="s">
        <v>3902</v>
      </c>
      <c r="D2129" s="919" t="s">
        <v>4774</v>
      </c>
      <c r="E2129" s="920">
        <v>2000</v>
      </c>
      <c r="F2129" s="919" t="s">
        <v>7777</v>
      </c>
      <c r="G2129" s="919" t="s">
        <v>7778</v>
      </c>
      <c r="H2129" s="919" t="s">
        <v>4774</v>
      </c>
      <c r="I2129" s="919" t="s">
        <v>3679</v>
      </c>
      <c r="J2129" s="919"/>
      <c r="K2129" s="920"/>
      <c r="L2129" s="920"/>
      <c r="M2129" s="920">
        <f t="shared" si="66"/>
        <v>0</v>
      </c>
      <c r="N2129" s="919">
        <v>1</v>
      </c>
      <c r="O2129" s="919">
        <v>4</v>
      </c>
      <c r="P2129" s="921">
        <f t="shared" si="67"/>
        <v>8000</v>
      </c>
    </row>
    <row r="2130" spans="1:16" ht="20.100000000000001" customHeight="1" x14ac:dyDescent="0.25">
      <c r="A2130" s="918" t="s">
        <v>472</v>
      </c>
      <c r="B2130" s="944" t="s">
        <v>3901</v>
      </c>
      <c r="C2130" s="919" t="s">
        <v>3902</v>
      </c>
      <c r="D2130" s="919" t="s">
        <v>4774</v>
      </c>
      <c r="E2130" s="920">
        <v>2000</v>
      </c>
      <c r="F2130" s="919" t="s">
        <v>7779</v>
      </c>
      <c r="G2130" s="919" t="s">
        <v>7780</v>
      </c>
      <c r="H2130" s="919" t="s">
        <v>4774</v>
      </c>
      <c r="I2130" s="919" t="s">
        <v>3679</v>
      </c>
      <c r="J2130" s="919"/>
      <c r="K2130" s="920"/>
      <c r="L2130" s="920"/>
      <c r="M2130" s="920">
        <f t="shared" si="66"/>
        <v>0</v>
      </c>
      <c r="N2130" s="919">
        <v>1</v>
      </c>
      <c r="O2130" s="919">
        <v>5</v>
      </c>
      <c r="P2130" s="921">
        <f t="shared" si="67"/>
        <v>10000</v>
      </c>
    </row>
    <row r="2131" spans="1:16" ht="20.100000000000001" customHeight="1" x14ac:dyDescent="0.25">
      <c r="A2131" s="918" t="s">
        <v>472</v>
      </c>
      <c r="B2131" s="944" t="s">
        <v>3901</v>
      </c>
      <c r="C2131" s="919" t="s">
        <v>3902</v>
      </c>
      <c r="D2131" s="919" t="s">
        <v>4777</v>
      </c>
      <c r="E2131" s="920">
        <v>2000</v>
      </c>
      <c r="F2131" s="919" t="s">
        <v>7781</v>
      </c>
      <c r="G2131" s="919" t="s">
        <v>7782</v>
      </c>
      <c r="H2131" s="919" t="s">
        <v>4777</v>
      </c>
      <c r="I2131" s="919" t="s">
        <v>3679</v>
      </c>
      <c r="J2131" s="919"/>
      <c r="K2131" s="920"/>
      <c r="L2131" s="920"/>
      <c r="M2131" s="920">
        <f t="shared" si="66"/>
        <v>0</v>
      </c>
      <c r="N2131" s="919">
        <v>1</v>
      </c>
      <c r="O2131" s="919">
        <v>5</v>
      </c>
      <c r="P2131" s="921">
        <f t="shared" si="67"/>
        <v>10000</v>
      </c>
    </row>
    <row r="2132" spans="1:16" ht="20.100000000000001" customHeight="1" x14ac:dyDescent="0.25">
      <c r="A2132" s="918" t="s">
        <v>472</v>
      </c>
      <c r="B2132" s="944" t="s">
        <v>3901</v>
      </c>
      <c r="C2132" s="919" t="s">
        <v>3902</v>
      </c>
      <c r="D2132" s="919" t="s">
        <v>4777</v>
      </c>
      <c r="E2132" s="920">
        <v>2000</v>
      </c>
      <c r="F2132" s="919" t="s">
        <v>7783</v>
      </c>
      <c r="G2132" s="919" t="s">
        <v>7784</v>
      </c>
      <c r="H2132" s="919" t="s">
        <v>4777</v>
      </c>
      <c r="I2132" s="919" t="s">
        <v>3679</v>
      </c>
      <c r="J2132" s="919"/>
      <c r="K2132" s="920"/>
      <c r="L2132" s="920"/>
      <c r="M2132" s="920">
        <f t="shared" si="66"/>
        <v>0</v>
      </c>
      <c r="N2132" s="919">
        <v>1</v>
      </c>
      <c r="O2132" s="919">
        <v>5</v>
      </c>
      <c r="P2132" s="921">
        <f t="shared" si="67"/>
        <v>10000</v>
      </c>
    </row>
    <row r="2133" spans="1:16" ht="20.100000000000001" customHeight="1" x14ac:dyDescent="0.25">
      <c r="A2133" s="918" t="s">
        <v>472</v>
      </c>
      <c r="B2133" s="944" t="s">
        <v>3901</v>
      </c>
      <c r="C2133" s="919" t="s">
        <v>3902</v>
      </c>
      <c r="D2133" s="919" t="s">
        <v>4777</v>
      </c>
      <c r="E2133" s="920">
        <v>2000</v>
      </c>
      <c r="F2133" s="919" t="s">
        <v>4041</v>
      </c>
      <c r="G2133" s="919" t="s">
        <v>4042</v>
      </c>
      <c r="H2133" s="919" t="s">
        <v>4777</v>
      </c>
      <c r="I2133" s="919" t="s">
        <v>3679</v>
      </c>
      <c r="J2133" s="919"/>
      <c r="K2133" s="920">
        <v>1</v>
      </c>
      <c r="L2133" s="920">
        <v>12</v>
      </c>
      <c r="M2133" s="920">
        <f t="shared" si="66"/>
        <v>24000</v>
      </c>
      <c r="N2133" s="919"/>
      <c r="O2133" s="919"/>
      <c r="P2133" s="921">
        <f t="shared" si="67"/>
        <v>0</v>
      </c>
    </row>
    <row r="2134" spans="1:16" ht="20.100000000000001" customHeight="1" x14ac:dyDescent="0.25">
      <c r="A2134" s="918" t="s">
        <v>472</v>
      </c>
      <c r="B2134" s="944" t="s">
        <v>3901</v>
      </c>
      <c r="C2134" s="919" t="s">
        <v>3902</v>
      </c>
      <c r="D2134" s="919" t="s">
        <v>4777</v>
      </c>
      <c r="E2134" s="920">
        <v>2000</v>
      </c>
      <c r="F2134" s="919" t="s">
        <v>7785</v>
      </c>
      <c r="G2134" s="919" t="s">
        <v>7786</v>
      </c>
      <c r="H2134" s="919" t="s">
        <v>4777</v>
      </c>
      <c r="I2134" s="919" t="s">
        <v>3679</v>
      </c>
      <c r="J2134" s="919"/>
      <c r="K2134" s="920"/>
      <c r="L2134" s="920"/>
      <c r="M2134" s="920">
        <f t="shared" si="66"/>
        <v>0</v>
      </c>
      <c r="N2134" s="919">
        <v>1</v>
      </c>
      <c r="O2134" s="919">
        <v>5</v>
      </c>
      <c r="P2134" s="921">
        <f t="shared" si="67"/>
        <v>10000</v>
      </c>
    </row>
    <row r="2135" spans="1:16" ht="20.100000000000001" customHeight="1" x14ac:dyDescent="0.25">
      <c r="A2135" s="918" t="s">
        <v>472</v>
      </c>
      <c r="B2135" s="944" t="s">
        <v>3901</v>
      </c>
      <c r="C2135" s="919" t="s">
        <v>3902</v>
      </c>
      <c r="D2135" s="919" t="s">
        <v>4777</v>
      </c>
      <c r="E2135" s="920">
        <v>2000</v>
      </c>
      <c r="F2135" s="919" t="s">
        <v>7787</v>
      </c>
      <c r="G2135" s="919" t="s">
        <v>7788</v>
      </c>
      <c r="H2135" s="919" t="s">
        <v>4777</v>
      </c>
      <c r="I2135" s="919" t="s">
        <v>3679</v>
      </c>
      <c r="J2135" s="919"/>
      <c r="K2135" s="920"/>
      <c r="L2135" s="920"/>
      <c r="M2135" s="920">
        <f t="shared" si="66"/>
        <v>0</v>
      </c>
      <c r="N2135" s="919">
        <v>1</v>
      </c>
      <c r="O2135" s="919">
        <v>5</v>
      </c>
      <c r="P2135" s="921">
        <f t="shared" si="67"/>
        <v>10000</v>
      </c>
    </row>
    <row r="2136" spans="1:16" ht="20.100000000000001" customHeight="1" x14ac:dyDescent="0.25">
      <c r="A2136" s="918" t="s">
        <v>472</v>
      </c>
      <c r="B2136" s="944" t="s">
        <v>3901</v>
      </c>
      <c r="C2136" s="919" t="s">
        <v>3902</v>
      </c>
      <c r="D2136" s="919" t="s">
        <v>4812</v>
      </c>
      <c r="E2136" s="920">
        <v>2000</v>
      </c>
      <c r="F2136" s="919" t="s">
        <v>7789</v>
      </c>
      <c r="G2136" s="919" t="s">
        <v>7790</v>
      </c>
      <c r="H2136" s="919" t="s">
        <v>4812</v>
      </c>
      <c r="I2136" s="919" t="s">
        <v>3679</v>
      </c>
      <c r="J2136" s="919"/>
      <c r="K2136" s="920"/>
      <c r="L2136" s="920"/>
      <c r="M2136" s="920">
        <f t="shared" si="66"/>
        <v>0</v>
      </c>
      <c r="N2136" s="919">
        <v>1</v>
      </c>
      <c r="O2136" s="919">
        <v>1</v>
      </c>
      <c r="P2136" s="921">
        <f t="shared" si="67"/>
        <v>2000</v>
      </c>
    </row>
    <row r="2137" spans="1:16" ht="20.100000000000001" customHeight="1" x14ac:dyDescent="0.25">
      <c r="A2137" s="918" t="s">
        <v>472</v>
      </c>
      <c r="B2137" s="944" t="s">
        <v>3901</v>
      </c>
      <c r="C2137" s="919" t="s">
        <v>3902</v>
      </c>
      <c r="D2137" s="919" t="s">
        <v>4815</v>
      </c>
      <c r="E2137" s="920">
        <v>2000</v>
      </c>
      <c r="F2137" s="919" t="s">
        <v>7791</v>
      </c>
      <c r="G2137" s="919" t="s">
        <v>7792</v>
      </c>
      <c r="H2137" s="919" t="s">
        <v>4815</v>
      </c>
      <c r="I2137" s="919" t="s">
        <v>3679</v>
      </c>
      <c r="J2137" s="919"/>
      <c r="K2137" s="920"/>
      <c r="L2137" s="920"/>
      <c r="M2137" s="920">
        <f t="shared" si="66"/>
        <v>0</v>
      </c>
      <c r="N2137" s="919">
        <v>1</v>
      </c>
      <c r="O2137" s="919">
        <v>1</v>
      </c>
      <c r="P2137" s="921">
        <f t="shared" si="67"/>
        <v>2000</v>
      </c>
    </row>
    <row r="2138" spans="1:16" ht="20.100000000000001" customHeight="1" x14ac:dyDescent="0.25">
      <c r="A2138" s="918" t="s">
        <v>472</v>
      </c>
      <c r="B2138" s="944" t="s">
        <v>3901</v>
      </c>
      <c r="C2138" s="919" t="s">
        <v>3902</v>
      </c>
      <c r="D2138" s="919" t="s">
        <v>4382</v>
      </c>
      <c r="E2138" s="920">
        <v>2500</v>
      </c>
      <c r="F2138" s="919" t="s">
        <v>7793</v>
      </c>
      <c r="G2138" s="919" t="s">
        <v>7794</v>
      </c>
      <c r="H2138" s="919" t="s">
        <v>4382</v>
      </c>
      <c r="I2138" s="919" t="s">
        <v>3679</v>
      </c>
      <c r="J2138" s="919"/>
      <c r="K2138" s="920"/>
      <c r="L2138" s="920"/>
      <c r="M2138" s="920">
        <f t="shared" si="66"/>
        <v>0</v>
      </c>
      <c r="N2138" s="919">
        <v>1</v>
      </c>
      <c r="O2138" s="919">
        <v>1</v>
      </c>
      <c r="P2138" s="921">
        <f t="shared" si="67"/>
        <v>2500</v>
      </c>
    </row>
    <row r="2139" spans="1:16" ht="20.100000000000001" customHeight="1" x14ac:dyDescent="0.25">
      <c r="A2139" s="918" t="s">
        <v>472</v>
      </c>
      <c r="B2139" s="944" t="s">
        <v>3901</v>
      </c>
      <c r="C2139" s="919" t="s">
        <v>3902</v>
      </c>
      <c r="D2139" s="919" t="s">
        <v>7795</v>
      </c>
      <c r="E2139" s="920">
        <v>2000</v>
      </c>
      <c r="F2139" s="919" t="s">
        <v>7796</v>
      </c>
      <c r="G2139" s="919" t="s">
        <v>7797</v>
      </c>
      <c r="H2139" s="919" t="s">
        <v>7795</v>
      </c>
      <c r="I2139" s="919" t="s">
        <v>3679</v>
      </c>
      <c r="J2139" s="919"/>
      <c r="K2139" s="920"/>
      <c r="L2139" s="920"/>
      <c r="M2139" s="920">
        <f t="shared" si="66"/>
        <v>0</v>
      </c>
      <c r="N2139" s="919">
        <v>1</v>
      </c>
      <c r="O2139" s="919">
        <v>1</v>
      </c>
      <c r="P2139" s="921">
        <f t="shared" si="67"/>
        <v>2000</v>
      </c>
    </row>
    <row r="2140" spans="1:16" ht="20.100000000000001" customHeight="1" x14ac:dyDescent="0.25">
      <c r="A2140" s="918" t="s">
        <v>472</v>
      </c>
      <c r="B2140" s="944" t="s">
        <v>3901</v>
      </c>
      <c r="C2140" s="919" t="s">
        <v>3902</v>
      </c>
      <c r="D2140" s="919" t="s">
        <v>4347</v>
      </c>
      <c r="E2140" s="920">
        <v>3000</v>
      </c>
      <c r="F2140" s="919" t="s">
        <v>4041</v>
      </c>
      <c r="G2140" s="919" t="s">
        <v>4062</v>
      </c>
      <c r="H2140" s="919" t="s">
        <v>4347</v>
      </c>
      <c r="I2140" s="919" t="s">
        <v>3679</v>
      </c>
      <c r="J2140" s="919"/>
      <c r="K2140" s="920">
        <v>1</v>
      </c>
      <c r="L2140" s="920">
        <v>12</v>
      </c>
      <c r="M2140" s="920">
        <f t="shared" si="66"/>
        <v>36000</v>
      </c>
      <c r="N2140" s="919"/>
      <c r="O2140" s="919"/>
      <c r="P2140" s="921">
        <f t="shared" si="67"/>
        <v>0</v>
      </c>
    </row>
    <row r="2141" spans="1:16" ht="20.100000000000001" customHeight="1" x14ac:dyDescent="0.25">
      <c r="A2141" s="918" t="s">
        <v>472</v>
      </c>
      <c r="B2141" s="944" t="s">
        <v>3901</v>
      </c>
      <c r="C2141" s="919" t="s">
        <v>3902</v>
      </c>
      <c r="D2141" s="919" t="s">
        <v>4820</v>
      </c>
      <c r="E2141" s="920">
        <v>2600</v>
      </c>
      <c r="F2141" s="919" t="s">
        <v>7798</v>
      </c>
      <c r="G2141" s="919" t="s">
        <v>7799</v>
      </c>
      <c r="H2141" s="919" t="s">
        <v>4820</v>
      </c>
      <c r="I2141" s="919" t="s">
        <v>3679</v>
      </c>
      <c r="J2141" s="919"/>
      <c r="K2141" s="920"/>
      <c r="L2141" s="920"/>
      <c r="M2141" s="920">
        <f t="shared" si="66"/>
        <v>0</v>
      </c>
      <c r="N2141" s="919">
        <v>1</v>
      </c>
      <c r="O2141" s="919">
        <v>1</v>
      </c>
      <c r="P2141" s="921">
        <f t="shared" si="67"/>
        <v>2600</v>
      </c>
    </row>
    <row r="2142" spans="1:16" ht="20.100000000000001" customHeight="1" x14ac:dyDescent="0.25">
      <c r="A2142" s="918" t="s">
        <v>472</v>
      </c>
      <c r="B2142" s="944" t="s">
        <v>3901</v>
      </c>
      <c r="C2142" s="919" t="s">
        <v>3902</v>
      </c>
      <c r="D2142" s="919" t="s">
        <v>4823</v>
      </c>
      <c r="E2142" s="920">
        <v>2600</v>
      </c>
      <c r="F2142" s="919" t="s">
        <v>7800</v>
      </c>
      <c r="G2142" s="919" t="s">
        <v>7801</v>
      </c>
      <c r="H2142" s="919" t="s">
        <v>4823</v>
      </c>
      <c r="I2142" s="919" t="s">
        <v>3679</v>
      </c>
      <c r="J2142" s="919"/>
      <c r="K2142" s="920"/>
      <c r="L2142" s="920"/>
      <c r="M2142" s="920">
        <f t="shared" si="66"/>
        <v>0</v>
      </c>
      <c r="N2142" s="919">
        <v>1</v>
      </c>
      <c r="O2142" s="919">
        <v>4</v>
      </c>
      <c r="P2142" s="921">
        <f t="shared" si="67"/>
        <v>10400</v>
      </c>
    </row>
    <row r="2143" spans="1:16" ht="20.100000000000001" customHeight="1" x14ac:dyDescent="0.25">
      <c r="A2143" s="918" t="s">
        <v>472</v>
      </c>
      <c r="B2143" s="944" t="s">
        <v>3901</v>
      </c>
      <c r="C2143" s="919" t="s">
        <v>3902</v>
      </c>
      <c r="D2143" s="919" t="s">
        <v>4823</v>
      </c>
      <c r="E2143" s="920">
        <v>2600</v>
      </c>
      <c r="F2143" s="919" t="s">
        <v>7802</v>
      </c>
      <c r="G2143" s="919" t="s">
        <v>7803</v>
      </c>
      <c r="H2143" s="919" t="s">
        <v>4823</v>
      </c>
      <c r="I2143" s="919" t="s">
        <v>3679</v>
      </c>
      <c r="J2143" s="919"/>
      <c r="K2143" s="920"/>
      <c r="L2143" s="920"/>
      <c r="M2143" s="920">
        <f t="shared" si="66"/>
        <v>0</v>
      </c>
      <c r="N2143" s="919">
        <v>1</v>
      </c>
      <c r="O2143" s="919">
        <v>4</v>
      </c>
      <c r="P2143" s="921">
        <f t="shared" si="67"/>
        <v>10400</v>
      </c>
    </row>
    <row r="2144" spans="1:16" ht="20.100000000000001" customHeight="1" x14ac:dyDescent="0.25">
      <c r="A2144" s="918" t="s">
        <v>472</v>
      </c>
      <c r="B2144" s="944" t="s">
        <v>3901</v>
      </c>
      <c r="C2144" s="919" t="s">
        <v>3902</v>
      </c>
      <c r="D2144" s="919" t="s">
        <v>4823</v>
      </c>
      <c r="E2144" s="920">
        <v>2600</v>
      </c>
      <c r="F2144" s="919" t="s">
        <v>7804</v>
      </c>
      <c r="G2144" s="919" t="s">
        <v>7805</v>
      </c>
      <c r="H2144" s="919" t="s">
        <v>4823</v>
      </c>
      <c r="I2144" s="919" t="s">
        <v>3679</v>
      </c>
      <c r="J2144" s="919"/>
      <c r="K2144" s="920"/>
      <c r="L2144" s="920"/>
      <c r="M2144" s="920">
        <f t="shared" si="66"/>
        <v>0</v>
      </c>
      <c r="N2144" s="919">
        <v>1</v>
      </c>
      <c r="O2144" s="919">
        <v>4</v>
      </c>
      <c r="P2144" s="921">
        <f t="shared" si="67"/>
        <v>10400</v>
      </c>
    </row>
    <row r="2145" spans="1:16" ht="20.100000000000001" customHeight="1" x14ac:dyDescent="0.25">
      <c r="A2145" s="918" t="s">
        <v>472</v>
      </c>
      <c r="B2145" s="944" t="s">
        <v>3901</v>
      </c>
      <c r="C2145" s="919" t="s">
        <v>3902</v>
      </c>
      <c r="D2145" s="919" t="s">
        <v>4832</v>
      </c>
      <c r="E2145" s="920">
        <v>4200</v>
      </c>
      <c r="F2145" s="919" t="s">
        <v>7806</v>
      </c>
      <c r="G2145" s="919" t="s">
        <v>7807</v>
      </c>
      <c r="H2145" s="919" t="s">
        <v>4832</v>
      </c>
      <c r="I2145" s="919" t="s">
        <v>3679</v>
      </c>
      <c r="J2145" s="919"/>
      <c r="K2145" s="920"/>
      <c r="L2145" s="920"/>
      <c r="M2145" s="920">
        <f t="shared" si="66"/>
        <v>0</v>
      </c>
      <c r="N2145" s="919">
        <v>1</v>
      </c>
      <c r="O2145" s="919">
        <v>4</v>
      </c>
      <c r="P2145" s="921">
        <f t="shared" si="67"/>
        <v>16800</v>
      </c>
    </row>
    <row r="2146" spans="1:16" ht="20.100000000000001" customHeight="1" x14ac:dyDescent="0.25">
      <c r="A2146" s="918" t="s">
        <v>472</v>
      </c>
      <c r="B2146" s="944" t="s">
        <v>3901</v>
      </c>
      <c r="C2146" s="919" t="s">
        <v>3902</v>
      </c>
      <c r="D2146" s="919" t="s">
        <v>4832</v>
      </c>
      <c r="E2146" s="920">
        <v>4200</v>
      </c>
      <c r="F2146" s="919" t="s">
        <v>7808</v>
      </c>
      <c r="G2146" s="919" t="s">
        <v>7809</v>
      </c>
      <c r="H2146" s="919" t="s">
        <v>4832</v>
      </c>
      <c r="I2146" s="919" t="s">
        <v>3679</v>
      </c>
      <c r="J2146" s="919"/>
      <c r="K2146" s="920"/>
      <c r="L2146" s="920"/>
      <c r="M2146" s="920">
        <f t="shared" si="66"/>
        <v>0</v>
      </c>
      <c r="N2146" s="919">
        <v>1</v>
      </c>
      <c r="O2146" s="919">
        <v>1</v>
      </c>
      <c r="P2146" s="921">
        <f t="shared" si="67"/>
        <v>4200</v>
      </c>
    </row>
    <row r="2147" spans="1:16" ht="20.100000000000001" customHeight="1" x14ac:dyDescent="0.25">
      <c r="A2147" s="918" t="s">
        <v>472</v>
      </c>
      <c r="B2147" s="944" t="s">
        <v>3901</v>
      </c>
      <c r="C2147" s="919" t="s">
        <v>3902</v>
      </c>
      <c r="D2147" s="919" t="s">
        <v>4835</v>
      </c>
      <c r="E2147" s="920">
        <v>4200</v>
      </c>
      <c r="F2147" s="919" t="s">
        <v>7810</v>
      </c>
      <c r="G2147" s="919" t="s">
        <v>7811</v>
      </c>
      <c r="H2147" s="919" t="s">
        <v>4835</v>
      </c>
      <c r="I2147" s="919" t="s">
        <v>3679</v>
      </c>
      <c r="J2147" s="919"/>
      <c r="K2147" s="920"/>
      <c r="L2147" s="920"/>
      <c r="M2147" s="920">
        <f t="shared" si="66"/>
        <v>0</v>
      </c>
      <c r="N2147" s="919">
        <v>1</v>
      </c>
      <c r="O2147" s="919">
        <v>4</v>
      </c>
      <c r="P2147" s="921">
        <f t="shared" si="67"/>
        <v>16800</v>
      </c>
    </row>
    <row r="2148" spans="1:16" ht="20.100000000000001" customHeight="1" x14ac:dyDescent="0.25">
      <c r="A2148" s="918" t="s">
        <v>472</v>
      </c>
      <c r="B2148" s="944" t="s">
        <v>3901</v>
      </c>
      <c r="C2148" s="919" t="s">
        <v>3902</v>
      </c>
      <c r="D2148" s="919" t="s">
        <v>4835</v>
      </c>
      <c r="E2148" s="920">
        <v>4200</v>
      </c>
      <c r="F2148" s="919" t="s">
        <v>7812</v>
      </c>
      <c r="G2148" s="919" t="s">
        <v>7813</v>
      </c>
      <c r="H2148" s="919" t="s">
        <v>4835</v>
      </c>
      <c r="I2148" s="919" t="s">
        <v>3679</v>
      </c>
      <c r="J2148" s="919"/>
      <c r="K2148" s="920"/>
      <c r="L2148" s="920"/>
      <c r="M2148" s="920">
        <f t="shared" si="66"/>
        <v>0</v>
      </c>
      <c r="N2148" s="919">
        <v>1</v>
      </c>
      <c r="O2148" s="919">
        <v>4</v>
      </c>
      <c r="P2148" s="921">
        <f t="shared" si="67"/>
        <v>16800</v>
      </c>
    </row>
    <row r="2149" spans="1:16" ht="20.100000000000001" customHeight="1" x14ac:dyDescent="0.25">
      <c r="A2149" s="918" t="s">
        <v>472</v>
      </c>
      <c r="B2149" s="944" t="s">
        <v>3901</v>
      </c>
      <c r="C2149" s="919" t="s">
        <v>3902</v>
      </c>
      <c r="D2149" s="919" t="s">
        <v>4835</v>
      </c>
      <c r="E2149" s="920">
        <v>4200</v>
      </c>
      <c r="F2149" s="919" t="s">
        <v>7814</v>
      </c>
      <c r="G2149" s="919" t="s">
        <v>7815</v>
      </c>
      <c r="H2149" s="919" t="s">
        <v>4835</v>
      </c>
      <c r="I2149" s="919" t="s">
        <v>3679</v>
      </c>
      <c r="J2149" s="919"/>
      <c r="K2149" s="920"/>
      <c r="L2149" s="920"/>
      <c r="M2149" s="920">
        <f t="shared" si="66"/>
        <v>0</v>
      </c>
      <c r="N2149" s="919">
        <v>1</v>
      </c>
      <c r="O2149" s="919">
        <v>4</v>
      </c>
      <c r="P2149" s="921">
        <f t="shared" si="67"/>
        <v>16800</v>
      </c>
    </row>
    <row r="2150" spans="1:16" ht="20.100000000000001" customHeight="1" x14ac:dyDescent="0.25">
      <c r="A2150" s="918" t="s">
        <v>472</v>
      </c>
      <c r="B2150" s="944" t="s">
        <v>3901</v>
      </c>
      <c r="C2150" s="919" t="s">
        <v>3902</v>
      </c>
      <c r="D2150" s="919" t="s">
        <v>4835</v>
      </c>
      <c r="E2150" s="920">
        <v>4200</v>
      </c>
      <c r="F2150" s="919" t="s">
        <v>7816</v>
      </c>
      <c r="G2150" s="919" t="s">
        <v>7817</v>
      </c>
      <c r="H2150" s="919" t="s">
        <v>4835</v>
      </c>
      <c r="I2150" s="919" t="s">
        <v>3679</v>
      </c>
      <c r="J2150" s="919"/>
      <c r="K2150" s="920"/>
      <c r="L2150" s="920"/>
      <c r="M2150" s="920">
        <f t="shared" si="66"/>
        <v>0</v>
      </c>
      <c r="N2150" s="919">
        <v>1</v>
      </c>
      <c r="O2150" s="919">
        <v>4</v>
      </c>
      <c r="P2150" s="921">
        <f t="shared" si="67"/>
        <v>16800</v>
      </c>
    </row>
    <row r="2151" spans="1:16" ht="20.100000000000001" customHeight="1" x14ac:dyDescent="0.25">
      <c r="A2151" s="918" t="s">
        <v>472</v>
      </c>
      <c r="B2151" s="944" t="s">
        <v>3901</v>
      </c>
      <c r="C2151" s="919" t="s">
        <v>3902</v>
      </c>
      <c r="D2151" s="919" t="s">
        <v>4835</v>
      </c>
      <c r="E2151" s="920">
        <v>4200</v>
      </c>
      <c r="F2151" s="919" t="s">
        <v>7818</v>
      </c>
      <c r="G2151" s="919" t="s">
        <v>7819</v>
      </c>
      <c r="H2151" s="919" t="s">
        <v>4835</v>
      </c>
      <c r="I2151" s="919" t="s">
        <v>3679</v>
      </c>
      <c r="J2151" s="919"/>
      <c r="K2151" s="920"/>
      <c r="L2151" s="920"/>
      <c r="M2151" s="920">
        <f t="shared" si="66"/>
        <v>0</v>
      </c>
      <c r="N2151" s="919">
        <v>1</v>
      </c>
      <c r="O2151" s="919">
        <v>4</v>
      </c>
      <c r="P2151" s="921">
        <f t="shared" si="67"/>
        <v>16800</v>
      </c>
    </row>
    <row r="2152" spans="1:16" ht="20.100000000000001" customHeight="1" x14ac:dyDescent="0.25">
      <c r="A2152" s="918" t="s">
        <v>472</v>
      </c>
      <c r="B2152" s="944" t="s">
        <v>3901</v>
      </c>
      <c r="C2152" s="919" t="s">
        <v>3902</v>
      </c>
      <c r="D2152" s="919" t="s">
        <v>4840</v>
      </c>
      <c r="E2152" s="920">
        <v>3700</v>
      </c>
      <c r="F2152" s="919" t="s">
        <v>7820</v>
      </c>
      <c r="G2152" s="919" t="s">
        <v>7821</v>
      </c>
      <c r="H2152" s="919" t="s">
        <v>4840</v>
      </c>
      <c r="I2152" s="919" t="s">
        <v>3679</v>
      </c>
      <c r="J2152" s="919"/>
      <c r="K2152" s="920"/>
      <c r="L2152" s="920"/>
      <c r="M2152" s="920">
        <f t="shared" si="66"/>
        <v>0</v>
      </c>
      <c r="N2152" s="919">
        <v>1</v>
      </c>
      <c r="O2152" s="919">
        <v>4</v>
      </c>
      <c r="P2152" s="921">
        <f t="shared" si="67"/>
        <v>14800</v>
      </c>
    </row>
    <row r="2153" spans="1:16" ht="20.100000000000001" customHeight="1" x14ac:dyDescent="0.25">
      <c r="A2153" s="918" t="s">
        <v>472</v>
      </c>
      <c r="B2153" s="944" t="s">
        <v>3901</v>
      </c>
      <c r="C2153" s="919" t="s">
        <v>3902</v>
      </c>
      <c r="D2153" s="919" t="s">
        <v>4851</v>
      </c>
      <c r="E2153" s="920">
        <v>3700</v>
      </c>
      <c r="F2153" s="919" t="s">
        <v>7822</v>
      </c>
      <c r="G2153" s="919" t="s">
        <v>7823</v>
      </c>
      <c r="H2153" s="919" t="s">
        <v>4851</v>
      </c>
      <c r="I2153" s="919" t="s">
        <v>3679</v>
      </c>
      <c r="J2153" s="919"/>
      <c r="K2153" s="920"/>
      <c r="L2153" s="920"/>
      <c r="M2153" s="920">
        <f t="shared" si="66"/>
        <v>0</v>
      </c>
      <c r="N2153" s="919">
        <v>1</v>
      </c>
      <c r="O2153" s="919">
        <v>4</v>
      </c>
      <c r="P2153" s="921">
        <f t="shared" si="67"/>
        <v>14800</v>
      </c>
    </row>
    <row r="2154" spans="1:16" ht="20.100000000000001" customHeight="1" x14ac:dyDescent="0.25">
      <c r="A2154" s="918" t="s">
        <v>472</v>
      </c>
      <c r="B2154" s="944" t="s">
        <v>3901</v>
      </c>
      <c r="C2154" s="919" t="s">
        <v>3902</v>
      </c>
      <c r="D2154" s="919" t="s">
        <v>4858</v>
      </c>
      <c r="E2154" s="920">
        <v>3700</v>
      </c>
      <c r="F2154" s="919" t="s">
        <v>7824</v>
      </c>
      <c r="G2154" s="919" t="s">
        <v>7825</v>
      </c>
      <c r="H2154" s="919" t="s">
        <v>4858</v>
      </c>
      <c r="I2154" s="919" t="s">
        <v>3679</v>
      </c>
      <c r="J2154" s="919"/>
      <c r="K2154" s="920"/>
      <c r="L2154" s="920"/>
      <c r="M2154" s="920">
        <f t="shared" si="66"/>
        <v>0</v>
      </c>
      <c r="N2154" s="919">
        <v>1</v>
      </c>
      <c r="O2154" s="919">
        <v>4</v>
      </c>
      <c r="P2154" s="921">
        <f t="shared" si="67"/>
        <v>14800</v>
      </c>
    </row>
    <row r="2155" spans="1:16" ht="20.100000000000001" customHeight="1" x14ac:dyDescent="0.25">
      <c r="A2155" s="918" t="s">
        <v>472</v>
      </c>
      <c r="B2155" s="944" t="s">
        <v>3901</v>
      </c>
      <c r="C2155" s="919" t="s">
        <v>3902</v>
      </c>
      <c r="D2155" s="919" t="s">
        <v>7826</v>
      </c>
      <c r="E2155" s="920">
        <v>2600</v>
      </c>
      <c r="F2155" s="919" t="s">
        <v>7827</v>
      </c>
      <c r="G2155" s="919" t="s">
        <v>7828</v>
      </c>
      <c r="H2155" s="919" t="s">
        <v>7826</v>
      </c>
      <c r="I2155" s="919" t="s">
        <v>3679</v>
      </c>
      <c r="J2155" s="919"/>
      <c r="K2155" s="920"/>
      <c r="L2155" s="920"/>
      <c r="M2155" s="920">
        <f t="shared" si="66"/>
        <v>0</v>
      </c>
      <c r="N2155" s="919">
        <v>1</v>
      </c>
      <c r="O2155" s="919">
        <v>1</v>
      </c>
      <c r="P2155" s="921">
        <f t="shared" si="67"/>
        <v>2600</v>
      </c>
    </row>
    <row r="2156" spans="1:16" ht="20.100000000000001" customHeight="1" x14ac:dyDescent="0.25">
      <c r="A2156" s="918" t="s">
        <v>472</v>
      </c>
      <c r="B2156" s="944" t="s">
        <v>3901</v>
      </c>
      <c r="C2156" s="919" t="s">
        <v>3902</v>
      </c>
      <c r="D2156" s="919" t="s">
        <v>4125</v>
      </c>
      <c r="E2156" s="920">
        <v>3000</v>
      </c>
      <c r="F2156" s="919" t="s">
        <v>7829</v>
      </c>
      <c r="G2156" s="919" t="s">
        <v>7830</v>
      </c>
      <c r="H2156" s="919" t="s">
        <v>4125</v>
      </c>
      <c r="I2156" s="919" t="s">
        <v>3679</v>
      </c>
      <c r="J2156" s="919"/>
      <c r="K2156" s="920"/>
      <c r="L2156" s="920"/>
      <c r="M2156" s="920">
        <f t="shared" si="66"/>
        <v>0</v>
      </c>
      <c r="N2156" s="919">
        <v>1</v>
      </c>
      <c r="O2156" s="919">
        <v>1</v>
      </c>
      <c r="P2156" s="921">
        <f t="shared" si="67"/>
        <v>3000</v>
      </c>
    </row>
    <row r="2157" spans="1:16" ht="20.100000000000001" customHeight="1" x14ac:dyDescent="0.25">
      <c r="A2157" s="918" t="s">
        <v>472</v>
      </c>
      <c r="B2157" s="944" t="s">
        <v>3901</v>
      </c>
      <c r="C2157" s="919" t="s">
        <v>3902</v>
      </c>
      <c r="D2157" s="919" t="s">
        <v>4038</v>
      </c>
      <c r="E2157" s="920">
        <v>2000</v>
      </c>
      <c r="F2157" s="919" t="s">
        <v>7831</v>
      </c>
      <c r="G2157" s="919" t="s">
        <v>7832</v>
      </c>
      <c r="H2157" s="919" t="s">
        <v>4038</v>
      </c>
      <c r="I2157" s="919" t="s">
        <v>3686</v>
      </c>
      <c r="J2157" s="919"/>
      <c r="K2157" s="920"/>
      <c r="L2157" s="920"/>
      <c r="M2157" s="920">
        <f t="shared" si="66"/>
        <v>0</v>
      </c>
      <c r="N2157" s="919">
        <v>1</v>
      </c>
      <c r="O2157" s="919">
        <v>1</v>
      </c>
      <c r="P2157" s="921">
        <f t="shared" si="67"/>
        <v>2000</v>
      </c>
    </row>
    <row r="2158" spans="1:16" ht="20.100000000000001" customHeight="1" x14ac:dyDescent="0.25">
      <c r="A2158" s="918" t="s">
        <v>473</v>
      </c>
      <c r="B2158" s="944" t="s">
        <v>3901</v>
      </c>
      <c r="C2158" s="919" t="s">
        <v>3902</v>
      </c>
      <c r="D2158" s="919" t="s">
        <v>4128</v>
      </c>
      <c r="E2158" s="920">
        <v>2250</v>
      </c>
      <c r="F2158" s="919" t="s">
        <v>7833</v>
      </c>
      <c r="G2158" s="919" t="s">
        <v>7834</v>
      </c>
      <c r="H2158" s="919" t="s">
        <v>4128</v>
      </c>
      <c r="I2158" s="919" t="s">
        <v>3679</v>
      </c>
      <c r="J2158" s="919"/>
      <c r="K2158" s="920"/>
      <c r="L2158" s="920"/>
      <c r="M2158" s="920">
        <f t="shared" si="66"/>
        <v>0</v>
      </c>
      <c r="N2158" s="919">
        <v>1</v>
      </c>
      <c r="O2158" s="919">
        <v>1</v>
      </c>
      <c r="P2158" s="921">
        <f t="shared" si="67"/>
        <v>2250</v>
      </c>
    </row>
    <row r="2159" spans="1:16" ht="20.100000000000001" customHeight="1" x14ac:dyDescent="0.25">
      <c r="A2159" s="918" t="s">
        <v>473</v>
      </c>
      <c r="B2159" s="944" t="s">
        <v>3901</v>
      </c>
      <c r="C2159" s="919" t="s">
        <v>3902</v>
      </c>
      <c r="D2159" s="919" t="s">
        <v>4128</v>
      </c>
      <c r="E2159" s="920">
        <v>2250</v>
      </c>
      <c r="F2159" s="919" t="s">
        <v>7835</v>
      </c>
      <c r="G2159" s="919" t="s">
        <v>7836</v>
      </c>
      <c r="H2159" s="919" t="s">
        <v>4128</v>
      </c>
      <c r="I2159" s="919" t="s">
        <v>3679</v>
      </c>
      <c r="J2159" s="919"/>
      <c r="K2159" s="920">
        <v>1</v>
      </c>
      <c r="L2159" s="920">
        <v>12</v>
      </c>
      <c r="M2159" s="920">
        <f t="shared" si="66"/>
        <v>27000</v>
      </c>
      <c r="N2159" s="919"/>
      <c r="O2159" s="919"/>
      <c r="P2159" s="921">
        <f t="shared" si="67"/>
        <v>0</v>
      </c>
    </row>
    <row r="2160" spans="1:16" ht="20.100000000000001" customHeight="1" x14ac:dyDescent="0.25">
      <c r="A2160" s="918" t="s">
        <v>473</v>
      </c>
      <c r="B2160" s="944" t="s">
        <v>3901</v>
      </c>
      <c r="C2160" s="919" t="s">
        <v>3902</v>
      </c>
      <c r="D2160" s="919" t="s">
        <v>7837</v>
      </c>
      <c r="E2160" s="920">
        <v>2250</v>
      </c>
      <c r="F2160" s="919" t="s">
        <v>7838</v>
      </c>
      <c r="G2160" s="919" t="s">
        <v>7839</v>
      </c>
      <c r="H2160" s="919" t="s">
        <v>7837</v>
      </c>
      <c r="I2160" s="919" t="s">
        <v>3679</v>
      </c>
      <c r="J2160" s="919"/>
      <c r="K2160" s="920"/>
      <c r="L2160" s="920"/>
      <c r="M2160" s="920">
        <f t="shared" si="66"/>
        <v>0</v>
      </c>
      <c r="N2160" s="919">
        <v>1</v>
      </c>
      <c r="O2160" s="919">
        <v>1</v>
      </c>
      <c r="P2160" s="921">
        <f t="shared" si="67"/>
        <v>2250</v>
      </c>
    </row>
    <row r="2161" spans="1:16" ht="20.100000000000001" customHeight="1" x14ac:dyDescent="0.25">
      <c r="A2161" s="918" t="s">
        <v>473</v>
      </c>
      <c r="B2161" s="944" t="s">
        <v>3901</v>
      </c>
      <c r="C2161" s="919" t="s">
        <v>3902</v>
      </c>
      <c r="D2161" s="919" t="s">
        <v>7837</v>
      </c>
      <c r="E2161" s="920">
        <v>1000</v>
      </c>
      <c r="F2161" s="919" t="s">
        <v>4041</v>
      </c>
      <c r="G2161" s="919" t="s">
        <v>4042</v>
      </c>
      <c r="H2161" s="919" t="s">
        <v>7837</v>
      </c>
      <c r="I2161" s="919" t="s">
        <v>3679</v>
      </c>
      <c r="J2161" s="919"/>
      <c r="K2161" s="920">
        <v>1</v>
      </c>
      <c r="L2161" s="920">
        <v>12</v>
      </c>
      <c r="M2161" s="920">
        <f t="shared" si="66"/>
        <v>12000</v>
      </c>
      <c r="N2161" s="919"/>
      <c r="O2161" s="919"/>
      <c r="P2161" s="921">
        <f t="shared" si="67"/>
        <v>0</v>
      </c>
    </row>
    <row r="2162" spans="1:16" ht="20.100000000000001" customHeight="1" x14ac:dyDescent="0.25">
      <c r="A2162" s="918" t="s">
        <v>473</v>
      </c>
      <c r="B2162" s="944" t="s">
        <v>3901</v>
      </c>
      <c r="C2162" s="919" t="s">
        <v>3902</v>
      </c>
      <c r="D2162" s="919" t="s">
        <v>4250</v>
      </c>
      <c r="E2162" s="920">
        <v>3500</v>
      </c>
      <c r="F2162" s="919" t="s">
        <v>7840</v>
      </c>
      <c r="G2162" s="919" t="s">
        <v>7841</v>
      </c>
      <c r="H2162" s="919" t="s">
        <v>4250</v>
      </c>
      <c r="I2162" s="919" t="s">
        <v>3679</v>
      </c>
      <c r="J2162" s="919"/>
      <c r="K2162" s="920"/>
      <c r="L2162" s="920"/>
      <c r="M2162" s="920">
        <f t="shared" si="66"/>
        <v>0</v>
      </c>
      <c r="N2162" s="919">
        <v>1</v>
      </c>
      <c r="O2162" s="919">
        <v>5</v>
      </c>
      <c r="P2162" s="921">
        <f t="shared" si="67"/>
        <v>17500</v>
      </c>
    </row>
    <row r="2163" spans="1:16" ht="20.100000000000001" customHeight="1" x14ac:dyDescent="0.25">
      <c r="A2163" s="918" t="s">
        <v>473</v>
      </c>
      <c r="B2163" s="944" t="s">
        <v>3901</v>
      </c>
      <c r="C2163" s="919" t="s">
        <v>3902</v>
      </c>
      <c r="D2163" s="919" t="s">
        <v>4492</v>
      </c>
      <c r="E2163" s="920">
        <v>2800</v>
      </c>
      <c r="F2163" s="919" t="s">
        <v>7842</v>
      </c>
      <c r="G2163" s="919" t="s">
        <v>7843</v>
      </c>
      <c r="H2163" s="919" t="s">
        <v>4492</v>
      </c>
      <c r="I2163" s="919" t="s">
        <v>3679</v>
      </c>
      <c r="J2163" s="919"/>
      <c r="K2163" s="920"/>
      <c r="L2163" s="920"/>
      <c r="M2163" s="920">
        <f t="shared" si="66"/>
        <v>0</v>
      </c>
      <c r="N2163" s="919">
        <v>1</v>
      </c>
      <c r="O2163" s="919">
        <v>4</v>
      </c>
      <c r="P2163" s="921">
        <f t="shared" si="67"/>
        <v>11200</v>
      </c>
    </row>
    <row r="2164" spans="1:16" ht="20.100000000000001" customHeight="1" x14ac:dyDescent="0.25">
      <c r="A2164" s="918" t="s">
        <v>473</v>
      </c>
      <c r="B2164" s="944" t="s">
        <v>3901</v>
      </c>
      <c r="C2164" s="919" t="s">
        <v>3902</v>
      </c>
      <c r="D2164" s="919" t="s">
        <v>4492</v>
      </c>
      <c r="E2164" s="920">
        <v>2800</v>
      </c>
      <c r="F2164" s="919" t="s">
        <v>7844</v>
      </c>
      <c r="G2164" s="919" t="s">
        <v>7845</v>
      </c>
      <c r="H2164" s="919" t="s">
        <v>4492</v>
      </c>
      <c r="I2164" s="919" t="s">
        <v>3679</v>
      </c>
      <c r="J2164" s="919"/>
      <c r="K2164" s="920"/>
      <c r="L2164" s="920"/>
      <c r="M2164" s="920">
        <f t="shared" si="66"/>
        <v>0</v>
      </c>
      <c r="N2164" s="919">
        <v>1</v>
      </c>
      <c r="O2164" s="919">
        <v>1</v>
      </c>
      <c r="P2164" s="921">
        <f t="shared" si="67"/>
        <v>2800</v>
      </c>
    </row>
    <row r="2165" spans="1:16" ht="20.100000000000001" customHeight="1" x14ac:dyDescent="0.25">
      <c r="A2165" s="918" t="s">
        <v>473</v>
      </c>
      <c r="B2165" s="944" t="s">
        <v>3901</v>
      </c>
      <c r="C2165" s="919" t="s">
        <v>3902</v>
      </c>
      <c r="D2165" s="919" t="s">
        <v>4492</v>
      </c>
      <c r="E2165" s="920">
        <v>2800</v>
      </c>
      <c r="F2165" s="919" t="s">
        <v>4041</v>
      </c>
      <c r="G2165" s="919" t="s">
        <v>4042</v>
      </c>
      <c r="H2165" s="919" t="s">
        <v>4492</v>
      </c>
      <c r="I2165" s="919" t="s">
        <v>3679</v>
      </c>
      <c r="J2165" s="919"/>
      <c r="K2165" s="920">
        <v>1</v>
      </c>
      <c r="L2165" s="920">
        <v>12</v>
      </c>
      <c r="M2165" s="920">
        <f t="shared" si="66"/>
        <v>33600</v>
      </c>
      <c r="N2165" s="919"/>
      <c r="O2165" s="919"/>
      <c r="P2165" s="921">
        <f t="shared" si="67"/>
        <v>0</v>
      </c>
    </row>
    <row r="2166" spans="1:16" ht="20.100000000000001" customHeight="1" x14ac:dyDescent="0.25">
      <c r="A2166" s="918" t="s">
        <v>473</v>
      </c>
      <c r="B2166" s="944" t="s">
        <v>3901</v>
      </c>
      <c r="C2166" s="919" t="s">
        <v>3902</v>
      </c>
      <c r="D2166" s="919" t="s">
        <v>5448</v>
      </c>
      <c r="E2166" s="920">
        <v>4500</v>
      </c>
      <c r="F2166" s="919" t="s">
        <v>7846</v>
      </c>
      <c r="G2166" s="919" t="s">
        <v>7847</v>
      </c>
      <c r="H2166" s="919" t="s">
        <v>5448</v>
      </c>
      <c r="I2166" s="919" t="s">
        <v>3679</v>
      </c>
      <c r="J2166" s="919"/>
      <c r="K2166" s="920"/>
      <c r="L2166" s="920"/>
      <c r="M2166" s="920">
        <f t="shared" si="66"/>
        <v>0</v>
      </c>
      <c r="N2166" s="919">
        <v>1</v>
      </c>
      <c r="O2166" s="919">
        <v>5</v>
      </c>
      <c r="P2166" s="921">
        <f t="shared" si="67"/>
        <v>22500</v>
      </c>
    </row>
    <row r="2167" spans="1:16" ht="20.100000000000001" customHeight="1" x14ac:dyDescent="0.25">
      <c r="A2167" s="918" t="s">
        <v>473</v>
      </c>
      <c r="B2167" s="944" t="s">
        <v>3901</v>
      </c>
      <c r="C2167" s="919" t="s">
        <v>3902</v>
      </c>
      <c r="D2167" s="919" t="s">
        <v>5448</v>
      </c>
      <c r="E2167" s="920">
        <v>4500</v>
      </c>
      <c r="F2167" s="919" t="s">
        <v>7848</v>
      </c>
      <c r="G2167" s="919" t="s">
        <v>7849</v>
      </c>
      <c r="H2167" s="919" t="s">
        <v>5448</v>
      </c>
      <c r="I2167" s="919" t="s">
        <v>3679</v>
      </c>
      <c r="J2167" s="919"/>
      <c r="K2167" s="920"/>
      <c r="L2167" s="920"/>
      <c r="M2167" s="920">
        <f t="shared" si="66"/>
        <v>0</v>
      </c>
      <c r="N2167" s="919">
        <v>1</v>
      </c>
      <c r="O2167" s="919">
        <v>1</v>
      </c>
      <c r="P2167" s="921">
        <f t="shared" si="67"/>
        <v>4500</v>
      </c>
    </row>
    <row r="2168" spans="1:16" ht="20.100000000000001" customHeight="1" x14ac:dyDescent="0.25">
      <c r="A2168" s="918" t="s">
        <v>473</v>
      </c>
      <c r="B2168" s="944" t="s">
        <v>3901</v>
      </c>
      <c r="C2168" s="919" t="s">
        <v>3902</v>
      </c>
      <c r="D2168" s="919" t="s">
        <v>5448</v>
      </c>
      <c r="E2168" s="920">
        <v>4500</v>
      </c>
      <c r="F2168" s="919" t="s">
        <v>7850</v>
      </c>
      <c r="G2168" s="919" t="s">
        <v>7851</v>
      </c>
      <c r="H2168" s="919" t="s">
        <v>5448</v>
      </c>
      <c r="I2168" s="919" t="s">
        <v>3679</v>
      </c>
      <c r="J2168" s="919"/>
      <c r="K2168" s="920"/>
      <c r="L2168" s="920"/>
      <c r="M2168" s="920">
        <f t="shared" si="66"/>
        <v>0</v>
      </c>
      <c r="N2168" s="919">
        <v>1</v>
      </c>
      <c r="O2168" s="919">
        <v>5</v>
      </c>
      <c r="P2168" s="921">
        <f t="shared" si="67"/>
        <v>22500</v>
      </c>
    </row>
    <row r="2169" spans="1:16" ht="20.100000000000001" customHeight="1" x14ac:dyDescent="0.25">
      <c r="A2169" s="918" t="s">
        <v>473</v>
      </c>
      <c r="B2169" s="944" t="s">
        <v>3901</v>
      </c>
      <c r="C2169" s="919" t="s">
        <v>3902</v>
      </c>
      <c r="D2169" s="919" t="s">
        <v>4774</v>
      </c>
      <c r="E2169" s="920">
        <v>2000</v>
      </c>
      <c r="F2169" s="919" t="s">
        <v>7852</v>
      </c>
      <c r="G2169" s="919" t="s">
        <v>7853</v>
      </c>
      <c r="H2169" s="919" t="s">
        <v>4774</v>
      </c>
      <c r="I2169" s="919" t="s">
        <v>3679</v>
      </c>
      <c r="J2169" s="919"/>
      <c r="K2169" s="920"/>
      <c r="L2169" s="920"/>
      <c r="M2169" s="920">
        <f t="shared" si="66"/>
        <v>0</v>
      </c>
      <c r="N2169" s="919">
        <v>1</v>
      </c>
      <c r="O2169" s="919">
        <v>5</v>
      </c>
      <c r="P2169" s="921">
        <f t="shared" si="67"/>
        <v>10000</v>
      </c>
    </row>
    <row r="2170" spans="1:16" ht="20.100000000000001" customHeight="1" x14ac:dyDescent="0.25">
      <c r="A2170" s="918" t="s">
        <v>473</v>
      </c>
      <c r="B2170" s="944" t="s">
        <v>3901</v>
      </c>
      <c r="C2170" s="919" t="s">
        <v>3902</v>
      </c>
      <c r="D2170" s="919" t="s">
        <v>4774</v>
      </c>
      <c r="E2170" s="920">
        <v>2000</v>
      </c>
      <c r="F2170" s="919" t="s">
        <v>7854</v>
      </c>
      <c r="G2170" s="919" t="s">
        <v>7855</v>
      </c>
      <c r="H2170" s="919" t="s">
        <v>4774</v>
      </c>
      <c r="I2170" s="919" t="s">
        <v>3679</v>
      </c>
      <c r="J2170" s="919"/>
      <c r="K2170" s="920"/>
      <c r="L2170" s="920"/>
      <c r="M2170" s="920">
        <f t="shared" si="66"/>
        <v>0</v>
      </c>
      <c r="N2170" s="919">
        <v>1</v>
      </c>
      <c r="O2170" s="919">
        <v>5</v>
      </c>
      <c r="P2170" s="921">
        <f t="shared" si="67"/>
        <v>10000</v>
      </c>
    </row>
    <row r="2171" spans="1:16" ht="20.100000000000001" customHeight="1" x14ac:dyDescent="0.25">
      <c r="A2171" s="918" t="s">
        <v>473</v>
      </c>
      <c r="B2171" s="944" t="s">
        <v>3901</v>
      </c>
      <c r="C2171" s="919" t="s">
        <v>3902</v>
      </c>
      <c r="D2171" s="919" t="s">
        <v>4774</v>
      </c>
      <c r="E2171" s="920">
        <v>2000</v>
      </c>
      <c r="F2171" s="919" t="s">
        <v>7856</v>
      </c>
      <c r="G2171" s="919" t="s">
        <v>7857</v>
      </c>
      <c r="H2171" s="919" t="s">
        <v>4774</v>
      </c>
      <c r="I2171" s="919" t="s">
        <v>3679</v>
      </c>
      <c r="J2171" s="919"/>
      <c r="K2171" s="920"/>
      <c r="L2171" s="920"/>
      <c r="M2171" s="920">
        <f t="shared" si="66"/>
        <v>0</v>
      </c>
      <c r="N2171" s="919">
        <v>1</v>
      </c>
      <c r="O2171" s="919">
        <v>5</v>
      </c>
      <c r="P2171" s="921">
        <f t="shared" si="67"/>
        <v>10000</v>
      </c>
    </row>
    <row r="2172" spans="1:16" ht="20.100000000000001" customHeight="1" x14ac:dyDescent="0.25">
      <c r="A2172" s="918" t="s">
        <v>473</v>
      </c>
      <c r="B2172" s="944" t="s">
        <v>3901</v>
      </c>
      <c r="C2172" s="919" t="s">
        <v>3902</v>
      </c>
      <c r="D2172" s="919" t="s">
        <v>4499</v>
      </c>
      <c r="E2172" s="920">
        <v>2500</v>
      </c>
      <c r="F2172" s="919" t="s">
        <v>7858</v>
      </c>
      <c r="G2172" s="919" t="s">
        <v>7859</v>
      </c>
      <c r="H2172" s="919" t="s">
        <v>4499</v>
      </c>
      <c r="I2172" s="919" t="s">
        <v>3679</v>
      </c>
      <c r="J2172" s="919"/>
      <c r="K2172" s="920"/>
      <c r="L2172" s="920"/>
      <c r="M2172" s="920">
        <f t="shared" si="66"/>
        <v>0</v>
      </c>
      <c r="N2172" s="919">
        <v>1</v>
      </c>
      <c r="O2172" s="919">
        <v>4</v>
      </c>
      <c r="P2172" s="921">
        <f t="shared" si="67"/>
        <v>10000</v>
      </c>
    </row>
    <row r="2173" spans="1:16" ht="20.100000000000001" customHeight="1" x14ac:dyDescent="0.25">
      <c r="A2173" s="918" t="s">
        <v>473</v>
      </c>
      <c r="B2173" s="944" t="s">
        <v>3901</v>
      </c>
      <c r="C2173" s="919" t="s">
        <v>3902</v>
      </c>
      <c r="D2173" s="919" t="s">
        <v>4881</v>
      </c>
      <c r="E2173" s="920">
        <v>3200</v>
      </c>
      <c r="F2173" s="919" t="s">
        <v>7860</v>
      </c>
      <c r="G2173" s="919" t="s">
        <v>7861</v>
      </c>
      <c r="H2173" s="919" t="s">
        <v>4881</v>
      </c>
      <c r="I2173" s="919" t="s">
        <v>3679</v>
      </c>
      <c r="J2173" s="919"/>
      <c r="K2173" s="920"/>
      <c r="L2173" s="920"/>
      <c r="M2173" s="920">
        <f t="shared" si="66"/>
        <v>0</v>
      </c>
      <c r="N2173" s="919">
        <v>1</v>
      </c>
      <c r="O2173" s="919">
        <v>5</v>
      </c>
      <c r="P2173" s="921">
        <f t="shared" si="67"/>
        <v>16000</v>
      </c>
    </row>
    <row r="2174" spans="1:16" ht="20.100000000000001" customHeight="1" x14ac:dyDescent="0.25">
      <c r="A2174" s="918" t="s">
        <v>473</v>
      </c>
      <c r="B2174" s="944" t="s">
        <v>3901</v>
      </c>
      <c r="C2174" s="919" t="s">
        <v>3902</v>
      </c>
      <c r="D2174" s="919" t="s">
        <v>4881</v>
      </c>
      <c r="E2174" s="920">
        <v>3200</v>
      </c>
      <c r="F2174" s="919" t="s">
        <v>7862</v>
      </c>
      <c r="G2174" s="919" t="s">
        <v>7863</v>
      </c>
      <c r="H2174" s="919" t="s">
        <v>4881</v>
      </c>
      <c r="I2174" s="919" t="s">
        <v>3679</v>
      </c>
      <c r="J2174" s="919"/>
      <c r="K2174" s="920"/>
      <c r="L2174" s="920"/>
      <c r="M2174" s="920">
        <f t="shared" si="66"/>
        <v>0</v>
      </c>
      <c r="N2174" s="919">
        <v>1</v>
      </c>
      <c r="O2174" s="919">
        <v>5</v>
      </c>
      <c r="P2174" s="921">
        <f t="shared" si="67"/>
        <v>16000</v>
      </c>
    </row>
    <row r="2175" spans="1:16" ht="20.100000000000001" customHeight="1" x14ac:dyDescent="0.25">
      <c r="A2175" s="918" t="s">
        <v>473</v>
      </c>
      <c r="B2175" s="944" t="s">
        <v>3901</v>
      </c>
      <c r="C2175" s="919" t="s">
        <v>3902</v>
      </c>
      <c r="D2175" s="919" t="s">
        <v>4881</v>
      </c>
      <c r="E2175" s="920">
        <v>3200</v>
      </c>
      <c r="F2175" s="919" t="s">
        <v>7864</v>
      </c>
      <c r="G2175" s="919" t="s">
        <v>7865</v>
      </c>
      <c r="H2175" s="919" t="s">
        <v>4881</v>
      </c>
      <c r="I2175" s="919" t="s">
        <v>3679</v>
      </c>
      <c r="J2175" s="919"/>
      <c r="K2175" s="920"/>
      <c r="L2175" s="920"/>
      <c r="M2175" s="920">
        <f t="shared" si="66"/>
        <v>0</v>
      </c>
      <c r="N2175" s="919">
        <v>1</v>
      </c>
      <c r="O2175" s="919">
        <v>1</v>
      </c>
      <c r="P2175" s="921">
        <f t="shared" si="67"/>
        <v>3200</v>
      </c>
    </row>
    <row r="2176" spans="1:16" ht="20.100000000000001" customHeight="1" x14ac:dyDescent="0.25">
      <c r="A2176" s="918" t="s">
        <v>473</v>
      </c>
      <c r="B2176" s="944" t="s">
        <v>3901</v>
      </c>
      <c r="C2176" s="919" t="s">
        <v>3902</v>
      </c>
      <c r="D2176" s="919" t="s">
        <v>4886</v>
      </c>
      <c r="E2176" s="920">
        <v>2300</v>
      </c>
      <c r="F2176" s="919" t="s">
        <v>7866</v>
      </c>
      <c r="G2176" s="919" t="s">
        <v>7867</v>
      </c>
      <c r="H2176" s="919" t="s">
        <v>4886</v>
      </c>
      <c r="I2176" s="919" t="s">
        <v>3679</v>
      </c>
      <c r="J2176" s="919"/>
      <c r="K2176" s="920"/>
      <c r="L2176" s="920"/>
      <c r="M2176" s="920">
        <f t="shared" si="66"/>
        <v>0</v>
      </c>
      <c r="N2176" s="919">
        <v>1</v>
      </c>
      <c r="O2176" s="919">
        <v>4</v>
      </c>
      <c r="P2176" s="921">
        <f t="shared" si="67"/>
        <v>9200</v>
      </c>
    </row>
    <row r="2177" spans="1:16" ht="20.100000000000001" customHeight="1" x14ac:dyDescent="0.25">
      <c r="A2177" s="918" t="s">
        <v>473</v>
      </c>
      <c r="B2177" s="944" t="s">
        <v>3901</v>
      </c>
      <c r="C2177" s="919" t="s">
        <v>3902</v>
      </c>
      <c r="D2177" s="919" t="s">
        <v>4886</v>
      </c>
      <c r="E2177" s="920">
        <v>2300</v>
      </c>
      <c r="F2177" s="919" t="s">
        <v>7868</v>
      </c>
      <c r="G2177" s="919" t="s">
        <v>7869</v>
      </c>
      <c r="H2177" s="919" t="s">
        <v>4886</v>
      </c>
      <c r="I2177" s="919" t="s">
        <v>3679</v>
      </c>
      <c r="J2177" s="919"/>
      <c r="K2177" s="920"/>
      <c r="L2177" s="920"/>
      <c r="M2177" s="920">
        <f t="shared" si="66"/>
        <v>0</v>
      </c>
      <c r="N2177" s="919">
        <v>1</v>
      </c>
      <c r="O2177" s="919">
        <v>1</v>
      </c>
      <c r="P2177" s="921">
        <f t="shared" si="67"/>
        <v>2300</v>
      </c>
    </row>
    <row r="2178" spans="1:16" ht="20.100000000000001" customHeight="1" x14ac:dyDescent="0.25">
      <c r="A2178" s="918" t="s">
        <v>473</v>
      </c>
      <c r="B2178" s="944" t="s">
        <v>3901</v>
      </c>
      <c r="C2178" s="919" t="s">
        <v>3902</v>
      </c>
      <c r="D2178" s="919" t="s">
        <v>4886</v>
      </c>
      <c r="E2178" s="920">
        <v>2300</v>
      </c>
      <c r="F2178" s="919" t="s">
        <v>7870</v>
      </c>
      <c r="G2178" s="919" t="s">
        <v>7871</v>
      </c>
      <c r="H2178" s="919" t="s">
        <v>4886</v>
      </c>
      <c r="I2178" s="919" t="s">
        <v>3679</v>
      </c>
      <c r="J2178" s="919"/>
      <c r="K2178" s="920"/>
      <c r="L2178" s="920"/>
      <c r="M2178" s="920">
        <f t="shared" si="66"/>
        <v>0</v>
      </c>
      <c r="N2178" s="919">
        <v>1</v>
      </c>
      <c r="O2178" s="919">
        <v>1</v>
      </c>
      <c r="P2178" s="921">
        <f t="shared" si="67"/>
        <v>2300</v>
      </c>
    </row>
    <row r="2179" spans="1:16" ht="20.100000000000001" customHeight="1" x14ac:dyDescent="0.25">
      <c r="A2179" s="918" t="s">
        <v>473</v>
      </c>
      <c r="B2179" s="944" t="s">
        <v>3901</v>
      </c>
      <c r="C2179" s="919" t="s">
        <v>3902</v>
      </c>
      <c r="D2179" s="919" t="s">
        <v>4657</v>
      </c>
      <c r="E2179" s="920">
        <v>1150</v>
      </c>
      <c r="F2179" s="919" t="s">
        <v>7872</v>
      </c>
      <c r="G2179" s="919" t="s">
        <v>7873</v>
      </c>
      <c r="H2179" s="919" t="s">
        <v>4657</v>
      </c>
      <c r="I2179" s="919" t="s">
        <v>3686</v>
      </c>
      <c r="J2179" s="919"/>
      <c r="K2179" s="920"/>
      <c r="L2179" s="920"/>
      <c r="M2179" s="920">
        <f t="shared" si="66"/>
        <v>0</v>
      </c>
      <c r="N2179" s="919">
        <v>1</v>
      </c>
      <c r="O2179" s="919">
        <v>5</v>
      </c>
      <c r="P2179" s="921">
        <f t="shared" si="67"/>
        <v>5750</v>
      </c>
    </row>
    <row r="2180" spans="1:16" ht="20.100000000000001" customHeight="1" x14ac:dyDescent="0.25">
      <c r="A2180" s="918" t="s">
        <v>473</v>
      </c>
      <c r="B2180" s="944" t="s">
        <v>3901</v>
      </c>
      <c r="C2180" s="919" t="s">
        <v>3902</v>
      </c>
      <c r="D2180" s="919" t="s">
        <v>4657</v>
      </c>
      <c r="E2180" s="920">
        <v>1150</v>
      </c>
      <c r="F2180" s="919" t="s">
        <v>7874</v>
      </c>
      <c r="G2180" s="919" t="s">
        <v>7875</v>
      </c>
      <c r="H2180" s="919" t="s">
        <v>4657</v>
      </c>
      <c r="I2180" s="919" t="s">
        <v>3686</v>
      </c>
      <c r="J2180" s="919"/>
      <c r="K2180" s="920"/>
      <c r="L2180" s="920"/>
      <c r="M2180" s="920">
        <f t="shared" si="66"/>
        <v>0</v>
      </c>
      <c r="N2180" s="919">
        <v>1</v>
      </c>
      <c r="O2180" s="919">
        <v>5</v>
      </c>
      <c r="P2180" s="921">
        <f t="shared" si="67"/>
        <v>5750</v>
      </c>
    </row>
    <row r="2181" spans="1:16" ht="20.100000000000001" customHeight="1" x14ac:dyDescent="0.25">
      <c r="A2181" s="918" t="s">
        <v>473</v>
      </c>
      <c r="B2181" s="944" t="s">
        <v>3901</v>
      </c>
      <c r="C2181" s="919" t="s">
        <v>3902</v>
      </c>
      <c r="D2181" s="919" t="s">
        <v>4657</v>
      </c>
      <c r="E2181" s="920">
        <v>1150</v>
      </c>
      <c r="F2181" s="919" t="s">
        <v>7876</v>
      </c>
      <c r="G2181" s="919" t="s">
        <v>7877</v>
      </c>
      <c r="H2181" s="919" t="s">
        <v>4657</v>
      </c>
      <c r="I2181" s="919" t="s">
        <v>3686</v>
      </c>
      <c r="J2181" s="919"/>
      <c r="K2181" s="920"/>
      <c r="L2181" s="920"/>
      <c r="M2181" s="920">
        <f t="shared" si="66"/>
        <v>0</v>
      </c>
      <c r="N2181" s="919">
        <v>1</v>
      </c>
      <c r="O2181" s="919">
        <v>5</v>
      </c>
      <c r="P2181" s="921">
        <f t="shared" si="67"/>
        <v>5750</v>
      </c>
    </row>
    <row r="2182" spans="1:16" ht="20.100000000000001" customHeight="1" x14ac:dyDescent="0.25">
      <c r="A2182" s="918" t="s">
        <v>473</v>
      </c>
      <c r="B2182" s="944" t="s">
        <v>3901</v>
      </c>
      <c r="C2182" s="919" t="s">
        <v>3902</v>
      </c>
      <c r="D2182" s="919" t="s">
        <v>4895</v>
      </c>
      <c r="E2182" s="920">
        <v>1150</v>
      </c>
      <c r="F2182" s="919" t="s">
        <v>4041</v>
      </c>
      <c r="G2182" s="919" t="s">
        <v>4042</v>
      </c>
      <c r="H2182" s="919" t="s">
        <v>4895</v>
      </c>
      <c r="I2182" s="919" t="s">
        <v>3693</v>
      </c>
      <c r="J2182" s="919"/>
      <c r="K2182" s="920">
        <v>1</v>
      </c>
      <c r="L2182" s="920">
        <v>12</v>
      </c>
      <c r="M2182" s="920">
        <f t="shared" ref="M2182:M2245" si="68">E2182*L2182</f>
        <v>13800</v>
      </c>
      <c r="N2182" s="919"/>
      <c r="O2182" s="919"/>
      <c r="P2182" s="921">
        <f t="shared" ref="P2182:P2245" si="69">E2182*O2182</f>
        <v>0</v>
      </c>
    </row>
    <row r="2183" spans="1:16" ht="20.100000000000001" customHeight="1" x14ac:dyDescent="0.25">
      <c r="A2183" s="918" t="s">
        <v>473</v>
      </c>
      <c r="B2183" s="944" t="s">
        <v>3901</v>
      </c>
      <c r="C2183" s="919" t="s">
        <v>3902</v>
      </c>
      <c r="D2183" s="919" t="s">
        <v>4895</v>
      </c>
      <c r="E2183" s="920">
        <v>1150</v>
      </c>
      <c r="F2183" s="919" t="s">
        <v>4041</v>
      </c>
      <c r="G2183" s="919" t="s">
        <v>4042</v>
      </c>
      <c r="H2183" s="919" t="s">
        <v>4895</v>
      </c>
      <c r="I2183" s="919" t="s">
        <v>3693</v>
      </c>
      <c r="J2183" s="919"/>
      <c r="K2183" s="920">
        <v>1</v>
      </c>
      <c r="L2183" s="920">
        <v>12</v>
      </c>
      <c r="M2183" s="920">
        <f t="shared" si="68"/>
        <v>13800</v>
      </c>
      <c r="N2183" s="919"/>
      <c r="O2183" s="919"/>
      <c r="P2183" s="921">
        <f t="shared" si="69"/>
        <v>0</v>
      </c>
    </row>
    <row r="2184" spans="1:16" ht="20.100000000000001" customHeight="1" x14ac:dyDescent="0.25">
      <c r="A2184" s="918" t="s">
        <v>473</v>
      </c>
      <c r="B2184" s="944" t="s">
        <v>3901</v>
      </c>
      <c r="C2184" s="919" t="s">
        <v>3902</v>
      </c>
      <c r="D2184" s="919" t="s">
        <v>4895</v>
      </c>
      <c r="E2184" s="920">
        <v>1150</v>
      </c>
      <c r="F2184" s="919" t="s">
        <v>4041</v>
      </c>
      <c r="G2184" s="919" t="s">
        <v>4042</v>
      </c>
      <c r="H2184" s="919" t="s">
        <v>4895</v>
      </c>
      <c r="I2184" s="919" t="s">
        <v>3693</v>
      </c>
      <c r="J2184" s="919"/>
      <c r="K2184" s="920">
        <v>1</v>
      </c>
      <c r="L2184" s="920">
        <v>12</v>
      </c>
      <c r="M2184" s="920">
        <f t="shared" si="68"/>
        <v>13800</v>
      </c>
      <c r="N2184" s="919"/>
      <c r="O2184" s="919"/>
      <c r="P2184" s="921">
        <f t="shared" si="69"/>
        <v>0</v>
      </c>
    </row>
    <row r="2185" spans="1:16" ht="20.100000000000001" customHeight="1" x14ac:dyDescent="0.25">
      <c r="A2185" s="918" t="s">
        <v>473</v>
      </c>
      <c r="B2185" s="944" t="s">
        <v>3901</v>
      </c>
      <c r="C2185" s="919" t="s">
        <v>3902</v>
      </c>
      <c r="D2185" s="919" t="s">
        <v>4895</v>
      </c>
      <c r="E2185" s="920">
        <v>1150</v>
      </c>
      <c r="F2185" s="919" t="s">
        <v>4041</v>
      </c>
      <c r="G2185" s="919" t="s">
        <v>4042</v>
      </c>
      <c r="H2185" s="919" t="s">
        <v>4895</v>
      </c>
      <c r="I2185" s="919" t="s">
        <v>3693</v>
      </c>
      <c r="J2185" s="919"/>
      <c r="K2185" s="920">
        <v>1</v>
      </c>
      <c r="L2185" s="920">
        <v>12</v>
      </c>
      <c r="M2185" s="920">
        <f t="shared" si="68"/>
        <v>13800</v>
      </c>
      <c r="N2185" s="919"/>
      <c r="O2185" s="919"/>
      <c r="P2185" s="921">
        <f t="shared" si="69"/>
        <v>0</v>
      </c>
    </row>
    <row r="2186" spans="1:16" ht="20.100000000000001" customHeight="1" x14ac:dyDescent="0.25">
      <c r="A2186" s="918" t="s">
        <v>473</v>
      </c>
      <c r="B2186" s="944" t="s">
        <v>3901</v>
      </c>
      <c r="C2186" s="919" t="s">
        <v>3902</v>
      </c>
      <c r="D2186" s="919" t="s">
        <v>4895</v>
      </c>
      <c r="E2186" s="920">
        <v>1150</v>
      </c>
      <c r="F2186" s="919" t="s">
        <v>4041</v>
      </c>
      <c r="G2186" s="919" t="s">
        <v>4042</v>
      </c>
      <c r="H2186" s="919" t="s">
        <v>4895</v>
      </c>
      <c r="I2186" s="919" t="s">
        <v>3693</v>
      </c>
      <c r="J2186" s="919"/>
      <c r="K2186" s="920">
        <v>1</v>
      </c>
      <c r="L2186" s="920">
        <v>12</v>
      </c>
      <c r="M2186" s="920">
        <f t="shared" si="68"/>
        <v>13800</v>
      </c>
      <c r="N2186" s="919"/>
      <c r="O2186" s="919"/>
      <c r="P2186" s="921">
        <f t="shared" si="69"/>
        <v>0</v>
      </c>
    </row>
    <row r="2187" spans="1:16" ht="20.100000000000001" customHeight="1" x14ac:dyDescent="0.25">
      <c r="A2187" s="918" t="s">
        <v>473</v>
      </c>
      <c r="B2187" s="944" t="s">
        <v>3901</v>
      </c>
      <c r="C2187" s="919" t="s">
        <v>3902</v>
      </c>
      <c r="D2187" s="919" t="s">
        <v>4895</v>
      </c>
      <c r="E2187" s="920">
        <v>1150</v>
      </c>
      <c r="F2187" s="919" t="s">
        <v>4041</v>
      </c>
      <c r="G2187" s="919" t="s">
        <v>4042</v>
      </c>
      <c r="H2187" s="919" t="s">
        <v>4895</v>
      </c>
      <c r="I2187" s="919" t="s">
        <v>3693</v>
      </c>
      <c r="J2187" s="919"/>
      <c r="K2187" s="920">
        <v>1</v>
      </c>
      <c r="L2187" s="920">
        <v>12</v>
      </c>
      <c r="M2187" s="920">
        <f t="shared" si="68"/>
        <v>13800</v>
      </c>
      <c r="N2187" s="919"/>
      <c r="O2187" s="919"/>
      <c r="P2187" s="921">
        <f t="shared" si="69"/>
        <v>0</v>
      </c>
    </row>
    <row r="2188" spans="1:16" ht="20.100000000000001" customHeight="1" x14ac:dyDescent="0.25">
      <c r="A2188" s="918" t="s">
        <v>473</v>
      </c>
      <c r="B2188" s="944" t="s">
        <v>3901</v>
      </c>
      <c r="C2188" s="919" t="s">
        <v>3902</v>
      </c>
      <c r="D2188" s="919" t="s">
        <v>4895</v>
      </c>
      <c r="E2188" s="920">
        <v>1150</v>
      </c>
      <c r="F2188" s="919" t="s">
        <v>4041</v>
      </c>
      <c r="G2188" s="919" t="s">
        <v>4062</v>
      </c>
      <c r="H2188" s="919" t="s">
        <v>4895</v>
      </c>
      <c r="I2188" s="919" t="s">
        <v>3693</v>
      </c>
      <c r="J2188" s="919"/>
      <c r="K2188" s="920">
        <v>1</v>
      </c>
      <c r="L2188" s="920">
        <v>12</v>
      </c>
      <c r="M2188" s="920">
        <f t="shared" si="68"/>
        <v>13800</v>
      </c>
      <c r="N2188" s="919"/>
      <c r="O2188" s="919"/>
      <c r="P2188" s="921">
        <f t="shared" si="69"/>
        <v>0</v>
      </c>
    </row>
    <row r="2189" spans="1:16" ht="20.100000000000001" customHeight="1" x14ac:dyDescent="0.25">
      <c r="A2189" s="918" t="s">
        <v>473</v>
      </c>
      <c r="B2189" s="944" t="s">
        <v>3901</v>
      </c>
      <c r="C2189" s="919" t="s">
        <v>3902</v>
      </c>
      <c r="D2189" s="919" t="s">
        <v>4502</v>
      </c>
      <c r="E2189" s="920">
        <v>1150</v>
      </c>
      <c r="F2189" s="919" t="s">
        <v>7878</v>
      </c>
      <c r="G2189" s="919" t="s">
        <v>7879</v>
      </c>
      <c r="H2189" s="919" t="s">
        <v>4502</v>
      </c>
      <c r="I2189" s="919" t="s">
        <v>3686</v>
      </c>
      <c r="J2189" s="919"/>
      <c r="K2189" s="920"/>
      <c r="L2189" s="920"/>
      <c r="M2189" s="920">
        <f t="shared" si="68"/>
        <v>0</v>
      </c>
      <c r="N2189" s="919">
        <v>1</v>
      </c>
      <c r="O2189" s="919">
        <v>1</v>
      </c>
      <c r="P2189" s="921">
        <f t="shared" si="69"/>
        <v>1150</v>
      </c>
    </row>
    <row r="2190" spans="1:16" ht="20.100000000000001" customHeight="1" x14ac:dyDescent="0.25">
      <c r="A2190" s="918" t="s">
        <v>473</v>
      </c>
      <c r="B2190" s="944" t="s">
        <v>3901</v>
      </c>
      <c r="C2190" s="919" t="s">
        <v>3902</v>
      </c>
      <c r="D2190" s="919" t="s">
        <v>4502</v>
      </c>
      <c r="E2190" s="920">
        <v>1150</v>
      </c>
      <c r="F2190" s="919" t="s">
        <v>7880</v>
      </c>
      <c r="G2190" s="919" t="s">
        <v>7881</v>
      </c>
      <c r="H2190" s="919" t="s">
        <v>4502</v>
      </c>
      <c r="I2190" s="919" t="s">
        <v>3686</v>
      </c>
      <c r="J2190" s="919"/>
      <c r="K2190" s="920"/>
      <c r="L2190" s="920"/>
      <c r="M2190" s="920">
        <f t="shared" si="68"/>
        <v>0</v>
      </c>
      <c r="N2190" s="919">
        <v>1</v>
      </c>
      <c r="O2190" s="919">
        <v>5</v>
      </c>
      <c r="P2190" s="921">
        <f t="shared" si="69"/>
        <v>5750</v>
      </c>
    </row>
    <row r="2191" spans="1:16" ht="20.100000000000001" customHeight="1" x14ac:dyDescent="0.25">
      <c r="A2191" s="918" t="s">
        <v>473</v>
      </c>
      <c r="B2191" s="944" t="s">
        <v>3901</v>
      </c>
      <c r="C2191" s="919" t="s">
        <v>3902</v>
      </c>
      <c r="D2191" s="919" t="s">
        <v>4502</v>
      </c>
      <c r="E2191" s="920">
        <v>1150</v>
      </c>
      <c r="F2191" s="919" t="s">
        <v>7882</v>
      </c>
      <c r="G2191" s="919" t="s">
        <v>7883</v>
      </c>
      <c r="H2191" s="919" t="s">
        <v>4502</v>
      </c>
      <c r="I2191" s="919" t="s">
        <v>3686</v>
      </c>
      <c r="J2191" s="919"/>
      <c r="K2191" s="920"/>
      <c r="L2191" s="920"/>
      <c r="M2191" s="920">
        <f t="shared" si="68"/>
        <v>0</v>
      </c>
      <c r="N2191" s="919">
        <v>1</v>
      </c>
      <c r="O2191" s="919">
        <v>5</v>
      </c>
      <c r="P2191" s="921">
        <f t="shared" si="69"/>
        <v>5750</v>
      </c>
    </row>
    <row r="2192" spans="1:16" ht="20.100000000000001" customHeight="1" x14ac:dyDescent="0.25">
      <c r="A2192" s="918" t="s">
        <v>473</v>
      </c>
      <c r="B2192" s="944" t="s">
        <v>3901</v>
      </c>
      <c r="C2192" s="919" t="s">
        <v>3902</v>
      </c>
      <c r="D2192" s="919" t="s">
        <v>4502</v>
      </c>
      <c r="E2192" s="920">
        <v>1150</v>
      </c>
      <c r="F2192" s="919" t="s">
        <v>7884</v>
      </c>
      <c r="G2192" s="919" t="s">
        <v>7885</v>
      </c>
      <c r="H2192" s="919" t="s">
        <v>4502</v>
      </c>
      <c r="I2192" s="919" t="s">
        <v>3686</v>
      </c>
      <c r="J2192" s="919"/>
      <c r="K2192" s="920"/>
      <c r="L2192" s="920"/>
      <c r="M2192" s="920">
        <f t="shared" si="68"/>
        <v>0</v>
      </c>
      <c r="N2192" s="919">
        <v>1</v>
      </c>
      <c r="O2192" s="919">
        <v>5</v>
      </c>
      <c r="P2192" s="921">
        <f t="shared" si="69"/>
        <v>5750</v>
      </c>
    </row>
    <row r="2193" spans="1:16" ht="20.100000000000001" customHeight="1" x14ac:dyDescent="0.25">
      <c r="A2193" s="918" t="s">
        <v>473</v>
      </c>
      <c r="B2193" s="944" t="s">
        <v>3901</v>
      </c>
      <c r="C2193" s="919" t="s">
        <v>3902</v>
      </c>
      <c r="D2193" s="919" t="s">
        <v>4502</v>
      </c>
      <c r="E2193" s="920">
        <v>1150</v>
      </c>
      <c r="F2193" s="919" t="s">
        <v>7886</v>
      </c>
      <c r="G2193" s="919" t="s">
        <v>7887</v>
      </c>
      <c r="H2193" s="919" t="s">
        <v>4502</v>
      </c>
      <c r="I2193" s="919" t="s">
        <v>3686</v>
      </c>
      <c r="J2193" s="919"/>
      <c r="K2193" s="920"/>
      <c r="L2193" s="920"/>
      <c r="M2193" s="920">
        <f t="shared" si="68"/>
        <v>0</v>
      </c>
      <c r="N2193" s="919">
        <v>1</v>
      </c>
      <c r="O2193" s="919">
        <v>5</v>
      </c>
      <c r="P2193" s="921">
        <f t="shared" si="69"/>
        <v>5750</v>
      </c>
    </row>
    <row r="2194" spans="1:16" ht="20.100000000000001" customHeight="1" x14ac:dyDescent="0.25">
      <c r="A2194" s="918" t="s">
        <v>473</v>
      </c>
      <c r="B2194" s="944" t="s">
        <v>3901</v>
      </c>
      <c r="C2194" s="919" t="s">
        <v>3902</v>
      </c>
      <c r="D2194" s="919" t="s">
        <v>4502</v>
      </c>
      <c r="E2194" s="920">
        <v>1150</v>
      </c>
      <c r="F2194" s="919" t="s">
        <v>7888</v>
      </c>
      <c r="G2194" s="919" t="s">
        <v>7889</v>
      </c>
      <c r="H2194" s="919" t="s">
        <v>4502</v>
      </c>
      <c r="I2194" s="919" t="s">
        <v>3686</v>
      </c>
      <c r="J2194" s="919"/>
      <c r="K2194" s="920"/>
      <c r="L2194" s="920"/>
      <c r="M2194" s="920">
        <f t="shared" si="68"/>
        <v>0</v>
      </c>
      <c r="N2194" s="919">
        <v>1</v>
      </c>
      <c r="O2194" s="919">
        <v>5</v>
      </c>
      <c r="P2194" s="921">
        <f t="shared" si="69"/>
        <v>5750</v>
      </c>
    </row>
    <row r="2195" spans="1:16" ht="20.100000000000001" customHeight="1" x14ac:dyDescent="0.25">
      <c r="A2195" s="918" t="s">
        <v>473</v>
      </c>
      <c r="B2195" s="944" t="s">
        <v>3901</v>
      </c>
      <c r="C2195" s="919" t="s">
        <v>3902</v>
      </c>
      <c r="D2195" s="919" t="s">
        <v>4502</v>
      </c>
      <c r="E2195" s="920">
        <v>1150</v>
      </c>
      <c r="F2195" s="919" t="s">
        <v>7890</v>
      </c>
      <c r="G2195" s="919" t="s">
        <v>7891</v>
      </c>
      <c r="H2195" s="919" t="s">
        <v>4502</v>
      </c>
      <c r="I2195" s="919" t="s">
        <v>3686</v>
      </c>
      <c r="J2195" s="919"/>
      <c r="K2195" s="920"/>
      <c r="L2195" s="920"/>
      <c r="M2195" s="920">
        <f t="shared" si="68"/>
        <v>0</v>
      </c>
      <c r="N2195" s="919">
        <v>1</v>
      </c>
      <c r="O2195" s="919">
        <v>5</v>
      </c>
      <c r="P2195" s="921">
        <f t="shared" si="69"/>
        <v>5750</v>
      </c>
    </row>
    <row r="2196" spans="1:16" ht="20.100000000000001" customHeight="1" x14ac:dyDescent="0.25">
      <c r="A2196" s="918" t="s">
        <v>473</v>
      </c>
      <c r="B2196" s="944" t="s">
        <v>3901</v>
      </c>
      <c r="C2196" s="919" t="s">
        <v>3902</v>
      </c>
      <c r="D2196" s="919" t="s">
        <v>4502</v>
      </c>
      <c r="E2196" s="920">
        <v>1150</v>
      </c>
      <c r="F2196" s="919" t="s">
        <v>7892</v>
      </c>
      <c r="G2196" s="919" t="s">
        <v>7893</v>
      </c>
      <c r="H2196" s="919" t="s">
        <v>4502</v>
      </c>
      <c r="I2196" s="919" t="s">
        <v>3686</v>
      </c>
      <c r="J2196" s="919"/>
      <c r="K2196" s="920"/>
      <c r="L2196" s="920"/>
      <c r="M2196" s="920">
        <f t="shared" si="68"/>
        <v>0</v>
      </c>
      <c r="N2196" s="919">
        <v>1</v>
      </c>
      <c r="O2196" s="919">
        <v>5</v>
      </c>
      <c r="P2196" s="921">
        <f t="shared" si="69"/>
        <v>5750</v>
      </c>
    </row>
    <row r="2197" spans="1:16" ht="20.100000000000001" customHeight="1" x14ac:dyDescent="0.25">
      <c r="A2197" s="918" t="s">
        <v>473</v>
      </c>
      <c r="B2197" s="944" t="s">
        <v>3901</v>
      </c>
      <c r="C2197" s="919" t="s">
        <v>3902</v>
      </c>
      <c r="D2197" s="919" t="s">
        <v>4531</v>
      </c>
      <c r="E2197" s="920">
        <v>1800</v>
      </c>
      <c r="F2197" s="919" t="s">
        <v>7894</v>
      </c>
      <c r="G2197" s="919" t="s">
        <v>7895</v>
      </c>
      <c r="H2197" s="919" t="s">
        <v>4531</v>
      </c>
      <c r="I2197" s="919" t="s">
        <v>3679</v>
      </c>
      <c r="J2197" s="919"/>
      <c r="K2197" s="920"/>
      <c r="L2197" s="920"/>
      <c r="M2197" s="920">
        <f t="shared" si="68"/>
        <v>0</v>
      </c>
      <c r="N2197" s="919">
        <v>1</v>
      </c>
      <c r="O2197" s="919">
        <v>4</v>
      </c>
      <c r="P2197" s="921">
        <f t="shared" si="69"/>
        <v>7200</v>
      </c>
    </row>
    <row r="2198" spans="1:16" ht="20.100000000000001" customHeight="1" x14ac:dyDescent="0.25">
      <c r="A2198" s="918" t="s">
        <v>473</v>
      </c>
      <c r="B2198" s="944" t="s">
        <v>3901</v>
      </c>
      <c r="C2198" s="919" t="s">
        <v>3902</v>
      </c>
      <c r="D2198" s="919" t="s">
        <v>4531</v>
      </c>
      <c r="E2198" s="920">
        <v>1800</v>
      </c>
      <c r="F2198" s="919" t="s">
        <v>7896</v>
      </c>
      <c r="G2198" s="919" t="s">
        <v>7897</v>
      </c>
      <c r="H2198" s="919" t="s">
        <v>4531</v>
      </c>
      <c r="I2198" s="919" t="s">
        <v>3679</v>
      </c>
      <c r="J2198" s="919"/>
      <c r="K2198" s="920"/>
      <c r="L2198" s="920"/>
      <c r="M2198" s="920">
        <f t="shared" si="68"/>
        <v>0</v>
      </c>
      <c r="N2198" s="919">
        <v>1</v>
      </c>
      <c r="O2198" s="919">
        <v>1</v>
      </c>
      <c r="P2198" s="921">
        <f t="shared" si="69"/>
        <v>1800</v>
      </c>
    </row>
    <row r="2199" spans="1:16" ht="20.100000000000001" customHeight="1" x14ac:dyDescent="0.25">
      <c r="A2199" s="918" t="s">
        <v>473</v>
      </c>
      <c r="B2199" s="944" t="s">
        <v>3901</v>
      </c>
      <c r="C2199" s="919" t="s">
        <v>3902</v>
      </c>
      <c r="D2199" s="919" t="s">
        <v>4531</v>
      </c>
      <c r="E2199" s="920">
        <v>1800</v>
      </c>
      <c r="F2199" s="919" t="s">
        <v>7898</v>
      </c>
      <c r="G2199" s="919" t="s">
        <v>7899</v>
      </c>
      <c r="H2199" s="919" t="s">
        <v>4531</v>
      </c>
      <c r="I2199" s="919" t="s">
        <v>3679</v>
      </c>
      <c r="J2199" s="919"/>
      <c r="K2199" s="920"/>
      <c r="L2199" s="920"/>
      <c r="M2199" s="920">
        <f t="shared" si="68"/>
        <v>0</v>
      </c>
      <c r="N2199" s="919">
        <v>1</v>
      </c>
      <c r="O2199" s="919">
        <v>4</v>
      </c>
      <c r="P2199" s="921">
        <f t="shared" si="69"/>
        <v>7200</v>
      </c>
    </row>
    <row r="2200" spans="1:16" ht="20.100000000000001" customHeight="1" x14ac:dyDescent="0.25">
      <c r="A2200" s="918" t="s">
        <v>473</v>
      </c>
      <c r="B2200" s="944" t="s">
        <v>3901</v>
      </c>
      <c r="C2200" s="919" t="s">
        <v>3902</v>
      </c>
      <c r="D2200" s="919" t="s">
        <v>4531</v>
      </c>
      <c r="E2200" s="920">
        <v>1800</v>
      </c>
      <c r="F2200" s="919" t="s">
        <v>7900</v>
      </c>
      <c r="G2200" s="919" t="s">
        <v>7901</v>
      </c>
      <c r="H2200" s="919" t="s">
        <v>4531</v>
      </c>
      <c r="I2200" s="919" t="s">
        <v>3679</v>
      </c>
      <c r="J2200" s="919"/>
      <c r="K2200" s="920"/>
      <c r="L2200" s="920"/>
      <c r="M2200" s="920">
        <f t="shared" si="68"/>
        <v>0</v>
      </c>
      <c r="N2200" s="919">
        <v>1</v>
      </c>
      <c r="O2200" s="919">
        <v>1</v>
      </c>
      <c r="P2200" s="921">
        <f t="shared" si="69"/>
        <v>1800</v>
      </c>
    </row>
    <row r="2201" spans="1:16" ht="20.100000000000001" customHeight="1" x14ac:dyDescent="0.25">
      <c r="A2201" s="918" t="s">
        <v>473</v>
      </c>
      <c r="B2201" s="944" t="s">
        <v>3901</v>
      </c>
      <c r="C2201" s="919" t="s">
        <v>3902</v>
      </c>
      <c r="D2201" s="919" t="s">
        <v>4531</v>
      </c>
      <c r="E2201" s="920">
        <v>1800</v>
      </c>
      <c r="F2201" s="919" t="s">
        <v>7902</v>
      </c>
      <c r="G2201" s="919" t="s">
        <v>7903</v>
      </c>
      <c r="H2201" s="919" t="s">
        <v>4531</v>
      </c>
      <c r="I2201" s="919" t="s">
        <v>3679</v>
      </c>
      <c r="J2201" s="919"/>
      <c r="K2201" s="920"/>
      <c r="L2201" s="920"/>
      <c r="M2201" s="920">
        <f t="shared" si="68"/>
        <v>0</v>
      </c>
      <c r="N2201" s="919">
        <v>1</v>
      </c>
      <c r="O2201" s="919">
        <v>4</v>
      </c>
      <c r="P2201" s="921">
        <f t="shared" si="69"/>
        <v>7200</v>
      </c>
    </row>
    <row r="2202" spans="1:16" ht="20.100000000000001" customHeight="1" x14ac:dyDescent="0.25">
      <c r="A2202" s="918" t="s">
        <v>473</v>
      </c>
      <c r="B2202" s="944" t="s">
        <v>3901</v>
      </c>
      <c r="C2202" s="919" t="s">
        <v>3902</v>
      </c>
      <c r="D2202" s="919" t="s">
        <v>4531</v>
      </c>
      <c r="E2202" s="920">
        <v>1800</v>
      </c>
      <c r="F2202" s="919" t="s">
        <v>7904</v>
      </c>
      <c r="G2202" s="919" t="s">
        <v>7905</v>
      </c>
      <c r="H2202" s="919" t="s">
        <v>4531</v>
      </c>
      <c r="I2202" s="919" t="s">
        <v>3679</v>
      </c>
      <c r="J2202" s="919"/>
      <c r="K2202" s="920"/>
      <c r="L2202" s="920"/>
      <c r="M2202" s="920">
        <f t="shared" si="68"/>
        <v>0</v>
      </c>
      <c r="N2202" s="919">
        <v>1</v>
      </c>
      <c r="O2202" s="919">
        <v>4</v>
      </c>
      <c r="P2202" s="921">
        <f t="shared" si="69"/>
        <v>7200</v>
      </c>
    </row>
    <row r="2203" spans="1:16" ht="20.100000000000001" customHeight="1" x14ac:dyDescent="0.25">
      <c r="A2203" s="918" t="s">
        <v>473</v>
      </c>
      <c r="B2203" s="944" t="s">
        <v>3901</v>
      </c>
      <c r="C2203" s="919" t="s">
        <v>3902</v>
      </c>
      <c r="D2203" s="919" t="s">
        <v>4531</v>
      </c>
      <c r="E2203" s="920">
        <v>1800</v>
      </c>
      <c r="F2203" s="919" t="s">
        <v>7906</v>
      </c>
      <c r="G2203" s="919" t="s">
        <v>7907</v>
      </c>
      <c r="H2203" s="919" t="s">
        <v>4531</v>
      </c>
      <c r="I2203" s="919" t="s">
        <v>3679</v>
      </c>
      <c r="J2203" s="919"/>
      <c r="K2203" s="920"/>
      <c r="L2203" s="920"/>
      <c r="M2203" s="920">
        <f t="shared" si="68"/>
        <v>0</v>
      </c>
      <c r="N2203" s="919">
        <v>1</v>
      </c>
      <c r="O2203" s="919">
        <v>4</v>
      </c>
      <c r="P2203" s="921">
        <f t="shared" si="69"/>
        <v>7200</v>
      </c>
    </row>
    <row r="2204" spans="1:16" ht="20.100000000000001" customHeight="1" x14ac:dyDescent="0.25">
      <c r="A2204" s="918" t="s">
        <v>473</v>
      </c>
      <c r="B2204" s="944" t="s">
        <v>3901</v>
      </c>
      <c r="C2204" s="919" t="s">
        <v>3902</v>
      </c>
      <c r="D2204" s="919" t="s">
        <v>4531</v>
      </c>
      <c r="E2204" s="920">
        <v>1800</v>
      </c>
      <c r="F2204" s="919" t="s">
        <v>7908</v>
      </c>
      <c r="G2204" s="919" t="s">
        <v>7909</v>
      </c>
      <c r="H2204" s="919" t="s">
        <v>4531</v>
      </c>
      <c r="I2204" s="919" t="s">
        <v>3679</v>
      </c>
      <c r="J2204" s="919"/>
      <c r="K2204" s="920"/>
      <c r="L2204" s="920"/>
      <c r="M2204" s="920">
        <f t="shared" si="68"/>
        <v>0</v>
      </c>
      <c r="N2204" s="919">
        <v>1</v>
      </c>
      <c r="O2204" s="919">
        <v>4</v>
      </c>
      <c r="P2204" s="921">
        <f t="shared" si="69"/>
        <v>7200</v>
      </c>
    </row>
    <row r="2205" spans="1:16" ht="20.100000000000001" customHeight="1" x14ac:dyDescent="0.25">
      <c r="A2205" s="918" t="s">
        <v>473</v>
      </c>
      <c r="B2205" s="944" t="s">
        <v>3901</v>
      </c>
      <c r="C2205" s="919" t="s">
        <v>3902</v>
      </c>
      <c r="D2205" s="919" t="s">
        <v>4531</v>
      </c>
      <c r="E2205" s="920">
        <v>1800</v>
      </c>
      <c r="F2205" s="919" t="s">
        <v>7910</v>
      </c>
      <c r="G2205" s="919" t="s">
        <v>7911</v>
      </c>
      <c r="H2205" s="919" t="s">
        <v>4531</v>
      </c>
      <c r="I2205" s="919" t="s">
        <v>3679</v>
      </c>
      <c r="J2205" s="919"/>
      <c r="K2205" s="920"/>
      <c r="L2205" s="920"/>
      <c r="M2205" s="920">
        <f t="shared" si="68"/>
        <v>0</v>
      </c>
      <c r="N2205" s="919">
        <v>1</v>
      </c>
      <c r="O2205" s="919">
        <v>4</v>
      </c>
      <c r="P2205" s="921">
        <f t="shared" si="69"/>
        <v>7200</v>
      </c>
    </row>
    <row r="2206" spans="1:16" ht="20.100000000000001" customHeight="1" x14ac:dyDescent="0.25">
      <c r="A2206" s="918" t="s">
        <v>473</v>
      </c>
      <c r="B2206" s="944" t="s">
        <v>3901</v>
      </c>
      <c r="C2206" s="919" t="s">
        <v>3902</v>
      </c>
      <c r="D2206" s="919" t="s">
        <v>4531</v>
      </c>
      <c r="E2206" s="920">
        <v>1800</v>
      </c>
      <c r="F2206" s="919" t="s">
        <v>7912</v>
      </c>
      <c r="G2206" s="919" t="s">
        <v>7913</v>
      </c>
      <c r="H2206" s="919" t="s">
        <v>4531</v>
      </c>
      <c r="I2206" s="919" t="s">
        <v>3679</v>
      </c>
      <c r="J2206" s="919"/>
      <c r="K2206" s="920"/>
      <c r="L2206" s="920"/>
      <c r="M2206" s="920">
        <f t="shared" si="68"/>
        <v>0</v>
      </c>
      <c r="N2206" s="919">
        <v>1</v>
      </c>
      <c r="O2206" s="919">
        <v>1</v>
      </c>
      <c r="P2206" s="921">
        <f t="shared" si="69"/>
        <v>1800</v>
      </c>
    </row>
    <row r="2207" spans="1:16" ht="20.100000000000001" customHeight="1" x14ac:dyDescent="0.25">
      <c r="A2207" s="918" t="s">
        <v>473</v>
      </c>
      <c r="B2207" s="944" t="s">
        <v>3901</v>
      </c>
      <c r="C2207" s="919" t="s">
        <v>3902</v>
      </c>
      <c r="D2207" s="919" t="s">
        <v>4382</v>
      </c>
      <c r="E2207" s="920">
        <v>2500</v>
      </c>
      <c r="F2207" s="919" t="s">
        <v>7914</v>
      </c>
      <c r="G2207" s="919" t="s">
        <v>7915</v>
      </c>
      <c r="H2207" s="919" t="s">
        <v>4382</v>
      </c>
      <c r="I2207" s="919" t="s">
        <v>3679</v>
      </c>
      <c r="J2207" s="919"/>
      <c r="K2207" s="920"/>
      <c r="L2207" s="920"/>
      <c r="M2207" s="920">
        <f t="shared" si="68"/>
        <v>0</v>
      </c>
      <c r="N2207" s="919">
        <v>1</v>
      </c>
      <c r="O2207" s="919">
        <v>4</v>
      </c>
      <c r="P2207" s="921">
        <f t="shared" si="69"/>
        <v>10000</v>
      </c>
    </row>
    <row r="2208" spans="1:16" ht="20.100000000000001" customHeight="1" x14ac:dyDescent="0.25">
      <c r="A2208" s="918" t="s">
        <v>473</v>
      </c>
      <c r="B2208" s="944" t="s">
        <v>3901</v>
      </c>
      <c r="C2208" s="919" t="s">
        <v>3902</v>
      </c>
      <c r="D2208" s="919" t="s">
        <v>4382</v>
      </c>
      <c r="E2208" s="920">
        <v>2500</v>
      </c>
      <c r="F2208" s="919" t="s">
        <v>7916</v>
      </c>
      <c r="G2208" s="919" t="s">
        <v>7917</v>
      </c>
      <c r="H2208" s="919" t="s">
        <v>4382</v>
      </c>
      <c r="I2208" s="919" t="s">
        <v>3679</v>
      </c>
      <c r="J2208" s="919"/>
      <c r="K2208" s="920"/>
      <c r="L2208" s="920"/>
      <c r="M2208" s="920">
        <f t="shared" si="68"/>
        <v>0</v>
      </c>
      <c r="N2208" s="919">
        <v>1</v>
      </c>
      <c r="O2208" s="919">
        <v>4</v>
      </c>
      <c r="P2208" s="921">
        <f t="shared" si="69"/>
        <v>10000</v>
      </c>
    </row>
    <row r="2209" spans="1:16" ht="20.100000000000001" customHeight="1" x14ac:dyDescent="0.25">
      <c r="A2209" s="918" t="s">
        <v>473</v>
      </c>
      <c r="B2209" s="944" t="s">
        <v>3901</v>
      </c>
      <c r="C2209" s="919" t="s">
        <v>3902</v>
      </c>
      <c r="D2209" s="919" t="s">
        <v>4382</v>
      </c>
      <c r="E2209" s="920">
        <v>2500</v>
      </c>
      <c r="F2209" s="919" t="s">
        <v>7918</v>
      </c>
      <c r="G2209" s="919" t="s">
        <v>7919</v>
      </c>
      <c r="H2209" s="919" t="s">
        <v>4382</v>
      </c>
      <c r="I2209" s="919" t="s">
        <v>3679</v>
      </c>
      <c r="J2209" s="919"/>
      <c r="K2209" s="920"/>
      <c r="L2209" s="920"/>
      <c r="M2209" s="920">
        <f t="shared" si="68"/>
        <v>0</v>
      </c>
      <c r="N2209" s="919">
        <v>1</v>
      </c>
      <c r="O2209" s="919">
        <v>1</v>
      </c>
      <c r="P2209" s="921">
        <f t="shared" si="69"/>
        <v>2500</v>
      </c>
    </row>
    <row r="2210" spans="1:16" ht="20.100000000000001" customHeight="1" x14ac:dyDescent="0.25">
      <c r="A2210" s="918" t="s">
        <v>473</v>
      </c>
      <c r="B2210" s="944" t="s">
        <v>3901</v>
      </c>
      <c r="C2210" s="919" t="s">
        <v>3902</v>
      </c>
      <c r="D2210" s="919" t="s">
        <v>4382</v>
      </c>
      <c r="E2210" s="920">
        <v>2500</v>
      </c>
      <c r="F2210" s="919" t="s">
        <v>7920</v>
      </c>
      <c r="G2210" s="919" t="s">
        <v>7921</v>
      </c>
      <c r="H2210" s="919" t="s">
        <v>4382</v>
      </c>
      <c r="I2210" s="919" t="s">
        <v>3679</v>
      </c>
      <c r="J2210" s="919"/>
      <c r="K2210" s="920"/>
      <c r="L2210" s="920"/>
      <c r="M2210" s="920">
        <f t="shared" si="68"/>
        <v>0</v>
      </c>
      <c r="N2210" s="919">
        <v>1</v>
      </c>
      <c r="O2210" s="919">
        <v>1</v>
      </c>
      <c r="P2210" s="921">
        <f t="shared" si="69"/>
        <v>2500</v>
      </c>
    </row>
    <row r="2211" spans="1:16" ht="20.100000000000001" customHeight="1" x14ac:dyDescent="0.25">
      <c r="A2211" s="918" t="s">
        <v>473</v>
      </c>
      <c r="B2211" s="944" t="s">
        <v>3901</v>
      </c>
      <c r="C2211" s="919" t="s">
        <v>3902</v>
      </c>
      <c r="D2211" s="919" t="s">
        <v>4382</v>
      </c>
      <c r="E2211" s="920">
        <v>2500</v>
      </c>
      <c r="F2211" s="919" t="s">
        <v>7922</v>
      </c>
      <c r="G2211" s="919" t="s">
        <v>7923</v>
      </c>
      <c r="H2211" s="919" t="s">
        <v>4382</v>
      </c>
      <c r="I2211" s="919" t="s">
        <v>3679</v>
      </c>
      <c r="J2211" s="919"/>
      <c r="K2211" s="920"/>
      <c r="L2211" s="920"/>
      <c r="M2211" s="920">
        <f t="shared" si="68"/>
        <v>0</v>
      </c>
      <c r="N2211" s="919">
        <v>1</v>
      </c>
      <c r="O2211" s="919">
        <v>1</v>
      </c>
      <c r="P2211" s="921">
        <f t="shared" si="69"/>
        <v>2500</v>
      </c>
    </row>
    <row r="2212" spans="1:16" ht="20.100000000000001" customHeight="1" x14ac:dyDescent="0.25">
      <c r="A2212" s="918" t="s">
        <v>473</v>
      </c>
      <c r="B2212" s="944" t="s">
        <v>3901</v>
      </c>
      <c r="C2212" s="919" t="s">
        <v>3902</v>
      </c>
      <c r="D2212" s="919" t="s">
        <v>4382</v>
      </c>
      <c r="E2212" s="920">
        <v>2500</v>
      </c>
      <c r="F2212" s="919" t="s">
        <v>7924</v>
      </c>
      <c r="G2212" s="919" t="s">
        <v>7925</v>
      </c>
      <c r="H2212" s="919" t="s">
        <v>4382</v>
      </c>
      <c r="I2212" s="919" t="s">
        <v>3679</v>
      </c>
      <c r="J2212" s="919"/>
      <c r="K2212" s="920"/>
      <c r="L2212" s="920"/>
      <c r="M2212" s="920">
        <f t="shared" si="68"/>
        <v>0</v>
      </c>
      <c r="N2212" s="919">
        <v>1</v>
      </c>
      <c r="O2212" s="919">
        <v>1</v>
      </c>
      <c r="P2212" s="921">
        <f t="shared" si="69"/>
        <v>2500</v>
      </c>
    </row>
    <row r="2213" spans="1:16" ht="20.100000000000001" customHeight="1" x14ac:dyDescent="0.25">
      <c r="A2213" s="918" t="s">
        <v>473</v>
      </c>
      <c r="B2213" s="944" t="s">
        <v>3901</v>
      </c>
      <c r="C2213" s="919" t="s">
        <v>3902</v>
      </c>
      <c r="D2213" s="919" t="s">
        <v>4382</v>
      </c>
      <c r="E2213" s="920">
        <v>2500</v>
      </c>
      <c r="F2213" s="919" t="s">
        <v>7926</v>
      </c>
      <c r="G2213" s="919" t="s">
        <v>7927</v>
      </c>
      <c r="H2213" s="919" t="s">
        <v>4382</v>
      </c>
      <c r="I2213" s="919" t="s">
        <v>3679</v>
      </c>
      <c r="J2213" s="919"/>
      <c r="K2213" s="920"/>
      <c r="L2213" s="920"/>
      <c r="M2213" s="920">
        <f t="shared" si="68"/>
        <v>0</v>
      </c>
      <c r="N2213" s="919">
        <v>1</v>
      </c>
      <c r="O2213" s="919">
        <v>1</v>
      </c>
      <c r="P2213" s="921">
        <f t="shared" si="69"/>
        <v>2500</v>
      </c>
    </row>
    <row r="2214" spans="1:16" ht="20.100000000000001" customHeight="1" x14ac:dyDescent="0.25">
      <c r="A2214" s="918" t="s">
        <v>473</v>
      </c>
      <c r="B2214" s="944" t="s">
        <v>3901</v>
      </c>
      <c r="C2214" s="919" t="s">
        <v>3902</v>
      </c>
      <c r="D2214" s="919" t="s">
        <v>4382</v>
      </c>
      <c r="E2214" s="920">
        <v>2500</v>
      </c>
      <c r="F2214" s="919" t="s">
        <v>7928</v>
      </c>
      <c r="G2214" s="919" t="s">
        <v>7929</v>
      </c>
      <c r="H2214" s="919" t="s">
        <v>4382</v>
      </c>
      <c r="I2214" s="919" t="s">
        <v>3679</v>
      </c>
      <c r="J2214" s="919"/>
      <c r="K2214" s="920"/>
      <c r="L2214" s="920"/>
      <c r="M2214" s="920">
        <f t="shared" si="68"/>
        <v>0</v>
      </c>
      <c r="N2214" s="919">
        <v>1</v>
      </c>
      <c r="O2214" s="919">
        <v>1</v>
      </c>
      <c r="P2214" s="921">
        <f t="shared" si="69"/>
        <v>2500</v>
      </c>
    </row>
    <row r="2215" spans="1:16" ht="20.100000000000001" customHeight="1" x14ac:dyDescent="0.25">
      <c r="A2215" s="918" t="s">
        <v>473</v>
      </c>
      <c r="B2215" s="944" t="s">
        <v>3901</v>
      </c>
      <c r="C2215" s="919" t="s">
        <v>3902</v>
      </c>
      <c r="D2215" s="919" t="s">
        <v>4382</v>
      </c>
      <c r="E2215" s="920">
        <v>2500</v>
      </c>
      <c r="F2215" s="919" t="s">
        <v>7930</v>
      </c>
      <c r="G2215" s="919" t="s">
        <v>7931</v>
      </c>
      <c r="H2215" s="919" t="s">
        <v>4382</v>
      </c>
      <c r="I2215" s="919" t="s">
        <v>3679</v>
      </c>
      <c r="J2215" s="919"/>
      <c r="K2215" s="920"/>
      <c r="L2215" s="920"/>
      <c r="M2215" s="920">
        <f t="shared" si="68"/>
        <v>0</v>
      </c>
      <c r="N2215" s="919">
        <v>1</v>
      </c>
      <c r="O2215" s="919">
        <v>1</v>
      </c>
      <c r="P2215" s="921">
        <f t="shared" si="69"/>
        <v>2500</v>
      </c>
    </row>
    <row r="2216" spans="1:16" ht="20.100000000000001" customHeight="1" x14ac:dyDescent="0.25">
      <c r="A2216" s="918" t="s">
        <v>473</v>
      </c>
      <c r="B2216" s="944" t="s">
        <v>3901</v>
      </c>
      <c r="C2216" s="919" t="s">
        <v>3902</v>
      </c>
      <c r="D2216" s="919" t="s">
        <v>4382</v>
      </c>
      <c r="E2216" s="920">
        <v>2500</v>
      </c>
      <c r="F2216" s="919" t="s">
        <v>7932</v>
      </c>
      <c r="G2216" s="919" t="s">
        <v>7933</v>
      </c>
      <c r="H2216" s="919" t="s">
        <v>4382</v>
      </c>
      <c r="I2216" s="919" t="s">
        <v>3679</v>
      </c>
      <c r="J2216" s="919"/>
      <c r="K2216" s="920"/>
      <c r="L2216" s="920"/>
      <c r="M2216" s="920">
        <f t="shared" si="68"/>
        <v>0</v>
      </c>
      <c r="N2216" s="919">
        <v>1</v>
      </c>
      <c r="O2216" s="919">
        <v>1</v>
      </c>
      <c r="P2216" s="921">
        <f t="shared" si="69"/>
        <v>2500</v>
      </c>
    </row>
    <row r="2217" spans="1:16" ht="20.100000000000001" customHeight="1" x14ac:dyDescent="0.25">
      <c r="A2217" s="918" t="s">
        <v>473</v>
      </c>
      <c r="B2217" s="944" t="s">
        <v>3901</v>
      </c>
      <c r="C2217" s="919" t="s">
        <v>3902</v>
      </c>
      <c r="D2217" s="919" t="s">
        <v>4592</v>
      </c>
      <c r="E2217" s="920">
        <v>1150</v>
      </c>
      <c r="F2217" s="919" t="s">
        <v>7934</v>
      </c>
      <c r="G2217" s="919" t="s">
        <v>7935</v>
      </c>
      <c r="H2217" s="919" t="s">
        <v>4592</v>
      </c>
      <c r="I2217" s="919" t="s">
        <v>3686</v>
      </c>
      <c r="J2217" s="919"/>
      <c r="K2217" s="920"/>
      <c r="L2217" s="920"/>
      <c r="M2217" s="920">
        <f t="shared" si="68"/>
        <v>0</v>
      </c>
      <c r="N2217" s="919">
        <v>1</v>
      </c>
      <c r="O2217" s="919">
        <v>1</v>
      </c>
      <c r="P2217" s="921">
        <f t="shared" si="69"/>
        <v>1150</v>
      </c>
    </row>
    <row r="2218" spans="1:16" ht="20.100000000000001" customHeight="1" x14ac:dyDescent="0.25">
      <c r="A2218" s="918" t="s">
        <v>473</v>
      </c>
      <c r="B2218" s="944" t="s">
        <v>3901</v>
      </c>
      <c r="C2218" s="919" t="s">
        <v>3902</v>
      </c>
      <c r="D2218" s="919" t="s">
        <v>4592</v>
      </c>
      <c r="E2218" s="920">
        <v>1150</v>
      </c>
      <c r="F2218" s="919" t="s">
        <v>7936</v>
      </c>
      <c r="G2218" s="919" t="s">
        <v>7937</v>
      </c>
      <c r="H2218" s="919" t="s">
        <v>4592</v>
      </c>
      <c r="I2218" s="919" t="s">
        <v>3686</v>
      </c>
      <c r="J2218" s="919"/>
      <c r="K2218" s="920"/>
      <c r="L2218" s="920"/>
      <c r="M2218" s="920">
        <f t="shared" si="68"/>
        <v>0</v>
      </c>
      <c r="N2218" s="919">
        <v>1</v>
      </c>
      <c r="O2218" s="919">
        <v>4</v>
      </c>
      <c r="P2218" s="921">
        <f t="shared" si="69"/>
        <v>4600</v>
      </c>
    </row>
    <row r="2219" spans="1:16" ht="20.100000000000001" customHeight="1" x14ac:dyDescent="0.25">
      <c r="A2219" s="918" t="s">
        <v>473</v>
      </c>
      <c r="B2219" s="944" t="s">
        <v>3901</v>
      </c>
      <c r="C2219" s="919" t="s">
        <v>3902</v>
      </c>
      <c r="D2219" s="919" t="s">
        <v>4592</v>
      </c>
      <c r="E2219" s="920">
        <v>1150</v>
      </c>
      <c r="F2219" s="919" t="s">
        <v>7938</v>
      </c>
      <c r="G2219" s="919" t="s">
        <v>7939</v>
      </c>
      <c r="H2219" s="919" t="s">
        <v>4592</v>
      </c>
      <c r="I2219" s="919" t="s">
        <v>3686</v>
      </c>
      <c r="J2219" s="919"/>
      <c r="K2219" s="920"/>
      <c r="L2219" s="920"/>
      <c r="M2219" s="920">
        <f t="shared" si="68"/>
        <v>0</v>
      </c>
      <c r="N2219" s="919">
        <v>1</v>
      </c>
      <c r="O2219" s="919">
        <v>4</v>
      </c>
      <c r="P2219" s="921">
        <f t="shared" si="69"/>
        <v>4600</v>
      </c>
    </row>
    <row r="2220" spans="1:16" ht="20.100000000000001" customHeight="1" x14ac:dyDescent="0.25">
      <c r="A2220" s="918" t="s">
        <v>473</v>
      </c>
      <c r="B2220" s="944" t="s">
        <v>3901</v>
      </c>
      <c r="C2220" s="919" t="s">
        <v>3902</v>
      </c>
      <c r="D2220" s="919" t="s">
        <v>4592</v>
      </c>
      <c r="E2220" s="920">
        <v>1150</v>
      </c>
      <c r="F2220" s="919" t="s">
        <v>7940</v>
      </c>
      <c r="G2220" s="919" t="s">
        <v>7941</v>
      </c>
      <c r="H2220" s="919" t="s">
        <v>4592</v>
      </c>
      <c r="I2220" s="919" t="s">
        <v>3686</v>
      </c>
      <c r="J2220" s="919"/>
      <c r="K2220" s="920"/>
      <c r="L2220" s="920"/>
      <c r="M2220" s="920">
        <f t="shared" si="68"/>
        <v>0</v>
      </c>
      <c r="N2220" s="919">
        <v>1</v>
      </c>
      <c r="O2220" s="919">
        <v>4</v>
      </c>
      <c r="P2220" s="921">
        <f t="shared" si="69"/>
        <v>4600</v>
      </c>
    </row>
    <row r="2221" spans="1:16" ht="20.100000000000001" customHeight="1" x14ac:dyDescent="0.25">
      <c r="A2221" s="918" t="s">
        <v>473</v>
      </c>
      <c r="B2221" s="944" t="s">
        <v>3901</v>
      </c>
      <c r="C2221" s="919" t="s">
        <v>3902</v>
      </c>
      <c r="D2221" s="919" t="s">
        <v>4592</v>
      </c>
      <c r="E2221" s="920">
        <v>1150</v>
      </c>
      <c r="F2221" s="919" t="s">
        <v>7942</v>
      </c>
      <c r="G2221" s="919" t="s">
        <v>7943</v>
      </c>
      <c r="H2221" s="919" t="s">
        <v>4592</v>
      </c>
      <c r="I2221" s="919" t="s">
        <v>3686</v>
      </c>
      <c r="J2221" s="919"/>
      <c r="K2221" s="920"/>
      <c r="L2221" s="920"/>
      <c r="M2221" s="920">
        <f t="shared" si="68"/>
        <v>0</v>
      </c>
      <c r="N2221" s="919">
        <v>1</v>
      </c>
      <c r="O2221" s="919">
        <v>4</v>
      </c>
      <c r="P2221" s="921">
        <f t="shared" si="69"/>
        <v>4600</v>
      </c>
    </row>
    <row r="2222" spans="1:16" ht="20.100000000000001" customHeight="1" x14ac:dyDescent="0.25">
      <c r="A2222" s="918" t="s">
        <v>473</v>
      </c>
      <c r="B2222" s="944" t="s">
        <v>3901</v>
      </c>
      <c r="C2222" s="919" t="s">
        <v>3902</v>
      </c>
      <c r="D2222" s="919" t="s">
        <v>4592</v>
      </c>
      <c r="E2222" s="920">
        <v>1150</v>
      </c>
      <c r="F2222" s="919" t="s">
        <v>7944</v>
      </c>
      <c r="G2222" s="919" t="s">
        <v>7945</v>
      </c>
      <c r="H2222" s="919" t="s">
        <v>4592</v>
      </c>
      <c r="I2222" s="919" t="s">
        <v>3686</v>
      </c>
      <c r="J2222" s="919"/>
      <c r="K2222" s="920"/>
      <c r="L2222" s="920"/>
      <c r="M2222" s="920">
        <f t="shared" si="68"/>
        <v>0</v>
      </c>
      <c r="N2222" s="919">
        <v>1</v>
      </c>
      <c r="O2222" s="919">
        <v>4</v>
      </c>
      <c r="P2222" s="921">
        <f t="shared" si="69"/>
        <v>4600</v>
      </c>
    </row>
    <row r="2223" spans="1:16" ht="20.100000000000001" customHeight="1" x14ac:dyDescent="0.25">
      <c r="A2223" s="918" t="s">
        <v>473</v>
      </c>
      <c r="B2223" s="944" t="s">
        <v>3901</v>
      </c>
      <c r="C2223" s="919" t="s">
        <v>3902</v>
      </c>
      <c r="D2223" s="919" t="s">
        <v>4592</v>
      </c>
      <c r="E2223" s="920">
        <v>1150</v>
      </c>
      <c r="F2223" s="919" t="s">
        <v>7946</v>
      </c>
      <c r="G2223" s="919" t="s">
        <v>7947</v>
      </c>
      <c r="H2223" s="919" t="s">
        <v>4592</v>
      </c>
      <c r="I2223" s="919" t="s">
        <v>3686</v>
      </c>
      <c r="J2223" s="919"/>
      <c r="K2223" s="920"/>
      <c r="L2223" s="920"/>
      <c r="M2223" s="920">
        <f t="shared" si="68"/>
        <v>0</v>
      </c>
      <c r="N2223" s="919">
        <v>1</v>
      </c>
      <c r="O2223" s="919">
        <v>1</v>
      </c>
      <c r="P2223" s="921">
        <f t="shared" si="69"/>
        <v>1150</v>
      </c>
    </row>
    <row r="2224" spans="1:16" ht="20.100000000000001" customHeight="1" x14ac:dyDescent="0.25">
      <c r="A2224" s="918" t="s">
        <v>473</v>
      </c>
      <c r="B2224" s="944" t="s">
        <v>3901</v>
      </c>
      <c r="C2224" s="919" t="s">
        <v>3902</v>
      </c>
      <c r="D2224" s="919" t="s">
        <v>4592</v>
      </c>
      <c r="E2224" s="920">
        <v>1150</v>
      </c>
      <c r="F2224" s="919" t="s">
        <v>7948</v>
      </c>
      <c r="G2224" s="919" t="s">
        <v>7949</v>
      </c>
      <c r="H2224" s="919" t="s">
        <v>4592</v>
      </c>
      <c r="I2224" s="919" t="s">
        <v>3686</v>
      </c>
      <c r="J2224" s="919"/>
      <c r="K2224" s="920"/>
      <c r="L2224" s="920"/>
      <c r="M2224" s="920">
        <f t="shared" si="68"/>
        <v>0</v>
      </c>
      <c r="N2224" s="919">
        <v>1</v>
      </c>
      <c r="O2224" s="919">
        <v>1</v>
      </c>
      <c r="P2224" s="921">
        <f t="shared" si="69"/>
        <v>1150</v>
      </c>
    </row>
    <row r="2225" spans="1:16" ht="20.100000000000001" customHeight="1" x14ac:dyDescent="0.25">
      <c r="A2225" s="918" t="s">
        <v>473</v>
      </c>
      <c r="B2225" s="944" t="s">
        <v>3901</v>
      </c>
      <c r="C2225" s="919" t="s">
        <v>3902</v>
      </c>
      <c r="D2225" s="919" t="s">
        <v>4592</v>
      </c>
      <c r="E2225" s="920">
        <v>1150</v>
      </c>
      <c r="F2225" s="919" t="s">
        <v>7950</v>
      </c>
      <c r="G2225" s="919" t="s">
        <v>7951</v>
      </c>
      <c r="H2225" s="919" t="s">
        <v>4592</v>
      </c>
      <c r="I2225" s="919" t="s">
        <v>3686</v>
      </c>
      <c r="J2225" s="919"/>
      <c r="K2225" s="920"/>
      <c r="L2225" s="920"/>
      <c r="M2225" s="920">
        <f t="shared" si="68"/>
        <v>0</v>
      </c>
      <c r="N2225" s="919">
        <v>1</v>
      </c>
      <c r="O2225" s="919">
        <v>4</v>
      </c>
      <c r="P2225" s="921">
        <f t="shared" si="69"/>
        <v>4600</v>
      </c>
    </row>
    <row r="2226" spans="1:16" ht="20.100000000000001" customHeight="1" x14ac:dyDescent="0.25">
      <c r="A2226" s="918" t="s">
        <v>473</v>
      </c>
      <c r="B2226" s="944" t="s">
        <v>3901</v>
      </c>
      <c r="C2226" s="919" t="s">
        <v>3902</v>
      </c>
      <c r="D2226" s="919" t="s">
        <v>4592</v>
      </c>
      <c r="E2226" s="920">
        <v>1150</v>
      </c>
      <c r="F2226" s="919" t="s">
        <v>7952</v>
      </c>
      <c r="G2226" s="919" t="s">
        <v>7953</v>
      </c>
      <c r="H2226" s="919" t="s">
        <v>4592</v>
      </c>
      <c r="I2226" s="919" t="s">
        <v>3686</v>
      </c>
      <c r="J2226" s="919"/>
      <c r="K2226" s="920"/>
      <c r="L2226" s="920"/>
      <c r="M2226" s="920">
        <f t="shared" si="68"/>
        <v>0</v>
      </c>
      <c r="N2226" s="919">
        <v>1</v>
      </c>
      <c r="O2226" s="919">
        <v>4</v>
      </c>
      <c r="P2226" s="921">
        <f t="shared" si="69"/>
        <v>4600</v>
      </c>
    </row>
    <row r="2227" spans="1:16" ht="20.100000000000001" customHeight="1" x14ac:dyDescent="0.25">
      <c r="A2227" s="918" t="s">
        <v>473</v>
      </c>
      <c r="B2227" s="944" t="s">
        <v>3901</v>
      </c>
      <c r="C2227" s="919" t="s">
        <v>3902</v>
      </c>
      <c r="D2227" s="919" t="s">
        <v>4592</v>
      </c>
      <c r="E2227" s="920">
        <v>1150</v>
      </c>
      <c r="F2227" s="919" t="s">
        <v>7954</v>
      </c>
      <c r="G2227" s="919" t="s">
        <v>7955</v>
      </c>
      <c r="H2227" s="919" t="s">
        <v>4592</v>
      </c>
      <c r="I2227" s="919" t="s">
        <v>3686</v>
      </c>
      <c r="J2227" s="919"/>
      <c r="K2227" s="920"/>
      <c r="L2227" s="920"/>
      <c r="M2227" s="920">
        <f t="shared" si="68"/>
        <v>0</v>
      </c>
      <c r="N2227" s="919">
        <v>1</v>
      </c>
      <c r="O2227" s="919">
        <v>4</v>
      </c>
      <c r="P2227" s="921">
        <f t="shared" si="69"/>
        <v>4600</v>
      </c>
    </row>
    <row r="2228" spans="1:16" ht="20.100000000000001" customHeight="1" x14ac:dyDescent="0.25">
      <c r="A2228" s="918" t="s">
        <v>473</v>
      </c>
      <c r="B2228" s="944" t="s">
        <v>3901</v>
      </c>
      <c r="C2228" s="919" t="s">
        <v>3902</v>
      </c>
      <c r="D2228" s="919" t="s">
        <v>4109</v>
      </c>
      <c r="E2228" s="920">
        <v>1400</v>
      </c>
      <c r="F2228" s="919" t="s">
        <v>7956</v>
      </c>
      <c r="G2228" s="919" t="s">
        <v>7957</v>
      </c>
      <c r="H2228" s="919" t="s">
        <v>4109</v>
      </c>
      <c r="I2228" s="919" t="s">
        <v>3686</v>
      </c>
      <c r="J2228" s="919"/>
      <c r="K2228" s="920"/>
      <c r="L2228" s="920"/>
      <c r="M2228" s="920">
        <f t="shared" si="68"/>
        <v>0</v>
      </c>
      <c r="N2228" s="919">
        <v>1</v>
      </c>
      <c r="O2228" s="919">
        <v>5</v>
      </c>
      <c r="P2228" s="921">
        <f t="shared" si="69"/>
        <v>7000</v>
      </c>
    </row>
    <row r="2229" spans="1:16" ht="20.100000000000001" customHeight="1" x14ac:dyDescent="0.25">
      <c r="A2229" s="918" t="s">
        <v>473</v>
      </c>
      <c r="B2229" s="944" t="s">
        <v>3901</v>
      </c>
      <c r="C2229" s="919" t="s">
        <v>3902</v>
      </c>
      <c r="D2229" s="919" t="s">
        <v>4109</v>
      </c>
      <c r="E2229" s="920">
        <v>1400</v>
      </c>
      <c r="F2229" s="919" t="s">
        <v>7958</v>
      </c>
      <c r="G2229" s="919" t="s">
        <v>7959</v>
      </c>
      <c r="H2229" s="919" t="s">
        <v>4109</v>
      </c>
      <c r="I2229" s="919" t="s">
        <v>3686</v>
      </c>
      <c r="J2229" s="919"/>
      <c r="K2229" s="920"/>
      <c r="L2229" s="920"/>
      <c r="M2229" s="920">
        <f t="shared" si="68"/>
        <v>0</v>
      </c>
      <c r="N2229" s="919">
        <v>1</v>
      </c>
      <c r="O2229" s="919">
        <v>5</v>
      </c>
      <c r="P2229" s="921">
        <f t="shared" si="69"/>
        <v>7000</v>
      </c>
    </row>
    <row r="2230" spans="1:16" ht="20.100000000000001" customHeight="1" x14ac:dyDescent="0.25">
      <c r="A2230" s="918" t="s">
        <v>473</v>
      </c>
      <c r="B2230" s="944" t="s">
        <v>3901</v>
      </c>
      <c r="C2230" s="919" t="s">
        <v>3902</v>
      </c>
      <c r="D2230" s="919" t="s">
        <v>4109</v>
      </c>
      <c r="E2230" s="920">
        <v>1400</v>
      </c>
      <c r="F2230" s="919" t="s">
        <v>7960</v>
      </c>
      <c r="G2230" s="919" t="s">
        <v>7961</v>
      </c>
      <c r="H2230" s="919" t="s">
        <v>4109</v>
      </c>
      <c r="I2230" s="919" t="s">
        <v>3686</v>
      </c>
      <c r="J2230" s="919"/>
      <c r="K2230" s="920"/>
      <c r="L2230" s="920"/>
      <c r="M2230" s="920">
        <f t="shared" si="68"/>
        <v>0</v>
      </c>
      <c r="N2230" s="919">
        <v>1</v>
      </c>
      <c r="O2230" s="919">
        <v>5</v>
      </c>
      <c r="P2230" s="921">
        <f t="shared" si="69"/>
        <v>7000</v>
      </c>
    </row>
    <row r="2231" spans="1:16" ht="20.100000000000001" customHeight="1" x14ac:dyDescent="0.25">
      <c r="A2231" s="918" t="s">
        <v>473</v>
      </c>
      <c r="B2231" s="944" t="s">
        <v>3901</v>
      </c>
      <c r="C2231" s="919" t="s">
        <v>3902</v>
      </c>
      <c r="D2231" s="919" t="s">
        <v>4109</v>
      </c>
      <c r="E2231" s="920">
        <v>1400</v>
      </c>
      <c r="F2231" s="919" t="s">
        <v>7962</v>
      </c>
      <c r="G2231" s="919" t="s">
        <v>7963</v>
      </c>
      <c r="H2231" s="919" t="s">
        <v>4109</v>
      </c>
      <c r="I2231" s="919" t="s">
        <v>3686</v>
      </c>
      <c r="J2231" s="919"/>
      <c r="K2231" s="920"/>
      <c r="L2231" s="920"/>
      <c r="M2231" s="920">
        <f t="shared" si="68"/>
        <v>0</v>
      </c>
      <c r="N2231" s="919">
        <v>1</v>
      </c>
      <c r="O2231" s="919">
        <v>1</v>
      </c>
      <c r="P2231" s="921">
        <f t="shared" si="69"/>
        <v>1400</v>
      </c>
    </row>
    <row r="2232" spans="1:16" ht="20.100000000000001" customHeight="1" x14ac:dyDescent="0.25">
      <c r="A2232" s="918" t="s">
        <v>473</v>
      </c>
      <c r="B2232" s="944" t="s">
        <v>3901</v>
      </c>
      <c r="C2232" s="919" t="s">
        <v>3902</v>
      </c>
      <c r="D2232" s="919" t="s">
        <v>4109</v>
      </c>
      <c r="E2232" s="920">
        <v>1400</v>
      </c>
      <c r="F2232" s="919" t="s">
        <v>7964</v>
      </c>
      <c r="G2232" s="919" t="s">
        <v>7965</v>
      </c>
      <c r="H2232" s="919" t="s">
        <v>4109</v>
      </c>
      <c r="I2232" s="919" t="s">
        <v>3686</v>
      </c>
      <c r="J2232" s="919"/>
      <c r="K2232" s="920"/>
      <c r="L2232" s="920"/>
      <c r="M2232" s="920">
        <f t="shared" si="68"/>
        <v>0</v>
      </c>
      <c r="N2232" s="919">
        <v>1</v>
      </c>
      <c r="O2232" s="919">
        <v>5</v>
      </c>
      <c r="P2232" s="921">
        <f t="shared" si="69"/>
        <v>7000</v>
      </c>
    </row>
    <row r="2233" spans="1:16" ht="20.100000000000001" customHeight="1" x14ac:dyDescent="0.25">
      <c r="A2233" s="918" t="s">
        <v>473</v>
      </c>
      <c r="B2233" s="944" t="s">
        <v>3901</v>
      </c>
      <c r="C2233" s="919" t="s">
        <v>3902</v>
      </c>
      <c r="D2233" s="919" t="s">
        <v>4109</v>
      </c>
      <c r="E2233" s="920">
        <v>1400</v>
      </c>
      <c r="F2233" s="919" t="s">
        <v>7966</v>
      </c>
      <c r="G2233" s="919" t="s">
        <v>7967</v>
      </c>
      <c r="H2233" s="919" t="s">
        <v>4109</v>
      </c>
      <c r="I2233" s="919" t="s">
        <v>3686</v>
      </c>
      <c r="J2233" s="919"/>
      <c r="K2233" s="920"/>
      <c r="L2233" s="920"/>
      <c r="M2233" s="920">
        <f t="shared" si="68"/>
        <v>0</v>
      </c>
      <c r="N2233" s="919">
        <v>1</v>
      </c>
      <c r="O2233" s="919">
        <v>5</v>
      </c>
      <c r="P2233" s="921">
        <f t="shared" si="69"/>
        <v>7000</v>
      </c>
    </row>
    <row r="2234" spans="1:16" ht="20.100000000000001" customHeight="1" x14ac:dyDescent="0.25">
      <c r="A2234" s="918" t="s">
        <v>473</v>
      </c>
      <c r="B2234" s="944" t="s">
        <v>3901</v>
      </c>
      <c r="C2234" s="919" t="s">
        <v>3902</v>
      </c>
      <c r="D2234" s="919" t="s">
        <v>4109</v>
      </c>
      <c r="E2234" s="920">
        <v>1400</v>
      </c>
      <c r="F2234" s="919" t="s">
        <v>7968</v>
      </c>
      <c r="G2234" s="919" t="s">
        <v>7969</v>
      </c>
      <c r="H2234" s="919" t="s">
        <v>4109</v>
      </c>
      <c r="I2234" s="919" t="s">
        <v>3686</v>
      </c>
      <c r="J2234" s="919"/>
      <c r="K2234" s="920"/>
      <c r="L2234" s="920"/>
      <c r="M2234" s="920">
        <f t="shared" si="68"/>
        <v>0</v>
      </c>
      <c r="N2234" s="919">
        <v>1</v>
      </c>
      <c r="O2234" s="919">
        <v>5</v>
      </c>
      <c r="P2234" s="921">
        <f t="shared" si="69"/>
        <v>7000</v>
      </c>
    </row>
    <row r="2235" spans="1:16" ht="20.100000000000001" customHeight="1" x14ac:dyDescent="0.25">
      <c r="A2235" s="918" t="s">
        <v>473</v>
      </c>
      <c r="B2235" s="944" t="s">
        <v>3901</v>
      </c>
      <c r="C2235" s="919" t="s">
        <v>3902</v>
      </c>
      <c r="D2235" s="919" t="s">
        <v>4109</v>
      </c>
      <c r="E2235" s="920">
        <v>1400</v>
      </c>
      <c r="F2235" s="919" t="s">
        <v>7970</v>
      </c>
      <c r="G2235" s="919" t="s">
        <v>7971</v>
      </c>
      <c r="H2235" s="919" t="s">
        <v>4109</v>
      </c>
      <c r="I2235" s="919" t="s">
        <v>3686</v>
      </c>
      <c r="J2235" s="919"/>
      <c r="K2235" s="920"/>
      <c r="L2235" s="920"/>
      <c r="M2235" s="920">
        <f t="shared" si="68"/>
        <v>0</v>
      </c>
      <c r="N2235" s="919">
        <v>1</v>
      </c>
      <c r="O2235" s="919">
        <v>1</v>
      </c>
      <c r="P2235" s="921">
        <f t="shared" si="69"/>
        <v>1400</v>
      </c>
    </row>
    <row r="2236" spans="1:16" ht="20.100000000000001" customHeight="1" x14ac:dyDescent="0.25">
      <c r="A2236" s="918" t="s">
        <v>473</v>
      </c>
      <c r="B2236" s="944" t="s">
        <v>3901</v>
      </c>
      <c r="C2236" s="919" t="s">
        <v>3902</v>
      </c>
      <c r="D2236" s="919" t="s">
        <v>4109</v>
      </c>
      <c r="E2236" s="920">
        <v>1400</v>
      </c>
      <c r="F2236" s="919" t="s">
        <v>7972</v>
      </c>
      <c r="G2236" s="919" t="s">
        <v>7973</v>
      </c>
      <c r="H2236" s="919" t="s">
        <v>4109</v>
      </c>
      <c r="I2236" s="919" t="s">
        <v>3686</v>
      </c>
      <c r="J2236" s="919"/>
      <c r="K2236" s="920"/>
      <c r="L2236" s="920"/>
      <c r="M2236" s="920">
        <f t="shared" si="68"/>
        <v>0</v>
      </c>
      <c r="N2236" s="919">
        <v>1</v>
      </c>
      <c r="O2236" s="919">
        <v>4</v>
      </c>
      <c r="P2236" s="921">
        <f t="shared" si="69"/>
        <v>5600</v>
      </c>
    </row>
    <row r="2237" spans="1:16" ht="20.100000000000001" customHeight="1" x14ac:dyDescent="0.25">
      <c r="A2237" s="918" t="s">
        <v>473</v>
      </c>
      <c r="B2237" s="944" t="s">
        <v>3901</v>
      </c>
      <c r="C2237" s="919" t="s">
        <v>3902</v>
      </c>
      <c r="D2237" s="919" t="s">
        <v>4109</v>
      </c>
      <c r="E2237" s="920">
        <v>1400</v>
      </c>
      <c r="F2237" s="919" t="s">
        <v>7974</v>
      </c>
      <c r="G2237" s="919" t="s">
        <v>7975</v>
      </c>
      <c r="H2237" s="919" t="s">
        <v>4109</v>
      </c>
      <c r="I2237" s="919" t="s">
        <v>3686</v>
      </c>
      <c r="J2237" s="919"/>
      <c r="K2237" s="920"/>
      <c r="L2237" s="920"/>
      <c r="M2237" s="920">
        <f t="shared" si="68"/>
        <v>0</v>
      </c>
      <c r="N2237" s="919">
        <v>1</v>
      </c>
      <c r="O2237" s="919">
        <v>5</v>
      </c>
      <c r="P2237" s="921">
        <f t="shared" si="69"/>
        <v>7000</v>
      </c>
    </row>
    <row r="2238" spans="1:16" ht="20.100000000000001" customHeight="1" x14ac:dyDescent="0.25">
      <c r="A2238" s="918" t="s">
        <v>473</v>
      </c>
      <c r="B2238" s="944" t="s">
        <v>3901</v>
      </c>
      <c r="C2238" s="919" t="s">
        <v>3902</v>
      </c>
      <c r="D2238" s="919" t="s">
        <v>4502</v>
      </c>
      <c r="E2238" s="920">
        <v>1150</v>
      </c>
      <c r="F2238" s="919" t="s">
        <v>7976</v>
      </c>
      <c r="G2238" s="919" t="s">
        <v>7977</v>
      </c>
      <c r="H2238" s="919" t="s">
        <v>4502</v>
      </c>
      <c r="I2238" s="919" t="s">
        <v>3686</v>
      </c>
      <c r="J2238" s="919"/>
      <c r="K2238" s="920"/>
      <c r="L2238" s="920"/>
      <c r="M2238" s="920">
        <f t="shared" si="68"/>
        <v>0</v>
      </c>
      <c r="N2238" s="919">
        <v>1</v>
      </c>
      <c r="O2238" s="919">
        <v>5</v>
      </c>
      <c r="P2238" s="921">
        <f t="shared" si="69"/>
        <v>5750</v>
      </c>
    </row>
    <row r="2239" spans="1:16" ht="20.100000000000001" customHeight="1" x14ac:dyDescent="0.25">
      <c r="A2239" s="918" t="s">
        <v>473</v>
      </c>
      <c r="B2239" s="944" t="s">
        <v>3901</v>
      </c>
      <c r="C2239" s="919" t="s">
        <v>3902</v>
      </c>
      <c r="D2239" s="919" t="s">
        <v>4502</v>
      </c>
      <c r="E2239" s="920">
        <v>1150</v>
      </c>
      <c r="F2239" s="919" t="s">
        <v>7978</v>
      </c>
      <c r="G2239" s="919" t="s">
        <v>7979</v>
      </c>
      <c r="H2239" s="919" t="s">
        <v>4502</v>
      </c>
      <c r="I2239" s="919" t="s">
        <v>3686</v>
      </c>
      <c r="J2239" s="919"/>
      <c r="K2239" s="920"/>
      <c r="L2239" s="920"/>
      <c r="M2239" s="920">
        <f t="shared" si="68"/>
        <v>0</v>
      </c>
      <c r="N2239" s="919">
        <v>1</v>
      </c>
      <c r="O2239" s="919">
        <v>5</v>
      </c>
      <c r="P2239" s="921">
        <f t="shared" si="69"/>
        <v>5750</v>
      </c>
    </row>
    <row r="2240" spans="1:16" ht="20.100000000000001" customHeight="1" x14ac:dyDescent="0.25">
      <c r="A2240" s="918" t="s">
        <v>473</v>
      </c>
      <c r="B2240" s="944" t="s">
        <v>3901</v>
      </c>
      <c r="C2240" s="919" t="s">
        <v>3902</v>
      </c>
      <c r="D2240" s="919" t="s">
        <v>4502</v>
      </c>
      <c r="E2240" s="920">
        <v>1150</v>
      </c>
      <c r="F2240" s="919" t="s">
        <v>7980</v>
      </c>
      <c r="G2240" s="919" t="s">
        <v>7981</v>
      </c>
      <c r="H2240" s="919" t="s">
        <v>4502</v>
      </c>
      <c r="I2240" s="919" t="s">
        <v>3686</v>
      </c>
      <c r="J2240" s="919"/>
      <c r="K2240" s="920"/>
      <c r="L2240" s="920"/>
      <c r="M2240" s="920">
        <f t="shared" si="68"/>
        <v>0</v>
      </c>
      <c r="N2240" s="919">
        <v>1</v>
      </c>
      <c r="O2240" s="919">
        <v>5</v>
      </c>
      <c r="P2240" s="921">
        <f t="shared" si="69"/>
        <v>5750</v>
      </c>
    </row>
    <row r="2241" spans="1:16" ht="20.100000000000001" customHeight="1" x14ac:dyDescent="0.25">
      <c r="A2241" s="918" t="s">
        <v>473</v>
      </c>
      <c r="B2241" s="944" t="s">
        <v>3901</v>
      </c>
      <c r="C2241" s="919" t="s">
        <v>3902</v>
      </c>
      <c r="D2241" s="919" t="s">
        <v>4502</v>
      </c>
      <c r="E2241" s="920">
        <v>1150</v>
      </c>
      <c r="F2241" s="919" t="s">
        <v>7982</v>
      </c>
      <c r="G2241" s="919" t="s">
        <v>7983</v>
      </c>
      <c r="H2241" s="919" t="s">
        <v>4502</v>
      </c>
      <c r="I2241" s="919" t="s">
        <v>3686</v>
      </c>
      <c r="J2241" s="919"/>
      <c r="K2241" s="920"/>
      <c r="L2241" s="920"/>
      <c r="M2241" s="920">
        <f t="shared" si="68"/>
        <v>0</v>
      </c>
      <c r="N2241" s="919">
        <v>1</v>
      </c>
      <c r="O2241" s="919">
        <v>5</v>
      </c>
      <c r="P2241" s="921">
        <f t="shared" si="69"/>
        <v>5750</v>
      </c>
    </row>
    <row r="2242" spans="1:16" ht="20.100000000000001" customHeight="1" x14ac:dyDescent="0.25">
      <c r="A2242" s="918" t="s">
        <v>473</v>
      </c>
      <c r="B2242" s="944" t="s">
        <v>3901</v>
      </c>
      <c r="C2242" s="919" t="s">
        <v>3902</v>
      </c>
      <c r="D2242" s="919" t="s">
        <v>4502</v>
      </c>
      <c r="E2242" s="920">
        <v>1150</v>
      </c>
      <c r="F2242" s="919" t="s">
        <v>7984</v>
      </c>
      <c r="G2242" s="919" t="s">
        <v>7985</v>
      </c>
      <c r="H2242" s="919" t="s">
        <v>4502</v>
      </c>
      <c r="I2242" s="919" t="s">
        <v>3686</v>
      </c>
      <c r="J2242" s="919"/>
      <c r="K2242" s="920"/>
      <c r="L2242" s="920"/>
      <c r="M2242" s="920">
        <f t="shared" si="68"/>
        <v>0</v>
      </c>
      <c r="N2242" s="919">
        <v>1</v>
      </c>
      <c r="O2242" s="919">
        <v>5</v>
      </c>
      <c r="P2242" s="921">
        <f t="shared" si="69"/>
        <v>5750</v>
      </c>
    </row>
    <row r="2243" spans="1:16" ht="20.100000000000001" customHeight="1" x14ac:dyDescent="0.25">
      <c r="A2243" s="918" t="s">
        <v>473</v>
      </c>
      <c r="B2243" s="944" t="s">
        <v>3901</v>
      </c>
      <c r="C2243" s="919" t="s">
        <v>3902</v>
      </c>
      <c r="D2243" s="919" t="s">
        <v>4502</v>
      </c>
      <c r="E2243" s="920">
        <v>1150</v>
      </c>
      <c r="F2243" s="919" t="s">
        <v>7986</v>
      </c>
      <c r="G2243" s="919" t="s">
        <v>7987</v>
      </c>
      <c r="H2243" s="919" t="s">
        <v>4502</v>
      </c>
      <c r="I2243" s="919" t="s">
        <v>3686</v>
      </c>
      <c r="J2243" s="919"/>
      <c r="K2243" s="920"/>
      <c r="L2243" s="920"/>
      <c r="M2243" s="920">
        <f t="shared" si="68"/>
        <v>0</v>
      </c>
      <c r="N2243" s="919">
        <v>1</v>
      </c>
      <c r="O2243" s="919">
        <v>5</v>
      </c>
      <c r="P2243" s="921">
        <f t="shared" si="69"/>
        <v>5750</v>
      </c>
    </row>
    <row r="2244" spans="1:16" ht="20.100000000000001" customHeight="1" x14ac:dyDescent="0.25">
      <c r="A2244" s="918" t="s">
        <v>473</v>
      </c>
      <c r="B2244" s="944" t="s">
        <v>3901</v>
      </c>
      <c r="C2244" s="919" t="s">
        <v>3902</v>
      </c>
      <c r="D2244" s="919" t="s">
        <v>4502</v>
      </c>
      <c r="E2244" s="920">
        <v>1150</v>
      </c>
      <c r="F2244" s="919" t="s">
        <v>7988</v>
      </c>
      <c r="G2244" s="919" t="s">
        <v>7989</v>
      </c>
      <c r="H2244" s="919" t="s">
        <v>4502</v>
      </c>
      <c r="I2244" s="919" t="s">
        <v>3686</v>
      </c>
      <c r="J2244" s="919"/>
      <c r="K2244" s="920"/>
      <c r="L2244" s="920"/>
      <c r="M2244" s="920">
        <f t="shared" si="68"/>
        <v>0</v>
      </c>
      <c r="N2244" s="919">
        <v>1</v>
      </c>
      <c r="O2244" s="919">
        <v>5</v>
      </c>
      <c r="P2244" s="921">
        <f t="shared" si="69"/>
        <v>5750</v>
      </c>
    </row>
    <row r="2245" spans="1:16" ht="20.100000000000001" customHeight="1" x14ac:dyDescent="0.25">
      <c r="A2245" s="918" t="s">
        <v>473</v>
      </c>
      <c r="B2245" s="944" t="s">
        <v>3901</v>
      </c>
      <c r="C2245" s="919" t="s">
        <v>3902</v>
      </c>
      <c r="D2245" s="919" t="s">
        <v>4502</v>
      </c>
      <c r="E2245" s="920">
        <v>1150</v>
      </c>
      <c r="F2245" s="919" t="s">
        <v>7990</v>
      </c>
      <c r="G2245" s="919" t="s">
        <v>7991</v>
      </c>
      <c r="H2245" s="919" t="s">
        <v>4502</v>
      </c>
      <c r="I2245" s="919" t="s">
        <v>3686</v>
      </c>
      <c r="J2245" s="919"/>
      <c r="K2245" s="920"/>
      <c r="L2245" s="920"/>
      <c r="M2245" s="920">
        <f t="shared" si="68"/>
        <v>0</v>
      </c>
      <c r="N2245" s="919">
        <v>1</v>
      </c>
      <c r="O2245" s="919">
        <v>5</v>
      </c>
      <c r="P2245" s="921">
        <f t="shared" si="69"/>
        <v>5750</v>
      </c>
    </row>
    <row r="2246" spans="1:16" ht="20.100000000000001" customHeight="1" x14ac:dyDescent="0.25">
      <c r="A2246" s="918" t="s">
        <v>473</v>
      </c>
      <c r="B2246" s="944" t="s">
        <v>3901</v>
      </c>
      <c r="C2246" s="919" t="s">
        <v>3902</v>
      </c>
      <c r="D2246" s="919" t="s">
        <v>4502</v>
      </c>
      <c r="E2246" s="920">
        <v>1150</v>
      </c>
      <c r="F2246" s="919" t="s">
        <v>7992</v>
      </c>
      <c r="G2246" s="919" t="s">
        <v>7993</v>
      </c>
      <c r="H2246" s="919" t="s">
        <v>4502</v>
      </c>
      <c r="I2246" s="919" t="s">
        <v>3686</v>
      </c>
      <c r="J2246" s="919"/>
      <c r="K2246" s="920"/>
      <c r="L2246" s="920"/>
      <c r="M2246" s="920">
        <f t="shared" ref="M2246:M2309" si="70">E2246*L2246</f>
        <v>0</v>
      </c>
      <c r="N2246" s="919">
        <v>1</v>
      </c>
      <c r="O2246" s="919">
        <v>5</v>
      </c>
      <c r="P2246" s="921">
        <f t="shared" ref="P2246:P2309" si="71">E2246*O2246</f>
        <v>5750</v>
      </c>
    </row>
    <row r="2247" spans="1:16" ht="20.100000000000001" customHeight="1" x14ac:dyDescent="0.25">
      <c r="A2247" s="918" t="s">
        <v>473</v>
      </c>
      <c r="B2247" s="944" t="s">
        <v>3901</v>
      </c>
      <c r="C2247" s="919" t="s">
        <v>3902</v>
      </c>
      <c r="D2247" s="919" t="s">
        <v>4502</v>
      </c>
      <c r="E2247" s="920">
        <v>1150</v>
      </c>
      <c r="F2247" s="919" t="s">
        <v>7994</v>
      </c>
      <c r="G2247" s="919" t="s">
        <v>7995</v>
      </c>
      <c r="H2247" s="919" t="s">
        <v>4502</v>
      </c>
      <c r="I2247" s="919" t="s">
        <v>3686</v>
      </c>
      <c r="J2247" s="919"/>
      <c r="K2247" s="920"/>
      <c r="L2247" s="920"/>
      <c r="M2247" s="920">
        <f t="shared" si="70"/>
        <v>0</v>
      </c>
      <c r="N2247" s="919">
        <v>1</v>
      </c>
      <c r="O2247" s="919">
        <v>5</v>
      </c>
      <c r="P2247" s="921">
        <f t="shared" si="71"/>
        <v>5750</v>
      </c>
    </row>
    <row r="2248" spans="1:16" ht="20.100000000000001" customHeight="1" x14ac:dyDescent="0.25">
      <c r="A2248" s="918" t="s">
        <v>473</v>
      </c>
      <c r="B2248" s="944" t="s">
        <v>3901</v>
      </c>
      <c r="C2248" s="919" t="s">
        <v>3902</v>
      </c>
      <c r="D2248" s="919" t="s">
        <v>4502</v>
      </c>
      <c r="E2248" s="920">
        <v>1150</v>
      </c>
      <c r="F2248" s="919" t="s">
        <v>7996</v>
      </c>
      <c r="G2248" s="919" t="s">
        <v>7997</v>
      </c>
      <c r="H2248" s="919" t="s">
        <v>4502</v>
      </c>
      <c r="I2248" s="919" t="s">
        <v>3686</v>
      </c>
      <c r="J2248" s="919"/>
      <c r="K2248" s="920"/>
      <c r="L2248" s="920"/>
      <c r="M2248" s="920">
        <f t="shared" si="70"/>
        <v>0</v>
      </c>
      <c r="N2248" s="919">
        <v>1</v>
      </c>
      <c r="O2248" s="919">
        <v>5</v>
      </c>
      <c r="P2248" s="921">
        <f t="shared" si="71"/>
        <v>5750</v>
      </c>
    </row>
    <row r="2249" spans="1:16" ht="20.100000000000001" customHeight="1" x14ac:dyDescent="0.25">
      <c r="A2249" s="918" t="s">
        <v>473</v>
      </c>
      <c r="B2249" s="944" t="s">
        <v>3901</v>
      </c>
      <c r="C2249" s="919" t="s">
        <v>3902</v>
      </c>
      <c r="D2249" s="919" t="s">
        <v>4502</v>
      </c>
      <c r="E2249" s="920">
        <v>1150</v>
      </c>
      <c r="F2249" s="919" t="s">
        <v>7998</v>
      </c>
      <c r="G2249" s="919" t="s">
        <v>7999</v>
      </c>
      <c r="H2249" s="919" t="s">
        <v>4502</v>
      </c>
      <c r="I2249" s="919" t="s">
        <v>3686</v>
      </c>
      <c r="J2249" s="919"/>
      <c r="K2249" s="920"/>
      <c r="L2249" s="920"/>
      <c r="M2249" s="920">
        <f t="shared" si="70"/>
        <v>0</v>
      </c>
      <c r="N2249" s="919">
        <v>1</v>
      </c>
      <c r="O2249" s="919">
        <v>5</v>
      </c>
      <c r="P2249" s="921">
        <f t="shared" si="71"/>
        <v>5750</v>
      </c>
    </row>
    <row r="2250" spans="1:16" ht="20.100000000000001" customHeight="1" x14ac:dyDescent="0.25">
      <c r="A2250" s="918" t="s">
        <v>473</v>
      </c>
      <c r="B2250" s="944" t="s">
        <v>3901</v>
      </c>
      <c r="C2250" s="919" t="s">
        <v>3902</v>
      </c>
      <c r="D2250" s="919" t="s">
        <v>4502</v>
      </c>
      <c r="E2250" s="920">
        <v>1150</v>
      </c>
      <c r="F2250" s="919" t="s">
        <v>8000</v>
      </c>
      <c r="G2250" s="919" t="s">
        <v>8001</v>
      </c>
      <c r="H2250" s="919" t="s">
        <v>4502</v>
      </c>
      <c r="I2250" s="919" t="s">
        <v>3686</v>
      </c>
      <c r="J2250" s="919"/>
      <c r="K2250" s="920"/>
      <c r="L2250" s="920"/>
      <c r="M2250" s="920">
        <f t="shared" si="70"/>
        <v>0</v>
      </c>
      <c r="N2250" s="919">
        <v>1</v>
      </c>
      <c r="O2250" s="919">
        <v>5</v>
      </c>
      <c r="P2250" s="921">
        <f t="shared" si="71"/>
        <v>5750</v>
      </c>
    </row>
    <row r="2251" spans="1:16" ht="20.100000000000001" customHeight="1" x14ac:dyDescent="0.25">
      <c r="A2251" s="918" t="s">
        <v>473</v>
      </c>
      <c r="B2251" s="944" t="s">
        <v>3901</v>
      </c>
      <c r="C2251" s="919" t="s">
        <v>3902</v>
      </c>
      <c r="D2251" s="919" t="s">
        <v>4502</v>
      </c>
      <c r="E2251" s="920">
        <v>1150</v>
      </c>
      <c r="F2251" s="919" t="s">
        <v>8002</v>
      </c>
      <c r="G2251" s="919" t="s">
        <v>8003</v>
      </c>
      <c r="H2251" s="919" t="s">
        <v>4502</v>
      </c>
      <c r="I2251" s="919" t="s">
        <v>3686</v>
      </c>
      <c r="J2251" s="919"/>
      <c r="K2251" s="920"/>
      <c r="L2251" s="920"/>
      <c r="M2251" s="920">
        <f t="shared" si="70"/>
        <v>0</v>
      </c>
      <c r="N2251" s="919">
        <v>1</v>
      </c>
      <c r="O2251" s="919">
        <v>5</v>
      </c>
      <c r="P2251" s="921">
        <f t="shared" si="71"/>
        <v>5750</v>
      </c>
    </row>
    <row r="2252" spans="1:16" ht="20.100000000000001" customHeight="1" x14ac:dyDescent="0.25">
      <c r="A2252" s="918" t="s">
        <v>473</v>
      </c>
      <c r="B2252" s="944" t="s">
        <v>3901</v>
      </c>
      <c r="C2252" s="919" t="s">
        <v>3902</v>
      </c>
      <c r="D2252" s="919" t="s">
        <v>4502</v>
      </c>
      <c r="E2252" s="920">
        <v>1150</v>
      </c>
      <c r="F2252" s="919" t="s">
        <v>8004</v>
      </c>
      <c r="G2252" s="919" t="s">
        <v>8005</v>
      </c>
      <c r="H2252" s="919" t="s">
        <v>4502</v>
      </c>
      <c r="I2252" s="919" t="s">
        <v>3686</v>
      </c>
      <c r="J2252" s="919"/>
      <c r="K2252" s="920"/>
      <c r="L2252" s="920"/>
      <c r="M2252" s="920">
        <f t="shared" si="70"/>
        <v>0</v>
      </c>
      <c r="N2252" s="919">
        <v>1</v>
      </c>
      <c r="O2252" s="919">
        <v>5</v>
      </c>
      <c r="P2252" s="921">
        <f t="shared" si="71"/>
        <v>5750</v>
      </c>
    </row>
    <row r="2253" spans="1:16" ht="20.100000000000001" customHeight="1" x14ac:dyDescent="0.25">
      <c r="A2253" s="918" t="s">
        <v>473</v>
      </c>
      <c r="B2253" s="944" t="s">
        <v>3901</v>
      </c>
      <c r="C2253" s="919" t="s">
        <v>3902</v>
      </c>
      <c r="D2253" s="919" t="s">
        <v>4502</v>
      </c>
      <c r="E2253" s="920">
        <v>1150</v>
      </c>
      <c r="F2253" s="919" t="s">
        <v>8006</v>
      </c>
      <c r="G2253" s="919" t="s">
        <v>8007</v>
      </c>
      <c r="H2253" s="919" t="s">
        <v>4502</v>
      </c>
      <c r="I2253" s="919" t="s">
        <v>3686</v>
      </c>
      <c r="J2253" s="919"/>
      <c r="K2253" s="920"/>
      <c r="L2253" s="920"/>
      <c r="M2253" s="920">
        <f t="shared" si="70"/>
        <v>0</v>
      </c>
      <c r="N2253" s="919">
        <v>1</v>
      </c>
      <c r="O2253" s="919">
        <v>5</v>
      </c>
      <c r="P2253" s="921">
        <f t="shared" si="71"/>
        <v>5750</v>
      </c>
    </row>
    <row r="2254" spans="1:16" ht="20.100000000000001" customHeight="1" x14ac:dyDescent="0.25">
      <c r="A2254" s="918" t="s">
        <v>473</v>
      </c>
      <c r="B2254" s="944" t="s">
        <v>3901</v>
      </c>
      <c r="C2254" s="919" t="s">
        <v>3902</v>
      </c>
      <c r="D2254" s="919" t="s">
        <v>4502</v>
      </c>
      <c r="E2254" s="920">
        <v>1150</v>
      </c>
      <c r="F2254" s="919" t="s">
        <v>8008</v>
      </c>
      <c r="G2254" s="919" t="s">
        <v>8009</v>
      </c>
      <c r="H2254" s="919" t="s">
        <v>4502</v>
      </c>
      <c r="I2254" s="919" t="s">
        <v>3686</v>
      </c>
      <c r="J2254" s="919"/>
      <c r="K2254" s="920"/>
      <c r="L2254" s="920"/>
      <c r="M2254" s="920">
        <f t="shared" si="70"/>
        <v>0</v>
      </c>
      <c r="N2254" s="919">
        <v>1</v>
      </c>
      <c r="O2254" s="919">
        <v>5</v>
      </c>
      <c r="P2254" s="921">
        <f t="shared" si="71"/>
        <v>5750</v>
      </c>
    </row>
    <row r="2255" spans="1:16" ht="20.100000000000001" customHeight="1" x14ac:dyDescent="0.25">
      <c r="A2255" s="918" t="s">
        <v>473</v>
      </c>
      <c r="B2255" s="944" t="s">
        <v>3901</v>
      </c>
      <c r="C2255" s="919" t="s">
        <v>3902</v>
      </c>
      <c r="D2255" s="919" t="s">
        <v>4502</v>
      </c>
      <c r="E2255" s="920">
        <v>1150</v>
      </c>
      <c r="F2255" s="919" t="s">
        <v>8010</v>
      </c>
      <c r="G2255" s="919" t="s">
        <v>8011</v>
      </c>
      <c r="H2255" s="919" t="s">
        <v>4502</v>
      </c>
      <c r="I2255" s="919" t="s">
        <v>3686</v>
      </c>
      <c r="J2255" s="919"/>
      <c r="K2255" s="920"/>
      <c r="L2255" s="920"/>
      <c r="M2255" s="920">
        <f t="shared" si="70"/>
        <v>0</v>
      </c>
      <c r="N2255" s="919">
        <v>1</v>
      </c>
      <c r="O2255" s="919">
        <v>5</v>
      </c>
      <c r="P2255" s="921">
        <f t="shared" si="71"/>
        <v>5750</v>
      </c>
    </row>
    <row r="2256" spans="1:16" ht="20.100000000000001" customHeight="1" x14ac:dyDescent="0.25">
      <c r="A2256" s="918" t="s">
        <v>473</v>
      </c>
      <c r="B2256" s="944" t="s">
        <v>3901</v>
      </c>
      <c r="C2256" s="919" t="s">
        <v>3902</v>
      </c>
      <c r="D2256" s="919" t="s">
        <v>4502</v>
      </c>
      <c r="E2256" s="920">
        <v>1150</v>
      </c>
      <c r="F2256" s="919" t="s">
        <v>8012</v>
      </c>
      <c r="G2256" s="919" t="s">
        <v>8013</v>
      </c>
      <c r="H2256" s="919" t="s">
        <v>4502</v>
      </c>
      <c r="I2256" s="919" t="s">
        <v>3686</v>
      </c>
      <c r="J2256" s="919"/>
      <c r="K2256" s="920"/>
      <c r="L2256" s="920"/>
      <c r="M2256" s="920">
        <f t="shared" si="70"/>
        <v>0</v>
      </c>
      <c r="N2256" s="919">
        <v>1</v>
      </c>
      <c r="O2256" s="919">
        <v>5</v>
      </c>
      <c r="P2256" s="921">
        <f t="shared" si="71"/>
        <v>5750</v>
      </c>
    </row>
    <row r="2257" spans="1:16" ht="20.100000000000001" customHeight="1" x14ac:dyDescent="0.25">
      <c r="A2257" s="918" t="s">
        <v>473</v>
      </c>
      <c r="B2257" s="944" t="s">
        <v>3901</v>
      </c>
      <c r="C2257" s="919" t="s">
        <v>3902</v>
      </c>
      <c r="D2257" s="919" t="s">
        <v>4502</v>
      </c>
      <c r="E2257" s="920">
        <v>1150</v>
      </c>
      <c r="F2257" s="919" t="s">
        <v>8014</v>
      </c>
      <c r="G2257" s="919" t="s">
        <v>8015</v>
      </c>
      <c r="H2257" s="919" t="s">
        <v>4502</v>
      </c>
      <c r="I2257" s="919" t="s">
        <v>3686</v>
      </c>
      <c r="J2257" s="919"/>
      <c r="K2257" s="920"/>
      <c r="L2257" s="920"/>
      <c r="M2257" s="920">
        <f t="shared" si="70"/>
        <v>0</v>
      </c>
      <c r="N2257" s="919">
        <v>1</v>
      </c>
      <c r="O2257" s="919">
        <v>4</v>
      </c>
      <c r="P2257" s="921">
        <f t="shared" si="71"/>
        <v>4600</v>
      </c>
    </row>
    <row r="2258" spans="1:16" ht="20.100000000000001" customHeight="1" x14ac:dyDescent="0.25">
      <c r="A2258" s="918" t="s">
        <v>473</v>
      </c>
      <c r="B2258" s="944" t="s">
        <v>3901</v>
      </c>
      <c r="C2258" s="919" t="s">
        <v>3902</v>
      </c>
      <c r="D2258" s="919" t="s">
        <v>4502</v>
      </c>
      <c r="E2258" s="920">
        <v>1150</v>
      </c>
      <c r="F2258" s="919" t="s">
        <v>8016</v>
      </c>
      <c r="G2258" s="919" t="s">
        <v>8017</v>
      </c>
      <c r="H2258" s="919" t="s">
        <v>4502</v>
      </c>
      <c r="I2258" s="919" t="s">
        <v>3686</v>
      </c>
      <c r="J2258" s="919"/>
      <c r="K2258" s="920"/>
      <c r="L2258" s="920"/>
      <c r="M2258" s="920">
        <f t="shared" si="70"/>
        <v>0</v>
      </c>
      <c r="N2258" s="919">
        <v>1</v>
      </c>
      <c r="O2258" s="919">
        <v>5</v>
      </c>
      <c r="P2258" s="921">
        <f t="shared" si="71"/>
        <v>5750</v>
      </c>
    </row>
    <row r="2259" spans="1:16" ht="20.100000000000001" customHeight="1" x14ac:dyDescent="0.25">
      <c r="A2259" s="918" t="s">
        <v>473</v>
      </c>
      <c r="B2259" s="944" t="s">
        <v>3901</v>
      </c>
      <c r="C2259" s="919" t="s">
        <v>3902</v>
      </c>
      <c r="D2259" s="919" t="s">
        <v>4502</v>
      </c>
      <c r="E2259" s="920">
        <v>1150</v>
      </c>
      <c r="F2259" s="919" t="s">
        <v>8018</v>
      </c>
      <c r="G2259" s="919" t="s">
        <v>8019</v>
      </c>
      <c r="H2259" s="919" t="s">
        <v>4502</v>
      </c>
      <c r="I2259" s="919" t="s">
        <v>3686</v>
      </c>
      <c r="J2259" s="919"/>
      <c r="K2259" s="920"/>
      <c r="L2259" s="920"/>
      <c r="M2259" s="920">
        <f t="shared" si="70"/>
        <v>0</v>
      </c>
      <c r="N2259" s="919">
        <v>1</v>
      </c>
      <c r="O2259" s="919">
        <v>5</v>
      </c>
      <c r="P2259" s="921">
        <f t="shared" si="71"/>
        <v>5750</v>
      </c>
    </row>
    <row r="2260" spans="1:16" ht="20.100000000000001" customHeight="1" x14ac:dyDescent="0.25">
      <c r="A2260" s="918" t="s">
        <v>473</v>
      </c>
      <c r="B2260" s="944" t="s">
        <v>3901</v>
      </c>
      <c r="C2260" s="919" t="s">
        <v>3902</v>
      </c>
      <c r="D2260" s="919" t="s">
        <v>4502</v>
      </c>
      <c r="E2260" s="920">
        <v>1150</v>
      </c>
      <c r="F2260" s="919" t="s">
        <v>8020</v>
      </c>
      <c r="G2260" s="919" t="s">
        <v>8021</v>
      </c>
      <c r="H2260" s="919" t="s">
        <v>4502</v>
      </c>
      <c r="I2260" s="919" t="s">
        <v>3686</v>
      </c>
      <c r="J2260" s="919"/>
      <c r="K2260" s="920"/>
      <c r="L2260" s="920"/>
      <c r="M2260" s="920">
        <f t="shared" si="70"/>
        <v>0</v>
      </c>
      <c r="N2260" s="919">
        <v>1</v>
      </c>
      <c r="O2260" s="919">
        <v>5</v>
      </c>
      <c r="P2260" s="921">
        <f t="shared" si="71"/>
        <v>5750</v>
      </c>
    </row>
    <row r="2261" spans="1:16" ht="20.100000000000001" customHeight="1" x14ac:dyDescent="0.25">
      <c r="A2261" s="918" t="s">
        <v>473</v>
      </c>
      <c r="B2261" s="944" t="s">
        <v>3901</v>
      </c>
      <c r="C2261" s="919" t="s">
        <v>3902</v>
      </c>
      <c r="D2261" s="919" t="s">
        <v>4502</v>
      </c>
      <c r="E2261" s="920">
        <v>1150</v>
      </c>
      <c r="F2261" s="919" t="s">
        <v>8022</v>
      </c>
      <c r="G2261" s="919" t="s">
        <v>8023</v>
      </c>
      <c r="H2261" s="919" t="s">
        <v>4502</v>
      </c>
      <c r="I2261" s="919" t="s">
        <v>3686</v>
      </c>
      <c r="J2261" s="919"/>
      <c r="K2261" s="920"/>
      <c r="L2261" s="920"/>
      <c r="M2261" s="920">
        <f t="shared" si="70"/>
        <v>0</v>
      </c>
      <c r="N2261" s="919">
        <v>1</v>
      </c>
      <c r="O2261" s="919">
        <v>5</v>
      </c>
      <c r="P2261" s="921">
        <f t="shared" si="71"/>
        <v>5750</v>
      </c>
    </row>
    <row r="2262" spans="1:16" ht="20.100000000000001" customHeight="1" x14ac:dyDescent="0.25">
      <c r="A2262" s="918" t="s">
        <v>473</v>
      </c>
      <c r="B2262" s="944" t="s">
        <v>3901</v>
      </c>
      <c r="C2262" s="919" t="s">
        <v>3902</v>
      </c>
      <c r="D2262" s="919" t="s">
        <v>4502</v>
      </c>
      <c r="E2262" s="920">
        <v>1150</v>
      </c>
      <c r="F2262" s="919" t="s">
        <v>8024</v>
      </c>
      <c r="G2262" s="919" t="s">
        <v>8025</v>
      </c>
      <c r="H2262" s="919" t="s">
        <v>4502</v>
      </c>
      <c r="I2262" s="919" t="s">
        <v>3686</v>
      </c>
      <c r="J2262" s="919"/>
      <c r="K2262" s="920"/>
      <c r="L2262" s="920"/>
      <c r="M2262" s="920">
        <f t="shared" si="70"/>
        <v>0</v>
      </c>
      <c r="N2262" s="919">
        <v>1</v>
      </c>
      <c r="O2262" s="919">
        <v>5</v>
      </c>
      <c r="P2262" s="921">
        <f t="shared" si="71"/>
        <v>5750</v>
      </c>
    </row>
    <row r="2263" spans="1:16" ht="20.100000000000001" customHeight="1" x14ac:dyDescent="0.25">
      <c r="A2263" s="918" t="s">
        <v>473</v>
      </c>
      <c r="B2263" s="944" t="s">
        <v>3901</v>
      </c>
      <c r="C2263" s="919" t="s">
        <v>3902</v>
      </c>
      <c r="D2263" s="919" t="s">
        <v>4502</v>
      </c>
      <c r="E2263" s="920">
        <v>1150</v>
      </c>
      <c r="F2263" s="919" t="s">
        <v>8026</v>
      </c>
      <c r="G2263" s="919" t="s">
        <v>8027</v>
      </c>
      <c r="H2263" s="919" t="s">
        <v>4502</v>
      </c>
      <c r="I2263" s="919" t="s">
        <v>3686</v>
      </c>
      <c r="J2263" s="919"/>
      <c r="K2263" s="920"/>
      <c r="L2263" s="920"/>
      <c r="M2263" s="920">
        <f t="shared" si="70"/>
        <v>0</v>
      </c>
      <c r="N2263" s="919">
        <v>1</v>
      </c>
      <c r="O2263" s="919">
        <v>5</v>
      </c>
      <c r="P2263" s="921">
        <f t="shared" si="71"/>
        <v>5750</v>
      </c>
    </row>
    <row r="2264" spans="1:16" ht="20.100000000000001" customHeight="1" x14ac:dyDescent="0.25">
      <c r="A2264" s="918" t="s">
        <v>473</v>
      </c>
      <c r="B2264" s="944" t="s">
        <v>3901</v>
      </c>
      <c r="C2264" s="919" t="s">
        <v>3902</v>
      </c>
      <c r="D2264" s="919" t="s">
        <v>4502</v>
      </c>
      <c r="E2264" s="920">
        <v>1150</v>
      </c>
      <c r="F2264" s="919" t="s">
        <v>8028</v>
      </c>
      <c r="G2264" s="919" t="s">
        <v>8029</v>
      </c>
      <c r="H2264" s="919" t="s">
        <v>4502</v>
      </c>
      <c r="I2264" s="919" t="s">
        <v>3686</v>
      </c>
      <c r="J2264" s="919"/>
      <c r="K2264" s="920"/>
      <c r="L2264" s="920"/>
      <c r="M2264" s="920">
        <f t="shared" si="70"/>
        <v>0</v>
      </c>
      <c r="N2264" s="919">
        <v>1</v>
      </c>
      <c r="O2264" s="919">
        <v>5</v>
      </c>
      <c r="P2264" s="921">
        <f t="shared" si="71"/>
        <v>5750</v>
      </c>
    </row>
    <row r="2265" spans="1:16" ht="20.100000000000001" customHeight="1" x14ac:dyDescent="0.25">
      <c r="A2265" s="918" t="s">
        <v>473</v>
      </c>
      <c r="B2265" s="944" t="s">
        <v>3901</v>
      </c>
      <c r="C2265" s="919" t="s">
        <v>3902</v>
      </c>
      <c r="D2265" s="919" t="s">
        <v>4502</v>
      </c>
      <c r="E2265" s="920">
        <v>1150</v>
      </c>
      <c r="F2265" s="919" t="s">
        <v>8030</v>
      </c>
      <c r="G2265" s="919" t="s">
        <v>8031</v>
      </c>
      <c r="H2265" s="919" t="s">
        <v>4502</v>
      </c>
      <c r="I2265" s="919" t="s">
        <v>3686</v>
      </c>
      <c r="J2265" s="919"/>
      <c r="K2265" s="920"/>
      <c r="L2265" s="920"/>
      <c r="M2265" s="920">
        <f t="shared" si="70"/>
        <v>0</v>
      </c>
      <c r="N2265" s="919">
        <v>1</v>
      </c>
      <c r="O2265" s="919">
        <v>5</v>
      </c>
      <c r="P2265" s="921">
        <f t="shared" si="71"/>
        <v>5750</v>
      </c>
    </row>
    <row r="2266" spans="1:16" ht="20.100000000000001" customHeight="1" x14ac:dyDescent="0.25">
      <c r="A2266" s="918" t="s">
        <v>473</v>
      </c>
      <c r="B2266" s="944" t="s">
        <v>3901</v>
      </c>
      <c r="C2266" s="919" t="s">
        <v>3902</v>
      </c>
      <c r="D2266" s="919" t="s">
        <v>4502</v>
      </c>
      <c r="E2266" s="920">
        <v>1150</v>
      </c>
      <c r="F2266" s="919" t="s">
        <v>8032</v>
      </c>
      <c r="G2266" s="919" t="s">
        <v>8033</v>
      </c>
      <c r="H2266" s="919" t="s">
        <v>4502</v>
      </c>
      <c r="I2266" s="919" t="s">
        <v>3686</v>
      </c>
      <c r="J2266" s="919"/>
      <c r="K2266" s="920"/>
      <c r="L2266" s="920"/>
      <c r="M2266" s="920">
        <f t="shared" si="70"/>
        <v>0</v>
      </c>
      <c r="N2266" s="919">
        <v>1</v>
      </c>
      <c r="O2266" s="919">
        <v>5</v>
      </c>
      <c r="P2266" s="921">
        <f t="shared" si="71"/>
        <v>5750</v>
      </c>
    </row>
    <row r="2267" spans="1:16" ht="20.100000000000001" customHeight="1" x14ac:dyDescent="0.25">
      <c r="A2267" s="918" t="s">
        <v>473</v>
      </c>
      <c r="B2267" s="944" t="s">
        <v>3901</v>
      </c>
      <c r="C2267" s="919" t="s">
        <v>3902</v>
      </c>
      <c r="D2267" s="919" t="s">
        <v>4502</v>
      </c>
      <c r="E2267" s="920">
        <v>1150</v>
      </c>
      <c r="F2267" s="919" t="s">
        <v>8034</v>
      </c>
      <c r="G2267" s="919" t="s">
        <v>8035</v>
      </c>
      <c r="H2267" s="919" t="s">
        <v>4502</v>
      </c>
      <c r="I2267" s="919" t="s">
        <v>3686</v>
      </c>
      <c r="J2267" s="919"/>
      <c r="K2267" s="920"/>
      <c r="L2267" s="920"/>
      <c r="M2267" s="920">
        <f t="shared" si="70"/>
        <v>0</v>
      </c>
      <c r="N2267" s="919">
        <v>1</v>
      </c>
      <c r="O2267" s="919">
        <v>5</v>
      </c>
      <c r="P2267" s="921">
        <f t="shared" si="71"/>
        <v>5750</v>
      </c>
    </row>
    <row r="2268" spans="1:16" ht="20.100000000000001" customHeight="1" x14ac:dyDescent="0.25">
      <c r="A2268" s="918" t="s">
        <v>473</v>
      </c>
      <c r="B2268" s="944" t="s">
        <v>3901</v>
      </c>
      <c r="C2268" s="919" t="s">
        <v>3902</v>
      </c>
      <c r="D2268" s="919" t="s">
        <v>4777</v>
      </c>
      <c r="E2268" s="920">
        <v>2000</v>
      </c>
      <c r="F2268" s="919" t="s">
        <v>8036</v>
      </c>
      <c r="G2268" s="919" t="s">
        <v>8037</v>
      </c>
      <c r="H2268" s="919" t="s">
        <v>4777</v>
      </c>
      <c r="I2268" s="919" t="s">
        <v>3679</v>
      </c>
      <c r="J2268" s="919"/>
      <c r="K2268" s="920"/>
      <c r="L2268" s="920"/>
      <c r="M2268" s="920">
        <f t="shared" si="70"/>
        <v>0</v>
      </c>
      <c r="N2268" s="919">
        <v>1</v>
      </c>
      <c r="O2268" s="919">
        <v>5</v>
      </c>
      <c r="P2268" s="921">
        <f t="shared" si="71"/>
        <v>10000</v>
      </c>
    </row>
    <row r="2269" spans="1:16" ht="20.100000000000001" customHeight="1" x14ac:dyDescent="0.25">
      <c r="A2269" s="918" t="s">
        <v>473</v>
      </c>
      <c r="B2269" s="944" t="s">
        <v>3901</v>
      </c>
      <c r="C2269" s="919" t="s">
        <v>3902</v>
      </c>
      <c r="D2269" s="919" t="s">
        <v>4777</v>
      </c>
      <c r="E2269" s="920">
        <v>2000</v>
      </c>
      <c r="F2269" s="919" t="s">
        <v>8038</v>
      </c>
      <c r="G2269" s="919" t="s">
        <v>8039</v>
      </c>
      <c r="H2269" s="919" t="s">
        <v>4777</v>
      </c>
      <c r="I2269" s="919" t="s">
        <v>3679</v>
      </c>
      <c r="J2269" s="919"/>
      <c r="K2269" s="920"/>
      <c r="L2269" s="920"/>
      <c r="M2269" s="920">
        <f t="shared" si="70"/>
        <v>0</v>
      </c>
      <c r="N2269" s="919">
        <v>1</v>
      </c>
      <c r="O2269" s="919">
        <v>1</v>
      </c>
      <c r="P2269" s="921">
        <f t="shared" si="71"/>
        <v>2000</v>
      </c>
    </row>
    <row r="2270" spans="1:16" ht="20.100000000000001" customHeight="1" x14ac:dyDescent="0.25">
      <c r="A2270" s="918" t="s">
        <v>473</v>
      </c>
      <c r="B2270" s="944" t="s">
        <v>3901</v>
      </c>
      <c r="C2270" s="919" t="s">
        <v>3902</v>
      </c>
      <c r="D2270" s="919" t="s">
        <v>4777</v>
      </c>
      <c r="E2270" s="920">
        <v>2000</v>
      </c>
      <c r="F2270" s="919" t="s">
        <v>8040</v>
      </c>
      <c r="G2270" s="919" t="s">
        <v>8041</v>
      </c>
      <c r="H2270" s="919" t="s">
        <v>4777</v>
      </c>
      <c r="I2270" s="919" t="s">
        <v>3679</v>
      </c>
      <c r="J2270" s="919"/>
      <c r="K2270" s="920"/>
      <c r="L2270" s="920"/>
      <c r="M2270" s="920">
        <f t="shared" si="70"/>
        <v>0</v>
      </c>
      <c r="N2270" s="919">
        <v>1</v>
      </c>
      <c r="O2270" s="919">
        <v>5</v>
      </c>
      <c r="P2270" s="921">
        <f t="shared" si="71"/>
        <v>10000</v>
      </c>
    </row>
    <row r="2271" spans="1:16" ht="20.100000000000001" customHeight="1" x14ac:dyDescent="0.25">
      <c r="A2271" s="918" t="s">
        <v>473</v>
      </c>
      <c r="B2271" s="944" t="s">
        <v>3901</v>
      </c>
      <c r="C2271" s="919" t="s">
        <v>3902</v>
      </c>
      <c r="D2271" s="919" t="s">
        <v>4777</v>
      </c>
      <c r="E2271" s="920">
        <v>2000</v>
      </c>
      <c r="F2271" s="919" t="s">
        <v>8042</v>
      </c>
      <c r="G2271" s="919" t="s">
        <v>8043</v>
      </c>
      <c r="H2271" s="919" t="s">
        <v>4777</v>
      </c>
      <c r="I2271" s="919" t="s">
        <v>3679</v>
      </c>
      <c r="J2271" s="919"/>
      <c r="K2271" s="920"/>
      <c r="L2271" s="920"/>
      <c r="M2271" s="920">
        <f t="shared" si="70"/>
        <v>0</v>
      </c>
      <c r="N2271" s="919">
        <v>1</v>
      </c>
      <c r="O2271" s="919">
        <v>5</v>
      </c>
      <c r="P2271" s="921">
        <f t="shared" si="71"/>
        <v>10000</v>
      </c>
    </row>
    <row r="2272" spans="1:16" ht="20.100000000000001" customHeight="1" x14ac:dyDescent="0.25">
      <c r="A2272" s="918" t="s">
        <v>473</v>
      </c>
      <c r="B2272" s="944" t="s">
        <v>3901</v>
      </c>
      <c r="C2272" s="919" t="s">
        <v>3902</v>
      </c>
      <c r="D2272" s="919" t="s">
        <v>4777</v>
      </c>
      <c r="E2272" s="920">
        <v>2000</v>
      </c>
      <c r="F2272" s="919" t="s">
        <v>8044</v>
      </c>
      <c r="G2272" s="919" t="s">
        <v>8045</v>
      </c>
      <c r="H2272" s="919" t="s">
        <v>4777</v>
      </c>
      <c r="I2272" s="919" t="s">
        <v>3679</v>
      </c>
      <c r="J2272" s="919"/>
      <c r="K2272" s="920"/>
      <c r="L2272" s="920"/>
      <c r="M2272" s="920">
        <f t="shared" si="70"/>
        <v>0</v>
      </c>
      <c r="N2272" s="919">
        <v>1</v>
      </c>
      <c r="O2272" s="919">
        <v>5</v>
      </c>
      <c r="P2272" s="921">
        <f t="shared" si="71"/>
        <v>10000</v>
      </c>
    </row>
    <row r="2273" spans="1:16" ht="20.100000000000001" customHeight="1" x14ac:dyDescent="0.25">
      <c r="A2273" s="918" t="s">
        <v>473</v>
      </c>
      <c r="B2273" s="944" t="s">
        <v>3901</v>
      </c>
      <c r="C2273" s="919" t="s">
        <v>3902</v>
      </c>
      <c r="D2273" s="919" t="s">
        <v>4777</v>
      </c>
      <c r="E2273" s="920">
        <v>2000</v>
      </c>
      <c r="F2273" s="919" t="s">
        <v>8046</v>
      </c>
      <c r="G2273" s="919" t="s">
        <v>8047</v>
      </c>
      <c r="H2273" s="919" t="s">
        <v>4777</v>
      </c>
      <c r="I2273" s="919" t="s">
        <v>3679</v>
      </c>
      <c r="J2273" s="919"/>
      <c r="K2273" s="920"/>
      <c r="L2273" s="920"/>
      <c r="M2273" s="920">
        <f t="shared" si="70"/>
        <v>0</v>
      </c>
      <c r="N2273" s="919">
        <v>1</v>
      </c>
      <c r="O2273" s="919">
        <v>5</v>
      </c>
      <c r="P2273" s="921">
        <f t="shared" si="71"/>
        <v>10000</v>
      </c>
    </row>
    <row r="2274" spans="1:16" ht="20.100000000000001" customHeight="1" x14ac:dyDescent="0.25">
      <c r="A2274" s="918" t="s">
        <v>473</v>
      </c>
      <c r="B2274" s="944" t="s">
        <v>3901</v>
      </c>
      <c r="C2274" s="919" t="s">
        <v>3902</v>
      </c>
      <c r="D2274" s="919" t="s">
        <v>4777</v>
      </c>
      <c r="E2274" s="920">
        <v>2000</v>
      </c>
      <c r="F2274" s="919" t="s">
        <v>8048</v>
      </c>
      <c r="G2274" s="919" t="s">
        <v>8049</v>
      </c>
      <c r="H2274" s="919" t="s">
        <v>4777</v>
      </c>
      <c r="I2274" s="919" t="s">
        <v>3679</v>
      </c>
      <c r="J2274" s="919"/>
      <c r="K2274" s="920"/>
      <c r="L2274" s="920"/>
      <c r="M2274" s="920">
        <f t="shared" si="70"/>
        <v>0</v>
      </c>
      <c r="N2274" s="919">
        <v>1</v>
      </c>
      <c r="O2274" s="919">
        <v>1</v>
      </c>
      <c r="P2274" s="921">
        <f t="shared" si="71"/>
        <v>2000</v>
      </c>
    </row>
    <row r="2275" spans="1:16" ht="20.100000000000001" customHeight="1" x14ac:dyDescent="0.25">
      <c r="A2275" s="918" t="s">
        <v>473</v>
      </c>
      <c r="B2275" s="944" t="s">
        <v>3901</v>
      </c>
      <c r="C2275" s="919" t="s">
        <v>3902</v>
      </c>
      <c r="D2275" s="919" t="s">
        <v>4777</v>
      </c>
      <c r="E2275" s="920">
        <v>2000</v>
      </c>
      <c r="F2275" s="919" t="s">
        <v>8050</v>
      </c>
      <c r="G2275" s="919" t="s">
        <v>8051</v>
      </c>
      <c r="H2275" s="919" t="s">
        <v>4777</v>
      </c>
      <c r="I2275" s="919" t="s">
        <v>3679</v>
      </c>
      <c r="J2275" s="919"/>
      <c r="K2275" s="920"/>
      <c r="L2275" s="920"/>
      <c r="M2275" s="920">
        <f t="shared" si="70"/>
        <v>0</v>
      </c>
      <c r="N2275" s="919">
        <v>1</v>
      </c>
      <c r="O2275" s="919">
        <v>5</v>
      </c>
      <c r="P2275" s="921">
        <f t="shared" si="71"/>
        <v>10000</v>
      </c>
    </row>
    <row r="2276" spans="1:16" ht="20.100000000000001" customHeight="1" x14ac:dyDescent="0.25">
      <c r="A2276" s="918" t="s">
        <v>473</v>
      </c>
      <c r="B2276" s="944" t="s">
        <v>3901</v>
      </c>
      <c r="C2276" s="919" t="s">
        <v>3902</v>
      </c>
      <c r="D2276" s="919" t="s">
        <v>4777</v>
      </c>
      <c r="E2276" s="920">
        <v>2000</v>
      </c>
      <c r="F2276" s="919" t="s">
        <v>8052</v>
      </c>
      <c r="G2276" s="919" t="s">
        <v>8053</v>
      </c>
      <c r="H2276" s="919" t="s">
        <v>4777</v>
      </c>
      <c r="I2276" s="919" t="s">
        <v>3679</v>
      </c>
      <c r="J2276" s="919"/>
      <c r="K2276" s="920"/>
      <c r="L2276" s="920"/>
      <c r="M2276" s="920">
        <f t="shared" si="70"/>
        <v>0</v>
      </c>
      <c r="N2276" s="919">
        <v>1</v>
      </c>
      <c r="O2276" s="919">
        <v>1</v>
      </c>
      <c r="P2276" s="921">
        <f t="shared" si="71"/>
        <v>2000</v>
      </c>
    </row>
    <row r="2277" spans="1:16" ht="20.100000000000001" customHeight="1" x14ac:dyDescent="0.25">
      <c r="A2277" s="918" t="s">
        <v>473</v>
      </c>
      <c r="B2277" s="944" t="s">
        <v>3901</v>
      </c>
      <c r="C2277" s="919" t="s">
        <v>3902</v>
      </c>
      <c r="D2277" s="919" t="s">
        <v>4777</v>
      </c>
      <c r="E2277" s="920">
        <v>2000</v>
      </c>
      <c r="F2277" s="919" t="s">
        <v>8054</v>
      </c>
      <c r="G2277" s="919" t="s">
        <v>8055</v>
      </c>
      <c r="H2277" s="919" t="s">
        <v>4777</v>
      </c>
      <c r="I2277" s="919" t="s">
        <v>3679</v>
      </c>
      <c r="J2277" s="919"/>
      <c r="K2277" s="920"/>
      <c r="L2277" s="920"/>
      <c r="M2277" s="920">
        <f t="shared" si="70"/>
        <v>0</v>
      </c>
      <c r="N2277" s="919">
        <v>1</v>
      </c>
      <c r="O2277" s="919">
        <v>5</v>
      </c>
      <c r="P2277" s="921">
        <f t="shared" si="71"/>
        <v>10000</v>
      </c>
    </row>
    <row r="2278" spans="1:16" ht="20.100000000000001" customHeight="1" x14ac:dyDescent="0.25">
      <c r="A2278" s="918" t="s">
        <v>473</v>
      </c>
      <c r="B2278" s="944" t="s">
        <v>3901</v>
      </c>
      <c r="C2278" s="919" t="s">
        <v>3902</v>
      </c>
      <c r="D2278" s="919" t="s">
        <v>4812</v>
      </c>
      <c r="E2278" s="920">
        <v>2000</v>
      </c>
      <c r="F2278" s="919" t="s">
        <v>8056</v>
      </c>
      <c r="G2278" s="919" t="s">
        <v>8057</v>
      </c>
      <c r="H2278" s="919" t="s">
        <v>4812</v>
      </c>
      <c r="I2278" s="919" t="s">
        <v>3679</v>
      </c>
      <c r="J2278" s="919"/>
      <c r="K2278" s="920"/>
      <c r="L2278" s="920"/>
      <c r="M2278" s="920">
        <f t="shared" si="70"/>
        <v>0</v>
      </c>
      <c r="N2278" s="919">
        <v>1</v>
      </c>
      <c r="O2278" s="919">
        <v>4</v>
      </c>
      <c r="P2278" s="921">
        <f t="shared" si="71"/>
        <v>8000</v>
      </c>
    </row>
    <row r="2279" spans="1:16" ht="20.100000000000001" customHeight="1" x14ac:dyDescent="0.25">
      <c r="A2279" s="918" t="s">
        <v>473</v>
      </c>
      <c r="B2279" s="944" t="s">
        <v>3901</v>
      </c>
      <c r="C2279" s="919" t="s">
        <v>3902</v>
      </c>
      <c r="D2279" s="919" t="s">
        <v>4812</v>
      </c>
      <c r="E2279" s="920">
        <v>2000</v>
      </c>
      <c r="F2279" s="919" t="s">
        <v>8058</v>
      </c>
      <c r="G2279" s="919" t="s">
        <v>8059</v>
      </c>
      <c r="H2279" s="919" t="s">
        <v>4812</v>
      </c>
      <c r="I2279" s="919" t="s">
        <v>3679</v>
      </c>
      <c r="J2279" s="919"/>
      <c r="K2279" s="920"/>
      <c r="L2279" s="920"/>
      <c r="M2279" s="920">
        <f t="shared" si="70"/>
        <v>0</v>
      </c>
      <c r="N2279" s="919">
        <v>1</v>
      </c>
      <c r="O2279" s="919">
        <v>1</v>
      </c>
      <c r="P2279" s="921">
        <f t="shared" si="71"/>
        <v>2000</v>
      </c>
    </row>
    <row r="2280" spans="1:16" ht="20.100000000000001" customHeight="1" x14ac:dyDescent="0.25">
      <c r="A2280" s="918" t="s">
        <v>473</v>
      </c>
      <c r="B2280" s="944" t="s">
        <v>3901</v>
      </c>
      <c r="C2280" s="919" t="s">
        <v>3902</v>
      </c>
      <c r="D2280" s="919" t="s">
        <v>4812</v>
      </c>
      <c r="E2280" s="920">
        <v>2000</v>
      </c>
      <c r="F2280" s="919" t="s">
        <v>8060</v>
      </c>
      <c r="G2280" s="919" t="s">
        <v>8061</v>
      </c>
      <c r="H2280" s="919" t="s">
        <v>4812</v>
      </c>
      <c r="I2280" s="919" t="s">
        <v>3679</v>
      </c>
      <c r="J2280" s="919"/>
      <c r="K2280" s="920"/>
      <c r="L2280" s="920"/>
      <c r="M2280" s="920">
        <f t="shared" si="70"/>
        <v>0</v>
      </c>
      <c r="N2280" s="919">
        <v>1</v>
      </c>
      <c r="O2280" s="919">
        <v>1</v>
      </c>
      <c r="P2280" s="921">
        <f t="shared" si="71"/>
        <v>2000</v>
      </c>
    </row>
    <row r="2281" spans="1:16" ht="20.100000000000001" customHeight="1" x14ac:dyDescent="0.25">
      <c r="A2281" s="918" t="s">
        <v>473</v>
      </c>
      <c r="B2281" s="944" t="s">
        <v>3901</v>
      </c>
      <c r="C2281" s="919" t="s">
        <v>3902</v>
      </c>
      <c r="D2281" s="919" t="s">
        <v>4812</v>
      </c>
      <c r="E2281" s="920">
        <v>2000</v>
      </c>
      <c r="F2281" s="919" t="s">
        <v>8062</v>
      </c>
      <c r="G2281" s="919" t="s">
        <v>8063</v>
      </c>
      <c r="H2281" s="919" t="s">
        <v>4812</v>
      </c>
      <c r="I2281" s="919" t="s">
        <v>3679</v>
      </c>
      <c r="J2281" s="919"/>
      <c r="K2281" s="920"/>
      <c r="L2281" s="920"/>
      <c r="M2281" s="920">
        <f t="shared" si="70"/>
        <v>0</v>
      </c>
      <c r="N2281" s="919">
        <v>1</v>
      </c>
      <c r="O2281" s="919">
        <v>1</v>
      </c>
      <c r="P2281" s="921">
        <f t="shared" si="71"/>
        <v>2000</v>
      </c>
    </row>
    <row r="2282" spans="1:16" ht="20.100000000000001" customHeight="1" x14ac:dyDescent="0.25">
      <c r="A2282" s="918" t="s">
        <v>473</v>
      </c>
      <c r="B2282" s="944" t="s">
        <v>3901</v>
      </c>
      <c r="C2282" s="919" t="s">
        <v>3902</v>
      </c>
      <c r="D2282" s="919" t="s">
        <v>4382</v>
      </c>
      <c r="E2282" s="920">
        <v>2500</v>
      </c>
      <c r="F2282" s="919" t="s">
        <v>8064</v>
      </c>
      <c r="G2282" s="919" t="s">
        <v>8065</v>
      </c>
      <c r="H2282" s="919" t="s">
        <v>4382</v>
      </c>
      <c r="I2282" s="919" t="s">
        <v>3679</v>
      </c>
      <c r="J2282" s="919"/>
      <c r="K2282" s="920"/>
      <c r="L2282" s="920"/>
      <c r="M2282" s="920">
        <f t="shared" si="70"/>
        <v>0</v>
      </c>
      <c r="N2282" s="919">
        <v>1</v>
      </c>
      <c r="O2282" s="919">
        <v>1</v>
      </c>
      <c r="P2282" s="921">
        <f t="shared" si="71"/>
        <v>2500</v>
      </c>
    </row>
    <row r="2283" spans="1:16" ht="20.100000000000001" customHeight="1" x14ac:dyDescent="0.25">
      <c r="A2283" s="918" t="s">
        <v>473</v>
      </c>
      <c r="B2283" s="944" t="s">
        <v>3901</v>
      </c>
      <c r="C2283" s="919" t="s">
        <v>3902</v>
      </c>
      <c r="D2283" s="919" t="s">
        <v>7795</v>
      </c>
      <c r="E2283" s="920">
        <v>2000</v>
      </c>
      <c r="F2283" s="919" t="s">
        <v>8066</v>
      </c>
      <c r="G2283" s="919" t="s">
        <v>8067</v>
      </c>
      <c r="H2283" s="919" t="s">
        <v>7795</v>
      </c>
      <c r="I2283" s="919" t="s">
        <v>3679</v>
      </c>
      <c r="J2283" s="919"/>
      <c r="K2283" s="920"/>
      <c r="L2283" s="920"/>
      <c r="M2283" s="920">
        <f t="shared" si="70"/>
        <v>0</v>
      </c>
      <c r="N2283" s="919">
        <v>1</v>
      </c>
      <c r="O2283" s="919">
        <v>4</v>
      </c>
      <c r="P2283" s="921">
        <f t="shared" si="71"/>
        <v>8000</v>
      </c>
    </row>
    <row r="2284" spans="1:16" ht="20.100000000000001" customHeight="1" x14ac:dyDescent="0.25">
      <c r="A2284" s="918" t="s">
        <v>473</v>
      </c>
      <c r="B2284" s="944" t="s">
        <v>3901</v>
      </c>
      <c r="C2284" s="919" t="s">
        <v>3902</v>
      </c>
      <c r="D2284" s="919" t="s">
        <v>4347</v>
      </c>
      <c r="E2284" s="920">
        <v>3000</v>
      </c>
      <c r="F2284" s="919" t="s">
        <v>4041</v>
      </c>
      <c r="G2284" s="919" t="s">
        <v>4042</v>
      </c>
      <c r="H2284" s="919" t="s">
        <v>4347</v>
      </c>
      <c r="I2284" s="919" t="s">
        <v>3679</v>
      </c>
      <c r="J2284" s="919"/>
      <c r="K2284" s="920">
        <v>1</v>
      </c>
      <c r="L2284" s="920">
        <v>12</v>
      </c>
      <c r="M2284" s="920">
        <f t="shared" si="70"/>
        <v>36000</v>
      </c>
      <c r="N2284" s="919"/>
      <c r="O2284" s="919"/>
      <c r="P2284" s="921">
        <f t="shared" si="71"/>
        <v>0</v>
      </c>
    </row>
    <row r="2285" spans="1:16" ht="20.100000000000001" customHeight="1" x14ac:dyDescent="0.25">
      <c r="A2285" s="918" t="s">
        <v>473</v>
      </c>
      <c r="B2285" s="944" t="s">
        <v>3901</v>
      </c>
      <c r="C2285" s="919" t="s">
        <v>3902</v>
      </c>
      <c r="D2285" s="919" t="s">
        <v>4820</v>
      </c>
      <c r="E2285" s="920">
        <v>2600</v>
      </c>
      <c r="F2285" s="919" t="s">
        <v>8068</v>
      </c>
      <c r="G2285" s="919" t="s">
        <v>8069</v>
      </c>
      <c r="H2285" s="919" t="s">
        <v>4820</v>
      </c>
      <c r="I2285" s="919" t="s">
        <v>3679</v>
      </c>
      <c r="J2285" s="919"/>
      <c r="K2285" s="920"/>
      <c r="L2285" s="920"/>
      <c r="M2285" s="920">
        <f t="shared" si="70"/>
        <v>0</v>
      </c>
      <c r="N2285" s="919">
        <v>1</v>
      </c>
      <c r="O2285" s="919">
        <v>5</v>
      </c>
      <c r="P2285" s="921">
        <f t="shared" si="71"/>
        <v>13000</v>
      </c>
    </row>
    <row r="2286" spans="1:16" ht="20.100000000000001" customHeight="1" x14ac:dyDescent="0.25">
      <c r="A2286" s="918" t="s">
        <v>473</v>
      </c>
      <c r="B2286" s="944" t="s">
        <v>3901</v>
      </c>
      <c r="C2286" s="919" t="s">
        <v>3902</v>
      </c>
      <c r="D2286" s="919" t="s">
        <v>4823</v>
      </c>
      <c r="E2286" s="920">
        <v>2600</v>
      </c>
      <c r="F2286" s="919" t="s">
        <v>8070</v>
      </c>
      <c r="G2286" s="919" t="s">
        <v>8071</v>
      </c>
      <c r="H2286" s="919" t="s">
        <v>4823</v>
      </c>
      <c r="I2286" s="919" t="s">
        <v>3679</v>
      </c>
      <c r="J2286" s="919"/>
      <c r="K2286" s="920"/>
      <c r="L2286" s="920"/>
      <c r="M2286" s="920">
        <f t="shared" si="70"/>
        <v>0</v>
      </c>
      <c r="N2286" s="919">
        <v>1</v>
      </c>
      <c r="O2286" s="919">
        <v>5</v>
      </c>
      <c r="P2286" s="921">
        <f t="shared" si="71"/>
        <v>13000</v>
      </c>
    </row>
    <row r="2287" spans="1:16" ht="20.100000000000001" customHeight="1" x14ac:dyDescent="0.25">
      <c r="A2287" s="918" t="s">
        <v>473</v>
      </c>
      <c r="B2287" s="944" t="s">
        <v>3901</v>
      </c>
      <c r="C2287" s="919" t="s">
        <v>3902</v>
      </c>
      <c r="D2287" s="919" t="s">
        <v>4823</v>
      </c>
      <c r="E2287" s="920">
        <v>2600</v>
      </c>
      <c r="F2287" s="919" t="s">
        <v>8072</v>
      </c>
      <c r="G2287" s="919" t="s">
        <v>8073</v>
      </c>
      <c r="H2287" s="919" t="s">
        <v>4823</v>
      </c>
      <c r="I2287" s="919" t="s">
        <v>3679</v>
      </c>
      <c r="J2287" s="919"/>
      <c r="K2287" s="920"/>
      <c r="L2287" s="920"/>
      <c r="M2287" s="920">
        <f t="shared" si="70"/>
        <v>0</v>
      </c>
      <c r="N2287" s="919">
        <v>1</v>
      </c>
      <c r="O2287" s="919">
        <v>5</v>
      </c>
      <c r="P2287" s="921">
        <f t="shared" si="71"/>
        <v>13000</v>
      </c>
    </row>
    <row r="2288" spans="1:16" ht="20.100000000000001" customHeight="1" x14ac:dyDescent="0.25">
      <c r="A2288" s="918" t="s">
        <v>473</v>
      </c>
      <c r="B2288" s="944" t="s">
        <v>3901</v>
      </c>
      <c r="C2288" s="919" t="s">
        <v>3902</v>
      </c>
      <c r="D2288" s="919" t="s">
        <v>4823</v>
      </c>
      <c r="E2288" s="920">
        <v>2600</v>
      </c>
      <c r="F2288" s="919" t="s">
        <v>8074</v>
      </c>
      <c r="G2288" s="919" t="s">
        <v>8075</v>
      </c>
      <c r="H2288" s="919" t="s">
        <v>4823</v>
      </c>
      <c r="I2288" s="919" t="s">
        <v>3679</v>
      </c>
      <c r="J2288" s="919"/>
      <c r="K2288" s="920"/>
      <c r="L2288" s="920"/>
      <c r="M2288" s="920">
        <f t="shared" si="70"/>
        <v>0</v>
      </c>
      <c r="N2288" s="919">
        <v>1</v>
      </c>
      <c r="O2288" s="919">
        <v>4</v>
      </c>
      <c r="P2288" s="921">
        <f t="shared" si="71"/>
        <v>10400</v>
      </c>
    </row>
    <row r="2289" spans="1:16" ht="20.100000000000001" customHeight="1" x14ac:dyDescent="0.25">
      <c r="A2289" s="918" t="s">
        <v>473</v>
      </c>
      <c r="B2289" s="944" t="s">
        <v>3901</v>
      </c>
      <c r="C2289" s="919" t="s">
        <v>3902</v>
      </c>
      <c r="D2289" s="919" t="s">
        <v>4832</v>
      </c>
      <c r="E2289" s="920">
        <v>4200</v>
      </c>
      <c r="F2289" s="919" t="s">
        <v>8076</v>
      </c>
      <c r="G2289" s="919" t="s">
        <v>8077</v>
      </c>
      <c r="H2289" s="919" t="s">
        <v>4832</v>
      </c>
      <c r="I2289" s="919" t="s">
        <v>3679</v>
      </c>
      <c r="J2289" s="919"/>
      <c r="K2289" s="920"/>
      <c r="L2289" s="920"/>
      <c r="M2289" s="920">
        <f t="shared" si="70"/>
        <v>0</v>
      </c>
      <c r="N2289" s="919">
        <v>1</v>
      </c>
      <c r="O2289" s="919">
        <v>4</v>
      </c>
      <c r="P2289" s="921">
        <f t="shared" si="71"/>
        <v>16800</v>
      </c>
    </row>
    <row r="2290" spans="1:16" ht="20.100000000000001" customHeight="1" x14ac:dyDescent="0.25">
      <c r="A2290" s="918" t="s">
        <v>473</v>
      </c>
      <c r="B2290" s="944" t="s">
        <v>3901</v>
      </c>
      <c r="C2290" s="919" t="s">
        <v>3902</v>
      </c>
      <c r="D2290" s="919" t="s">
        <v>4832</v>
      </c>
      <c r="E2290" s="920">
        <v>4200</v>
      </c>
      <c r="F2290" s="919" t="s">
        <v>8078</v>
      </c>
      <c r="G2290" s="919" t="s">
        <v>8079</v>
      </c>
      <c r="H2290" s="919" t="s">
        <v>4832</v>
      </c>
      <c r="I2290" s="919" t="s">
        <v>3679</v>
      </c>
      <c r="J2290" s="919"/>
      <c r="K2290" s="920"/>
      <c r="L2290" s="920"/>
      <c r="M2290" s="920">
        <f t="shared" si="70"/>
        <v>0</v>
      </c>
      <c r="N2290" s="919">
        <v>1</v>
      </c>
      <c r="O2290" s="919">
        <v>4</v>
      </c>
      <c r="P2290" s="921">
        <f t="shared" si="71"/>
        <v>16800</v>
      </c>
    </row>
    <row r="2291" spans="1:16" ht="20.100000000000001" customHeight="1" x14ac:dyDescent="0.25">
      <c r="A2291" s="918" t="s">
        <v>473</v>
      </c>
      <c r="B2291" s="944" t="s">
        <v>3901</v>
      </c>
      <c r="C2291" s="919" t="s">
        <v>3902</v>
      </c>
      <c r="D2291" s="919" t="s">
        <v>4835</v>
      </c>
      <c r="E2291" s="920">
        <v>4200</v>
      </c>
      <c r="F2291" s="919" t="s">
        <v>8080</v>
      </c>
      <c r="G2291" s="919" t="s">
        <v>8081</v>
      </c>
      <c r="H2291" s="919" t="s">
        <v>4835</v>
      </c>
      <c r="I2291" s="919" t="s">
        <v>3679</v>
      </c>
      <c r="J2291" s="919"/>
      <c r="K2291" s="920"/>
      <c r="L2291" s="920"/>
      <c r="M2291" s="920">
        <f t="shared" si="70"/>
        <v>0</v>
      </c>
      <c r="N2291" s="919">
        <v>1</v>
      </c>
      <c r="O2291" s="919">
        <v>4</v>
      </c>
      <c r="P2291" s="921">
        <f t="shared" si="71"/>
        <v>16800</v>
      </c>
    </row>
    <row r="2292" spans="1:16" ht="20.100000000000001" customHeight="1" x14ac:dyDescent="0.25">
      <c r="A2292" s="918" t="s">
        <v>473</v>
      </c>
      <c r="B2292" s="944" t="s">
        <v>3901</v>
      </c>
      <c r="C2292" s="919" t="s">
        <v>3902</v>
      </c>
      <c r="D2292" s="919" t="s">
        <v>4835</v>
      </c>
      <c r="E2292" s="920">
        <v>4200</v>
      </c>
      <c r="F2292" s="919" t="s">
        <v>8082</v>
      </c>
      <c r="G2292" s="919" t="s">
        <v>8083</v>
      </c>
      <c r="H2292" s="919" t="s">
        <v>4835</v>
      </c>
      <c r="I2292" s="919" t="s">
        <v>3679</v>
      </c>
      <c r="J2292" s="919"/>
      <c r="K2292" s="920"/>
      <c r="L2292" s="920"/>
      <c r="M2292" s="920">
        <f t="shared" si="70"/>
        <v>0</v>
      </c>
      <c r="N2292" s="919">
        <v>1</v>
      </c>
      <c r="O2292" s="919">
        <v>4</v>
      </c>
      <c r="P2292" s="921">
        <f t="shared" si="71"/>
        <v>16800</v>
      </c>
    </row>
    <row r="2293" spans="1:16" ht="20.100000000000001" customHeight="1" x14ac:dyDescent="0.25">
      <c r="A2293" s="918" t="s">
        <v>473</v>
      </c>
      <c r="B2293" s="944" t="s">
        <v>3901</v>
      </c>
      <c r="C2293" s="919" t="s">
        <v>3902</v>
      </c>
      <c r="D2293" s="919" t="s">
        <v>4835</v>
      </c>
      <c r="E2293" s="920">
        <v>4200</v>
      </c>
      <c r="F2293" s="919" t="s">
        <v>8084</v>
      </c>
      <c r="G2293" s="919" t="s">
        <v>8085</v>
      </c>
      <c r="H2293" s="919" t="s">
        <v>4835</v>
      </c>
      <c r="I2293" s="919" t="s">
        <v>3679</v>
      </c>
      <c r="J2293" s="919"/>
      <c r="K2293" s="920"/>
      <c r="L2293" s="920"/>
      <c r="M2293" s="920">
        <f t="shared" si="70"/>
        <v>0</v>
      </c>
      <c r="N2293" s="919">
        <v>1</v>
      </c>
      <c r="O2293" s="919">
        <v>4</v>
      </c>
      <c r="P2293" s="921">
        <f t="shared" si="71"/>
        <v>16800</v>
      </c>
    </row>
    <row r="2294" spans="1:16" ht="20.100000000000001" customHeight="1" x14ac:dyDescent="0.25">
      <c r="A2294" s="918" t="s">
        <v>473</v>
      </c>
      <c r="B2294" s="944" t="s">
        <v>3901</v>
      </c>
      <c r="C2294" s="919" t="s">
        <v>3902</v>
      </c>
      <c r="D2294" s="919" t="s">
        <v>4835</v>
      </c>
      <c r="E2294" s="920">
        <v>4200</v>
      </c>
      <c r="F2294" s="919" t="s">
        <v>8086</v>
      </c>
      <c r="G2294" s="919" t="s">
        <v>8087</v>
      </c>
      <c r="H2294" s="919" t="s">
        <v>4835</v>
      </c>
      <c r="I2294" s="919" t="s">
        <v>3679</v>
      </c>
      <c r="J2294" s="919"/>
      <c r="K2294" s="920"/>
      <c r="L2294" s="920"/>
      <c r="M2294" s="920">
        <f t="shared" si="70"/>
        <v>0</v>
      </c>
      <c r="N2294" s="919">
        <v>1</v>
      </c>
      <c r="O2294" s="919">
        <v>4</v>
      </c>
      <c r="P2294" s="921">
        <f t="shared" si="71"/>
        <v>16800</v>
      </c>
    </row>
    <row r="2295" spans="1:16" ht="20.100000000000001" customHeight="1" x14ac:dyDescent="0.25">
      <c r="A2295" s="918" t="s">
        <v>474</v>
      </c>
      <c r="B2295" s="944" t="s">
        <v>3901</v>
      </c>
      <c r="C2295" s="919" t="s">
        <v>3902</v>
      </c>
      <c r="D2295" s="919" t="s">
        <v>4128</v>
      </c>
      <c r="E2295" s="920">
        <v>1500</v>
      </c>
      <c r="F2295" s="919" t="s">
        <v>4041</v>
      </c>
      <c r="G2295" s="919" t="s">
        <v>4042</v>
      </c>
      <c r="H2295" s="919" t="s">
        <v>4128</v>
      </c>
      <c r="I2295" s="919" t="s">
        <v>3679</v>
      </c>
      <c r="J2295" s="919"/>
      <c r="K2295" s="920">
        <v>1</v>
      </c>
      <c r="L2295" s="920">
        <v>12</v>
      </c>
      <c r="M2295" s="920">
        <f t="shared" si="70"/>
        <v>18000</v>
      </c>
      <c r="N2295" s="919"/>
      <c r="O2295" s="919"/>
      <c r="P2295" s="921">
        <f t="shared" si="71"/>
        <v>0</v>
      </c>
    </row>
    <row r="2296" spans="1:16" ht="20.100000000000001" customHeight="1" x14ac:dyDescent="0.25">
      <c r="A2296" s="918" t="s">
        <v>474</v>
      </c>
      <c r="B2296" s="944" t="s">
        <v>3901</v>
      </c>
      <c r="C2296" s="919" t="s">
        <v>3902</v>
      </c>
      <c r="D2296" s="919" t="s">
        <v>4128</v>
      </c>
      <c r="E2296" s="920">
        <v>1500</v>
      </c>
      <c r="F2296" s="919" t="s">
        <v>4041</v>
      </c>
      <c r="G2296" s="919" t="s">
        <v>4042</v>
      </c>
      <c r="H2296" s="919" t="s">
        <v>4128</v>
      </c>
      <c r="I2296" s="919" t="s">
        <v>3679</v>
      </c>
      <c r="J2296" s="919"/>
      <c r="K2296" s="920">
        <v>1</v>
      </c>
      <c r="L2296" s="920">
        <v>12</v>
      </c>
      <c r="M2296" s="920">
        <f t="shared" si="70"/>
        <v>18000</v>
      </c>
      <c r="N2296" s="919"/>
      <c r="O2296" s="919"/>
      <c r="P2296" s="921">
        <f t="shared" si="71"/>
        <v>0</v>
      </c>
    </row>
    <row r="2297" spans="1:16" ht="20.100000000000001" customHeight="1" x14ac:dyDescent="0.25">
      <c r="A2297" s="918" t="s">
        <v>474</v>
      </c>
      <c r="B2297" s="944" t="s">
        <v>3901</v>
      </c>
      <c r="C2297" s="919" t="s">
        <v>3902</v>
      </c>
      <c r="D2297" s="919" t="s">
        <v>4038</v>
      </c>
      <c r="E2297" s="920">
        <v>1500</v>
      </c>
      <c r="F2297" s="919" t="s">
        <v>8088</v>
      </c>
      <c r="G2297" s="919" t="s">
        <v>8089</v>
      </c>
      <c r="H2297" s="919" t="s">
        <v>4038</v>
      </c>
      <c r="I2297" s="919" t="s">
        <v>3686</v>
      </c>
      <c r="J2297" s="919"/>
      <c r="K2297" s="920">
        <v>1</v>
      </c>
      <c r="L2297" s="920">
        <v>12</v>
      </c>
      <c r="M2297" s="920">
        <f t="shared" si="70"/>
        <v>18000</v>
      </c>
      <c r="N2297" s="919"/>
      <c r="O2297" s="919"/>
      <c r="P2297" s="921">
        <f t="shared" si="71"/>
        <v>0</v>
      </c>
    </row>
    <row r="2298" spans="1:16" ht="20.100000000000001" customHeight="1" x14ac:dyDescent="0.25">
      <c r="A2298" s="918" t="s">
        <v>474</v>
      </c>
      <c r="B2298" s="944" t="s">
        <v>3901</v>
      </c>
      <c r="C2298" s="919" t="s">
        <v>3902</v>
      </c>
      <c r="D2298" s="919" t="s">
        <v>4038</v>
      </c>
      <c r="E2298" s="920">
        <v>1500</v>
      </c>
      <c r="F2298" s="919" t="s">
        <v>4041</v>
      </c>
      <c r="G2298" s="919" t="s">
        <v>4042</v>
      </c>
      <c r="H2298" s="919" t="s">
        <v>4038</v>
      </c>
      <c r="I2298" s="919" t="s">
        <v>3686</v>
      </c>
      <c r="J2298" s="919"/>
      <c r="K2298" s="920">
        <v>1</v>
      </c>
      <c r="L2298" s="920">
        <v>12</v>
      </c>
      <c r="M2298" s="920">
        <f t="shared" si="70"/>
        <v>18000</v>
      </c>
      <c r="N2298" s="919"/>
      <c r="O2298" s="919"/>
      <c r="P2298" s="921">
        <f t="shared" si="71"/>
        <v>0</v>
      </c>
    </row>
    <row r="2299" spans="1:16" ht="20.100000000000001" customHeight="1" x14ac:dyDescent="0.25">
      <c r="A2299" s="918" t="s">
        <v>474</v>
      </c>
      <c r="B2299" s="944" t="s">
        <v>3901</v>
      </c>
      <c r="C2299" s="919" t="s">
        <v>3902</v>
      </c>
      <c r="D2299" s="919" t="s">
        <v>4038</v>
      </c>
      <c r="E2299" s="920">
        <v>1500</v>
      </c>
      <c r="F2299" s="919" t="s">
        <v>4041</v>
      </c>
      <c r="G2299" s="919" t="s">
        <v>4042</v>
      </c>
      <c r="H2299" s="919" t="s">
        <v>4038</v>
      </c>
      <c r="I2299" s="919" t="s">
        <v>3686</v>
      </c>
      <c r="J2299" s="919"/>
      <c r="K2299" s="920">
        <v>1</v>
      </c>
      <c r="L2299" s="920">
        <v>12</v>
      </c>
      <c r="M2299" s="920">
        <f t="shared" si="70"/>
        <v>18000</v>
      </c>
      <c r="N2299" s="919"/>
      <c r="O2299" s="919"/>
      <c r="P2299" s="921">
        <f t="shared" si="71"/>
        <v>0</v>
      </c>
    </row>
    <row r="2300" spans="1:16" ht="20.100000000000001" customHeight="1" x14ac:dyDescent="0.25">
      <c r="A2300" s="918" t="s">
        <v>474</v>
      </c>
      <c r="B2300" s="944" t="s">
        <v>3901</v>
      </c>
      <c r="C2300" s="919" t="s">
        <v>3902</v>
      </c>
      <c r="D2300" s="919" t="s">
        <v>4038</v>
      </c>
      <c r="E2300" s="920">
        <v>2260</v>
      </c>
      <c r="F2300" s="919" t="s">
        <v>4041</v>
      </c>
      <c r="G2300" s="919" t="s">
        <v>4042</v>
      </c>
      <c r="H2300" s="919" t="s">
        <v>4038</v>
      </c>
      <c r="I2300" s="919" t="s">
        <v>3686</v>
      </c>
      <c r="J2300" s="919"/>
      <c r="K2300" s="920">
        <v>1</v>
      </c>
      <c r="L2300" s="920">
        <v>12</v>
      </c>
      <c r="M2300" s="920">
        <f t="shared" si="70"/>
        <v>27120</v>
      </c>
      <c r="N2300" s="919"/>
      <c r="O2300" s="919"/>
      <c r="P2300" s="921">
        <f t="shared" si="71"/>
        <v>0</v>
      </c>
    </row>
    <row r="2301" spans="1:16" ht="20.100000000000001" customHeight="1" x14ac:dyDescent="0.25">
      <c r="A2301" s="918" t="s">
        <v>474</v>
      </c>
      <c r="B2301" s="944" t="s">
        <v>3901</v>
      </c>
      <c r="C2301" s="919" t="s">
        <v>3902</v>
      </c>
      <c r="D2301" s="919" t="s">
        <v>4038</v>
      </c>
      <c r="E2301" s="920">
        <v>2260</v>
      </c>
      <c r="F2301" s="919" t="s">
        <v>8090</v>
      </c>
      <c r="G2301" s="919" t="s">
        <v>8091</v>
      </c>
      <c r="H2301" s="919" t="s">
        <v>4038</v>
      </c>
      <c r="I2301" s="919" t="s">
        <v>3686</v>
      </c>
      <c r="J2301" s="919"/>
      <c r="K2301" s="920"/>
      <c r="L2301" s="920"/>
      <c r="M2301" s="920">
        <f t="shared" si="70"/>
        <v>0</v>
      </c>
      <c r="N2301" s="919">
        <v>1</v>
      </c>
      <c r="O2301" s="919">
        <v>5</v>
      </c>
      <c r="P2301" s="921">
        <f t="shared" si="71"/>
        <v>11300</v>
      </c>
    </row>
    <row r="2302" spans="1:16" ht="20.100000000000001" customHeight="1" x14ac:dyDescent="0.25">
      <c r="A2302" s="918" t="s">
        <v>474</v>
      </c>
      <c r="B2302" s="944" t="s">
        <v>3901</v>
      </c>
      <c r="C2302" s="919" t="s">
        <v>3902</v>
      </c>
      <c r="D2302" s="919" t="s">
        <v>4250</v>
      </c>
      <c r="E2302" s="920">
        <v>3500</v>
      </c>
      <c r="F2302" s="919" t="s">
        <v>8092</v>
      </c>
      <c r="G2302" s="919" t="s">
        <v>8093</v>
      </c>
      <c r="H2302" s="919" t="s">
        <v>4250</v>
      </c>
      <c r="I2302" s="919" t="s">
        <v>3679</v>
      </c>
      <c r="J2302" s="919"/>
      <c r="K2302" s="920"/>
      <c r="L2302" s="920"/>
      <c r="M2302" s="920">
        <f t="shared" si="70"/>
        <v>0</v>
      </c>
      <c r="N2302" s="919">
        <v>1</v>
      </c>
      <c r="O2302" s="919">
        <v>3</v>
      </c>
      <c r="P2302" s="921">
        <f t="shared" si="71"/>
        <v>10500</v>
      </c>
    </row>
    <row r="2303" spans="1:16" ht="20.100000000000001" customHeight="1" x14ac:dyDescent="0.25">
      <c r="A2303" s="918" t="s">
        <v>474</v>
      </c>
      <c r="B2303" s="944" t="s">
        <v>3901</v>
      </c>
      <c r="C2303" s="919" t="s">
        <v>3902</v>
      </c>
      <c r="D2303" s="919" t="s">
        <v>4492</v>
      </c>
      <c r="E2303" s="920">
        <v>2800</v>
      </c>
      <c r="F2303" s="919" t="s">
        <v>8094</v>
      </c>
      <c r="G2303" s="919" t="s">
        <v>8095</v>
      </c>
      <c r="H2303" s="919" t="s">
        <v>4492</v>
      </c>
      <c r="I2303" s="919" t="s">
        <v>3679</v>
      </c>
      <c r="J2303" s="919"/>
      <c r="K2303" s="920"/>
      <c r="L2303" s="920"/>
      <c r="M2303" s="920">
        <f t="shared" si="70"/>
        <v>0</v>
      </c>
      <c r="N2303" s="919">
        <v>1</v>
      </c>
      <c r="O2303" s="919">
        <v>3</v>
      </c>
      <c r="P2303" s="921">
        <f t="shared" si="71"/>
        <v>8400</v>
      </c>
    </row>
    <row r="2304" spans="1:16" ht="20.100000000000001" customHeight="1" x14ac:dyDescent="0.25">
      <c r="A2304" s="918" t="s">
        <v>474</v>
      </c>
      <c r="B2304" s="944" t="s">
        <v>3901</v>
      </c>
      <c r="C2304" s="919" t="s">
        <v>3902</v>
      </c>
      <c r="D2304" s="919" t="s">
        <v>4492</v>
      </c>
      <c r="E2304" s="920">
        <v>2800</v>
      </c>
      <c r="F2304" s="919" t="s">
        <v>8096</v>
      </c>
      <c r="G2304" s="919" t="s">
        <v>8097</v>
      </c>
      <c r="H2304" s="919" t="s">
        <v>4492</v>
      </c>
      <c r="I2304" s="919" t="s">
        <v>3679</v>
      </c>
      <c r="J2304" s="919"/>
      <c r="K2304" s="920"/>
      <c r="L2304" s="920"/>
      <c r="M2304" s="920">
        <f t="shared" si="70"/>
        <v>0</v>
      </c>
      <c r="N2304" s="919">
        <v>1</v>
      </c>
      <c r="O2304" s="919">
        <v>1</v>
      </c>
      <c r="P2304" s="921">
        <f t="shared" si="71"/>
        <v>2800</v>
      </c>
    </row>
    <row r="2305" spans="1:16" ht="20.100000000000001" customHeight="1" x14ac:dyDescent="0.25">
      <c r="A2305" s="918" t="s">
        <v>474</v>
      </c>
      <c r="B2305" s="944" t="s">
        <v>3901</v>
      </c>
      <c r="C2305" s="919" t="s">
        <v>3902</v>
      </c>
      <c r="D2305" s="919" t="s">
        <v>4492</v>
      </c>
      <c r="E2305" s="920">
        <v>2800</v>
      </c>
      <c r="F2305" s="919" t="s">
        <v>4041</v>
      </c>
      <c r="G2305" s="919" t="s">
        <v>4062</v>
      </c>
      <c r="H2305" s="919" t="s">
        <v>4492</v>
      </c>
      <c r="I2305" s="919" t="s">
        <v>3679</v>
      </c>
      <c r="J2305" s="919"/>
      <c r="K2305" s="920">
        <v>1</v>
      </c>
      <c r="L2305" s="920">
        <v>12</v>
      </c>
      <c r="M2305" s="920">
        <f t="shared" si="70"/>
        <v>33600</v>
      </c>
      <c r="N2305" s="919"/>
      <c r="O2305" s="919"/>
      <c r="P2305" s="921">
        <f t="shared" si="71"/>
        <v>0</v>
      </c>
    </row>
    <row r="2306" spans="1:16" ht="20.100000000000001" customHeight="1" x14ac:dyDescent="0.25">
      <c r="A2306" s="918" t="s">
        <v>474</v>
      </c>
      <c r="B2306" s="944" t="s">
        <v>3901</v>
      </c>
      <c r="C2306" s="919" t="s">
        <v>3902</v>
      </c>
      <c r="D2306" s="919" t="s">
        <v>5520</v>
      </c>
      <c r="E2306" s="920">
        <v>2500</v>
      </c>
      <c r="F2306" s="919" t="s">
        <v>8098</v>
      </c>
      <c r="G2306" s="919" t="s">
        <v>8099</v>
      </c>
      <c r="H2306" s="919" t="s">
        <v>5520</v>
      </c>
      <c r="I2306" s="919" t="s">
        <v>3679</v>
      </c>
      <c r="J2306" s="919"/>
      <c r="K2306" s="920"/>
      <c r="L2306" s="920"/>
      <c r="M2306" s="920">
        <f t="shared" si="70"/>
        <v>0</v>
      </c>
      <c r="N2306" s="919">
        <v>1</v>
      </c>
      <c r="O2306" s="919">
        <v>3</v>
      </c>
      <c r="P2306" s="921">
        <f t="shared" si="71"/>
        <v>7500</v>
      </c>
    </row>
    <row r="2307" spans="1:16" ht="20.100000000000001" customHeight="1" x14ac:dyDescent="0.25">
      <c r="A2307" s="918" t="s">
        <v>474</v>
      </c>
      <c r="B2307" s="944" t="s">
        <v>3901</v>
      </c>
      <c r="C2307" s="919" t="s">
        <v>3902</v>
      </c>
      <c r="D2307" s="919" t="s">
        <v>5533</v>
      </c>
      <c r="E2307" s="920">
        <v>1600</v>
      </c>
      <c r="F2307" s="919" t="s">
        <v>4041</v>
      </c>
      <c r="G2307" s="919" t="s">
        <v>4062</v>
      </c>
      <c r="H2307" s="919" t="s">
        <v>5533</v>
      </c>
      <c r="I2307" s="919" t="s">
        <v>3679</v>
      </c>
      <c r="J2307" s="919"/>
      <c r="K2307" s="920">
        <v>1</v>
      </c>
      <c r="L2307" s="920">
        <v>12</v>
      </c>
      <c r="M2307" s="920">
        <f t="shared" si="70"/>
        <v>19200</v>
      </c>
      <c r="N2307" s="919"/>
      <c r="O2307" s="919"/>
      <c r="P2307" s="921">
        <f t="shared" si="71"/>
        <v>0</v>
      </c>
    </row>
    <row r="2308" spans="1:16" ht="20.100000000000001" customHeight="1" x14ac:dyDescent="0.25">
      <c r="A2308" s="918" t="s">
        <v>474</v>
      </c>
      <c r="B2308" s="944" t="s">
        <v>3901</v>
      </c>
      <c r="C2308" s="919" t="s">
        <v>3902</v>
      </c>
      <c r="D2308" s="919" t="s">
        <v>5538</v>
      </c>
      <c r="E2308" s="920">
        <v>1600</v>
      </c>
      <c r="F2308" s="919" t="s">
        <v>8100</v>
      </c>
      <c r="G2308" s="919" t="s">
        <v>8101</v>
      </c>
      <c r="H2308" s="919" t="s">
        <v>5538</v>
      </c>
      <c r="I2308" s="919" t="s">
        <v>3679</v>
      </c>
      <c r="J2308" s="919"/>
      <c r="K2308" s="920"/>
      <c r="L2308" s="920"/>
      <c r="M2308" s="920">
        <f t="shared" si="70"/>
        <v>0</v>
      </c>
      <c r="N2308" s="919">
        <v>1</v>
      </c>
      <c r="O2308" s="919">
        <v>3</v>
      </c>
      <c r="P2308" s="921">
        <f t="shared" si="71"/>
        <v>4800</v>
      </c>
    </row>
    <row r="2309" spans="1:16" ht="20.100000000000001" customHeight="1" x14ac:dyDescent="0.25">
      <c r="A2309" s="918" t="s">
        <v>474</v>
      </c>
      <c r="B2309" s="944" t="s">
        <v>3901</v>
      </c>
      <c r="C2309" s="919" t="s">
        <v>3902</v>
      </c>
      <c r="D2309" s="919" t="s">
        <v>4886</v>
      </c>
      <c r="E2309" s="920">
        <v>1700</v>
      </c>
      <c r="F2309" s="919" t="s">
        <v>8102</v>
      </c>
      <c r="G2309" s="919" t="s">
        <v>8103</v>
      </c>
      <c r="H2309" s="919" t="s">
        <v>4886</v>
      </c>
      <c r="I2309" s="919" t="s">
        <v>3679</v>
      </c>
      <c r="J2309" s="919"/>
      <c r="K2309" s="920"/>
      <c r="L2309" s="920"/>
      <c r="M2309" s="920">
        <f t="shared" si="70"/>
        <v>0</v>
      </c>
      <c r="N2309" s="919">
        <v>1</v>
      </c>
      <c r="O2309" s="919">
        <v>3</v>
      </c>
      <c r="P2309" s="921">
        <f t="shared" si="71"/>
        <v>5100</v>
      </c>
    </row>
    <row r="2310" spans="1:16" ht="20.100000000000001" customHeight="1" x14ac:dyDescent="0.25">
      <c r="A2310" s="918" t="s">
        <v>474</v>
      </c>
      <c r="B2310" s="944" t="s">
        <v>3901</v>
      </c>
      <c r="C2310" s="919" t="s">
        <v>3902</v>
      </c>
      <c r="D2310" s="919" t="s">
        <v>4886</v>
      </c>
      <c r="E2310" s="920">
        <v>1700</v>
      </c>
      <c r="F2310" s="919" t="s">
        <v>8104</v>
      </c>
      <c r="G2310" s="919" t="s">
        <v>8105</v>
      </c>
      <c r="H2310" s="919" t="s">
        <v>4886</v>
      </c>
      <c r="I2310" s="919" t="s">
        <v>3679</v>
      </c>
      <c r="J2310" s="919"/>
      <c r="K2310" s="920"/>
      <c r="L2310" s="920"/>
      <c r="M2310" s="920">
        <f t="shared" ref="M2310:M2373" si="72">E2310*L2310</f>
        <v>0</v>
      </c>
      <c r="N2310" s="919">
        <v>1</v>
      </c>
      <c r="O2310" s="919">
        <v>3</v>
      </c>
      <c r="P2310" s="921">
        <f t="shared" ref="P2310:P2373" si="73">E2310*O2310</f>
        <v>5100</v>
      </c>
    </row>
    <row r="2311" spans="1:16" ht="20.100000000000001" customHeight="1" x14ac:dyDescent="0.25">
      <c r="A2311" s="918" t="s">
        <v>474</v>
      </c>
      <c r="B2311" s="944" t="s">
        <v>3901</v>
      </c>
      <c r="C2311" s="919" t="s">
        <v>3902</v>
      </c>
      <c r="D2311" s="919" t="s">
        <v>4886</v>
      </c>
      <c r="E2311" s="920">
        <v>1700</v>
      </c>
      <c r="F2311" s="919" t="s">
        <v>8106</v>
      </c>
      <c r="G2311" s="919" t="s">
        <v>8107</v>
      </c>
      <c r="H2311" s="919" t="s">
        <v>4886</v>
      </c>
      <c r="I2311" s="919" t="s">
        <v>3679</v>
      </c>
      <c r="J2311" s="919"/>
      <c r="K2311" s="920"/>
      <c r="L2311" s="920"/>
      <c r="M2311" s="920">
        <f t="shared" si="72"/>
        <v>0</v>
      </c>
      <c r="N2311" s="919">
        <v>1</v>
      </c>
      <c r="O2311" s="919">
        <v>3</v>
      </c>
      <c r="P2311" s="921">
        <f t="shared" si="73"/>
        <v>5100</v>
      </c>
    </row>
    <row r="2312" spans="1:16" ht="20.100000000000001" customHeight="1" x14ac:dyDescent="0.25">
      <c r="A2312" s="918" t="s">
        <v>474</v>
      </c>
      <c r="B2312" s="944" t="s">
        <v>3901</v>
      </c>
      <c r="C2312" s="919" t="s">
        <v>3902</v>
      </c>
      <c r="D2312" s="919" t="s">
        <v>4886</v>
      </c>
      <c r="E2312" s="920">
        <v>1700</v>
      </c>
      <c r="F2312" s="919" t="s">
        <v>8108</v>
      </c>
      <c r="G2312" s="919" t="s">
        <v>8109</v>
      </c>
      <c r="H2312" s="919" t="s">
        <v>4886</v>
      </c>
      <c r="I2312" s="919" t="s">
        <v>3679</v>
      </c>
      <c r="J2312" s="919"/>
      <c r="K2312" s="920"/>
      <c r="L2312" s="920"/>
      <c r="M2312" s="920">
        <f t="shared" si="72"/>
        <v>0</v>
      </c>
      <c r="N2312" s="919">
        <v>1</v>
      </c>
      <c r="O2312" s="919">
        <v>3</v>
      </c>
      <c r="P2312" s="921">
        <f t="shared" si="73"/>
        <v>5100</v>
      </c>
    </row>
    <row r="2313" spans="1:16" ht="20.100000000000001" customHeight="1" x14ac:dyDescent="0.25">
      <c r="A2313" s="918" t="s">
        <v>474</v>
      </c>
      <c r="B2313" s="944" t="s">
        <v>3901</v>
      </c>
      <c r="C2313" s="919" t="s">
        <v>3902</v>
      </c>
      <c r="D2313" s="919" t="s">
        <v>4886</v>
      </c>
      <c r="E2313" s="920">
        <v>1700</v>
      </c>
      <c r="F2313" s="919" t="s">
        <v>4041</v>
      </c>
      <c r="G2313" s="919" t="s">
        <v>4062</v>
      </c>
      <c r="H2313" s="919" t="s">
        <v>4886</v>
      </c>
      <c r="I2313" s="919" t="s">
        <v>3679</v>
      </c>
      <c r="J2313" s="919"/>
      <c r="K2313" s="920">
        <v>1</v>
      </c>
      <c r="L2313" s="920">
        <v>12</v>
      </c>
      <c r="M2313" s="920">
        <f t="shared" si="72"/>
        <v>20400</v>
      </c>
      <c r="N2313" s="919"/>
      <c r="O2313" s="919"/>
      <c r="P2313" s="921">
        <f t="shared" si="73"/>
        <v>0</v>
      </c>
    </row>
    <row r="2314" spans="1:16" ht="20.100000000000001" customHeight="1" x14ac:dyDescent="0.25">
      <c r="A2314" s="918" t="s">
        <v>474</v>
      </c>
      <c r="B2314" s="944" t="s">
        <v>3901</v>
      </c>
      <c r="C2314" s="919" t="s">
        <v>3902</v>
      </c>
      <c r="D2314" s="919" t="s">
        <v>4895</v>
      </c>
      <c r="E2314" s="920">
        <v>1150</v>
      </c>
      <c r="F2314" s="919" t="s">
        <v>8110</v>
      </c>
      <c r="G2314" s="919" t="s">
        <v>8111</v>
      </c>
      <c r="H2314" s="919" t="s">
        <v>4895</v>
      </c>
      <c r="I2314" s="919" t="s">
        <v>3693</v>
      </c>
      <c r="J2314" s="919"/>
      <c r="K2314" s="920"/>
      <c r="L2314" s="920"/>
      <c r="M2314" s="920">
        <f t="shared" si="72"/>
        <v>0</v>
      </c>
      <c r="N2314" s="919">
        <v>1</v>
      </c>
      <c r="O2314" s="919">
        <v>3</v>
      </c>
      <c r="P2314" s="921">
        <f t="shared" si="73"/>
        <v>3450</v>
      </c>
    </row>
    <row r="2315" spans="1:16" ht="20.100000000000001" customHeight="1" x14ac:dyDescent="0.25">
      <c r="A2315" s="918" t="s">
        <v>474</v>
      </c>
      <c r="B2315" s="944" t="s">
        <v>3901</v>
      </c>
      <c r="C2315" s="919" t="s">
        <v>3902</v>
      </c>
      <c r="D2315" s="919" t="s">
        <v>4895</v>
      </c>
      <c r="E2315" s="920">
        <v>1150</v>
      </c>
      <c r="F2315" s="919" t="s">
        <v>8112</v>
      </c>
      <c r="G2315" s="919" t="s">
        <v>8113</v>
      </c>
      <c r="H2315" s="919" t="s">
        <v>4895</v>
      </c>
      <c r="I2315" s="919" t="s">
        <v>3693</v>
      </c>
      <c r="J2315" s="919"/>
      <c r="K2315" s="920"/>
      <c r="L2315" s="920"/>
      <c r="M2315" s="920">
        <f t="shared" si="72"/>
        <v>0</v>
      </c>
      <c r="N2315" s="919">
        <v>1</v>
      </c>
      <c r="O2315" s="919">
        <v>3</v>
      </c>
      <c r="P2315" s="921">
        <f t="shared" si="73"/>
        <v>3450</v>
      </c>
    </row>
    <row r="2316" spans="1:16" ht="20.100000000000001" customHeight="1" x14ac:dyDescent="0.25">
      <c r="A2316" s="918" t="s">
        <v>474</v>
      </c>
      <c r="B2316" s="944" t="s">
        <v>3901</v>
      </c>
      <c r="C2316" s="919" t="s">
        <v>3902</v>
      </c>
      <c r="D2316" s="919" t="s">
        <v>5570</v>
      </c>
      <c r="E2316" s="920">
        <v>1150</v>
      </c>
      <c r="F2316" s="919" t="s">
        <v>8114</v>
      </c>
      <c r="G2316" s="919" t="s">
        <v>8115</v>
      </c>
      <c r="H2316" s="919" t="s">
        <v>5570</v>
      </c>
      <c r="I2316" s="919" t="s">
        <v>3693</v>
      </c>
      <c r="J2316" s="919"/>
      <c r="K2316" s="920"/>
      <c r="L2316" s="920"/>
      <c r="M2316" s="920">
        <f t="shared" si="72"/>
        <v>0</v>
      </c>
      <c r="N2316" s="919">
        <v>1</v>
      </c>
      <c r="O2316" s="919">
        <v>3</v>
      </c>
      <c r="P2316" s="921">
        <f t="shared" si="73"/>
        <v>3450</v>
      </c>
    </row>
    <row r="2317" spans="1:16" ht="20.100000000000001" customHeight="1" x14ac:dyDescent="0.25">
      <c r="A2317" s="918" t="s">
        <v>474</v>
      </c>
      <c r="B2317" s="944" t="s">
        <v>3901</v>
      </c>
      <c r="C2317" s="919" t="s">
        <v>3902</v>
      </c>
      <c r="D2317" s="919" t="s">
        <v>4886</v>
      </c>
      <c r="E2317" s="920">
        <v>2300</v>
      </c>
      <c r="F2317" s="919" t="s">
        <v>8116</v>
      </c>
      <c r="G2317" s="919" t="s">
        <v>8117</v>
      </c>
      <c r="H2317" s="919" t="s">
        <v>4886</v>
      </c>
      <c r="I2317" s="919" t="s">
        <v>3679</v>
      </c>
      <c r="J2317" s="919"/>
      <c r="K2317" s="920"/>
      <c r="L2317" s="920"/>
      <c r="M2317" s="920">
        <f t="shared" si="72"/>
        <v>0</v>
      </c>
      <c r="N2317" s="919">
        <v>1</v>
      </c>
      <c r="O2317" s="919">
        <v>3</v>
      </c>
      <c r="P2317" s="921">
        <f t="shared" si="73"/>
        <v>6900</v>
      </c>
    </row>
    <row r="2318" spans="1:16" ht="20.100000000000001" customHeight="1" x14ac:dyDescent="0.25">
      <c r="A2318" s="918" t="s">
        <v>474</v>
      </c>
      <c r="B2318" s="944" t="s">
        <v>3901</v>
      </c>
      <c r="C2318" s="919" t="s">
        <v>3902</v>
      </c>
      <c r="D2318" s="919" t="s">
        <v>4502</v>
      </c>
      <c r="E2318" s="920">
        <v>1150</v>
      </c>
      <c r="F2318" s="919" t="s">
        <v>8118</v>
      </c>
      <c r="G2318" s="919" t="s">
        <v>8119</v>
      </c>
      <c r="H2318" s="919" t="s">
        <v>4502</v>
      </c>
      <c r="I2318" s="919" t="s">
        <v>3686</v>
      </c>
      <c r="J2318" s="919"/>
      <c r="K2318" s="920"/>
      <c r="L2318" s="920"/>
      <c r="M2318" s="920">
        <f t="shared" si="72"/>
        <v>0</v>
      </c>
      <c r="N2318" s="919">
        <v>1</v>
      </c>
      <c r="O2318" s="919">
        <v>3</v>
      </c>
      <c r="P2318" s="921">
        <f t="shared" si="73"/>
        <v>3450</v>
      </c>
    </row>
    <row r="2319" spans="1:16" ht="20.100000000000001" customHeight="1" x14ac:dyDescent="0.25">
      <c r="A2319" s="918" t="s">
        <v>474</v>
      </c>
      <c r="B2319" s="944" t="s">
        <v>3901</v>
      </c>
      <c r="C2319" s="919" t="s">
        <v>3902</v>
      </c>
      <c r="D2319" s="919" t="s">
        <v>4502</v>
      </c>
      <c r="E2319" s="920">
        <v>1150</v>
      </c>
      <c r="F2319" s="919" t="s">
        <v>8120</v>
      </c>
      <c r="G2319" s="919" t="s">
        <v>8121</v>
      </c>
      <c r="H2319" s="919" t="s">
        <v>4502</v>
      </c>
      <c r="I2319" s="919" t="s">
        <v>3686</v>
      </c>
      <c r="J2319" s="919"/>
      <c r="K2319" s="920"/>
      <c r="L2319" s="920"/>
      <c r="M2319" s="920">
        <f t="shared" si="72"/>
        <v>0</v>
      </c>
      <c r="N2319" s="919">
        <v>1</v>
      </c>
      <c r="O2319" s="919">
        <v>3</v>
      </c>
      <c r="P2319" s="921">
        <f t="shared" si="73"/>
        <v>3450</v>
      </c>
    </row>
    <row r="2320" spans="1:16" ht="20.100000000000001" customHeight="1" x14ac:dyDescent="0.25">
      <c r="A2320" s="918" t="s">
        <v>474</v>
      </c>
      <c r="B2320" s="944" t="s">
        <v>3901</v>
      </c>
      <c r="C2320" s="919" t="s">
        <v>3902</v>
      </c>
      <c r="D2320" s="919" t="s">
        <v>4502</v>
      </c>
      <c r="E2320" s="920">
        <v>1150</v>
      </c>
      <c r="F2320" s="919" t="s">
        <v>8122</v>
      </c>
      <c r="G2320" s="919" t="s">
        <v>8123</v>
      </c>
      <c r="H2320" s="919" t="s">
        <v>4502</v>
      </c>
      <c r="I2320" s="919" t="s">
        <v>3686</v>
      </c>
      <c r="J2320" s="919"/>
      <c r="K2320" s="920"/>
      <c r="L2320" s="920"/>
      <c r="M2320" s="920">
        <f t="shared" si="72"/>
        <v>0</v>
      </c>
      <c r="N2320" s="919">
        <v>1</v>
      </c>
      <c r="O2320" s="919">
        <v>3</v>
      </c>
      <c r="P2320" s="921">
        <f t="shared" si="73"/>
        <v>3450</v>
      </c>
    </row>
    <row r="2321" spans="1:16" ht="20.100000000000001" customHeight="1" x14ac:dyDescent="0.25">
      <c r="A2321" s="918" t="s">
        <v>474</v>
      </c>
      <c r="B2321" s="944" t="s">
        <v>3901</v>
      </c>
      <c r="C2321" s="919" t="s">
        <v>3902</v>
      </c>
      <c r="D2321" s="919" t="s">
        <v>4502</v>
      </c>
      <c r="E2321" s="920">
        <v>1150</v>
      </c>
      <c r="F2321" s="919" t="s">
        <v>8124</v>
      </c>
      <c r="G2321" s="919" t="s">
        <v>8125</v>
      </c>
      <c r="H2321" s="919" t="s">
        <v>4502</v>
      </c>
      <c r="I2321" s="919" t="s">
        <v>3686</v>
      </c>
      <c r="J2321" s="919"/>
      <c r="K2321" s="920"/>
      <c r="L2321" s="920"/>
      <c r="M2321" s="920">
        <f t="shared" si="72"/>
        <v>0</v>
      </c>
      <c r="N2321" s="919">
        <v>1</v>
      </c>
      <c r="O2321" s="919">
        <v>3</v>
      </c>
      <c r="P2321" s="921">
        <f t="shared" si="73"/>
        <v>3450</v>
      </c>
    </row>
    <row r="2322" spans="1:16" ht="20.100000000000001" customHeight="1" x14ac:dyDescent="0.25">
      <c r="A2322" s="918" t="s">
        <v>474</v>
      </c>
      <c r="B2322" s="944" t="s">
        <v>3901</v>
      </c>
      <c r="C2322" s="919" t="s">
        <v>3902</v>
      </c>
      <c r="D2322" s="919" t="s">
        <v>4502</v>
      </c>
      <c r="E2322" s="920">
        <v>1150</v>
      </c>
      <c r="F2322" s="919" t="s">
        <v>8126</v>
      </c>
      <c r="G2322" s="919" t="s">
        <v>8127</v>
      </c>
      <c r="H2322" s="919" t="s">
        <v>4502</v>
      </c>
      <c r="I2322" s="919" t="s">
        <v>3686</v>
      </c>
      <c r="J2322" s="919"/>
      <c r="K2322" s="920"/>
      <c r="L2322" s="920"/>
      <c r="M2322" s="920">
        <f t="shared" si="72"/>
        <v>0</v>
      </c>
      <c r="N2322" s="919">
        <v>1</v>
      </c>
      <c r="O2322" s="919">
        <v>3</v>
      </c>
      <c r="P2322" s="921">
        <f t="shared" si="73"/>
        <v>3450</v>
      </c>
    </row>
    <row r="2323" spans="1:16" ht="20.100000000000001" customHeight="1" x14ac:dyDescent="0.25">
      <c r="A2323" s="918" t="s">
        <v>474</v>
      </c>
      <c r="B2323" s="944" t="s">
        <v>3901</v>
      </c>
      <c r="C2323" s="919" t="s">
        <v>3902</v>
      </c>
      <c r="D2323" s="919" t="s">
        <v>4502</v>
      </c>
      <c r="E2323" s="920">
        <v>1150</v>
      </c>
      <c r="F2323" s="919" t="s">
        <v>8128</v>
      </c>
      <c r="G2323" s="919" t="s">
        <v>8129</v>
      </c>
      <c r="H2323" s="919" t="s">
        <v>4502</v>
      </c>
      <c r="I2323" s="919" t="s">
        <v>3686</v>
      </c>
      <c r="J2323" s="919"/>
      <c r="K2323" s="920"/>
      <c r="L2323" s="920"/>
      <c r="M2323" s="920">
        <f t="shared" si="72"/>
        <v>0</v>
      </c>
      <c r="N2323" s="919">
        <v>1</v>
      </c>
      <c r="O2323" s="919">
        <v>3</v>
      </c>
      <c r="P2323" s="921">
        <f t="shared" si="73"/>
        <v>3450</v>
      </c>
    </row>
    <row r="2324" spans="1:16" ht="20.100000000000001" customHeight="1" x14ac:dyDescent="0.25">
      <c r="A2324" s="918" t="s">
        <v>474</v>
      </c>
      <c r="B2324" s="944" t="s">
        <v>3901</v>
      </c>
      <c r="C2324" s="919" t="s">
        <v>3902</v>
      </c>
      <c r="D2324" s="919" t="s">
        <v>4502</v>
      </c>
      <c r="E2324" s="920">
        <v>1150</v>
      </c>
      <c r="F2324" s="919" t="s">
        <v>8130</v>
      </c>
      <c r="G2324" s="919" t="s">
        <v>8131</v>
      </c>
      <c r="H2324" s="919" t="s">
        <v>4502</v>
      </c>
      <c r="I2324" s="919" t="s">
        <v>3686</v>
      </c>
      <c r="J2324" s="919"/>
      <c r="K2324" s="920"/>
      <c r="L2324" s="920"/>
      <c r="M2324" s="920">
        <f t="shared" si="72"/>
        <v>0</v>
      </c>
      <c r="N2324" s="919">
        <v>1</v>
      </c>
      <c r="O2324" s="919">
        <v>3</v>
      </c>
      <c r="P2324" s="921">
        <f t="shared" si="73"/>
        <v>3450</v>
      </c>
    </row>
    <row r="2325" spans="1:16" ht="20.100000000000001" customHeight="1" x14ac:dyDescent="0.25">
      <c r="A2325" s="918" t="s">
        <v>474</v>
      </c>
      <c r="B2325" s="944" t="s">
        <v>3901</v>
      </c>
      <c r="C2325" s="919" t="s">
        <v>3902</v>
      </c>
      <c r="D2325" s="919" t="s">
        <v>4502</v>
      </c>
      <c r="E2325" s="920">
        <v>1150</v>
      </c>
      <c r="F2325" s="919" t="s">
        <v>8132</v>
      </c>
      <c r="G2325" s="919" t="s">
        <v>8133</v>
      </c>
      <c r="H2325" s="919" t="s">
        <v>4502</v>
      </c>
      <c r="I2325" s="919" t="s">
        <v>3686</v>
      </c>
      <c r="J2325" s="919"/>
      <c r="K2325" s="920"/>
      <c r="L2325" s="920"/>
      <c r="M2325" s="920">
        <f t="shared" si="72"/>
        <v>0</v>
      </c>
      <c r="N2325" s="919">
        <v>1</v>
      </c>
      <c r="O2325" s="919">
        <v>3</v>
      </c>
      <c r="P2325" s="921">
        <f t="shared" si="73"/>
        <v>3450</v>
      </c>
    </row>
    <row r="2326" spans="1:16" ht="20.100000000000001" customHeight="1" x14ac:dyDescent="0.25">
      <c r="A2326" s="918" t="s">
        <v>474</v>
      </c>
      <c r="B2326" s="944" t="s">
        <v>3901</v>
      </c>
      <c r="C2326" s="919" t="s">
        <v>3902</v>
      </c>
      <c r="D2326" s="919" t="s">
        <v>4502</v>
      </c>
      <c r="E2326" s="920">
        <v>1150</v>
      </c>
      <c r="F2326" s="919" t="s">
        <v>8134</v>
      </c>
      <c r="G2326" s="919" t="s">
        <v>8135</v>
      </c>
      <c r="H2326" s="919" t="s">
        <v>4502</v>
      </c>
      <c r="I2326" s="919" t="s">
        <v>3686</v>
      </c>
      <c r="J2326" s="919"/>
      <c r="K2326" s="920"/>
      <c r="L2326" s="920"/>
      <c r="M2326" s="920">
        <f t="shared" si="72"/>
        <v>0</v>
      </c>
      <c r="N2326" s="919">
        <v>1</v>
      </c>
      <c r="O2326" s="919">
        <v>3</v>
      </c>
      <c r="P2326" s="921">
        <f t="shared" si="73"/>
        <v>3450</v>
      </c>
    </row>
    <row r="2327" spans="1:16" ht="20.100000000000001" customHeight="1" x14ac:dyDescent="0.25">
      <c r="A2327" s="918" t="s">
        <v>474</v>
      </c>
      <c r="B2327" s="944" t="s">
        <v>3901</v>
      </c>
      <c r="C2327" s="919" t="s">
        <v>3902</v>
      </c>
      <c r="D2327" s="919" t="s">
        <v>4531</v>
      </c>
      <c r="E2327" s="920">
        <v>1800</v>
      </c>
      <c r="F2327" s="919" t="s">
        <v>8136</v>
      </c>
      <c r="G2327" s="919" t="s">
        <v>8137</v>
      </c>
      <c r="H2327" s="919" t="s">
        <v>4531</v>
      </c>
      <c r="I2327" s="919" t="s">
        <v>3679</v>
      </c>
      <c r="J2327" s="919"/>
      <c r="K2327" s="920"/>
      <c r="L2327" s="920"/>
      <c r="M2327" s="920">
        <f t="shared" si="72"/>
        <v>0</v>
      </c>
      <c r="N2327" s="919">
        <v>1</v>
      </c>
      <c r="O2327" s="919">
        <v>3</v>
      </c>
      <c r="P2327" s="921">
        <f t="shared" si="73"/>
        <v>5400</v>
      </c>
    </row>
    <row r="2328" spans="1:16" ht="20.100000000000001" customHeight="1" x14ac:dyDescent="0.25">
      <c r="A2328" s="918" t="s">
        <v>474</v>
      </c>
      <c r="B2328" s="944" t="s">
        <v>3901</v>
      </c>
      <c r="C2328" s="919" t="s">
        <v>3902</v>
      </c>
      <c r="D2328" s="919" t="s">
        <v>4531</v>
      </c>
      <c r="E2328" s="920">
        <v>1800</v>
      </c>
      <c r="F2328" s="919" t="s">
        <v>8138</v>
      </c>
      <c r="G2328" s="919" t="s">
        <v>8139</v>
      </c>
      <c r="H2328" s="919" t="s">
        <v>4531</v>
      </c>
      <c r="I2328" s="919" t="s">
        <v>3679</v>
      </c>
      <c r="J2328" s="919"/>
      <c r="K2328" s="920"/>
      <c r="L2328" s="920"/>
      <c r="M2328" s="920">
        <f t="shared" si="72"/>
        <v>0</v>
      </c>
      <c r="N2328" s="919">
        <v>1</v>
      </c>
      <c r="O2328" s="919">
        <v>3</v>
      </c>
      <c r="P2328" s="921">
        <f t="shared" si="73"/>
        <v>5400</v>
      </c>
    </row>
    <row r="2329" spans="1:16" ht="20.100000000000001" customHeight="1" x14ac:dyDescent="0.25">
      <c r="A2329" s="918" t="s">
        <v>474</v>
      </c>
      <c r="B2329" s="944" t="s">
        <v>3901</v>
      </c>
      <c r="C2329" s="919" t="s">
        <v>3902</v>
      </c>
      <c r="D2329" s="919" t="s">
        <v>4531</v>
      </c>
      <c r="E2329" s="920">
        <v>1800</v>
      </c>
      <c r="F2329" s="919" t="s">
        <v>8140</v>
      </c>
      <c r="G2329" s="919" t="s">
        <v>8141</v>
      </c>
      <c r="H2329" s="919" t="s">
        <v>4531</v>
      </c>
      <c r="I2329" s="919" t="s">
        <v>3679</v>
      </c>
      <c r="J2329" s="919"/>
      <c r="K2329" s="920"/>
      <c r="L2329" s="920"/>
      <c r="M2329" s="920">
        <f t="shared" si="72"/>
        <v>0</v>
      </c>
      <c r="N2329" s="919">
        <v>1</v>
      </c>
      <c r="O2329" s="919">
        <v>3</v>
      </c>
      <c r="P2329" s="921">
        <f t="shared" si="73"/>
        <v>5400</v>
      </c>
    </row>
    <row r="2330" spans="1:16" ht="20.100000000000001" customHeight="1" x14ac:dyDescent="0.25">
      <c r="A2330" s="918" t="s">
        <v>474</v>
      </c>
      <c r="B2330" s="944" t="s">
        <v>3901</v>
      </c>
      <c r="C2330" s="919" t="s">
        <v>3902</v>
      </c>
      <c r="D2330" s="919" t="s">
        <v>4531</v>
      </c>
      <c r="E2330" s="920">
        <v>1800</v>
      </c>
      <c r="F2330" s="919" t="s">
        <v>8142</v>
      </c>
      <c r="G2330" s="919" t="s">
        <v>8143</v>
      </c>
      <c r="H2330" s="919" t="s">
        <v>4531</v>
      </c>
      <c r="I2330" s="919" t="s">
        <v>3679</v>
      </c>
      <c r="J2330" s="919"/>
      <c r="K2330" s="920"/>
      <c r="L2330" s="920"/>
      <c r="M2330" s="920">
        <f t="shared" si="72"/>
        <v>0</v>
      </c>
      <c r="N2330" s="919">
        <v>1</v>
      </c>
      <c r="O2330" s="919">
        <v>3</v>
      </c>
      <c r="P2330" s="921">
        <f t="shared" si="73"/>
        <v>5400</v>
      </c>
    </row>
    <row r="2331" spans="1:16" ht="20.100000000000001" customHeight="1" x14ac:dyDescent="0.25">
      <c r="A2331" s="918" t="s">
        <v>474</v>
      </c>
      <c r="B2331" s="944" t="s">
        <v>3901</v>
      </c>
      <c r="C2331" s="919" t="s">
        <v>3902</v>
      </c>
      <c r="D2331" s="919" t="s">
        <v>4531</v>
      </c>
      <c r="E2331" s="920">
        <v>1800</v>
      </c>
      <c r="F2331" s="919" t="s">
        <v>8144</v>
      </c>
      <c r="G2331" s="919" t="s">
        <v>8145</v>
      </c>
      <c r="H2331" s="919" t="s">
        <v>4531</v>
      </c>
      <c r="I2331" s="919" t="s">
        <v>3679</v>
      </c>
      <c r="J2331" s="919"/>
      <c r="K2331" s="920"/>
      <c r="L2331" s="920"/>
      <c r="M2331" s="920">
        <f t="shared" si="72"/>
        <v>0</v>
      </c>
      <c r="N2331" s="919">
        <v>1</v>
      </c>
      <c r="O2331" s="919">
        <v>3</v>
      </c>
      <c r="P2331" s="921">
        <f t="shared" si="73"/>
        <v>5400</v>
      </c>
    </row>
    <row r="2332" spans="1:16" ht="20.100000000000001" customHeight="1" x14ac:dyDescent="0.25">
      <c r="A2332" s="918" t="s">
        <v>474</v>
      </c>
      <c r="B2332" s="944" t="s">
        <v>3901</v>
      </c>
      <c r="C2332" s="919" t="s">
        <v>3902</v>
      </c>
      <c r="D2332" s="919" t="s">
        <v>4531</v>
      </c>
      <c r="E2332" s="920">
        <v>1800</v>
      </c>
      <c r="F2332" s="919" t="s">
        <v>8146</v>
      </c>
      <c r="G2332" s="919" t="s">
        <v>8147</v>
      </c>
      <c r="H2332" s="919" t="s">
        <v>4531</v>
      </c>
      <c r="I2332" s="919" t="s">
        <v>3679</v>
      </c>
      <c r="J2332" s="919"/>
      <c r="K2332" s="920"/>
      <c r="L2332" s="920"/>
      <c r="M2332" s="920">
        <f t="shared" si="72"/>
        <v>0</v>
      </c>
      <c r="N2332" s="919">
        <v>1</v>
      </c>
      <c r="O2332" s="919">
        <v>3</v>
      </c>
      <c r="P2332" s="921">
        <f t="shared" si="73"/>
        <v>5400</v>
      </c>
    </row>
    <row r="2333" spans="1:16" ht="20.100000000000001" customHeight="1" x14ac:dyDescent="0.25">
      <c r="A2333" s="918" t="s">
        <v>474</v>
      </c>
      <c r="B2333" s="944" t="s">
        <v>3901</v>
      </c>
      <c r="C2333" s="919" t="s">
        <v>3902</v>
      </c>
      <c r="D2333" s="919" t="s">
        <v>4531</v>
      </c>
      <c r="E2333" s="920">
        <v>1800</v>
      </c>
      <c r="F2333" s="919" t="s">
        <v>8148</v>
      </c>
      <c r="G2333" s="919" t="s">
        <v>8149</v>
      </c>
      <c r="H2333" s="919" t="s">
        <v>4531</v>
      </c>
      <c r="I2333" s="919" t="s">
        <v>3679</v>
      </c>
      <c r="J2333" s="919"/>
      <c r="K2333" s="920"/>
      <c r="L2333" s="920"/>
      <c r="M2333" s="920">
        <f t="shared" si="72"/>
        <v>0</v>
      </c>
      <c r="N2333" s="919">
        <v>1</v>
      </c>
      <c r="O2333" s="919">
        <v>3</v>
      </c>
      <c r="P2333" s="921">
        <f t="shared" si="73"/>
        <v>5400</v>
      </c>
    </row>
    <row r="2334" spans="1:16" ht="20.100000000000001" customHeight="1" x14ac:dyDescent="0.25">
      <c r="A2334" s="918" t="s">
        <v>474</v>
      </c>
      <c r="B2334" s="944" t="s">
        <v>3901</v>
      </c>
      <c r="C2334" s="919" t="s">
        <v>3902</v>
      </c>
      <c r="D2334" s="919" t="s">
        <v>4531</v>
      </c>
      <c r="E2334" s="920">
        <v>1800</v>
      </c>
      <c r="F2334" s="919" t="s">
        <v>8150</v>
      </c>
      <c r="G2334" s="919" t="s">
        <v>8151</v>
      </c>
      <c r="H2334" s="919" t="s">
        <v>4531</v>
      </c>
      <c r="I2334" s="919" t="s">
        <v>3679</v>
      </c>
      <c r="J2334" s="919"/>
      <c r="K2334" s="920"/>
      <c r="L2334" s="920"/>
      <c r="M2334" s="920">
        <f t="shared" si="72"/>
        <v>0</v>
      </c>
      <c r="N2334" s="919">
        <v>1</v>
      </c>
      <c r="O2334" s="919">
        <v>3</v>
      </c>
      <c r="P2334" s="921">
        <f t="shared" si="73"/>
        <v>5400</v>
      </c>
    </row>
    <row r="2335" spans="1:16" ht="20.100000000000001" customHeight="1" x14ac:dyDescent="0.25">
      <c r="A2335" s="918" t="s">
        <v>474</v>
      </c>
      <c r="B2335" s="944" t="s">
        <v>3901</v>
      </c>
      <c r="C2335" s="919" t="s">
        <v>3902</v>
      </c>
      <c r="D2335" s="919" t="s">
        <v>4531</v>
      </c>
      <c r="E2335" s="920">
        <v>1800</v>
      </c>
      <c r="F2335" s="919" t="s">
        <v>8152</v>
      </c>
      <c r="G2335" s="919" t="s">
        <v>8153</v>
      </c>
      <c r="H2335" s="919" t="s">
        <v>4531</v>
      </c>
      <c r="I2335" s="919" t="s">
        <v>3679</v>
      </c>
      <c r="J2335" s="919"/>
      <c r="K2335" s="920"/>
      <c r="L2335" s="920"/>
      <c r="M2335" s="920">
        <f t="shared" si="72"/>
        <v>0</v>
      </c>
      <c r="N2335" s="919">
        <v>1</v>
      </c>
      <c r="O2335" s="919">
        <v>3</v>
      </c>
      <c r="P2335" s="921">
        <f t="shared" si="73"/>
        <v>5400</v>
      </c>
    </row>
    <row r="2336" spans="1:16" ht="20.100000000000001" customHeight="1" x14ac:dyDescent="0.25">
      <c r="A2336" s="918" t="s">
        <v>474</v>
      </c>
      <c r="B2336" s="944" t="s">
        <v>3901</v>
      </c>
      <c r="C2336" s="919" t="s">
        <v>3902</v>
      </c>
      <c r="D2336" s="919" t="s">
        <v>4531</v>
      </c>
      <c r="E2336" s="920">
        <v>1800</v>
      </c>
      <c r="F2336" s="919" t="s">
        <v>8154</v>
      </c>
      <c r="G2336" s="919" t="s">
        <v>8155</v>
      </c>
      <c r="H2336" s="919" t="s">
        <v>4531</v>
      </c>
      <c r="I2336" s="919" t="s">
        <v>3679</v>
      </c>
      <c r="J2336" s="919"/>
      <c r="K2336" s="920"/>
      <c r="L2336" s="920"/>
      <c r="M2336" s="920">
        <f t="shared" si="72"/>
        <v>0</v>
      </c>
      <c r="N2336" s="919">
        <v>1</v>
      </c>
      <c r="O2336" s="919">
        <v>3</v>
      </c>
      <c r="P2336" s="921">
        <f t="shared" si="73"/>
        <v>5400</v>
      </c>
    </row>
    <row r="2337" spans="1:16" ht="20.100000000000001" customHeight="1" x14ac:dyDescent="0.25">
      <c r="A2337" s="918" t="s">
        <v>474</v>
      </c>
      <c r="B2337" s="944" t="s">
        <v>3901</v>
      </c>
      <c r="C2337" s="919" t="s">
        <v>3902</v>
      </c>
      <c r="D2337" s="919" t="s">
        <v>4531</v>
      </c>
      <c r="E2337" s="920">
        <v>1800</v>
      </c>
      <c r="F2337" s="919" t="s">
        <v>8156</v>
      </c>
      <c r="G2337" s="919" t="s">
        <v>8157</v>
      </c>
      <c r="H2337" s="919" t="s">
        <v>4531</v>
      </c>
      <c r="I2337" s="919" t="s">
        <v>3679</v>
      </c>
      <c r="J2337" s="919"/>
      <c r="K2337" s="920"/>
      <c r="L2337" s="920"/>
      <c r="M2337" s="920">
        <f t="shared" si="72"/>
        <v>0</v>
      </c>
      <c r="N2337" s="919">
        <v>1</v>
      </c>
      <c r="O2337" s="919">
        <v>3</v>
      </c>
      <c r="P2337" s="921">
        <f t="shared" si="73"/>
        <v>5400</v>
      </c>
    </row>
    <row r="2338" spans="1:16" ht="20.100000000000001" customHeight="1" x14ac:dyDescent="0.25">
      <c r="A2338" s="918" t="s">
        <v>474</v>
      </c>
      <c r="B2338" s="944" t="s">
        <v>3901</v>
      </c>
      <c r="C2338" s="919" t="s">
        <v>3902</v>
      </c>
      <c r="D2338" s="919" t="s">
        <v>4531</v>
      </c>
      <c r="E2338" s="920">
        <v>1800</v>
      </c>
      <c r="F2338" s="919" t="s">
        <v>8158</v>
      </c>
      <c r="G2338" s="919" t="s">
        <v>8159</v>
      </c>
      <c r="H2338" s="919" t="s">
        <v>4531</v>
      </c>
      <c r="I2338" s="919" t="s">
        <v>3679</v>
      </c>
      <c r="J2338" s="919"/>
      <c r="K2338" s="920"/>
      <c r="L2338" s="920"/>
      <c r="M2338" s="920">
        <f t="shared" si="72"/>
        <v>0</v>
      </c>
      <c r="N2338" s="919">
        <v>1</v>
      </c>
      <c r="O2338" s="919">
        <v>3</v>
      </c>
      <c r="P2338" s="921">
        <f t="shared" si="73"/>
        <v>5400</v>
      </c>
    </row>
    <row r="2339" spans="1:16" ht="20.100000000000001" customHeight="1" x14ac:dyDescent="0.25">
      <c r="A2339" s="918" t="s">
        <v>474</v>
      </c>
      <c r="B2339" s="944" t="s">
        <v>3901</v>
      </c>
      <c r="C2339" s="919" t="s">
        <v>3902</v>
      </c>
      <c r="D2339" s="919" t="s">
        <v>4531</v>
      </c>
      <c r="E2339" s="920">
        <v>1800</v>
      </c>
      <c r="F2339" s="919" t="s">
        <v>8160</v>
      </c>
      <c r="G2339" s="919" t="s">
        <v>8161</v>
      </c>
      <c r="H2339" s="919" t="s">
        <v>4531</v>
      </c>
      <c r="I2339" s="919" t="s">
        <v>3679</v>
      </c>
      <c r="J2339" s="919"/>
      <c r="K2339" s="920"/>
      <c r="L2339" s="920"/>
      <c r="M2339" s="920">
        <f t="shared" si="72"/>
        <v>0</v>
      </c>
      <c r="N2339" s="919">
        <v>1</v>
      </c>
      <c r="O2339" s="919">
        <v>1</v>
      </c>
      <c r="P2339" s="921">
        <f t="shared" si="73"/>
        <v>1800</v>
      </c>
    </row>
    <row r="2340" spans="1:16" ht="20.100000000000001" customHeight="1" x14ac:dyDescent="0.25">
      <c r="A2340" s="918" t="s">
        <v>474</v>
      </c>
      <c r="B2340" s="944" t="s">
        <v>3901</v>
      </c>
      <c r="C2340" s="919" t="s">
        <v>3902</v>
      </c>
      <c r="D2340" s="919" t="s">
        <v>4382</v>
      </c>
      <c r="E2340" s="920">
        <v>2500</v>
      </c>
      <c r="F2340" s="919" t="s">
        <v>8162</v>
      </c>
      <c r="G2340" s="919" t="s">
        <v>8163</v>
      </c>
      <c r="H2340" s="919" t="s">
        <v>4382</v>
      </c>
      <c r="I2340" s="919" t="s">
        <v>3679</v>
      </c>
      <c r="J2340" s="919"/>
      <c r="K2340" s="920"/>
      <c r="L2340" s="920"/>
      <c r="M2340" s="920">
        <f t="shared" si="72"/>
        <v>0</v>
      </c>
      <c r="N2340" s="919">
        <v>1</v>
      </c>
      <c r="O2340" s="919">
        <v>3</v>
      </c>
      <c r="P2340" s="921">
        <f t="shared" si="73"/>
        <v>7500</v>
      </c>
    </row>
    <row r="2341" spans="1:16" ht="20.100000000000001" customHeight="1" x14ac:dyDescent="0.25">
      <c r="A2341" s="918" t="s">
        <v>474</v>
      </c>
      <c r="B2341" s="944" t="s">
        <v>3901</v>
      </c>
      <c r="C2341" s="919" t="s">
        <v>3902</v>
      </c>
      <c r="D2341" s="919" t="s">
        <v>4382</v>
      </c>
      <c r="E2341" s="920">
        <v>2500</v>
      </c>
      <c r="F2341" s="919" t="s">
        <v>8164</v>
      </c>
      <c r="G2341" s="919" t="s">
        <v>8165</v>
      </c>
      <c r="H2341" s="919" t="s">
        <v>4382</v>
      </c>
      <c r="I2341" s="919" t="s">
        <v>3679</v>
      </c>
      <c r="J2341" s="919"/>
      <c r="K2341" s="920"/>
      <c r="L2341" s="920"/>
      <c r="M2341" s="920">
        <f t="shared" si="72"/>
        <v>0</v>
      </c>
      <c r="N2341" s="919">
        <v>1</v>
      </c>
      <c r="O2341" s="919">
        <v>3</v>
      </c>
      <c r="P2341" s="921">
        <f t="shared" si="73"/>
        <v>7500</v>
      </c>
    </row>
    <row r="2342" spans="1:16" ht="20.100000000000001" customHeight="1" x14ac:dyDescent="0.25">
      <c r="A2342" s="918" t="s">
        <v>474</v>
      </c>
      <c r="B2342" s="944" t="s">
        <v>3901</v>
      </c>
      <c r="C2342" s="919" t="s">
        <v>3902</v>
      </c>
      <c r="D2342" s="919" t="s">
        <v>4382</v>
      </c>
      <c r="E2342" s="920">
        <v>2500</v>
      </c>
      <c r="F2342" s="919" t="s">
        <v>8166</v>
      </c>
      <c r="G2342" s="919" t="s">
        <v>8167</v>
      </c>
      <c r="H2342" s="919" t="s">
        <v>4382</v>
      </c>
      <c r="I2342" s="919" t="s">
        <v>3679</v>
      </c>
      <c r="J2342" s="919"/>
      <c r="K2342" s="920"/>
      <c r="L2342" s="920"/>
      <c r="M2342" s="920">
        <f t="shared" si="72"/>
        <v>0</v>
      </c>
      <c r="N2342" s="919">
        <v>1</v>
      </c>
      <c r="O2342" s="919">
        <v>3</v>
      </c>
      <c r="P2342" s="921">
        <f t="shared" si="73"/>
        <v>7500</v>
      </c>
    </row>
    <row r="2343" spans="1:16" ht="20.100000000000001" customHeight="1" x14ac:dyDescent="0.25">
      <c r="A2343" s="918" t="s">
        <v>474</v>
      </c>
      <c r="B2343" s="944" t="s">
        <v>3901</v>
      </c>
      <c r="C2343" s="919" t="s">
        <v>3902</v>
      </c>
      <c r="D2343" s="919" t="s">
        <v>4382</v>
      </c>
      <c r="E2343" s="920">
        <v>2500</v>
      </c>
      <c r="F2343" s="919" t="s">
        <v>8168</v>
      </c>
      <c r="G2343" s="919" t="s">
        <v>8169</v>
      </c>
      <c r="H2343" s="919" t="s">
        <v>4382</v>
      </c>
      <c r="I2343" s="919" t="s">
        <v>3679</v>
      </c>
      <c r="J2343" s="919"/>
      <c r="K2343" s="920"/>
      <c r="L2343" s="920"/>
      <c r="M2343" s="920">
        <f t="shared" si="72"/>
        <v>0</v>
      </c>
      <c r="N2343" s="919">
        <v>1</v>
      </c>
      <c r="O2343" s="919">
        <v>3</v>
      </c>
      <c r="P2343" s="921">
        <f t="shared" si="73"/>
        <v>7500</v>
      </c>
    </row>
    <row r="2344" spans="1:16" ht="20.100000000000001" customHeight="1" x14ac:dyDescent="0.25">
      <c r="A2344" s="918" t="s">
        <v>474</v>
      </c>
      <c r="B2344" s="944" t="s">
        <v>3901</v>
      </c>
      <c r="C2344" s="919" t="s">
        <v>3902</v>
      </c>
      <c r="D2344" s="919" t="s">
        <v>4382</v>
      </c>
      <c r="E2344" s="920">
        <v>2500</v>
      </c>
      <c r="F2344" s="919" t="s">
        <v>8170</v>
      </c>
      <c r="G2344" s="919" t="s">
        <v>8171</v>
      </c>
      <c r="H2344" s="919" t="s">
        <v>4382</v>
      </c>
      <c r="I2344" s="919" t="s">
        <v>3679</v>
      </c>
      <c r="J2344" s="919"/>
      <c r="K2344" s="920"/>
      <c r="L2344" s="920"/>
      <c r="M2344" s="920">
        <f t="shared" si="72"/>
        <v>0</v>
      </c>
      <c r="N2344" s="919">
        <v>1</v>
      </c>
      <c r="O2344" s="919">
        <v>3</v>
      </c>
      <c r="P2344" s="921">
        <f t="shared" si="73"/>
        <v>7500</v>
      </c>
    </row>
    <row r="2345" spans="1:16" ht="20.100000000000001" customHeight="1" x14ac:dyDescent="0.25">
      <c r="A2345" s="918" t="s">
        <v>474</v>
      </c>
      <c r="B2345" s="944" t="s">
        <v>3901</v>
      </c>
      <c r="C2345" s="919" t="s">
        <v>3902</v>
      </c>
      <c r="D2345" s="919" t="s">
        <v>4382</v>
      </c>
      <c r="E2345" s="920">
        <v>2500</v>
      </c>
      <c r="F2345" s="919" t="s">
        <v>4041</v>
      </c>
      <c r="G2345" s="919" t="s">
        <v>4062</v>
      </c>
      <c r="H2345" s="919" t="s">
        <v>4382</v>
      </c>
      <c r="I2345" s="919" t="s">
        <v>3679</v>
      </c>
      <c r="J2345" s="919"/>
      <c r="K2345" s="920">
        <v>1</v>
      </c>
      <c r="L2345" s="920">
        <v>12</v>
      </c>
      <c r="M2345" s="920">
        <f t="shared" si="72"/>
        <v>30000</v>
      </c>
      <c r="N2345" s="919"/>
      <c r="O2345" s="919"/>
      <c r="P2345" s="921">
        <f t="shared" si="73"/>
        <v>0</v>
      </c>
    </row>
    <row r="2346" spans="1:16" ht="20.100000000000001" customHeight="1" x14ac:dyDescent="0.25">
      <c r="A2346" s="918" t="s">
        <v>474</v>
      </c>
      <c r="B2346" s="944" t="s">
        <v>3901</v>
      </c>
      <c r="C2346" s="919" t="s">
        <v>3902</v>
      </c>
      <c r="D2346" s="919" t="s">
        <v>4382</v>
      </c>
      <c r="E2346" s="920">
        <v>2500</v>
      </c>
      <c r="F2346" s="919" t="s">
        <v>8172</v>
      </c>
      <c r="G2346" s="919" t="s">
        <v>8173</v>
      </c>
      <c r="H2346" s="919" t="s">
        <v>4382</v>
      </c>
      <c r="I2346" s="919" t="s">
        <v>3679</v>
      </c>
      <c r="J2346" s="919"/>
      <c r="K2346" s="920"/>
      <c r="L2346" s="920"/>
      <c r="M2346" s="920">
        <f t="shared" si="72"/>
        <v>0</v>
      </c>
      <c r="N2346" s="919">
        <v>1</v>
      </c>
      <c r="O2346" s="919">
        <v>1</v>
      </c>
      <c r="P2346" s="921">
        <f t="shared" si="73"/>
        <v>2500</v>
      </c>
    </row>
    <row r="2347" spans="1:16" ht="20.100000000000001" customHeight="1" x14ac:dyDescent="0.25">
      <c r="A2347" s="918" t="s">
        <v>474</v>
      </c>
      <c r="B2347" s="944" t="s">
        <v>3901</v>
      </c>
      <c r="C2347" s="919" t="s">
        <v>3902</v>
      </c>
      <c r="D2347" s="919" t="s">
        <v>4382</v>
      </c>
      <c r="E2347" s="920">
        <v>2500</v>
      </c>
      <c r="F2347" s="919" t="s">
        <v>8174</v>
      </c>
      <c r="G2347" s="919" t="s">
        <v>8175</v>
      </c>
      <c r="H2347" s="919" t="s">
        <v>4382</v>
      </c>
      <c r="I2347" s="919" t="s">
        <v>3679</v>
      </c>
      <c r="J2347" s="919"/>
      <c r="K2347" s="920"/>
      <c r="L2347" s="920"/>
      <c r="M2347" s="920">
        <f t="shared" si="72"/>
        <v>0</v>
      </c>
      <c r="N2347" s="919">
        <v>1</v>
      </c>
      <c r="O2347" s="919">
        <v>1</v>
      </c>
      <c r="P2347" s="921">
        <f t="shared" si="73"/>
        <v>2500</v>
      </c>
    </row>
    <row r="2348" spans="1:16" ht="20.100000000000001" customHeight="1" x14ac:dyDescent="0.25">
      <c r="A2348" s="918" t="s">
        <v>474</v>
      </c>
      <c r="B2348" s="944" t="s">
        <v>3901</v>
      </c>
      <c r="C2348" s="919" t="s">
        <v>3902</v>
      </c>
      <c r="D2348" s="919" t="s">
        <v>4382</v>
      </c>
      <c r="E2348" s="920">
        <v>2500</v>
      </c>
      <c r="F2348" s="919" t="s">
        <v>4041</v>
      </c>
      <c r="G2348" s="919" t="s">
        <v>4062</v>
      </c>
      <c r="H2348" s="919" t="s">
        <v>4382</v>
      </c>
      <c r="I2348" s="919" t="s">
        <v>3679</v>
      </c>
      <c r="J2348" s="919"/>
      <c r="K2348" s="920">
        <v>1</v>
      </c>
      <c r="L2348" s="920">
        <v>12</v>
      </c>
      <c r="M2348" s="920">
        <f t="shared" si="72"/>
        <v>30000</v>
      </c>
      <c r="N2348" s="919"/>
      <c r="O2348" s="919"/>
      <c r="P2348" s="921">
        <f t="shared" si="73"/>
        <v>0</v>
      </c>
    </row>
    <row r="2349" spans="1:16" ht="20.100000000000001" customHeight="1" x14ac:dyDescent="0.25">
      <c r="A2349" s="918" t="s">
        <v>474</v>
      </c>
      <c r="B2349" s="944" t="s">
        <v>3901</v>
      </c>
      <c r="C2349" s="919" t="s">
        <v>3902</v>
      </c>
      <c r="D2349" s="919" t="s">
        <v>4382</v>
      </c>
      <c r="E2349" s="920">
        <v>2500</v>
      </c>
      <c r="F2349" s="919" t="s">
        <v>8176</v>
      </c>
      <c r="G2349" s="919" t="s">
        <v>8177</v>
      </c>
      <c r="H2349" s="919" t="s">
        <v>4382</v>
      </c>
      <c r="I2349" s="919" t="s">
        <v>3679</v>
      </c>
      <c r="J2349" s="919"/>
      <c r="K2349" s="920"/>
      <c r="L2349" s="920"/>
      <c r="M2349" s="920">
        <f t="shared" si="72"/>
        <v>0</v>
      </c>
      <c r="N2349" s="919">
        <v>1</v>
      </c>
      <c r="O2349" s="919">
        <v>1</v>
      </c>
      <c r="P2349" s="921">
        <f t="shared" si="73"/>
        <v>2500</v>
      </c>
    </row>
    <row r="2350" spans="1:16" ht="20.100000000000001" customHeight="1" x14ac:dyDescent="0.25">
      <c r="A2350" s="918" t="s">
        <v>474</v>
      </c>
      <c r="B2350" s="944" t="s">
        <v>3901</v>
      </c>
      <c r="C2350" s="919" t="s">
        <v>3902</v>
      </c>
      <c r="D2350" s="919" t="s">
        <v>4382</v>
      </c>
      <c r="E2350" s="920">
        <v>2500</v>
      </c>
      <c r="F2350" s="919" t="s">
        <v>8178</v>
      </c>
      <c r="G2350" s="919" t="s">
        <v>8179</v>
      </c>
      <c r="H2350" s="919" t="s">
        <v>4382</v>
      </c>
      <c r="I2350" s="919" t="s">
        <v>3679</v>
      </c>
      <c r="J2350" s="919"/>
      <c r="K2350" s="920"/>
      <c r="L2350" s="920"/>
      <c r="M2350" s="920">
        <f t="shared" si="72"/>
        <v>0</v>
      </c>
      <c r="N2350" s="919">
        <v>1</v>
      </c>
      <c r="O2350" s="919">
        <v>1</v>
      </c>
      <c r="P2350" s="921">
        <f t="shared" si="73"/>
        <v>2500</v>
      </c>
    </row>
    <row r="2351" spans="1:16" ht="20.100000000000001" customHeight="1" x14ac:dyDescent="0.25">
      <c r="A2351" s="918" t="s">
        <v>474</v>
      </c>
      <c r="B2351" s="944" t="s">
        <v>3901</v>
      </c>
      <c r="C2351" s="919" t="s">
        <v>3902</v>
      </c>
      <c r="D2351" s="919" t="s">
        <v>4592</v>
      </c>
      <c r="E2351" s="920">
        <v>1150</v>
      </c>
      <c r="F2351" s="919" t="s">
        <v>8180</v>
      </c>
      <c r="G2351" s="919" t="s">
        <v>8181</v>
      </c>
      <c r="H2351" s="919" t="s">
        <v>4592</v>
      </c>
      <c r="I2351" s="919" t="s">
        <v>3686</v>
      </c>
      <c r="J2351" s="919"/>
      <c r="K2351" s="920"/>
      <c r="L2351" s="920"/>
      <c r="M2351" s="920">
        <f t="shared" si="72"/>
        <v>0</v>
      </c>
      <c r="N2351" s="919">
        <v>1</v>
      </c>
      <c r="O2351" s="919">
        <v>3</v>
      </c>
      <c r="P2351" s="921">
        <f t="shared" si="73"/>
        <v>3450</v>
      </c>
    </row>
    <row r="2352" spans="1:16" ht="20.100000000000001" customHeight="1" x14ac:dyDescent="0.25">
      <c r="A2352" s="918" t="s">
        <v>474</v>
      </c>
      <c r="B2352" s="944" t="s">
        <v>3901</v>
      </c>
      <c r="C2352" s="919" t="s">
        <v>3902</v>
      </c>
      <c r="D2352" s="919" t="s">
        <v>4592</v>
      </c>
      <c r="E2352" s="920">
        <v>1150</v>
      </c>
      <c r="F2352" s="919" t="s">
        <v>8182</v>
      </c>
      <c r="G2352" s="919" t="s">
        <v>8183</v>
      </c>
      <c r="H2352" s="919" t="s">
        <v>4592</v>
      </c>
      <c r="I2352" s="919" t="s">
        <v>3686</v>
      </c>
      <c r="J2352" s="919"/>
      <c r="K2352" s="920"/>
      <c r="L2352" s="920"/>
      <c r="M2352" s="920">
        <f t="shared" si="72"/>
        <v>0</v>
      </c>
      <c r="N2352" s="919">
        <v>1</v>
      </c>
      <c r="O2352" s="919">
        <v>3</v>
      </c>
      <c r="P2352" s="921">
        <f t="shared" si="73"/>
        <v>3450</v>
      </c>
    </row>
    <row r="2353" spans="1:16" ht="20.100000000000001" customHeight="1" x14ac:dyDescent="0.25">
      <c r="A2353" s="918" t="s">
        <v>474</v>
      </c>
      <c r="B2353" s="944" t="s">
        <v>3901</v>
      </c>
      <c r="C2353" s="919" t="s">
        <v>3902</v>
      </c>
      <c r="D2353" s="919" t="s">
        <v>4592</v>
      </c>
      <c r="E2353" s="920">
        <v>1150</v>
      </c>
      <c r="F2353" s="919" t="s">
        <v>8184</v>
      </c>
      <c r="G2353" s="919" t="s">
        <v>8185</v>
      </c>
      <c r="H2353" s="919" t="s">
        <v>4592</v>
      </c>
      <c r="I2353" s="919" t="s">
        <v>3686</v>
      </c>
      <c r="J2353" s="919"/>
      <c r="K2353" s="920"/>
      <c r="L2353" s="920"/>
      <c r="M2353" s="920">
        <f t="shared" si="72"/>
        <v>0</v>
      </c>
      <c r="N2353" s="919">
        <v>1</v>
      </c>
      <c r="O2353" s="919">
        <v>3</v>
      </c>
      <c r="P2353" s="921">
        <f t="shared" si="73"/>
        <v>3450</v>
      </c>
    </row>
    <row r="2354" spans="1:16" ht="20.100000000000001" customHeight="1" x14ac:dyDescent="0.25">
      <c r="A2354" s="918" t="s">
        <v>474</v>
      </c>
      <c r="B2354" s="944" t="s">
        <v>3901</v>
      </c>
      <c r="C2354" s="919" t="s">
        <v>3902</v>
      </c>
      <c r="D2354" s="919" t="s">
        <v>4592</v>
      </c>
      <c r="E2354" s="920">
        <v>1150</v>
      </c>
      <c r="F2354" s="919" t="s">
        <v>8186</v>
      </c>
      <c r="G2354" s="919" t="s">
        <v>8187</v>
      </c>
      <c r="H2354" s="919" t="s">
        <v>4592</v>
      </c>
      <c r="I2354" s="919" t="s">
        <v>3686</v>
      </c>
      <c r="J2354" s="919"/>
      <c r="K2354" s="920"/>
      <c r="L2354" s="920"/>
      <c r="M2354" s="920">
        <f t="shared" si="72"/>
        <v>0</v>
      </c>
      <c r="N2354" s="919">
        <v>1</v>
      </c>
      <c r="O2354" s="919">
        <v>3</v>
      </c>
      <c r="P2354" s="921">
        <f t="shared" si="73"/>
        <v>3450</v>
      </c>
    </row>
    <row r="2355" spans="1:16" ht="20.100000000000001" customHeight="1" x14ac:dyDescent="0.25">
      <c r="A2355" s="918" t="s">
        <v>474</v>
      </c>
      <c r="B2355" s="944" t="s">
        <v>3901</v>
      </c>
      <c r="C2355" s="919" t="s">
        <v>3902</v>
      </c>
      <c r="D2355" s="919" t="s">
        <v>4592</v>
      </c>
      <c r="E2355" s="920">
        <v>1150</v>
      </c>
      <c r="F2355" s="919" t="s">
        <v>8188</v>
      </c>
      <c r="G2355" s="919" t="s">
        <v>8189</v>
      </c>
      <c r="H2355" s="919" t="s">
        <v>4592</v>
      </c>
      <c r="I2355" s="919" t="s">
        <v>3686</v>
      </c>
      <c r="J2355" s="919"/>
      <c r="K2355" s="920"/>
      <c r="L2355" s="920"/>
      <c r="M2355" s="920">
        <f t="shared" si="72"/>
        <v>0</v>
      </c>
      <c r="N2355" s="919">
        <v>1</v>
      </c>
      <c r="O2355" s="919">
        <v>3</v>
      </c>
      <c r="P2355" s="921">
        <f t="shared" si="73"/>
        <v>3450</v>
      </c>
    </row>
    <row r="2356" spans="1:16" ht="20.100000000000001" customHeight="1" x14ac:dyDescent="0.25">
      <c r="A2356" s="918" t="s">
        <v>474</v>
      </c>
      <c r="B2356" s="944" t="s">
        <v>3901</v>
      </c>
      <c r="C2356" s="919" t="s">
        <v>3902</v>
      </c>
      <c r="D2356" s="919" t="s">
        <v>4592</v>
      </c>
      <c r="E2356" s="920">
        <v>1150</v>
      </c>
      <c r="F2356" s="919" t="s">
        <v>8190</v>
      </c>
      <c r="G2356" s="919" t="s">
        <v>8191</v>
      </c>
      <c r="H2356" s="919" t="s">
        <v>4592</v>
      </c>
      <c r="I2356" s="919" t="s">
        <v>3686</v>
      </c>
      <c r="J2356" s="919"/>
      <c r="K2356" s="920"/>
      <c r="L2356" s="920"/>
      <c r="M2356" s="920">
        <f t="shared" si="72"/>
        <v>0</v>
      </c>
      <c r="N2356" s="919">
        <v>1</v>
      </c>
      <c r="O2356" s="919">
        <v>3</v>
      </c>
      <c r="P2356" s="921">
        <f t="shared" si="73"/>
        <v>3450</v>
      </c>
    </row>
    <row r="2357" spans="1:16" ht="20.100000000000001" customHeight="1" x14ac:dyDescent="0.25">
      <c r="A2357" s="918" t="s">
        <v>474</v>
      </c>
      <c r="B2357" s="944" t="s">
        <v>3901</v>
      </c>
      <c r="C2357" s="919" t="s">
        <v>3902</v>
      </c>
      <c r="D2357" s="919" t="s">
        <v>4592</v>
      </c>
      <c r="E2357" s="920">
        <v>1150</v>
      </c>
      <c r="F2357" s="919" t="s">
        <v>8192</v>
      </c>
      <c r="G2357" s="919" t="s">
        <v>8193</v>
      </c>
      <c r="H2357" s="919" t="s">
        <v>4592</v>
      </c>
      <c r="I2357" s="919" t="s">
        <v>3686</v>
      </c>
      <c r="J2357" s="919"/>
      <c r="K2357" s="920"/>
      <c r="L2357" s="920"/>
      <c r="M2357" s="920">
        <f t="shared" si="72"/>
        <v>0</v>
      </c>
      <c r="N2357" s="919">
        <v>1</v>
      </c>
      <c r="O2357" s="919">
        <v>1</v>
      </c>
      <c r="P2357" s="921">
        <f t="shared" si="73"/>
        <v>1150</v>
      </c>
    </row>
    <row r="2358" spans="1:16" ht="20.100000000000001" customHeight="1" x14ac:dyDescent="0.25">
      <c r="A2358" s="918" t="s">
        <v>474</v>
      </c>
      <c r="B2358" s="944" t="s">
        <v>3901</v>
      </c>
      <c r="C2358" s="919" t="s">
        <v>3902</v>
      </c>
      <c r="D2358" s="919" t="s">
        <v>4592</v>
      </c>
      <c r="E2358" s="920">
        <v>1150</v>
      </c>
      <c r="F2358" s="919" t="s">
        <v>8194</v>
      </c>
      <c r="G2358" s="919" t="s">
        <v>8195</v>
      </c>
      <c r="H2358" s="919" t="s">
        <v>4592</v>
      </c>
      <c r="I2358" s="919" t="s">
        <v>3686</v>
      </c>
      <c r="J2358" s="919"/>
      <c r="K2358" s="920"/>
      <c r="L2358" s="920"/>
      <c r="M2358" s="920">
        <f t="shared" si="72"/>
        <v>0</v>
      </c>
      <c r="N2358" s="919">
        <v>1</v>
      </c>
      <c r="O2358" s="919">
        <v>1</v>
      </c>
      <c r="P2358" s="921">
        <f t="shared" si="73"/>
        <v>1150</v>
      </c>
    </row>
    <row r="2359" spans="1:16" ht="20.100000000000001" customHeight="1" x14ac:dyDescent="0.25">
      <c r="A2359" s="918" t="s">
        <v>474</v>
      </c>
      <c r="B2359" s="944" t="s">
        <v>3901</v>
      </c>
      <c r="C2359" s="919" t="s">
        <v>3902</v>
      </c>
      <c r="D2359" s="919" t="s">
        <v>4592</v>
      </c>
      <c r="E2359" s="920">
        <v>1150</v>
      </c>
      <c r="F2359" s="919" t="s">
        <v>8196</v>
      </c>
      <c r="G2359" s="919" t="s">
        <v>8197</v>
      </c>
      <c r="H2359" s="919" t="s">
        <v>4592</v>
      </c>
      <c r="I2359" s="919" t="s">
        <v>3686</v>
      </c>
      <c r="J2359" s="919"/>
      <c r="K2359" s="920"/>
      <c r="L2359" s="920"/>
      <c r="M2359" s="920">
        <f t="shared" si="72"/>
        <v>0</v>
      </c>
      <c r="N2359" s="919">
        <v>1</v>
      </c>
      <c r="O2359" s="919">
        <v>1</v>
      </c>
      <c r="P2359" s="921">
        <f t="shared" si="73"/>
        <v>1150</v>
      </c>
    </row>
    <row r="2360" spans="1:16" ht="20.100000000000001" customHeight="1" x14ac:dyDescent="0.25">
      <c r="A2360" s="918" t="s">
        <v>474</v>
      </c>
      <c r="B2360" s="944" t="s">
        <v>3901</v>
      </c>
      <c r="C2360" s="919" t="s">
        <v>3902</v>
      </c>
      <c r="D2360" s="919" t="s">
        <v>4592</v>
      </c>
      <c r="E2360" s="920">
        <v>1150</v>
      </c>
      <c r="F2360" s="919" t="s">
        <v>8198</v>
      </c>
      <c r="G2360" s="919" t="s">
        <v>8199</v>
      </c>
      <c r="H2360" s="919" t="s">
        <v>4592</v>
      </c>
      <c r="I2360" s="919" t="s">
        <v>3686</v>
      </c>
      <c r="J2360" s="919"/>
      <c r="K2360" s="920"/>
      <c r="L2360" s="920"/>
      <c r="M2360" s="920">
        <f t="shared" si="72"/>
        <v>0</v>
      </c>
      <c r="N2360" s="919">
        <v>1</v>
      </c>
      <c r="O2360" s="919">
        <v>1</v>
      </c>
      <c r="P2360" s="921">
        <f t="shared" si="73"/>
        <v>1150</v>
      </c>
    </row>
    <row r="2361" spans="1:16" ht="20.100000000000001" customHeight="1" x14ac:dyDescent="0.25">
      <c r="A2361" s="918" t="s">
        <v>474</v>
      </c>
      <c r="B2361" s="944" t="s">
        <v>3901</v>
      </c>
      <c r="C2361" s="919" t="s">
        <v>3902</v>
      </c>
      <c r="D2361" s="919" t="s">
        <v>4592</v>
      </c>
      <c r="E2361" s="920">
        <v>1150</v>
      </c>
      <c r="F2361" s="919" t="s">
        <v>8200</v>
      </c>
      <c r="G2361" s="919" t="s">
        <v>8201</v>
      </c>
      <c r="H2361" s="919" t="s">
        <v>4592</v>
      </c>
      <c r="I2361" s="919" t="s">
        <v>3686</v>
      </c>
      <c r="J2361" s="919"/>
      <c r="K2361" s="920"/>
      <c r="L2361" s="920"/>
      <c r="M2361" s="920">
        <f t="shared" si="72"/>
        <v>0</v>
      </c>
      <c r="N2361" s="919">
        <v>1</v>
      </c>
      <c r="O2361" s="919">
        <v>3</v>
      </c>
      <c r="P2361" s="921">
        <f t="shared" si="73"/>
        <v>3450</v>
      </c>
    </row>
    <row r="2362" spans="1:16" ht="20.100000000000001" customHeight="1" x14ac:dyDescent="0.25">
      <c r="A2362" s="918" t="s">
        <v>474</v>
      </c>
      <c r="B2362" s="944" t="s">
        <v>3901</v>
      </c>
      <c r="C2362" s="919" t="s">
        <v>3902</v>
      </c>
      <c r="D2362" s="919" t="s">
        <v>4592</v>
      </c>
      <c r="E2362" s="920">
        <v>1150</v>
      </c>
      <c r="F2362" s="919" t="s">
        <v>8202</v>
      </c>
      <c r="G2362" s="919" t="s">
        <v>8203</v>
      </c>
      <c r="H2362" s="919" t="s">
        <v>4592</v>
      </c>
      <c r="I2362" s="919" t="s">
        <v>3686</v>
      </c>
      <c r="J2362" s="919"/>
      <c r="K2362" s="920"/>
      <c r="L2362" s="920"/>
      <c r="M2362" s="920">
        <f t="shared" si="72"/>
        <v>0</v>
      </c>
      <c r="N2362" s="919">
        <v>1</v>
      </c>
      <c r="O2362" s="919">
        <v>3</v>
      </c>
      <c r="P2362" s="921">
        <f t="shared" si="73"/>
        <v>3450</v>
      </c>
    </row>
    <row r="2363" spans="1:16" ht="20.100000000000001" customHeight="1" x14ac:dyDescent="0.25">
      <c r="A2363" s="918" t="s">
        <v>474</v>
      </c>
      <c r="B2363" s="944" t="s">
        <v>3901</v>
      </c>
      <c r="C2363" s="919" t="s">
        <v>3902</v>
      </c>
      <c r="D2363" s="919" t="s">
        <v>4592</v>
      </c>
      <c r="E2363" s="920">
        <v>1150</v>
      </c>
      <c r="F2363" s="919" t="s">
        <v>8204</v>
      </c>
      <c r="G2363" s="919" t="s">
        <v>8205</v>
      </c>
      <c r="H2363" s="919" t="s">
        <v>4592</v>
      </c>
      <c r="I2363" s="919" t="s">
        <v>3686</v>
      </c>
      <c r="J2363" s="919"/>
      <c r="K2363" s="920"/>
      <c r="L2363" s="920"/>
      <c r="M2363" s="920">
        <f t="shared" si="72"/>
        <v>0</v>
      </c>
      <c r="N2363" s="919">
        <v>1</v>
      </c>
      <c r="O2363" s="919">
        <v>1</v>
      </c>
      <c r="P2363" s="921">
        <f t="shared" si="73"/>
        <v>1150</v>
      </c>
    </row>
    <row r="2364" spans="1:16" ht="20.100000000000001" customHeight="1" x14ac:dyDescent="0.25">
      <c r="A2364" s="918" t="s">
        <v>474</v>
      </c>
      <c r="B2364" s="944" t="s">
        <v>3901</v>
      </c>
      <c r="C2364" s="919" t="s">
        <v>3902</v>
      </c>
      <c r="D2364" s="919" t="s">
        <v>4592</v>
      </c>
      <c r="E2364" s="920">
        <v>1150</v>
      </c>
      <c r="F2364" s="919" t="s">
        <v>8206</v>
      </c>
      <c r="G2364" s="919" t="s">
        <v>8207</v>
      </c>
      <c r="H2364" s="919" t="s">
        <v>4592</v>
      </c>
      <c r="I2364" s="919" t="s">
        <v>3686</v>
      </c>
      <c r="J2364" s="919"/>
      <c r="K2364" s="920"/>
      <c r="L2364" s="920"/>
      <c r="M2364" s="920">
        <f t="shared" si="72"/>
        <v>0</v>
      </c>
      <c r="N2364" s="919">
        <v>1</v>
      </c>
      <c r="O2364" s="919">
        <v>1</v>
      </c>
      <c r="P2364" s="921">
        <f t="shared" si="73"/>
        <v>1150</v>
      </c>
    </row>
    <row r="2365" spans="1:16" ht="20.100000000000001" customHeight="1" x14ac:dyDescent="0.25">
      <c r="A2365" s="918" t="s">
        <v>474</v>
      </c>
      <c r="B2365" s="944" t="s">
        <v>3901</v>
      </c>
      <c r="C2365" s="919" t="s">
        <v>3902</v>
      </c>
      <c r="D2365" s="919" t="s">
        <v>4109</v>
      </c>
      <c r="E2365" s="920">
        <v>1400</v>
      </c>
      <c r="F2365" s="919" t="s">
        <v>8208</v>
      </c>
      <c r="G2365" s="919" t="s">
        <v>8209</v>
      </c>
      <c r="H2365" s="919" t="s">
        <v>4109</v>
      </c>
      <c r="I2365" s="919" t="s">
        <v>3686</v>
      </c>
      <c r="J2365" s="919"/>
      <c r="K2365" s="920"/>
      <c r="L2365" s="920"/>
      <c r="M2365" s="920">
        <f t="shared" si="72"/>
        <v>0</v>
      </c>
      <c r="N2365" s="919">
        <v>1</v>
      </c>
      <c r="O2365" s="919">
        <v>3</v>
      </c>
      <c r="P2365" s="921">
        <f t="shared" si="73"/>
        <v>4200</v>
      </c>
    </row>
    <row r="2366" spans="1:16" ht="20.100000000000001" customHeight="1" x14ac:dyDescent="0.25">
      <c r="A2366" s="918" t="s">
        <v>474</v>
      </c>
      <c r="B2366" s="944" t="s">
        <v>3901</v>
      </c>
      <c r="C2366" s="919" t="s">
        <v>3902</v>
      </c>
      <c r="D2366" s="919" t="s">
        <v>4109</v>
      </c>
      <c r="E2366" s="920">
        <v>1400</v>
      </c>
      <c r="F2366" s="919" t="s">
        <v>8210</v>
      </c>
      <c r="G2366" s="919" t="s">
        <v>8211</v>
      </c>
      <c r="H2366" s="919" t="s">
        <v>4109</v>
      </c>
      <c r="I2366" s="919" t="s">
        <v>3686</v>
      </c>
      <c r="J2366" s="919"/>
      <c r="K2366" s="920"/>
      <c r="L2366" s="920"/>
      <c r="M2366" s="920">
        <f t="shared" si="72"/>
        <v>0</v>
      </c>
      <c r="N2366" s="919">
        <v>1</v>
      </c>
      <c r="O2366" s="919">
        <v>3</v>
      </c>
      <c r="P2366" s="921">
        <f t="shared" si="73"/>
        <v>4200</v>
      </c>
    </row>
    <row r="2367" spans="1:16" ht="20.100000000000001" customHeight="1" x14ac:dyDescent="0.25">
      <c r="A2367" s="918" t="s">
        <v>474</v>
      </c>
      <c r="B2367" s="944" t="s">
        <v>3901</v>
      </c>
      <c r="C2367" s="919" t="s">
        <v>3902</v>
      </c>
      <c r="D2367" s="919" t="s">
        <v>4109</v>
      </c>
      <c r="E2367" s="920">
        <v>1400</v>
      </c>
      <c r="F2367" s="919" t="s">
        <v>8212</v>
      </c>
      <c r="G2367" s="919" t="s">
        <v>8213</v>
      </c>
      <c r="H2367" s="919" t="s">
        <v>4109</v>
      </c>
      <c r="I2367" s="919" t="s">
        <v>3686</v>
      </c>
      <c r="J2367" s="919"/>
      <c r="K2367" s="920"/>
      <c r="L2367" s="920"/>
      <c r="M2367" s="920">
        <f t="shared" si="72"/>
        <v>0</v>
      </c>
      <c r="N2367" s="919">
        <v>1</v>
      </c>
      <c r="O2367" s="919">
        <v>3</v>
      </c>
      <c r="P2367" s="921">
        <f t="shared" si="73"/>
        <v>4200</v>
      </c>
    </row>
    <row r="2368" spans="1:16" ht="20.100000000000001" customHeight="1" x14ac:dyDescent="0.25">
      <c r="A2368" s="918" t="s">
        <v>474</v>
      </c>
      <c r="B2368" s="944" t="s">
        <v>3901</v>
      </c>
      <c r="C2368" s="919" t="s">
        <v>3902</v>
      </c>
      <c r="D2368" s="919" t="s">
        <v>4109</v>
      </c>
      <c r="E2368" s="920">
        <v>1400</v>
      </c>
      <c r="F2368" s="919" t="s">
        <v>8214</v>
      </c>
      <c r="G2368" s="919" t="s">
        <v>8215</v>
      </c>
      <c r="H2368" s="919" t="s">
        <v>4109</v>
      </c>
      <c r="I2368" s="919" t="s">
        <v>3686</v>
      </c>
      <c r="J2368" s="919"/>
      <c r="K2368" s="920"/>
      <c r="L2368" s="920"/>
      <c r="M2368" s="920">
        <f t="shared" si="72"/>
        <v>0</v>
      </c>
      <c r="N2368" s="919">
        <v>1</v>
      </c>
      <c r="O2368" s="919">
        <v>3</v>
      </c>
      <c r="P2368" s="921">
        <f t="shared" si="73"/>
        <v>4200</v>
      </c>
    </row>
    <row r="2369" spans="1:16" ht="20.100000000000001" customHeight="1" x14ac:dyDescent="0.25">
      <c r="A2369" s="918" t="s">
        <v>474</v>
      </c>
      <c r="B2369" s="944" t="s">
        <v>3901</v>
      </c>
      <c r="C2369" s="919" t="s">
        <v>3902</v>
      </c>
      <c r="D2369" s="919" t="s">
        <v>4109</v>
      </c>
      <c r="E2369" s="920">
        <v>1400</v>
      </c>
      <c r="F2369" s="919" t="s">
        <v>8216</v>
      </c>
      <c r="G2369" s="919" t="s">
        <v>8217</v>
      </c>
      <c r="H2369" s="919" t="s">
        <v>4109</v>
      </c>
      <c r="I2369" s="919" t="s">
        <v>3686</v>
      </c>
      <c r="J2369" s="919"/>
      <c r="K2369" s="920"/>
      <c r="L2369" s="920"/>
      <c r="M2369" s="920">
        <f t="shared" si="72"/>
        <v>0</v>
      </c>
      <c r="N2369" s="919">
        <v>1</v>
      </c>
      <c r="O2369" s="919">
        <v>3</v>
      </c>
      <c r="P2369" s="921">
        <f t="shared" si="73"/>
        <v>4200</v>
      </c>
    </row>
    <row r="2370" spans="1:16" ht="20.100000000000001" customHeight="1" x14ac:dyDescent="0.25">
      <c r="A2370" s="918" t="s">
        <v>474</v>
      </c>
      <c r="B2370" s="944" t="s">
        <v>3901</v>
      </c>
      <c r="C2370" s="919" t="s">
        <v>3902</v>
      </c>
      <c r="D2370" s="919" t="s">
        <v>4109</v>
      </c>
      <c r="E2370" s="920">
        <v>1400</v>
      </c>
      <c r="F2370" s="919" t="s">
        <v>8218</v>
      </c>
      <c r="G2370" s="919" t="s">
        <v>8219</v>
      </c>
      <c r="H2370" s="919" t="s">
        <v>4109</v>
      </c>
      <c r="I2370" s="919" t="s">
        <v>3686</v>
      </c>
      <c r="J2370" s="919"/>
      <c r="K2370" s="920"/>
      <c r="L2370" s="920"/>
      <c r="M2370" s="920">
        <f t="shared" si="72"/>
        <v>0</v>
      </c>
      <c r="N2370" s="919">
        <v>1</v>
      </c>
      <c r="O2370" s="919">
        <v>3</v>
      </c>
      <c r="P2370" s="921">
        <f t="shared" si="73"/>
        <v>4200</v>
      </c>
    </row>
    <row r="2371" spans="1:16" ht="20.100000000000001" customHeight="1" x14ac:dyDescent="0.25">
      <c r="A2371" s="918" t="s">
        <v>474</v>
      </c>
      <c r="B2371" s="944" t="s">
        <v>3901</v>
      </c>
      <c r="C2371" s="919" t="s">
        <v>3902</v>
      </c>
      <c r="D2371" s="919" t="s">
        <v>4109</v>
      </c>
      <c r="E2371" s="920">
        <v>1400</v>
      </c>
      <c r="F2371" s="919" t="s">
        <v>8220</v>
      </c>
      <c r="G2371" s="919" t="s">
        <v>8221</v>
      </c>
      <c r="H2371" s="919" t="s">
        <v>4109</v>
      </c>
      <c r="I2371" s="919" t="s">
        <v>3686</v>
      </c>
      <c r="J2371" s="919"/>
      <c r="K2371" s="920"/>
      <c r="L2371" s="920"/>
      <c r="M2371" s="920">
        <f t="shared" si="72"/>
        <v>0</v>
      </c>
      <c r="N2371" s="919">
        <v>1</v>
      </c>
      <c r="O2371" s="919">
        <v>3</v>
      </c>
      <c r="P2371" s="921">
        <f t="shared" si="73"/>
        <v>4200</v>
      </c>
    </row>
    <row r="2372" spans="1:16" ht="20.100000000000001" customHeight="1" x14ac:dyDescent="0.25">
      <c r="A2372" s="918" t="s">
        <v>474</v>
      </c>
      <c r="B2372" s="944" t="s">
        <v>3901</v>
      </c>
      <c r="C2372" s="919" t="s">
        <v>3902</v>
      </c>
      <c r="D2372" s="919" t="s">
        <v>4657</v>
      </c>
      <c r="E2372" s="920">
        <v>1150</v>
      </c>
      <c r="F2372" s="919" t="s">
        <v>8222</v>
      </c>
      <c r="G2372" s="919" t="s">
        <v>8223</v>
      </c>
      <c r="H2372" s="919" t="s">
        <v>4657</v>
      </c>
      <c r="I2372" s="919" t="s">
        <v>3686</v>
      </c>
      <c r="J2372" s="919"/>
      <c r="K2372" s="920"/>
      <c r="L2372" s="920"/>
      <c r="M2372" s="920">
        <f t="shared" si="72"/>
        <v>0</v>
      </c>
      <c r="N2372" s="919">
        <v>1</v>
      </c>
      <c r="O2372" s="919">
        <v>3</v>
      </c>
      <c r="P2372" s="921">
        <f t="shared" si="73"/>
        <v>3450</v>
      </c>
    </row>
    <row r="2373" spans="1:16" ht="20.100000000000001" customHeight="1" x14ac:dyDescent="0.25">
      <c r="A2373" s="918" t="s">
        <v>474</v>
      </c>
      <c r="B2373" s="944" t="s">
        <v>3901</v>
      </c>
      <c r="C2373" s="919" t="s">
        <v>3902</v>
      </c>
      <c r="D2373" s="919" t="s">
        <v>4502</v>
      </c>
      <c r="E2373" s="920">
        <v>1150</v>
      </c>
      <c r="F2373" s="919" t="s">
        <v>8224</v>
      </c>
      <c r="G2373" s="919" t="s">
        <v>8225</v>
      </c>
      <c r="H2373" s="919" t="s">
        <v>4502</v>
      </c>
      <c r="I2373" s="919" t="s">
        <v>3686</v>
      </c>
      <c r="J2373" s="919"/>
      <c r="K2373" s="920"/>
      <c r="L2373" s="920"/>
      <c r="M2373" s="920">
        <f t="shared" si="72"/>
        <v>0</v>
      </c>
      <c r="N2373" s="919">
        <v>1</v>
      </c>
      <c r="O2373" s="919">
        <v>3</v>
      </c>
      <c r="P2373" s="921">
        <f t="shared" si="73"/>
        <v>3450</v>
      </c>
    </row>
    <row r="2374" spans="1:16" ht="20.100000000000001" customHeight="1" x14ac:dyDescent="0.25">
      <c r="A2374" s="918" t="s">
        <v>474</v>
      </c>
      <c r="B2374" s="944" t="s">
        <v>3901</v>
      </c>
      <c r="C2374" s="919" t="s">
        <v>3902</v>
      </c>
      <c r="D2374" s="919" t="s">
        <v>4502</v>
      </c>
      <c r="E2374" s="920">
        <v>1150</v>
      </c>
      <c r="F2374" s="919" t="s">
        <v>8226</v>
      </c>
      <c r="G2374" s="919" t="s">
        <v>8227</v>
      </c>
      <c r="H2374" s="919" t="s">
        <v>4502</v>
      </c>
      <c r="I2374" s="919" t="s">
        <v>3686</v>
      </c>
      <c r="J2374" s="919"/>
      <c r="K2374" s="920"/>
      <c r="L2374" s="920"/>
      <c r="M2374" s="920">
        <f t="shared" ref="M2374:M2437" si="74">E2374*L2374</f>
        <v>0</v>
      </c>
      <c r="N2374" s="919">
        <v>1</v>
      </c>
      <c r="O2374" s="919">
        <v>3</v>
      </c>
      <c r="P2374" s="921">
        <f t="shared" ref="P2374:P2437" si="75">E2374*O2374</f>
        <v>3450</v>
      </c>
    </row>
    <row r="2375" spans="1:16" ht="20.100000000000001" customHeight="1" x14ac:dyDescent="0.25">
      <c r="A2375" s="918" t="s">
        <v>474</v>
      </c>
      <c r="B2375" s="944" t="s">
        <v>3901</v>
      </c>
      <c r="C2375" s="919" t="s">
        <v>3902</v>
      </c>
      <c r="D2375" s="919" t="s">
        <v>4502</v>
      </c>
      <c r="E2375" s="920">
        <v>1150</v>
      </c>
      <c r="F2375" s="919" t="s">
        <v>8228</v>
      </c>
      <c r="G2375" s="919" t="s">
        <v>8229</v>
      </c>
      <c r="H2375" s="919" t="s">
        <v>4502</v>
      </c>
      <c r="I2375" s="919" t="s">
        <v>3686</v>
      </c>
      <c r="J2375" s="919"/>
      <c r="K2375" s="920"/>
      <c r="L2375" s="920"/>
      <c r="M2375" s="920">
        <f t="shared" si="74"/>
        <v>0</v>
      </c>
      <c r="N2375" s="919">
        <v>1</v>
      </c>
      <c r="O2375" s="919">
        <v>3</v>
      </c>
      <c r="P2375" s="921">
        <f t="shared" si="75"/>
        <v>3450</v>
      </c>
    </row>
    <row r="2376" spans="1:16" ht="20.100000000000001" customHeight="1" x14ac:dyDescent="0.25">
      <c r="A2376" s="918" t="s">
        <v>474</v>
      </c>
      <c r="B2376" s="944" t="s">
        <v>3901</v>
      </c>
      <c r="C2376" s="919" t="s">
        <v>3902</v>
      </c>
      <c r="D2376" s="919" t="s">
        <v>4502</v>
      </c>
      <c r="E2376" s="920">
        <v>1150</v>
      </c>
      <c r="F2376" s="919" t="s">
        <v>8230</v>
      </c>
      <c r="G2376" s="919" t="s">
        <v>8231</v>
      </c>
      <c r="H2376" s="919" t="s">
        <v>4502</v>
      </c>
      <c r="I2376" s="919" t="s">
        <v>3686</v>
      </c>
      <c r="J2376" s="919"/>
      <c r="K2376" s="920"/>
      <c r="L2376" s="920"/>
      <c r="M2376" s="920">
        <f t="shared" si="74"/>
        <v>0</v>
      </c>
      <c r="N2376" s="919">
        <v>1</v>
      </c>
      <c r="O2376" s="919">
        <v>3</v>
      </c>
      <c r="P2376" s="921">
        <f t="shared" si="75"/>
        <v>3450</v>
      </c>
    </row>
    <row r="2377" spans="1:16" ht="20.100000000000001" customHeight="1" x14ac:dyDescent="0.25">
      <c r="A2377" s="918" t="s">
        <v>474</v>
      </c>
      <c r="B2377" s="944" t="s">
        <v>3901</v>
      </c>
      <c r="C2377" s="919" t="s">
        <v>3902</v>
      </c>
      <c r="D2377" s="919" t="s">
        <v>4502</v>
      </c>
      <c r="E2377" s="920">
        <v>1150</v>
      </c>
      <c r="F2377" s="919" t="s">
        <v>8232</v>
      </c>
      <c r="G2377" s="919" t="s">
        <v>8233</v>
      </c>
      <c r="H2377" s="919" t="s">
        <v>4502</v>
      </c>
      <c r="I2377" s="919" t="s">
        <v>3686</v>
      </c>
      <c r="J2377" s="919"/>
      <c r="K2377" s="920"/>
      <c r="L2377" s="920"/>
      <c r="M2377" s="920">
        <f t="shared" si="74"/>
        <v>0</v>
      </c>
      <c r="N2377" s="919">
        <v>1</v>
      </c>
      <c r="O2377" s="919">
        <v>3</v>
      </c>
      <c r="P2377" s="921">
        <f t="shared" si="75"/>
        <v>3450</v>
      </c>
    </row>
    <row r="2378" spans="1:16" ht="20.100000000000001" customHeight="1" x14ac:dyDescent="0.25">
      <c r="A2378" s="918" t="s">
        <v>474</v>
      </c>
      <c r="B2378" s="944" t="s">
        <v>3901</v>
      </c>
      <c r="C2378" s="919" t="s">
        <v>3902</v>
      </c>
      <c r="D2378" s="919" t="s">
        <v>4502</v>
      </c>
      <c r="E2378" s="920">
        <v>1150</v>
      </c>
      <c r="F2378" s="919" t="s">
        <v>8234</v>
      </c>
      <c r="G2378" s="919" t="s">
        <v>8235</v>
      </c>
      <c r="H2378" s="919" t="s">
        <v>4502</v>
      </c>
      <c r="I2378" s="919" t="s">
        <v>3686</v>
      </c>
      <c r="J2378" s="919"/>
      <c r="K2378" s="920"/>
      <c r="L2378" s="920"/>
      <c r="M2378" s="920">
        <f t="shared" si="74"/>
        <v>0</v>
      </c>
      <c r="N2378" s="919">
        <v>1</v>
      </c>
      <c r="O2378" s="919">
        <v>3</v>
      </c>
      <c r="P2378" s="921">
        <f t="shared" si="75"/>
        <v>3450</v>
      </c>
    </row>
    <row r="2379" spans="1:16" ht="20.100000000000001" customHeight="1" x14ac:dyDescent="0.25">
      <c r="A2379" s="918" t="s">
        <v>474</v>
      </c>
      <c r="B2379" s="944" t="s">
        <v>3901</v>
      </c>
      <c r="C2379" s="919" t="s">
        <v>3902</v>
      </c>
      <c r="D2379" s="919" t="s">
        <v>4502</v>
      </c>
      <c r="E2379" s="920">
        <v>1150</v>
      </c>
      <c r="F2379" s="919" t="s">
        <v>8236</v>
      </c>
      <c r="G2379" s="919" t="s">
        <v>8237</v>
      </c>
      <c r="H2379" s="919" t="s">
        <v>4502</v>
      </c>
      <c r="I2379" s="919" t="s">
        <v>3686</v>
      </c>
      <c r="J2379" s="919"/>
      <c r="K2379" s="920"/>
      <c r="L2379" s="920"/>
      <c r="M2379" s="920">
        <f t="shared" si="74"/>
        <v>0</v>
      </c>
      <c r="N2379" s="919">
        <v>1</v>
      </c>
      <c r="O2379" s="919">
        <v>3</v>
      </c>
      <c r="P2379" s="921">
        <f t="shared" si="75"/>
        <v>3450</v>
      </c>
    </row>
    <row r="2380" spans="1:16" ht="20.100000000000001" customHeight="1" x14ac:dyDescent="0.25">
      <c r="A2380" s="918" t="s">
        <v>474</v>
      </c>
      <c r="B2380" s="944" t="s">
        <v>3901</v>
      </c>
      <c r="C2380" s="919" t="s">
        <v>3902</v>
      </c>
      <c r="D2380" s="919" t="s">
        <v>4502</v>
      </c>
      <c r="E2380" s="920">
        <v>1150</v>
      </c>
      <c r="F2380" s="919" t="s">
        <v>8238</v>
      </c>
      <c r="G2380" s="919" t="s">
        <v>8239</v>
      </c>
      <c r="H2380" s="919" t="s">
        <v>4502</v>
      </c>
      <c r="I2380" s="919" t="s">
        <v>3686</v>
      </c>
      <c r="J2380" s="919"/>
      <c r="K2380" s="920"/>
      <c r="L2380" s="920"/>
      <c r="M2380" s="920">
        <f t="shared" si="74"/>
        <v>0</v>
      </c>
      <c r="N2380" s="919">
        <v>1</v>
      </c>
      <c r="O2380" s="919">
        <v>3</v>
      </c>
      <c r="P2380" s="921">
        <f t="shared" si="75"/>
        <v>3450</v>
      </c>
    </row>
    <row r="2381" spans="1:16" ht="20.100000000000001" customHeight="1" x14ac:dyDescent="0.25">
      <c r="A2381" s="918" t="s">
        <v>474</v>
      </c>
      <c r="B2381" s="944" t="s">
        <v>3901</v>
      </c>
      <c r="C2381" s="919" t="s">
        <v>3902</v>
      </c>
      <c r="D2381" s="919" t="s">
        <v>4502</v>
      </c>
      <c r="E2381" s="920">
        <v>1150</v>
      </c>
      <c r="F2381" s="919" t="s">
        <v>8240</v>
      </c>
      <c r="G2381" s="919" t="s">
        <v>8241</v>
      </c>
      <c r="H2381" s="919" t="s">
        <v>4502</v>
      </c>
      <c r="I2381" s="919" t="s">
        <v>3686</v>
      </c>
      <c r="J2381" s="919"/>
      <c r="K2381" s="920"/>
      <c r="L2381" s="920"/>
      <c r="M2381" s="920">
        <f t="shared" si="74"/>
        <v>0</v>
      </c>
      <c r="N2381" s="919">
        <v>1</v>
      </c>
      <c r="O2381" s="919">
        <v>3</v>
      </c>
      <c r="P2381" s="921">
        <f t="shared" si="75"/>
        <v>3450</v>
      </c>
    </row>
    <row r="2382" spans="1:16" ht="20.100000000000001" customHeight="1" x14ac:dyDescent="0.25">
      <c r="A2382" s="918" t="s">
        <v>474</v>
      </c>
      <c r="B2382" s="944" t="s">
        <v>3901</v>
      </c>
      <c r="C2382" s="919" t="s">
        <v>3902</v>
      </c>
      <c r="D2382" s="919" t="s">
        <v>4502</v>
      </c>
      <c r="E2382" s="920">
        <v>1150</v>
      </c>
      <c r="F2382" s="919" t="s">
        <v>8242</v>
      </c>
      <c r="G2382" s="919" t="s">
        <v>8243</v>
      </c>
      <c r="H2382" s="919" t="s">
        <v>4502</v>
      </c>
      <c r="I2382" s="919" t="s">
        <v>3686</v>
      </c>
      <c r="J2382" s="919"/>
      <c r="K2382" s="920"/>
      <c r="L2382" s="920"/>
      <c r="M2382" s="920">
        <f t="shared" si="74"/>
        <v>0</v>
      </c>
      <c r="N2382" s="919">
        <v>1</v>
      </c>
      <c r="O2382" s="919">
        <v>3</v>
      </c>
      <c r="P2382" s="921">
        <f t="shared" si="75"/>
        <v>3450</v>
      </c>
    </row>
    <row r="2383" spans="1:16" ht="20.100000000000001" customHeight="1" x14ac:dyDescent="0.25">
      <c r="A2383" s="918" t="s">
        <v>474</v>
      </c>
      <c r="B2383" s="944" t="s">
        <v>3901</v>
      </c>
      <c r="C2383" s="919" t="s">
        <v>3902</v>
      </c>
      <c r="D2383" s="919" t="s">
        <v>4502</v>
      </c>
      <c r="E2383" s="920">
        <v>1150</v>
      </c>
      <c r="F2383" s="919" t="s">
        <v>8244</v>
      </c>
      <c r="G2383" s="919" t="s">
        <v>8245</v>
      </c>
      <c r="H2383" s="919" t="s">
        <v>4502</v>
      </c>
      <c r="I2383" s="919" t="s">
        <v>3686</v>
      </c>
      <c r="J2383" s="919"/>
      <c r="K2383" s="920"/>
      <c r="L2383" s="920"/>
      <c r="M2383" s="920">
        <f t="shared" si="74"/>
        <v>0</v>
      </c>
      <c r="N2383" s="919">
        <v>1</v>
      </c>
      <c r="O2383" s="919">
        <v>3</v>
      </c>
      <c r="P2383" s="921">
        <f t="shared" si="75"/>
        <v>3450</v>
      </c>
    </row>
    <row r="2384" spans="1:16" ht="20.100000000000001" customHeight="1" x14ac:dyDescent="0.25">
      <c r="A2384" s="918" t="s">
        <v>474</v>
      </c>
      <c r="B2384" s="944" t="s">
        <v>3901</v>
      </c>
      <c r="C2384" s="919" t="s">
        <v>3902</v>
      </c>
      <c r="D2384" s="919" t="s">
        <v>4502</v>
      </c>
      <c r="E2384" s="920">
        <v>1150</v>
      </c>
      <c r="F2384" s="919" t="s">
        <v>8246</v>
      </c>
      <c r="G2384" s="919" t="s">
        <v>8247</v>
      </c>
      <c r="H2384" s="919" t="s">
        <v>4502</v>
      </c>
      <c r="I2384" s="919" t="s">
        <v>3686</v>
      </c>
      <c r="J2384" s="919"/>
      <c r="K2384" s="920"/>
      <c r="L2384" s="920"/>
      <c r="M2384" s="920">
        <f t="shared" si="74"/>
        <v>0</v>
      </c>
      <c r="N2384" s="919">
        <v>1</v>
      </c>
      <c r="O2384" s="919">
        <v>3</v>
      </c>
      <c r="P2384" s="921">
        <f t="shared" si="75"/>
        <v>3450</v>
      </c>
    </row>
    <row r="2385" spans="1:16" ht="20.100000000000001" customHeight="1" x14ac:dyDescent="0.25">
      <c r="A2385" s="918" t="s">
        <v>474</v>
      </c>
      <c r="B2385" s="944" t="s">
        <v>3901</v>
      </c>
      <c r="C2385" s="919" t="s">
        <v>3902</v>
      </c>
      <c r="D2385" s="919" t="s">
        <v>4502</v>
      </c>
      <c r="E2385" s="920">
        <v>1150</v>
      </c>
      <c r="F2385" s="919" t="s">
        <v>8248</v>
      </c>
      <c r="G2385" s="919" t="s">
        <v>8249</v>
      </c>
      <c r="H2385" s="919" t="s">
        <v>4502</v>
      </c>
      <c r="I2385" s="919" t="s">
        <v>3686</v>
      </c>
      <c r="J2385" s="919"/>
      <c r="K2385" s="920"/>
      <c r="L2385" s="920"/>
      <c r="M2385" s="920">
        <f t="shared" si="74"/>
        <v>0</v>
      </c>
      <c r="N2385" s="919">
        <v>1</v>
      </c>
      <c r="O2385" s="919">
        <v>3</v>
      </c>
      <c r="P2385" s="921">
        <f t="shared" si="75"/>
        <v>3450</v>
      </c>
    </row>
    <row r="2386" spans="1:16" ht="20.100000000000001" customHeight="1" x14ac:dyDescent="0.25">
      <c r="A2386" s="918" t="s">
        <v>474</v>
      </c>
      <c r="B2386" s="944" t="s">
        <v>3901</v>
      </c>
      <c r="C2386" s="919" t="s">
        <v>3902</v>
      </c>
      <c r="D2386" s="919" t="s">
        <v>4502</v>
      </c>
      <c r="E2386" s="920">
        <v>1150</v>
      </c>
      <c r="F2386" s="919" t="s">
        <v>8250</v>
      </c>
      <c r="G2386" s="919" t="s">
        <v>8251</v>
      </c>
      <c r="H2386" s="919" t="s">
        <v>4502</v>
      </c>
      <c r="I2386" s="919" t="s">
        <v>3686</v>
      </c>
      <c r="J2386" s="919"/>
      <c r="K2386" s="920"/>
      <c r="L2386" s="920"/>
      <c r="M2386" s="920">
        <f t="shared" si="74"/>
        <v>0</v>
      </c>
      <c r="N2386" s="919">
        <v>1</v>
      </c>
      <c r="O2386" s="919">
        <v>3</v>
      </c>
      <c r="P2386" s="921">
        <f t="shared" si="75"/>
        <v>3450</v>
      </c>
    </row>
    <row r="2387" spans="1:16" ht="20.100000000000001" customHeight="1" x14ac:dyDescent="0.25">
      <c r="A2387" s="918" t="s">
        <v>474</v>
      </c>
      <c r="B2387" s="944" t="s">
        <v>3901</v>
      </c>
      <c r="C2387" s="919" t="s">
        <v>3902</v>
      </c>
      <c r="D2387" s="919" t="s">
        <v>4502</v>
      </c>
      <c r="E2387" s="920">
        <v>1150</v>
      </c>
      <c r="F2387" s="919" t="s">
        <v>8252</v>
      </c>
      <c r="G2387" s="919" t="s">
        <v>8253</v>
      </c>
      <c r="H2387" s="919" t="s">
        <v>4502</v>
      </c>
      <c r="I2387" s="919" t="s">
        <v>3686</v>
      </c>
      <c r="J2387" s="919"/>
      <c r="K2387" s="920"/>
      <c r="L2387" s="920"/>
      <c r="M2387" s="920">
        <f t="shared" si="74"/>
        <v>0</v>
      </c>
      <c r="N2387" s="919">
        <v>1</v>
      </c>
      <c r="O2387" s="919">
        <v>3</v>
      </c>
      <c r="P2387" s="921">
        <f t="shared" si="75"/>
        <v>3450</v>
      </c>
    </row>
    <row r="2388" spans="1:16" ht="20.100000000000001" customHeight="1" x14ac:dyDescent="0.25">
      <c r="A2388" s="918" t="s">
        <v>474</v>
      </c>
      <c r="B2388" s="944" t="s">
        <v>3901</v>
      </c>
      <c r="C2388" s="919" t="s">
        <v>3902</v>
      </c>
      <c r="D2388" s="919" t="s">
        <v>4502</v>
      </c>
      <c r="E2388" s="920">
        <v>1150</v>
      </c>
      <c r="F2388" s="919" t="s">
        <v>8254</v>
      </c>
      <c r="G2388" s="919" t="s">
        <v>8255</v>
      </c>
      <c r="H2388" s="919" t="s">
        <v>4502</v>
      </c>
      <c r="I2388" s="919" t="s">
        <v>3686</v>
      </c>
      <c r="J2388" s="919"/>
      <c r="K2388" s="920"/>
      <c r="L2388" s="920"/>
      <c r="M2388" s="920">
        <f t="shared" si="74"/>
        <v>0</v>
      </c>
      <c r="N2388" s="919">
        <v>1</v>
      </c>
      <c r="O2388" s="919">
        <v>3</v>
      </c>
      <c r="P2388" s="921">
        <f t="shared" si="75"/>
        <v>3450</v>
      </c>
    </row>
    <row r="2389" spans="1:16" ht="20.100000000000001" customHeight="1" x14ac:dyDescent="0.25">
      <c r="A2389" s="918" t="s">
        <v>474</v>
      </c>
      <c r="B2389" s="944" t="s">
        <v>3901</v>
      </c>
      <c r="C2389" s="919" t="s">
        <v>3902</v>
      </c>
      <c r="D2389" s="919" t="s">
        <v>4502</v>
      </c>
      <c r="E2389" s="920">
        <v>1150</v>
      </c>
      <c r="F2389" s="919" t="s">
        <v>8256</v>
      </c>
      <c r="G2389" s="919" t="s">
        <v>8257</v>
      </c>
      <c r="H2389" s="919" t="s">
        <v>4502</v>
      </c>
      <c r="I2389" s="919" t="s">
        <v>3686</v>
      </c>
      <c r="J2389" s="919"/>
      <c r="K2389" s="920"/>
      <c r="L2389" s="920"/>
      <c r="M2389" s="920">
        <f t="shared" si="74"/>
        <v>0</v>
      </c>
      <c r="N2389" s="919">
        <v>1</v>
      </c>
      <c r="O2389" s="919">
        <v>3</v>
      </c>
      <c r="P2389" s="921">
        <f t="shared" si="75"/>
        <v>3450</v>
      </c>
    </row>
    <row r="2390" spans="1:16" ht="20.100000000000001" customHeight="1" x14ac:dyDescent="0.25">
      <c r="A2390" s="918" t="s">
        <v>474</v>
      </c>
      <c r="B2390" s="944" t="s">
        <v>3901</v>
      </c>
      <c r="C2390" s="919" t="s">
        <v>3902</v>
      </c>
      <c r="D2390" s="919" t="s">
        <v>4502</v>
      </c>
      <c r="E2390" s="920">
        <v>1150</v>
      </c>
      <c r="F2390" s="919" t="s">
        <v>8258</v>
      </c>
      <c r="G2390" s="919" t="s">
        <v>8259</v>
      </c>
      <c r="H2390" s="919" t="s">
        <v>4502</v>
      </c>
      <c r="I2390" s="919" t="s">
        <v>3686</v>
      </c>
      <c r="J2390" s="919"/>
      <c r="K2390" s="920"/>
      <c r="L2390" s="920"/>
      <c r="M2390" s="920">
        <f t="shared" si="74"/>
        <v>0</v>
      </c>
      <c r="N2390" s="919">
        <v>1</v>
      </c>
      <c r="O2390" s="919">
        <v>3</v>
      </c>
      <c r="P2390" s="921">
        <f t="shared" si="75"/>
        <v>3450</v>
      </c>
    </row>
    <row r="2391" spans="1:16" ht="20.100000000000001" customHeight="1" x14ac:dyDescent="0.25">
      <c r="A2391" s="918" t="s">
        <v>474</v>
      </c>
      <c r="B2391" s="944" t="s">
        <v>3901</v>
      </c>
      <c r="C2391" s="919" t="s">
        <v>3902</v>
      </c>
      <c r="D2391" s="919" t="s">
        <v>4502</v>
      </c>
      <c r="E2391" s="920">
        <v>1150</v>
      </c>
      <c r="F2391" s="919" t="s">
        <v>8260</v>
      </c>
      <c r="G2391" s="919" t="s">
        <v>8261</v>
      </c>
      <c r="H2391" s="919" t="s">
        <v>4502</v>
      </c>
      <c r="I2391" s="919" t="s">
        <v>3686</v>
      </c>
      <c r="J2391" s="919"/>
      <c r="K2391" s="920"/>
      <c r="L2391" s="920"/>
      <c r="M2391" s="920">
        <f t="shared" si="74"/>
        <v>0</v>
      </c>
      <c r="N2391" s="919">
        <v>1</v>
      </c>
      <c r="O2391" s="919">
        <v>3</v>
      </c>
      <c r="P2391" s="921">
        <f t="shared" si="75"/>
        <v>3450</v>
      </c>
    </row>
    <row r="2392" spans="1:16" ht="20.100000000000001" customHeight="1" x14ac:dyDescent="0.25">
      <c r="A2392" s="918" t="s">
        <v>474</v>
      </c>
      <c r="B2392" s="944" t="s">
        <v>3901</v>
      </c>
      <c r="C2392" s="919" t="s">
        <v>3902</v>
      </c>
      <c r="D2392" s="919" t="s">
        <v>4502</v>
      </c>
      <c r="E2392" s="920">
        <v>1150</v>
      </c>
      <c r="F2392" s="919" t="s">
        <v>8262</v>
      </c>
      <c r="G2392" s="919" t="s">
        <v>8263</v>
      </c>
      <c r="H2392" s="919" t="s">
        <v>4502</v>
      </c>
      <c r="I2392" s="919" t="s">
        <v>3686</v>
      </c>
      <c r="J2392" s="919"/>
      <c r="K2392" s="920"/>
      <c r="L2392" s="920"/>
      <c r="M2392" s="920">
        <f t="shared" si="74"/>
        <v>0</v>
      </c>
      <c r="N2392" s="919">
        <v>1</v>
      </c>
      <c r="O2392" s="919">
        <v>3</v>
      </c>
      <c r="P2392" s="921">
        <f t="shared" si="75"/>
        <v>3450</v>
      </c>
    </row>
    <row r="2393" spans="1:16" ht="20.100000000000001" customHeight="1" x14ac:dyDescent="0.25">
      <c r="A2393" s="918" t="s">
        <v>474</v>
      </c>
      <c r="B2393" s="944" t="s">
        <v>3901</v>
      </c>
      <c r="C2393" s="919" t="s">
        <v>3902</v>
      </c>
      <c r="D2393" s="919" t="s">
        <v>4502</v>
      </c>
      <c r="E2393" s="920">
        <v>1150</v>
      </c>
      <c r="F2393" s="919" t="s">
        <v>8264</v>
      </c>
      <c r="G2393" s="919" t="s">
        <v>8265</v>
      </c>
      <c r="H2393" s="919" t="s">
        <v>4502</v>
      </c>
      <c r="I2393" s="919" t="s">
        <v>3686</v>
      </c>
      <c r="J2393" s="919"/>
      <c r="K2393" s="920"/>
      <c r="L2393" s="920"/>
      <c r="M2393" s="920">
        <f t="shared" si="74"/>
        <v>0</v>
      </c>
      <c r="N2393" s="919">
        <v>1</v>
      </c>
      <c r="O2393" s="919">
        <v>3</v>
      </c>
      <c r="P2393" s="921">
        <f t="shared" si="75"/>
        <v>3450</v>
      </c>
    </row>
    <row r="2394" spans="1:16" ht="20.100000000000001" customHeight="1" x14ac:dyDescent="0.25">
      <c r="A2394" s="918" t="s">
        <v>474</v>
      </c>
      <c r="B2394" s="944" t="s">
        <v>3901</v>
      </c>
      <c r="C2394" s="919" t="s">
        <v>3902</v>
      </c>
      <c r="D2394" s="919" t="s">
        <v>4502</v>
      </c>
      <c r="E2394" s="920">
        <v>1150</v>
      </c>
      <c r="F2394" s="919" t="s">
        <v>8266</v>
      </c>
      <c r="G2394" s="919" t="s">
        <v>8267</v>
      </c>
      <c r="H2394" s="919" t="s">
        <v>4502</v>
      </c>
      <c r="I2394" s="919" t="s">
        <v>3686</v>
      </c>
      <c r="J2394" s="919"/>
      <c r="K2394" s="920"/>
      <c r="L2394" s="920"/>
      <c r="M2394" s="920">
        <f t="shared" si="74"/>
        <v>0</v>
      </c>
      <c r="N2394" s="919">
        <v>1</v>
      </c>
      <c r="O2394" s="919">
        <v>3</v>
      </c>
      <c r="P2394" s="921">
        <f t="shared" si="75"/>
        <v>3450</v>
      </c>
    </row>
    <row r="2395" spans="1:16" ht="20.100000000000001" customHeight="1" x14ac:dyDescent="0.25">
      <c r="A2395" s="918" t="s">
        <v>474</v>
      </c>
      <c r="B2395" s="944" t="s">
        <v>3901</v>
      </c>
      <c r="C2395" s="919" t="s">
        <v>3902</v>
      </c>
      <c r="D2395" s="919" t="s">
        <v>4502</v>
      </c>
      <c r="E2395" s="920">
        <v>1150</v>
      </c>
      <c r="F2395" s="919" t="s">
        <v>8268</v>
      </c>
      <c r="G2395" s="919" t="s">
        <v>8269</v>
      </c>
      <c r="H2395" s="919" t="s">
        <v>4502</v>
      </c>
      <c r="I2395" s="919" t="s">
        <v>3686</v>
      </c>
      <c r="J2395" s="919"/>
      <c r="K2395" s="920"/>
      <c r="L2395" s="920"/>
      <c r="M2395" s="920">
        <f t="shared" si="74"/>
        <v>0</v>
      </c>
      <c r="N2395" s="919">
        <v>1</v>
      </c>
      <c r="O2395" s="919">
        <v>3</v>
      </c>
      <c r="P2395" s="921">
        <f t="shared" si="75"/>
        <v>3450</v>
      </c>
    </row>
    <row r="2396" spans="1:16" ht="20.100000000000001" customHeight="1" x14ac:dyDescent="0.25">
      <c r="A2396" s="918" t="s">
        <v>474</v>
      </c>
      <c r="B2396" s="944" t="s">
        <v>3901</v>
      </c>
      <c r="C2396" s="919" t="s">
        <v>3902</v>
      </c>
      <c r="D2396" s="919" t="s">
        <v>4502</v>
      </c>
      <c r="E2396" s="920">
        <v>1150</v>
      </c>
      <c r="F2396" s="919" t="s">
        <v>8270</v>
      </c>
      <c r="G2396" s="919" t="s">
        <v>8271</v>
      </c>
      <c r="H2396" s="919" t="s">
        <v>4502</v>
      </c>
      <c r="I2396" s="919" t="s">
        <v>3686</v>
      </c>
      <c r="J2396" s="919"/>
      <c r="K2396" s="920"/>
      <c r="L2396" s="920"/>
      <c r="M2396" s="920">
        <f t="shared" si="74"/>
        <v>0</v>
      </c>
      <c r="N2396" s="919">
        <v>1</v>
      </c>
      <c r="O2396" s="919">
        <v>3</v>
      </c>
      <c r="P2396" s="921">
        <f t="shared" si="75"/>
        <v>3450</v>
      </c>
    </row>
    <row r="2397" spans="1:16" ht="20.100000000000001" customHeight="1" x14ac:dyDescent="0.25">
      <c r="A2397" s="918" t="s">
        <v>474</v>
      </c>
      <c r="B2397" s="944" t="s">
        <v>3901</v>
      </c>
      <c r="C2397" s="919" t="s">
        <v>3902</v>
      </c>
      <c r="D2397" s="919" t="s">
        <v>4502</v>
      </c>
      <c r="E2397" s="920">
        <v>1150</v>
      </c>
      <c r="F2397" s="919" t="s">
        <v>8272</v>
      </c>
      <c r="G2397" s="919" t="s">
        <v>8273</v>
      </c>
      <c r="H2397" s="919" t="s">
        <v>4502</v>
      </c>
      <c r="I2397" s="919" t="s">
        <v>3686</v>
      </c>
      <c r="J2397" s="919"/>
      <c r="K2397" s="920"/>
      <c r="L2397" s="920"/>
      <c r="M2397" s="920">
        <f t="shared" si="74"/>
        <v>0</v>
      </c>
      <c r="N2397" s="919">
        <v>1</v>
      </c>
      <c r="O2397" s="919">
        <v>3</v>
      </c>
      <c r="P2397" s="921">
        <f t="shared" si="75"/>
        <v>3450</v>
      </c>
    </row>
    <row r="2398" spans="1:16" ht="20.100000000000001" customHeight="1" x14ac:dyDescent="0.25">
      <c r="A2398" s="918" t="s">
        <v>474</v>
      </c>
      <c r="B2398" s="944" t="s">
        <v>3901</v>
      </c>
      <c r="C2398" s="919" t="s">
        <v>3902</v>
      </c>
      <c r="D2398" s="919" t="s">
        <v>4502</v>
      </c>
      <c r="E2398" s="920">
        <v>1150</v>
      </c>
      <c r="F2398" s="919" t="s">
        <v>8274</v>
      </c>
      <c r="G2398" s="919" t="s">
        <v>8275</v>
      </c>
      <c r="H2398" s="919" t="s">
        <v>4502</v>
      </c>
      <c r="I2398" s="919" t="s">
        <v>3686</v>
      </c>
      <c r="J2398" s="919"/>
      <c r="K2398" s="920"/>
      <c r="L2398" s="920"/>
      <c r="M2398" s="920">
        <f t="shared" si="74"/>
        <v>0</v>
      </c>
      <c r="N2398" s="919">
        <v>1</v>
      </c>
      <c r="O2398" s="919">
        <v>3</v>
      </c>
      <c r="P2398" s="921">
        <f t="shared" si="75"/>
        <v>3450</v>
      </c>
    </row>
    <row r="2399" spans="1:16" ht="20.100000000000001" customHeight="1" x14ac:dyDescent="0.25">
      <c r="A2399" s="918" t="s">
        <v>474</v>
      </c>
      <c r="B2399" s="944" t="s">
        <v>3901</v>
      </c>
      <c r="C2399" s="919" t="s">
        <v>3902</v>
      </c>
      <c r="D2399" s="919" t="s">
        <v>4502</v>
      </c>
      <c r="E2399" s="920">
        <v>1150</v>
      </c>
      <c r="F2399" s="919" t="s">
        <v>8276</v>
      </c>
      <c r="G2399" s="919" t="s">
        <v>8277</v>
      </c>
      <c r="H2399" s="919" t="s">
        <v>4502</v>
      </c>
      <c r="I2399" s="919" t="s">
        <v>3686</v>
      </c>
      <c r="J2399" s="919"/>
      <c r="K2399" s="920"/>
      <c r="L2399" s="920"/>
      <c r="M2399" s="920">
        <f t="shared" si="74"/>
        <v>0</v>
      </c>
      <c r="N2399" s="919">
        <v>1</v>
      </c>
      <c r="O2399" s="919">
        <v>3</v>
      </c>
      <c r="P2399" s="921">
        <f t="shared" si="75"/>
        <v>3450</v>
      </c>
    </row>
    <row r="2400" spans="1:16" ht="20.100000000000001" customHeight="1" x14ac:dyDescent="0.25">
      <c r="A2400" s="918" t="s">
        <v>474</v>
      </c>
      <c r="B2400" s="944" t="s">
        <v>3901</v>
      </c>
      <c r="C2400" s="919" t="s">
        <v>3902</v>
      </c>
      <c r="D2400" s="919" t="s">
        <v>4502</v>
      </c>
      <c r="E2400" s="920">
        <v>1150</v>
      </c>
      <c r="F2400" s="919" t="s">
        <v>8278</v>
      </c>
      <c r="G2400" s="919" t="s">
        <v>8279</v>
      </c>
      <c r="H2400" s="919" t="s">
        <v>4502</v>
      </c>
      <c r="I2400" s="919" t="s">
        <v>3686</v>
      </c>
      <c r="J2400" s="919"/>
      <c r="K2400" s="920"/>
      <c r="L2400" s="920"/>
      <c r="M2400" s="920">
        <f t="shared" si="74"/>
        <v>0</v>
      </c>
      <c r="N2400" s="919">
        <v>1</v>
      </c>
      <c r="O2400" s="919">
        <v>3</v>
      </c>
      <c r="P2400" s="921">
        <f t="shared" si="75"/>
        <v>3450</v>
      </c>
    </row>
    <row r="2401" spans="1:16" ht="20.100000000000001" customHeight="1" x14ac:dyDescent="0.25">
      <c r="A2401" s="918" t="s">
        <v>474</v>
      </c>
      <c r="B2401" s="944" t="s">
        <v>3901</v>
      </c>
      <c r="C2401" s="919" t="s">
        <v>3902</v>
      </c>
      <c r="D2401" s="919" t="s">
        <v>4502</v>
      </c>
      <c r="E2401" s="920">
        <v>1150</v>
      </c>
      <c r="F2401" s="919" t="s">
        <v>8280</v>
      </c>
      <c r="G2401" s="919" t="s">
        <v>8281</v>
      </c>
      <c r="H2401" s="919" t="s">
        <v>4502</v>
      </c>
      <c r="I2401" s="919" t="s">
        <v>3686</v>
      </c>
      <c r="J2401" s="919"/>
      <c r="K2401" s="920"/>
      <c r="L2401" s="920"/>
      <c r="M2401" s="920">
        <f t="shared" si="74"/>
        <v>0</v>
      </c>
      <c r="N2401" s="919">
        <v>1</v>
      </c>
      <c r="O2401" s="919">
        <v>3</v>
      </c>
      <c r="P2401" s="921">
        <f t="shared" si="75"/>
        <v>3450</v>
      </c>
    </row>
    <row r="2402" spans="1:16" ht="20.100000000000001" customHeight="1" x14ac:dyDescent="0.25">
      <c r="A2402" s="918" t="s">
        <v>474</v>
      </c>
      <c r="B2402" s="944" t="s">
        <v>3901</v>
      </c>
      <c r="C2402" s="919" t="s">
        <v>3902</v>
      </c>
      <c r="D2402" s="919" t="s">
        <v>4502</v>
      </c>
      <c r="E2402" s="920">
        <v>1150</v>
      </c>
      <c r="F2402" s="919" t="s">
        <v>8282</v>
      </c>
      <c r="G2402" s="919" t="s">
        <v>8283</v>
      </c>
      <c r="H2402" s="919" t="s">
        <v>4502</v>
      </c>
      <c r="I2402" s="919" t="s">
        <v>3686</v>
      </c>
      <c r="J2402" s="919"/>
      <c r="K2402" s="920"/>
      <c r="L2402" s="920"/>
      <c r="M2402" s="920">
        <f t="shared" si="74"/>
        <v>0</v>
      </c>
      <c r="N2402" s="919">
        <v>1</v>
      </c>
      <c r="O2402" s="919">
        <v>3</v>
      </c>
      <c r="P2402" s="921">
        <f t="shared" si="75"/>
        <v>3450</v>
      </c>
    </row>
    <row r="2403" spans="1:16" ht="20.100000000000001" customHeight="1" x14ac:dyDescent="0.25">
      <c r="A2403" s="918" t="s">
        <v>474</v>
      </c>
      <c r="B2403" s="944" t="s">
        <v>3901</v>
      </c>
      <c r="C2403" s="919" t="s">
        <v>3902</v>
      </c>
      <c r="D2403" s="919" t="s">
        <v>4502</v>
      </c>
      <c r="E2403" s="920">
        <v>1150</v>
      </c>
      <c r="F2403" s="919" t="s">
        <v>4041</v>
      </c>
      <c r="G2403" s="919" t="s">
        <v>4062</v>
      </c>
      <c r="H2403" s="919" t="s">
        <v>4502</v>
      </c>
      <c r="I2403" s="919" t="s">
        <v>3686</v>
      </c>
      <c r="J2403" s="919"/>
      <c r="K2403" s="920">
        <v>1</v>
      </c>
      <c r="L2403" s="920">
        <v>12</v>
      </c>
      <c r="M2403" s="920">
        <f t="shared" si="74"/>
        <v>13800</v>
      </c>
      <c r="N2403" s="919"/>
      <c r="O2403" s="919"/>
      <c r="P2403" s="921">
        <f t="shared" si="75"/>
        <v>0</v>
      </c>
    </row>
    <row r="2404" spans="1:16" ht="20.100000000000001" customHeight="1" x14ac:dyDescent="0.25">
      <c r="A2404" s="918" t="s">
        <v>474</v>
      </c>
      <c r="B2404" s="944" t="s">
        <v>3901</v>
      </c>
      <c r="C2404" s="919" t="s">
        <v>3902</v>
      </c>
      <c r="D2404" s="919" t="s">
        <v>4502</v>
      </c>
      <c r="E2404" s="920">
        <v>1150</v>
      </c>
      <c r="F2404" s="919" t="s">
        <v>8284</v>
      </c>
      <c r="G2404" s="919" t="s">
        <v>8285</v>
      </c>
      <c r="H2404" s="919" t="s">
        <v>4502</v>
      </c>
      <c r="I2404" s="919" t="s">
        <v>3686</v>
      </c>
      <c r="J2404" s="919"/>
      <c r="K2404" s="920"/>
      <c r="L2404" s="920"/>
      <c r="M2404" s="920">
        <f t="shared" si="74"/>
        <v>0</v>
      </c>
      <c r="N2404" s="919">
        <v>1</v>
      </c>
      <c r="O2404" s="919">
        <v>3</v>
      </c>
      <c r="P2404" s="921">
        <f t="shared" si="75"/>
        <v>3450</v>
      </c>
    </row>
    <row r="2405" spans="1:16" ht="20.100000000000001" customHeight="1" x14ac:dyDescent="0.25">
      <c r="A2405" s="918" t="s">
        <v>474</v>
      </c>
      <c r="B2405" s="944" t="s">
        <v>3901</v>
      </c>
      <c r="C2405" s="919" t="s">
        <v>3902</v>
      </c>
      <c r="D2405" s="919" t="s">
        <v>4502</v>
      </c>
      <c r="E2405" s="920">
        <v>1150</v>
      </c>
      <c r="F2405" s="919" t="s">
        <v>8286</v>
      </c>
      <c r="G2405" s="919" t="s">
        <v>8287</v>
      </c>
      <c r="H2405" s="919" t="s">
        <v>4502</v>
      </c>
      <c r="I2405" s="919" t="s">
        <v>3686</v>
      </c>
      <c r="J2405" s="919"/>
      <c r="K2405" s="920"/>
      <c r="L2405" s="920"/>
      <c r="M2405" s="920">
        <f t="shared" si="74"/>
        <v>0</v>
      </c>
      <c r="N2405" s="919">
        <v>1</v>
      </c>
      <c r="O2405" s="919">
        <v>3</v>
      </c>
      <c r="P2405" s="921">
        <f t="shared" si="75"/>
        <v>3450</v>
      </c>
    </row>
    <row r="2406" spans="1:16" ht="20.100000000000001" customHeight="1" x14ac:dyDescent="0.25">
      <c r="A2406" s="918" t="s">
        <v>474</v>
      </c>
      <c r="B2406" s="944" t="s">
        <v>3901</v>
      </c>
      <c r="C2406" s="919" t="s">
        <v>3902</v>
      </c>
      <c r="D2406" s="919" t="s">
        <v>4774</v>
      </c>
      <c r="E2406" s="920">
        <v>2000</v>
      </c>
      <c r="F2406" s="919" t="s">
        <v>8288</v>
      </c>
      <c r="G2406" s="919" t="s">
        <v>8289</v>
      </c>
      <c r="H2406" s="919" t="s">
        <v>4774</v>
      </c>
      <c r="I2406" s="919" t="s">
        <v>3679</v>
      </c>
      <c r="J2406" s="919"/>
      <c r="K2406" s="920"/>
      <c r="L2406" s="920"/>
      <c r="M2406" s="920">
        <f t="shared" si="74"/>
        <v>0</v>
      </c>
      <c r="N2406" s="919">
        <v>1</v>
      </c>
      <c r="O2406" s="919">
        <v>3</v>
      </c>
      <c r="P2406" s="921">
        <f t="shared" si="75"/>
        <v>6000</v>
      </c>
    </row>
    <row r="2407" spans="1:16" ht="20.100000000000001" customHeight="1" x14ac:dyDescent="0.25">
      <c r="A2407" s="918" t="s">
        <v>474</v>
      </c>
      <c r="B2407" s="944" t="s">
        <v>3901</v>
      </c>
      <c r="C2407" s="919" t="s">
        <v>3902</v>
      </c>
      <c r="D2407" s="919" t="s">
        <v>4774</v>
      </c>
      <c r="E2407" s="920">
        <v>2000</v>
      </c>
      <c r="F2407" s="919" t="s">
        <v>8290</v>
      </c>
      <c r="G2407" s="919" t="s">
        <v>8291</v>
      </c>
      <c r="H2407" s="919" t="s">
        <v>4774</v>
      </c>
      <c r="I2407" s="919" t="s">
        <v>3679</v>
      </c>
      <c r="J2407" s="919"/>
      <c r="K2407" s="920"/>
      <c r="L2407" s="920"/>
      <c r="M2407" s="920">
        <f t="shared" si="74"/>
        <v>0</v>
      </c>
      <c r="N2407" s="919">
        <v>1</v>
      </c>
      <c r="O2407" s="919">
        <v>3</v>
      </c>
      <c r="P2407" s="921">
        <f t="shared" si="75"/>
        <v>6000</v>
      </c>
    </row>
    <row r="2408" spans="1:16" ht="20.100000000000001" customHeight="1" x14ac:dyDescent="0.25">
      <c r="A2408" s="918" t="s">
        <v>474</v>
      </c>
      <c r="B2408" s="944" t="s">
        <v>3901</v>
      </c>
      <c r="C2408" s="919" t="s">
        <v>3902</v>
      </c>
      <c r="D2408" s="919" t="s">
        <v>4774</v>
      </c>
      <c r="E2408" s="920">
        <v>2000</v>
      </c>
      <c r="F2408" s="919" t="s">
        <v>8292</v>
      </c>
      <c r="G2408" s="919" t="s">
        <v>8293</v>
      </c>
      <c r="H2408" s="919" t="s">
        <v>4774</v>
      </c>
      <c r="I2408" s="919" t="s">
        <v>3679</v>
      </c>
      <c r="J2408" s="919"/>
      <c r="K2408" s="920"/>
      <c r="L2408" s="920"/>
      <c r="M2408" s="920">
        <f t="shared" si="74"/>
        <v>0</v>
      </c>
      <c r="N2408" s="919">
        <v>1</v>
      </c>
      <c r="O2408" s="919">
        <v>3</v>
      </c>
      <c r="P2408" s="921">
        <f t="shared" si="75"/>
        <v>6000</v>
      </c>
    </row>
    <row r="2409" spans="1:16" ht="20.100000000000001" customHeight="1" x14ac:dyDescent="0.25">
      <c r="A2409" s="918" t="s">
        <v>474</v>
      </c>
      <c r="B2409" s="944" t="s">
        <v>3901</v>
      </c>
      <c r="C2409" s="919" t="s">
        <v>3902</v>
      </c>
      <c r="D2409" s="919" t="s">
        <v>4774</v>
      </c>
      <c r="E2409" s="920">
        <v>2000</v>
      </c>
      <c r="F2409" s="919" t="s">
        <v>8294</v>
      </c>
      <c r="G2409" s="919" t="s">
        <v>8295</v>
      </c>
      <c r="H2409" s="919" t="s">
        <v>4774</v>
      </c>
      <c r="I2409" s="919" t="s">
        <v>3679</v>
      </c>
      <c r="J2409" s="919"/>
      <c r="K2409" s="920"/>
      <c r="L2409" s="920"/>
      <c r="M2409" s="920">
        <f t="shared" si="74"/>
        <v>0</v>
      </c>
      <c r="N2409" s="919">
        <v>1</v>
      </c>
      <c r="O2409" s="919">
        <v>3</v>
      </c>
      <c r="P2409" s="921">
        <f t="shared" si="75"/>
        <v>6000</v>
      </c>
    </row>
    <row r="2410" spans="1:16" ht="20.100000000000001" customHeight="1" x14ac:dyDescent="0.25">
      <c r="A2410" s="918" t="s">
        <v>474</v>
      </c>
      <c r="B2410" s="944" t="s">
        <v>3901</v>
      </c>
      <c r="C2410" s="919" t="s">
        <v>3902</v>
      </c>
      <c r="D2410" s="919" t="s">
        <v>4774</v>
      </c>
      <c r="E2410" s="920">
        <v>2000</v>
      </c>
      <c r="F2410" s="919" t="s">
        <v>8296</v>
      </c>
      <c r="G2410" s="919" t="s">
        <v>8297</v>
      </c>
      <c r="H2410" s="919" t="s">
        <v>4774</v>
      </c>
      <c r="I2410" s="919" t="s">
        <v>3679</v>
      </c>
      <c r="J2410" s="919"/>
      <c r="K2410" s="920"/>
      <c r="L2410" s="920"/>
      <c r="M2410" s="920">
        <f t="shared" si="74"/>
        <v>0</v>
      </c>
      <c r="N2410" s="919">
        <v>1</v>
      </c>
      <c r="O2410" s="919">
        <v>3</v>
      </c>
      <c r="P2410" s="921">
        <f t="shared" si="75"/>
        <v>6000</v>
      </c>
    </row>
    <row r="2411" spans="1:16" ht="20.100000000000001" customHeight="1" x14ac:dyDescent="0.25">
      <c r="A2411" s="918" t="s">
        <v>474</v>
      </c>
      <c r="B2411" s="944" t="s">
        <v>3901</v>
      </c>
      <c r="C2411" s="919" t="s">
        <v>3902</v>
      </c>
      <c r="D2411" s="919" t="s">
        <v>4777</v>
      </c>
      <c r="E2411" s="920">
        <v>2000</v>
      </c>
      <c r="F2411" s="919" t="s">
        <v>8298</v>
      </c>
      <c r="G2411" s="919" t="s">
        <v>8299</v>
      </c>
      <c r="H2411" s="919" t="s">
        <v>4777</v>
      </c>
      <c r="I2411" s="919" t="s">
        <v>3679</v>
      </c>
      <c r="J2411" s="919"/>
      <c r="K2411" s="920"/>
      <c r="L2411" s="920"/>
      <c r="M2411" s="920">
        <f t="shared" si="74"/>
        <v>0</v>
      </c>
      <c r="N2411" s="919">
        <v>1</v>
      </c>
      <c r="O2411" s="919">
        <v>3</v>
      </c>
      <c r="P2411" s="921">
        <f t="shared" si="75"/>
        <v>6000</v>
      </c>
    </row>
    <row r="2412" spans="1:16" ht="20.100000000000001" customHeight="1" x14ac:dyDescent="0.25">
      <c r="A2412" s="918" t="s">
        <v>474</v>
      </c>
      <c r="B2412" s="944" t="s">
        <v>3901</v>
      </c>
      <c r="C2412" s="919" t="s">
        <v>3902</v>
      </c>
      <c r="D2412" s="919" t="s">
        <v>4777</v>
      </c>
      <c r="E2412" s="920">
        <v>2000</v>
      </c>
      <c r="F2412" s="919" t="s">
        <v>8300</v>
      </c>
      <c r="G2412" s="919" t="s">
        <v>8301</v>
      </c>
      <c r="H2412" s="919" t="s">
        <v>4777</v>
      </c>
      <c r="I2412" s="919" t="s">
        <v>3679</v>
      </c>
      <c r="J2412" s="919"/>
      <c r="K2412" s="920"/>
      <c r="L2412" s="920"/>
      <c r="M2412" s="920">
        <f t="shared" si="74"/>
        <v>0</v>
      </c>
      <c r="N2412" s="919">
        <v>1</v>
      </c>
      <c r="O2412" s="919">
        <v>3</v>
      </c>
      <c r="P2412" s="921">
        <f t="shared" si="75"/>
        <v>6000</v>
      </c>
    </row>
    <row r="2413" spans="1:16" ht="20.100000000000001" customHeight="1" x14ac:dyDescent="0.25">
      <c r="A2413" s="918" t="s">
        <v>474</v>
      </c>
      <c r="B2413" s="944" t="s">
        <v>3901</v>
      </c>
      <c r="C2413" s="919" t="s">
        <v>3902</v>
      </c>
      <c r="D2413" s="919" t="s">
        <v>4777</v>
      </c>
      <c r="E2413" s="920">
        <v>2000</v>
      </c>
      <c r="F2413" s="919" t="s">
        <v>8302</v>
      </c>
      <c r="G2413" s="919" t="s">
        <v>8303</v>
      </c>
      <c r="H2413" s="919" t="s">
        <v>4777</v>
      </c>
      <c r="I2413" s="919" t="s">
        <v>3679</v>
      </c>
      <c r="J2413" s="919"/>
      <c r="K2413" s="920"/>
      <c r="L2413" s="920"/>
      <c r="M2413" s="920">
        <f t="shared" si="74"/>
        <v>0</v>
      </c>
      <c r="N2413" s="919">
        <v>1</v>
      </c>
      <c r="O2413" s="919">
        <v>3</v>
      </c>
      <c r="P2413" s="921">
        <f t="shared" si="75"/>
        <v>6000</v>
      </c>
    </row>
    <row r="2414" spans="1:16" ht="20.100000000000001" customHeight="1" x14ac:dyDescent="0.25">
      <c r="A2414" s="918" t="s">
        <v>474</v>
      </c>
      <c r="B2414" s="944" t="s">
        <v>3901</v>
      </c>
      <c r="C2414" s="919" t="s">
        <v>3902</v>
      </c>
      <c r="D2414" s="919" t="s">
        <v>4774</v>
      </c>
      <c r="E2414" s="920">
        <v>2000</v>
      </c>
      <c r="F2414" s="919" t="s">
        <v>8304</v>
      </c>
      <c r="G2414" s="919" t="s">
        <v>8305</v>
      </c>
      <c r="H2414" s="919" t="s">
        <v>4774</v>
      </c>
      <c r="I2414" s="919" t="s">
        <v>3679</v>
      </c>
      <c r="J2414" s="919"/>
      <c r="K2414" s="920"/>
      <c r="L2414" s="920"/>
      <c r="M2414" s="920">
        <f t="shared" si="74"/>
        <v>0</v>
      </c>
      <c r="N2414" s="919">
        <v>1</v>
      </c>
      <c r="O2414" s="919">
        <v>3</v>
      </c>
      <c r="P2414" s="921">
        <f t="shared" si="75"/>
        <v>6000</v>
      </c>
    </row>
    <row r="2415" spans="1:16" ht="20.100000000000001" customHeight="1" x14ac:dyDescent="0.25">
      <c r="A2415" s="918" t="s">
        <v>474</v>
      </c>
      <c r="B2415" s="944" t="s">
        <v>3901</v>
      </c>
      <c r="C2415" s="919" t="s">
        <v>3902</v>
      </c>
      <c r="D2415" s="919" t="s">
        <v>4777</v>
      </c>
      <c r="E2415" s="920">
        <v>2000</v>
      </c>
      <c r="F2415" s="919" t="s">
        <v>8306</v>
      </c>
      <c r="G2415" s="919" t="s">
        <v>8307</v>
      </c>
      <c r="H2415" s="919" t="s">
        <v>4777</v>
      </c>
      <c r="I2415" s="919" t="s">
        <v>3679</v>
      </c>
      <c r="J2415" s="919"/>
      <c r="K2415" s="920"/>
      <c r="L2415" s="920"/>
      <c r="M2415" s="920">
        <f t="shared" si="74"/>
        <v>0</v>
      </c>
      <c r="N2415" s="919">
        <v>1</v>
      </c>
      <c r="O2415" s="919">
        <v>3</v>
      </c>
      <c r="P2415" s="921">
        <f t="shared" si="75"/>
        <v>6000</v>
      </c>
    </row>
    <row r="2416" spans="1:16" ht="20.100000000000001" customHeight="1" x14ac:dyDescent="0.25">
      <c r="A2416" s="918" t="s">
        <v>474</v>
      </c>
      <c r="B2416" s="944" t="s">
        <v>3901</v>
      </c>
      <c r="C2416" s="919" t="s">
        <v>3902</v>
      </c>
      <c r="D2416" s="919" t="s">
        <v>4777</v>
      </c>
      <c r="E2416" s="920">
        <v>2000</v>
      </c>
      <c r="F2416" s="919" t="s">
        <v>8308</v>
      </c>
      <c r="G2416" s="919" t="s">
        <v>8309</v>
      </c>
      <c r="H2416" s="919" t="s">
        <v>4777</v>
      </c>
      <c r="I2416" s="919" t="s">
        <v>3679</v>
      </c>
      <c r="J2416" s="919"/>
      <c r="K2416" s="920"/>
      <c r="L2416" s="920"/>
      <c r="M2416" s="920">
        <f t="shared" si="74"/>
        <v>0</v>
      </c>
      <c r="N2416" s="919">
        <v>1</v>
      </c>
      <c r="O2416" s="919">
        <v>3</v>
      </c>
      <c r="P2416" s="921">
        <f t="shared" si="75"/>
        <v>6000</v>
      </c>
    </row>
    <row r="2417" spans="1:16" ht="20.100000000000001" customHeight="1" x14ac:dyDescent="0.25">
      <c r="A2417" s="918" t="s">
        <v>474</v>
      </c>
      <c r="B2417" s="944" t="s">
        <v>3901</v>
      </c>
      <c r="C2417" s="919" t="s">
        <v>3902</v>
      </c>
      <c r="D2417" s="919" t="s">
        <v>4812</v>
      </c>
      <c r="E2417" s="920">
        <v>2000</v>
      </c>
      <c r="F2417" s="919" t="s">
        <v>4041</v>
      </c>
      <c r="G2417" s="919" t="s">
        <v>4062</v>
      </c>
      <c r="H2417" s="919" t="s">
        <v>4812</v>
      </c>
      <c r="I2417" s="919" t="s">
        <v>3679</v>
      </c>
      <c r="J2417" s="919"/>
      <c r="K2417" s="920">
        <v>1</v>
      </c>
      <c r="L2417" s="920">
        <v>12</v>
      </c>
      <c r="M2417" s="920">
        <f t="shared" si="74"/>
        <v>24000</v>
      </c>
      <c r="N2417" s="919"/>
      <c r="O2417" s="919"/>
      <c r="P2417" s="921">
        <f t="shared" si="75"/>
        <v>0</v>
      </c>
    </row>
    <row r="2418" spans="1:16" ht="20.100000000000001" customHeight="1" x14ac:dyDescent="0.25">
      <c r="A2418" s="918" t="s">
        <v>474</v>
      </c>
      <c r="B2418" s="944" t="s">
        <v>3901</v>
      </c>
      <c r="C2418" s="919" t="s">
        <v>3902</v>
      </c>
      <c r="D2418" s="919" t="s">
        <v>4382</v>
      </c>
      <c r="E2418" s="920">
        <v>2500</v>
      </c>
      <c r="F2418" s="919" t="s">
        <v>8310</v>
      </c>
      <c r="G2418" s="919" t="s">
        <v>8311</v>
      </c>
      <c r="H2418" s="919" t="s">
        <v>4382</v>
      </c>
      <c r="I2418" s="919" t="s">
        <v>3679</v>
      </c>
      <c r="J2418" s="919"/>
      <c r="K2418" s="920"/>
      <c r="L2418" s="920"/>
      <c r="M2418" s="920">
        <f t="shared" si="74"/>
        <v>0</v>
      </c>
      <c r="N2418" s="919">
        <v>1</v>
      </c>
      <c r="O2418" s="919">
        <v>1</v>
      </c>
      <c r="P2418" s="921">
        <f t="shared" si="75"/>
        <v>2500</v>
      </c>
    </row>
    <row r="2419" spans="1:16" ht="20.100000000000001" customHeight="1" x14ac:dyDescent="0.25">
      <c r="A2419" s="918" t="s">
        <v>474</v>
      </c>
      <c r="B2419" s="944" t="s">
        <v>3901</v>
      </c>
      <c r="C2419" s="919" t="s">
        <v>3902</v>
      </c>
      <c r="D2419" s="919" t="s">
        <v>7795</v>
      </c>
      <c r="E2419" s="920">
        <v>2000</v>
      </c>
      <c r="F2419" s="919" t="s">
        <v>8312</v>
      </c>
      <c r="G2419" s="919" t="s">
        <v>8313</v>
      </c>
      <c r="H2419" s="919" t="s">
        <v>7795</v>
      </c>
      <c r="I2419" s="919" t="s">
        <v>3679</v>
      </c>
      <c r="J2419" s="919"/>
      <c r="K2419" s="920"/>
      <c r="L2419" s="920"/>
      <c r="M2419" s="920">
        <f t="shared" si="74"/>
        <v>0</v>
      </c>
      <c r="N2419" s="919">
        <v>1</v>
      </c>
      <c r="O2419" s="919">
        <v>3</v>
      </c>
      <c r="P2419" s="921">
        <f t="shared" si="75"/>
        <v>6000</v>
      </c>
    </row>
    <row r="2420" spans="1:16" ht="20.100000000000001" customHeight="1" x14ac:dyDescent="0.25">
      <c r="A2420" s="918" t="s">
        <v>474</v>
      </c>
      <c r="B2420" s="944" t="s">
        <v>3901</v>
      </c>
      <c r="C2420" s="919" t="s">
        <v>3902</v>
      </c>
      <c r="D2420" s="919" t="s">
        <v>4347</v>
      </c>
      <c r="E2420" s="920">
        <v>3000</v>
      </c>
      <c r="F2420" s="919" t="s">
        <v>8314</v>
      </c>
      <c r="G2420" s="919" t="s">
        <v>8315</v>
      </c>
      <c r="H2420" s="919" t="s">
        <v>4347</v>
      </c>
      <c r="I2420" s="919" t="s">
        <v>3679</v>
      </c>
      <c r="J2420" s="919"/>
      <c r="K2420" s="920"/>
      <c r="L2420" s="920"/>
      <c r="M2420" s="920">
        <f t="shared" si="74"/>
        <v>0</v>
      </c>
      <c r="N2420" s="919">
        <v>1</v>
      </c>
      <c r="O2420" s="919">
        <v>3</v>
      </c>
      <c r="P2420" s="921">
        <f t="shared" si="75"/>
        <v>9000</v>
      </c>
    </row>
    <row r="2421" spans="1:16" ht="20.100000000000001" customHeight="1" x14ac:dyDescent="0.25">
      <c r="A2421" s="918" t="s">
        <v>474</v>
      </c>
      <c r="B2421" s="944" t="s">
        <v>3901</v>
      </c>
      <c r="C2421" s="919" t="s">
        <v>3902</v>
      </c>
      <c r="D2421" s="919" t="s">
        <v>4820</v>
      </c>
      <c r="E2421" s="920">
        <v>2600</v>
      </c>
      <c r="F2421" s="919" t="s">
        <v>8316</v>
      </c>
      <c r="G2421" s="919" t="s">
        <v>8317</v>
      </c>
      <c r="H2421" s="919" t="s">
        <v>4820</v>
      </c>
      <c r="I2421" s="919" t="s">
        <v>3679</v>
      </c>
      <c r="J2421" s="919"/>
      <c r="K2421" s="920"/>
      <c r="L2421" s="920"/>
      <c r="M2421" s="920">
        <f t="shared" si="74"/>
        <v>0</v>
      </c>
      <c r="N2421" s="919">
        <v>1</v>
      </c>
      <c r="O2421" s="919">
        <v>3</v>
      </c>
      <c r="P2421" s="921">
        <f t="shared" si="75"/>
        <v>7800</v>
      </c>
    </row>
    <row r="2422" spans="1:16" ht="20.100000000000001" customHeight="1" x14ac:dyDescent="0.25">
      <c r="A2422" s="918" t="s">
        <v>474</v>
      </c>
      <c r="B2422" s="944" t="s">
        <v>3901</v>
      </c>
      <c r="C2422" s="919" t="s">
        <v>3902</v>
      </c>
      <c r="D2422" s="919" t="s">
        <v>4823</v>
      </c>
      <c r="E2422" s="920">
        <v>2600</v>
      </c>
      <c r="F2422" s="919" t="s">
        <v>8318</v>
      </c>
      <c r="G2422" s="919" t="s">
        <v>8319</v>
      </c>
      <c r="H2422" s="919" t="s">
        <v>4823</v>
      </c>
      <c r="I2422" s="919" t="s">
        <v>3679</v>
      </c>
      <c r="J2422" s="919"/>
      <c r="K2422" s="920"/>
      <c r="L2422" s="920"/>
      <c r="M2422" s="920">
        <f t="shared" si="74"/>
        <v>0</v>
      </c>
      <c r="N2422" s="919">
        <v>1</v>
      </c>
      <c r="O2422" s="919">
        <v>3</v>
      </c>
      <c r="P2422" s="921">
        <f t="shared" si="75"/>
        <v>7800</v>
      </c>
    </row>
    <row r="2423" spans="1:16" ht="20.100000000000001" customHeight="1" x14ac:dyDescent="0.25">
      <c r="A2423" s="918" t="s">
        <v>474</v>
      </c>
      <c r="B2423" s="944" t="s">
        <v>3901</v>
      </c>
      <c r="C2423" s="919" t="s">
        <v>3902</v>
      </c>
      <c r="D2423" s="919" t="s">
        <v>4823</v>
      </c>
      <c r="E2423" s="920">
        <v>2600</v>
      </c>
      <c r="F2423" s="919" t="s">
        <v>8320</v>
      </c>
      <c r="G2423" s="919" t="s">
        <v>8321</v>
      </c>
      <c r="H2423" s="919" t="s">
        <v>4823</v>
      </c>
      <c r="I2423" s="919" t="s">
        <v>3679</v>
      </c>
      <c r="J2423" s="919"/>
      <c r="K2423" s="920"/>
      <c r="L2423" s="920"/>
      <c r="M2423" s="920">
        <f t="shared" si="74"/>
        <v>0</v>
      </c>
      <c r="N2423" s="919">
        <v>1</v>
      </c>
      <c r="O2423" s="919">
        <v>3</v>
      </c>
      <c r="P2423" s="921">
        <f t="shared" si="75"/>
        <v>7800</v>
      </c>
    </row>
    <row r="2424" spans="1:16" ht="20.100000000000001" customHeight="1" x14ac:dyDescent="0.25">
      <c r="A2424" s="918" t="s">
        <v>474</v>
      </c>
      <c r="B2424" s="944" t="s">
        <v>3901</v>
      </c>
      <c r="C2424" s="919" t="s">
        <v>3902</v>
      </c>
      <c r="D2424" s="919" t="s">
        <v>4823</v>
      </c>
      <c r="E2424" s="920">
        <v>2600</v>
      </c>
      <c r="F2424" s="919" t="s">
        <v>8322</v>
      </c>
      <c r="G2424" s="919" t="s">
        <v>8323</v>
      </c>
      <c r="H2424" s="919" t="s">
        <v>4823</v>
      </c>
      <c r="I2424" s="919" t="s">
        <v>3679</v>
      </c>
      <c r="J2424" s="919"/>
      <c r="K2424" s="920"/>
      <c r="L2424" s="920"/>
      <c r="M2424" s="920">
        <f t="shared" si="74"/>
        <v>0</v>
      </c>
      <c r="N2424" s="919">
        <v>1</v>
      </c>
      <c r="O2424" s="919">
        <v>3</v>
      </c>
      <c r="P2424" s="921">
        <f t="shared" si="75"/>
        <v>7800</v>
      </c>
    </row>
    <row r="2425" spans="1:16" ht="20.100000000000001" customHeight="1" x14ac:dyDescent="0.25">
      <c r="A2425" s="918" t="s">
        <v>474</v>
      </c>
      <c r="B2425" s="944" t="s">
        <v>3901</v>
      </c>
      <c r="C2425" s="919" t="s">
        <v>3902</v>
      </c>
      <c r="D2425" s="919" t="s">
        <v>4823</v>
      </c>
      <c r="E2425" s="920">
        <v>2600</v>
      </c>
      <c r="F2425" s="919" t="s">
        <v>8324</v>
      </c>
      <c r="G2425" s="919" t="s">
        <v>8325</v>
      </c>
      <c r="H2425" s="919" t="s">
        <v>4823</v>
      </c>
      <c r="I2425" s="919" t="s">
        <v>3679</v>
      </c>
      <c r="J2425" s="919"/>
      <c r="K2425" s="920"/>
      <c r="L2425" s="920"/>
      <c r="M2425" s="920">
        <f t="shared" si="74"/>
        <v>0</v>
      </c>
      <c r="N2425" s="919">
        <v>1</v>
      </c>
      <c r="O2425" s="919">
        <v>3</v>
      </c>
      <c r="P2425" s="921">
        <f t="shared" si="75"/>
        <v>7800</v>
      </c>
    </row>
    <row r="2426" spans="1:16" ht="20.100000000000001" customHeight="1" x14ac:dyDescent="0.25">
      <c r="A2426" s="918" t="s">
        <v>474</v>
      </c>
      <c r="B2426" s="944" t="s">
        <v>3901</v>
      </c>
      <c r="C2426" s="919" t="s">
        <v>3902</v>
      </c>
      <c r="D2426" s="919" t="s">
        <v>4840</v>
      </c>
      <c r="E2426" s="920">
        <v>3700</v>
      </c>
      <c r="F2426" s="919" t="s">
        <v>8326</v>
      </c>
      <c r="G2426" s="919" t="s">
        <v>8327</v>
      </c>
      <c r="H2426" s="919" t="s">
        <v>4840</v>
      </c>
      <c r="I2426" s="919" t="s">
        <v>3679</v>
      </c>
      <c r="J2426" s="919"/>
      <c r="K2426" s="920"/>
      <c r="L2426" s="920"/>
      <c r="M2426" s="920">
        <f t="shared" si="74"/>
        <v>0</v>
      </c>
      <c r="N2426" s="919">
        <v>1</v>
      </c>
      <c r="O2426" s="919">
        <v>3</v>
      </c>
      <c r="P2426" s="921">
        <f t="shared" si="75"/>
        <v>11100</v>
      </c>
    </row>
    <row r="2427" spans="1:16" ht="20.100000000000001" customHeight="1" x14ac:dyDescent="0.25">
      <c r="A2427" s="918" t="s">
        <v>474</v>
      </c>
      <c r="B2427" s="944" t="s">
        <v>3901</v>
      </c>
      <c r="C2427" s="919" t="s">
        <v>3902</v>
      </c>
      <c r="D2427" s="919" t="s">
        <v>4840</v>
      </c>
      <c r="E2427" s="920">
        <v>3700</v>
      </c>
      <c r="F2427" s="919" t="s">
        <v>4041</v>
      </c>
      <c r="G2427" s="919" t="s">
        <v>4062</v>
      </c>
      <c r="H2427" s="919" t="s">
        <v>4840</v>
      </c>
      <c r="I2427" s="919" t="s">
        <v>3679</v>
      </c>
      <c r="J2427" s="919"/>
      <c r="K2427" s="920">
        <v>1</v>
      </c>
      <c r="L2427" s="920">
        <v>12</v>
      </c>
      <c r="M2427" s="920">
        <f t="shared" si="74"/>
        <v>44400</v>
      </c>
      <c r="N2427" s="919"/>
      <c r="O2427" s="919"/>
      <c r="P2427" s="921">
        <f t="shared" si="75"/>
        <v>0</v>
      </c>
    </row>
    <row r="2428" spans="1:16" ht="20.100000000000001" customHeight="1" x14ac:dyDescent="0.25">
      <c r="A2428" s="918" t="s">
        <v>474</v>
      </c>
      <c r="B2428" s="944" t="s">
        <v>3901</v>
      </c>
      <c r="C2428" s="919" t="s">
        <v>3902</v>
      </c>
      <c r="D2428" s="919" t="s">
        <v>4840</v>
      </c>
      <c r="E2428" s="920">
        <v>3700</v>
      </c>
      <c r="F2428" s="919" t="s">
        <v>8328</v>
      </c>
      <c r="G2428" s="919" t="s">
        <v>8329</v>
      </c>
      <c r="H2428" s="919" t="s">
        <v>4840</v>
      </c>
      <c r="I2428" s="919" t="s">
        <v>3679</v>
      </c>
      <c r="J2428" s="919"/>
      <c r="K2428" s="920"/>
      <c r="L2428" s="920"/>
      <c r="M2428" s="920">
        <f t="shared" si="74"/>
        <v>0</v>
      </c>
      <c r="N2428" s="919">
        <v>1</v>
      </c>
      <c r="O2428" s="919">
        <v>3</v>
      </c>
      <c r="P2428" s="921">
        <f t="shared" si="75"/>
        <v>11100</v>
      </c>
    </row>
    <row r="2429" spans="1:16" ht="20.100000000000001" customHeight="1" x14ac:dyDescent="0.25">
      <c r="A2429" s="918" t="s">
        <v>474</v>
      </c>
      <c r="B2429" s="944" t="s">
        <v>3901</v>
      </c>
      <c r="C2429" s="919" t="s">
        <v>3902</v>
      </c>
      <c r="D2429" s="919" t="s">
        <v>4851</v>
      </c>
      <c r="E2429" s="920">
        <v>3700</v>
      </c>
      <c r="F2429" s="919" t="s">
        <v>8330</v>
      </c>
      <c r="G2429" s="919" t="s">
        <v>8331</v>
      </c>
      <c r="H2429" s="919" t="s">
        <v>4851</v>
      </c>
      <c r="I2429" s="919" t="s">
        <v>3679</v>
      </c>
      <c r="J2429" s="919"/>
      <c r="K2429" s="920"/>
      <c r="L2429" s="920"/>
      <c r="M2429" s="920">
        <f t="shared" si="74"/>
        <v>0</v>
      </c>
      <c r="N2429" s="919">
        <v>1</v>
      </c>
      <c r="O2429" s="919">
        <v>3</v>
      </c>
      <c r="P2429" s="921">
        <f t="shared" si="75"/>
        <v>11100</v>
      </c>
    </row>
    <row r="2430" spans="1:16" ht="20.100000000000001" customHeight="1" x14ac:dyDescent="0.25">
      <c r="A2430" s="918" t="s">
        <v>474</v>
      </c>
      <c r="B2430" s="944" t="s">
        <v>3901</v>
      </c>
      <c r="C2430" s="919" t="s">
        <v>3902</v>
      </c>
      <c r="D2430" s="919" t="s">
        <v>4858</v>
      </c>
      <c r="E2430" s="920">
        <v>3700</v>
      </c>
      <c r="F2430" s="919" t="s">
        <v>8332</v>
      </c>
      <c r="G2430" s="919" t="s">
        <v>8333</v>
      </c>
      <c r="H2430" s="919" t="s">
        <v>4858</v>
      </c>
      <c r="I2430" s="919" t="s">
        <v>3679</v>
      </c>
      <c r="J2430" s="919"/>
      <c r="K2430" s="920"/>
      <c r="L2430" s="920"/>
      <c r="M2430" s="920">
        <f t="shared" si="74"/>
        <v>0</v>
      </c>
      <c r="N2430" s="919">
        <v>1</v>
      </c>
      <c r="O2430" s="919">
        <v>1</v>
      </c>
      <c r="P2430" s="921">
        <f t="shared" si="75"/>
        <v>3700</v>
      </c>
    </row>
    <row r="2431" spans="1:16" ht="20.100000000000001" customHeight="1" x14ac:dyDescent="0.25">
      <c r="A2431" s="918" t="s">
        <v>488</v>
      </c>
      <c r="B2431" s="944" t="s">
        <v>3901</v>
      </c>
      <c r="C2431" s="919" t="s">
        <v>3902</v>
      </c>
      <c r="D2431" s="919" t="s">
        <v>4109</v>
      </c>
      <c r="E2431" s="920">
        <v>1300</v>
      </c>
      <c r="F2431" s="919" t="s">
        <v>8334</v>
      </c>
      <c r="G2431" s="919" t="s">
        <v>8335</v>
      </c>
      <c r="H2431" s="919" t="s">
        <v>4109</v>
      </c>
      <c r="I2431" s="919" t="s">
        <v>3686</v>
      </c>
      <c r="J2431" s="919"/>
      <c r="K2431" s="920">
        <v>1</v>
      </c>
      <c r="L2431" s="920">
        <v>12</v>
      </c>
      <c r="M2431" s="920">
        <f t="shared" si="74"/>
        <v>15600</v>
      </c>
      <c r="N2431" s="919"/>
      <c r="O2431" s="919"/>
      <c r="P2431" s="921">
        <f t="shared" si="75"/>
        <v>0</v>
      </c>
    </row>
    <row r="2432" spans="1:16" ht="20.100000000000001" customHeight="1" x14ac:dyDescent="0.25">
      <c r="A2432" s="918" t="s">
        <v>488</v>
      </c>
      <c r="B2432" s="944" t="s">
        <v>3901</v>
      </c>
      <c r="C2432" s="919" t="s">
        <v>3902</v>
      </c>
      <c r="D2432" s="919" t="s">
        <v>6115</v>
      </c>
      <c r="E2432" s="920">
        <v>3000</v>
      </c>
      <c r="F2432" s="919" t="s">
        <v>8336</v>
      </c>
      <c r="G2432" s="919" t="s">
        <v>8337</v>
      </c>
      <c r="H2432" s="919" t="s">
        <v>6115</v>
      </c>
      <c r="I2432" s="919" t="s">
        <v>3679</v>
      </c>
      <c r="J2432" s="919"/>
      <c r="K2432" s="920">
        <v>1</v>
      </c>
      <c r="L2432" s="920">
        <v>12</v>
      </c>
      <c r="M2432" s="920">
        <f t="shared" si="74"/>
        <v>36000</v>
      </c>
      <c r="N2432" s="919"/>
      <c r="O2432" s="919"/>
      <c r="P2432" s="921">
        <f t="shared" si="75"/>
        <v>0</v>
      </c>
    </row>
    <row r="2433" spans="1:16" ht="20.100000000000001" customHeight="1" x14ac:dyDescent="0.25">
      <c r="A2433" s="918" t="s">
        <v>488</v>
      </c>
      <c r="B2433" s="944" t="s">
        <v>3901</v>
      </c>
      <c r="C2433" s="919" t="s">
        <v>3902</v>
      </c>
      <c r="D2433" s="919" t="s">
        <v>8338</v>
      </c>
      <c r="E2433" s="920">
        <v>1650</v>
      </c>
      <c r="F2433" s="919" t="s">
        <v>8339</v>
      </c>
      <c r="G2433" s="919" t="s">
        <v>8340</v>
      </c>
      <c r="H2433" s="919" t="s">
        <v>8338</v>
      </c>
      <c r="I2433" s="919" t="s">
        <v>3686</v>
      </c>
      <c r="J2433" s="919"/>
      <c r="K2433" s="920">
        <v>1</v>
      </c>
      <c r="L2433" s="920">
        <v>12</v>
      </c>
      <c r="M2433" s="920">
        <f t="shared" si="74"/>
        <v>19800</v>
      </c>
      <c r="N2433" s="919"/>
      <c r="O2433" s="919"/>
      <c r="P2433" s="921">
        <f t="shared" si="75"/>
        <v>0</v>
      </c>
    </row>
    <row r="2434" spans="1:16" ht="20.100000000000001" customHeight="1" x14ac:dyDescent="0.25">
      <c r="A2434" s="918" t="s">
        <v>488</v>
      </c>
      <c r="B2434" s="944" t="s">
        <v>3901</v>
      </c>
      <c r="C2434" s="919" t="s">
        <v>3902</v>
      </c>
      <c r="D2434" s="919" t="s">
        <v>8341</v>
      </c>
      <c r="E2434" s="920">
        <v>950</v>
      </c>
      <c r="F2434" s="919" t="s">
        <v>8342</v>
      </c>
      <c r="G2434" s="919" t="s">
        <v>8343</v>
      </c>
      <c r="H2434" s="919" t="s">
        <v>8341</v>
      </c>
      <c r="I2434" s="919" t="s">
        <v>3686</v>
      </c>
      <c r="J2434" s="919"/>
      <c r="K2434" s="920">
        <v>1</v>
      </c>
      <c r="L2434" s="920">
        <v>12</v>
      </c>
      <c r="M2434" s="920">
        <f t="shared" si="74"/>
        <v>11400</v>
      </c>
      <c r="N2434" s="919"/>
      <c r="O2434" s="919"/>
      <c r="P2434" s="921">
        <f t="shared" si="75"/>
        <v>0</v>
      </c>
    </row>
    <row r="2435" spans="1:16" ht="20.100000000000001" customHeight="1" x14ac:dyDescent="0.25">
      <c r="A2435" s="918" t="s">
        <v>488</v>
      </c>
      <c r="B2435" s="944" t="s">
        <v>3901</v>
      </c>
      <c r="C2435" s="919" t="s">
        <v>3902</v>
      </c>
      <c r="D2435" s="919" t="s">
        <v>8344</v>
      </c>
      <c r="E2435" s="920">
        <v>1250</v>
      </c>
      <c r="F2435" s="919" t="s">
        <v>8345</v>
      </c>
      <c r="G2435" s="919" t="s">
        <v>8346</v>
      </c>
      <c r="H2435" s="919" t="s">
        <v>8344</v>
      </c>
      <c r="I2435" s="919" t="s">
        <v>3686</v>
      </c>
      <c r="J2435" s="919"/>
      <c r="K2435" s="920">
        <v>1</v>
      </c>
      <c r="L2435" s="920">
        <v>12</v>
      </c>
      <c r="M2435" s="920">
        <f t="shared" si="74"/>
        <v>15000</v>
      </c>
      <c r="N2435" s="919"/>
      <c r="O2435" s="919"/>
      <c r="P2435" s="921">
        <f t="shared" si="75"/>
        <v>0</v>
      </c>
    </row>
    <row r="2436" spans="1:16" ht="20.100000000000001" customHeight="1" x14ac:dyDescent="0.25">
      <c r="A2436" s="918" t="s">
        <v>488</v>
      </c>
      <c r="B2436" s="944" t="s">
        <v>3901</v>
      </c>
      <c r="C2436" s="919" t="s">
        <v>3902</v>
      </c>
      <c r="D2436" s="919" t="s">
        <v>6130</v>
      </c>
      <c r="E2436" s="920">
        <v>1400</v>
      </c>
      <c r="F2436" s="919" t="s">
        <v>8347</v>
      </c>
      <c r="G2436" s="919" t="s">
        <v>8348</v>
      </c>
      <c r="H2436" s="919" t="s">
        <v>6130</v>
      </c>
      <c r="I2436" s="919" t="s">
        <v>3686</v>
      </c>
      <c r="J2436" s="919"/>
      <c r="K2436" s="920">
        <v>1</v>
      </c>
      <c r="L2436" s="920">
        <v>12</v>
      </c>
      <c r="M2436" s="920">
        <f t="shared" si="74"/>
        <v>16800</v>
      </c>
      <c r="N2436" s="919"/>
      <c r="O2436" s="919"/>
      <c r="P2436" s="921">
        <f t="shared" si="75"/>
        <v>0</v>
      </c>
    </row>
    <row r="2437" spans="1:16" ht="20.100000000000001" customHeight="1" x14ac:dyDescent="0.25">
      <c r="A2437" s="918" t="s">
        <v>488</v>
      </c>
      <c r="B2437" s="944" t="s">
        <v>3901</v>
      </c>
      <c r="C2437" s="919" t="s">
        <v>3902</v>
      </c>
      <c r="D2437" s="919" t="s">
        <v>8349</v>
      </c>
      <c r="E2437" s="920">
        <v>1650</v>
      </c>
      <c r="F2437" s="919" t="s">
        <v>8350</v>
      </c>
      <c r="G2437" s="919" t="s">
        <v>8351</v>
      </c>
      <c r="H2437" s="919" t="s">
        <v>8349</v>
      </c>
      <c r="I2437" s="919" t="s">
        <v>3679</v>
      </c>
      <c r="J2437" s="919"/>
      <c r="K2437" s="920">
        <v>1</v>
      </c>
      <c r="L2437" s="920">
        <v>12</v>
      </c>
      <c r="M2437" s="920">
        <f t="shared" si="74"/>
        <v>19800</v>
      </c>
      <c r="N2437" s="919"/>
      <c r="O2437" s="919"/>
      <c r="P2437" s="921">
        <f t="shared" si="75"/>
        <v>0</v>
      </c>
    </row>
    <row r="2438" spans="1:16" ht="20.100000000000001" customHeight="1" x14ac:dyDescent="0.25">
      <c r="A2438" s="918" t="s">
        <v>488</v>
      </c>
      <c r="B2438" s="944" t="s">
        <v>3901</v>
      </c>
      <c r="C2438" s="919" t="s">
        <v>3902</v>
      </c>
      <c r="D2438" s="919" t="s">
        <v>6071</v>
      </c>
      <c r="E2438" s="920">
        <v>1650</v>
      </c>
      <c r="F2438" s="919" t="s">
        <v>8352</v>
      </c>
      <c r="G2438" s="919" t="s">
        <v>8353</v>
      </c>
      <c r="H2438" s="919" t="s">
        <v>6071</v>
      </c>
      <c r="I2438" s="919" t="s">
        <v>3686</v>
      </c>
      <c r="J2438" s="919"/>
      <c r="K2438" s="920">
        <v>1</v>
      </c>
      <c r="L2438" s="920">
        <v>12</v>
      </c>
      <c r="M2438" s="920">
        <f t="shared" ref="M2438:M2501" si="76">E2438*L2438</f>
        <v>19800</v>
      </c>
      <c r="N2438" s="919"/>
      <c r="O2438" s="919"/>
      <c r="P2438" s="921">
        <f t="shared" ref="P2438:P2501" si="77">E2438*O2438</f>
        <v>0</v>
      </c>
    </row>
    <row r="2439" spans="1:16" ht="20.100000000000001" customHeight="1" x14ac:dyDescent="0.25">
      <c r="A2439" s="918" t="s">
        <v>488</v>
      </c>
      <c r="B2439" s="944" t="s">
        <v>3901</v>
      </c>
      <c r="C2439" s="919" t="s">
        <v>3902</v>
      </c>
      <c r="D2439" s="919" t="s">
        <v>8344</v>
      </c>
      <c r="E2439" s="920">
        <v>1400</v>
      </c>
      <c r="F2439" s="919" t="s">
        <v>8354</v>
      </c>
      <c r="G2439" s="919" t="s">
        <v>8355</v>
      </c>
      <c r="H2439" s="919" t="s">
        <v>8344</v>
      </c>
      <c r="I2439" s="919" t="s">
        <v>3686</v>
      </c>
      <c r="J2439" s="919"/>
      <c r="K2439" s="920">
        <v>1</v>
      </c>
      <c r="L2439" s="920">
        <v>12</v>
      </c>
      <c r="M2439" s="920">
        <f t="shared" si="76"/>
        <v>16800</v>
      </c>
      <c r="N2439" s="919"/>
      <c r="O2439" s="919"/>
      <c r="P2439" s="921">
        <f t="shared" si="77"/>
        <v>0</v>
      </c>
    </row>
    <row r="2440" spans="1:16" ht="20.100000000000001" customHeight="1" x14ac:dyDescent="0.25">
      <c r="A2440" s="918" t="s">
        <v>488</v>
      </c>
      <c r="B2440" s="944" t="s">
        <v>3901</v>
      </c>
      <c r="C2440" s="919" t="s">
        <v>3902</v>
      </c>
      <c r="D2440" s="919" t="s">
        <v>6130</v>
      </c>
      <c r="E2440" s="920">
        <v>1800</v>
      </c>
      <c r="F2440" s="919" t="s">
        <v>8356</v>
      </c>
      <c r="G2440" s="919" t="s">
        <v>8357</v>
      </c>
      <c r="H2440" s="919" t="s">
        <v>6130</v>
      </c>
      <c r="I2440" s="919" t="s">
        <v>3686</v>
      </c>
      <c r="J2440" s="919"/>
      <c r="K2440" s="920">
        <v>1</v>
      </c>
      <c r="L2440" s="920">
        <v>12</v>
      </c>
      <c r="M2440" s="920">
        <f t="shared" si="76"/>
        <v>21600</v>
      </c>
      <c r="N2440" s="919"/>
      <c r="O2440" s="919"/>
      <c r="P2440" s="921">
        <f t="shared" si="77"/>
        <v>0</v>
      </c>
    </row>
    <row r="2441" spans="1:16" ht="20.100000000000001" customHeight="1" x14ac:dyDescent="0.25">
      <c r="A2441" s="918" t="s">
        <v>488</v>
      </c>
      <c r="B2441" s="944" t="s">
        <v>3901</v>
      </c>
      <c r="C2441" s="919" t="s">
        <v>3902</v>
      </c>
      <c r="D2441" s="919" t="s">
        <v>8358</v>
      </c>
      <c r="E2441" s="920">
        <v>1650</v>
      </c>
      <c r="F2441" s="919" t="s">
        <v>8359</v>
      </c>
      <c r="G2441" s="919" t="s">
        <v>8360</v>
      </c>
      <c r="H2441" s="919" t="s">
        <v>8358</v>
      </c>
      <c r="I2441" s="919" t="s">
        <v>3679</v>
      </c>
      <c r="J2441" s="919"/>
      <c r="K2441" s="920">
        <v>1</v>
      </c>
      <c r="L2441" s="920">
        <v>12</v>
      </c>
      <c r="M2441" s="920">
        <f t="shared" si="76"/>
        <v>19800</v>
      </c>
      <c r="N2441" s="919"/>
      <c r="O2441" s="919"/>
      <c r="P2441" s="921">
        <f t="shared" si="77"/>
        <v>0</v>
      </c>
    </row>
    <row r="2442" spans="1:16" ht="20.100000000000001" customHeight="1" x14ac:dyDescent="0.25">
      <c r="A2442" s="918" t="s">
        <v>488</v>
      </c>
      <c r="B2442" s="944" t="s">
        <v>3901</v>
      </c>
      <c r="C2442" s="919" t="s">
        <v>3902</v>
      </c>
      <c r="D2442" s="919" t="s">
        <v>8361</v>
      </c>
      <c r="E2442" s="920">
        <v>950</v>
      </c>
      <c r="F2442" s="919" t="s">
        <v>8362</v>
      </c>
      <c r="G2442" s="919" t="s">
        <v>8363</v>
      </c>
      <c r="H2442" s="919" t="s">
        <v>8361</v>
      </c>
      <c r="I2442" s="919" t="s">
        <v>3686</v>
      </c>
      <c r="J2442" s="919"/>
      <c r="K2442" s="920">
        <v>1</v>
      </c>
      <c r="L2442" s="920">
        <v>12</v>
      </c>
      <c r="M2442" s="920">
        <f t="shared" si="76"/>
        <v>11400</v>
      </c>
      <c r="N2442" s="919"/>
      <c r="O2442" s="919"/>
      <c r="P2442" s="921">
        <f t="shared" si="77"/>
        <v>0</v>
      </c>
    </row>
    <row r="2443" spans="1:16" ht="20.100000000000001" customHeight="1" x14ac:dyDescent="0.25">
      <c r="A2443" s="918" t="s">
        <v>488</v>
      </c>
      <c r="B2443" s="944" t="s">
        <v>3901</v>
      </c>
      <c r="C2443" s="919" t="s">
        <v>3902</v>
      </c>
      <c r="D2443" s="919" t="s">
        <v>7145</v>
      </c>
      <c r="E2443" s="920">
        <v>1400</v>
      </c>
      <c r="F2443" s="919" t="s">
        <v>8364</v>
      </c>
      <c r="G2443" s="919" t="s">
        <v>8365</v>
      </c>
      <c r="H2443" s="919" t="s">
        <v>7145</v>
      </c>
      <c r="I2443" s="919" t="s">
        <v>3686</v>
      </c>
      <c r="J2443" s="919"/>
      <c r="K2443" s="920">
        <v>1</v>
      </c>
      <c r="L2443" s="920">
        <v>12</v>
      </c>
      <c r="M2443" s="920">
        <f t="shared" si="76"/>
        <v>16800</v>
      </c>
      <c r="N2443" s="919"/>
      <c r="O2443" s="919"/>
      <c r="P2443" s="921">
        <f t="shared" si="77"/>
        <v>0</v>
      </c>
    </row>
    <row r="2444" spans="1:16" ht="20.100000000000001" customHeight="1" x14ac:dyDescent="0.25">
      <c r="A2444" s="918" t="s">
        <v>488</v>
      </c>
      <c r="B2444" s="944" t="s">
        <v>3901</v>
      </c>
      <c r="C2444" s="919" t="s">
        <v>3902</v>
      </c>
      <c r="D2444" s="919" t="s">
        <v>8344</v>
      </c>
      <c r="E2444" s="920">
        <v>1500</v>
      </c>
      <c r="F2444" s="919" t="s">
        <v>8366</v>
      </c>
      <c r="G2444" s="919" t="s">
        <v>8367</v>
      </c>
      <c r="H2444" s="919" t="s">
        <v>8344</v>
      </c>
      <c r="I2444" s="919" t="s">
        <v>3686</v>
      </c>
      <c r="J2444" s="919"/>
      <c r="K2444" s="920">
        <v>1</v>
      </c>
      <c r="L2444" s="920">
        <v>12</v>
      </c>
      <c r="M2444" s="920">
        <f t="shared" si="76"/>
        <v>18000</v>
      </c>
      <c r="N2444" s="919"/>
      <c r="O2444" s="919"/>
      <c r="P2444" s="921">
        <f t="shared" si="77"/>
        <v>0</v>
      </c>
    </row>
    <row r="2445" spans="1:16" ht="20.100000000000001" customHeight="1" x14ac:dyDescent="0.25">
      <c r="A2445" s="918" t="s">
        <v>488</v>
      </c>
      <c r="B2445" s="944" t="s">
        <v>3901</v>
      </c>
      <c r="C2445" s="919" t="s">
        <v>3902</v>
      </c>
      <c r="D2445" s="919" t="s">
        <v>6115</v>
      </c>
      <c r="E2445" s="920">
        <v>2200</v>
      </c>
      <c r="F2445" s="919" t="s">
        <v>8368</v>
      </c>
      <c r="G2445" s="919" t="s">
        <v>8369</v>
      </c>
      <c r="H2445" s="919" t="s">
        <v>6115</v>
      </c>
      <c r="I2445" s="919" t="s">
        <v>3679</v>
      </c>
      <c r="J2445" s="919"/>
      <c r="K2445" s="920">
        <v>1</v>
      </c>
      <c r="L2445" s="920">
        <v>12</v>
      </c>
      <c r="M2445" s="920">
        <f t="shared" si="76"/>
        <v>26400</v>
      </c>
      <c r="N2445" s="919"/>
      <c r="O2445" s="919"/>
      <c r="P2445" s="921">
        <f t="shared" si="77"/>
        <v>0</v>
      </c>
    </row>
    <row r="2446" spans="1:16" ht="20.100000000000001" customHeight="1" x14ac:dyDescent="0.25">
      <c r="A2446" s="918" t="s">
        <v>488</v>
      </c>
      <c r="B2446" s="944" t="s">
        <v>3901</v>
      </c>
      <c r="C2446" s="919" t="s">
        <v>3902</v>
      </c>
      <c r="D2446" s="919" t="s">
        <v>8344</v>
      </c>
      <c r="E2446" s="920">
        <v>1300</v>
      </c>
      <c r="F2446" s="919" t="s">
        <v>8370</v>
      </c>
      <c r="G2446" s="919" t="s">
        <v>8371</v>
      </c>
      <c r="H2446" s="919" t="s">
        <v>8344</v>
      </c>
      <c r="I2446" s="919" t="s">
        <v>3686</v>
      </c>
      <c r="J2446" s="919"/>
      <c r="K2446" s="920">
        <v>1</v>
      </c>
      <c r="L2446" s="920">
        <v>12</v>
      </c>
      <c r="M2446" s="920">
        <f t="shared" si="76"/>
        <v>15600</v>
      </c>
      <c r="N2446" s="919"/>
      <c r="O2446" s="919"/>
      <c r="P2446" s="921">
        <f t="shared" si="77"/>
        <v>0</v>
      </c>
    </row>
    <row r="2447" spans="1:16" ht="20.100000000000001" customHeight="1" x14ac:dyDescent="0.25">
      <c r="A2447" s="918" t="s">
        <v>488</v>
      </c>
      <c r="B2447" s="944" t="s">
        <v>3901</v>
      </c>
      <c r="C2447" s="919" t="s">
        <v>3902</v>
      </c>
      <c r="D2447" s="919" t="s">
        <v>8344</v>
      </c>
      <c r="E2447" s="920">
        <v>1500</v>
      </c>
      <c r="F2447" s="919" t="s">
        <v>8372</v>
      </c>
      <c r="G2447" s="919" t="s">
        <v>8373</v>
      </c>
      <c r="H2447" s="919" t="s">
        <v>8344</v>
      </c>
      <c r="I2447" s="919" t="s">
        <v>3686</v>
      </c>
      <c r="J2447" s="919"/>
      <c r="K2447" s="920">
        <v>1</v>
      </c>
      <c r="L2447" s="920">
        <v>12</v>
      </c>
      <c r="M2447" s="920">
        <f t="shared" si="76"/>
        <v>18000</v>
      </c>
      <c r="N2447" s="919"/>
      <c r="O2447" s="919"/>
      <c r="P2447" s="921">
        <f t="shared" si="77"/>
        <v>0</v>
      </c>
    </row>
    <row r="2448" spans="1:16" ht="20.100000000000001" customHeight="1" x14ac:dyDescent="0.25">
      <c r="A2448" s="918" t="s">
        <v>488</v>
      </c>
      <c r="B2448" s="944" t="s">
        <v>3901</v>
      </c>
      <c r="C2448" s="919" t="s">
        <v>3902</v>
      </c>
      <c r="D2448" s="919" t="s">
        <v>6130</v>
      </c>
      <c r="E2448" s="920">
        <v>1500</v>
      </c>
      <c r="F2448" s="919" t="s">
        <v>8374</v>
      </c>
      <c r="G2448" s="919" t="s">
        <v>8375</v>
      </c>
      <c r="H2448" s="919" t="s">
        <v>6130</v>
      </c>
      <c r="I2448" s="919" t="s">
        <v>3686</v>
      </c>
      <c r="J2448" s="919"/>
      <c r="K2448" s="920">
        <v>1</v>
      </c>
      <c r="L2448" s="920">
        <v>12</v>
      </c>
      <c r="M2448" s="920">
        <f t="shared" si="76"/>
        <v>18000</v>
      </c>
      <c r="N2448" s="919"/>
      <c r="O2448" s="919"/>
      <c r="P2448" s="921">
        <f t="shared" si="77"/>
        <v>0</v>
      </c>
    </row>
    <row r="2449" spans="1:16" ht="20.100000000000001" customHeight="1" x14ac:dyDescent="0.25">
      <c r="A2449" s="918" t="s">
        <v>488</v>
      </c>
      <c r="B2449" s="944" t="s">
        <v>3901</v>
      </c>
      <c r="C2449" s="919" t="s">
        <v>3902</v>
      </c>
      <c r="D2449" s="919" t="s">
        <v>8344</v>
      </c>
      <c r="E2449" s="920">
        <v>1300</v>
      </c>
      <c r="F2449" s="919" t="s">
        <v>8376</v>
      </c>
      <c r="G2449" s="919" t="s">
        <v>8377</v>
      </c>
      <c r="H2449" s="919" t="s">
        <v>8344</v>
      </c>
      <c r="I2449" s="919" t="s">
        <v>3686</v>
      </c>
      <c r="J2449" s="919"/>
      <c r="K2449" s="920">
        <v>1</v>
      </c>
      <c r="L2449" s="920">
        <v>12</v>
      </c>
      <c r="M2449" s="920">
        <f t="shared" si="76"/>
        <v>15600</v>
      </c>
      <c r="N2449" s="919"/>
      <c r="O2449" s="919"/>
      <c r="P2449" s="921">
        <f t="shared" si="77"/>
        <v>0</v>
      </c>
    </row>
    <row r="2450" spans="1:16" ht="20.100000000000001" customHeight="1" x14ac:dyDescent="0.25">
      <c r="A2450" s="918" t="s">
        <v>488</v>
      </c>
      <c r="B2450" s="944" t="s">
        <v>3901</v>
      </c>
      <c r="C2450" s="919" t="s">
        <v>3902</v>
      </c>
      <c r="D2450" s="919" t="s">
        <v>8344</v>
      </c>
      <c r="E2450" s="920">
        <v>1250</v>
      </c>
      <c r="F2450" s="919" t="s">
        <v>8378</v>
      </c>
      <c r="G2450" s="919" t="s">
        <v>8379</v>
      </c>
      <c r="H2450" s="919" t="s">
        <v>8344</v>
      </c>
      <c r="I2450" s="919" t="s">
        <v>3686</v>
      </c>
      <c r="J2450" s="919"/>
      <c r="K2450" s="920">
        <v>1</v>
      </c>
      <c r="L2450" s="920">
        <v>12</v>
      </c>
      <c r="M2450" s="920">
        <f t="shared" si="76"/>
        <v>15000</v>
      </c>
      <c r="N2450" s="919"/>
      <c r="O2450" s="919"/>
      <c r="P2450" s="921">
        <f t="shared" si="77"/>
        <v>0</v>
      </c>
    </row>
    <row r="2451" spans="1:16" ht="20.100000000000001" customHeight="1" x14ac:dyDescent="0.25">
      <c r="A2451" s="918" t="s">
        <v>488</v>
      </c>
      <c r="B2451" s="944" t="s">
        <v>3901</v>
      </c>
      <c r="C2451" s="919" t="s">
        <v>3902</v>
      </c>
      <c r="D2451" s="919" t="s">
        <v>8344</v>
      </c>
      <c r="E2451" s="920">
        <v>1500</v>
      </c>
      <c r="F2451" s="919" t="s">
        <v>8380</v>
      </c>
      <c r="G2451" s="919" t="s">
        <v>8381</v>
      </c>
      <c r="H2451" s="919" t="s">
        <v>8344</v>
      </c>
      <c r="I2451" s="919" t="s">
        <v>3686</v>
      </c>
      <c r="J2451" s="919"/>
      <c r="K2451" s="920">
        <v>1</v>
      </c>
      <c r="L2451" s="920">
        <v>12</v>
      </c>
      <c r="M2451" s="920">
        <f t="shared" si="76"/>
        <v>18000</v>
      </c>
      <c r="N2451" s="919"/>
      <c r="O2451" s="919"/>
      <c r="P2451" s="921">
        <f t="shared" si="77"/>
        <v>0</v>
      </c>
    </row>
    <row r="2452" spans="1:16" ht="20.100000000000001" customHeight="1" x14ac:dyDescent="0.25">
      <c r="A2452" s="918" t="s">
        <v>488</v>
      </c>
      <c r="B2452" s="944" t="s">
        <v>3901</v>
      </c>
      <c r="C2452" s="919" t="s">
        <v>3902</v>
      </c>
      <c r="D2452" s="919" t="s">
        <v>6130</v>
      </c>
      <c r="E2452" s="920">
        <v>1400</v>
      </c>
      <c r="F2452" s="919" t="s">
        <v>4041</v>
      </c>
      <c r="G2452" s="919" t="s">
        <v>4042</v>
      </c>
      <c r="H2452" s="919" t="s">
        <v>6130</v>
      </c>
      <c r="I2452" s="919" t="s">
        <v>3686</v>
      </c>
      <c r="J2452" s="919"/>
      <c r="K2452" s="920">
        <v>1</v>
      </c>
      <c r="L2452" s="920">
        <v>12</v>
      </c>
      <c r="M2452" s="920">
        <f t="shared" si="76"/>
        <v>16800</v>
      </c>
      <c r="N2452" s="919"/>
      <c r="O2452" s="919"/>
      <c r="P2452" s="921">
        <f t="shared" si="77"/>
        <v>0</v>
      </c>
    </row>
    <row r="2453" spans="1:16" ht="20.100000000000001" customHeight="1" x14ac:dyDescent="0.25">
      <c r="A2453" s="918" t="s">
        <v>488</v>
      </c>
      <c r="B2453" s="944" t="s">
        <v>3901</v>
      </c>
      <c r="C2453" s="919" t="s">
        <v>3902</v>
      </c>
      <c r="D2453" s="919" t="s">
        <v>8344</v>
      </c>
      <c r="E2453" s="920">
        <v>1400</v>
      </c>
      <c r="F2453" s="919" t="s">
        <v>8382</v>
      </c>
      <c r="G2453" s="919" t="s">
        <v>8383</v>
      </c>
      <c r="H2453" s="919" t="s">
        <v>8344</v>
      </c>
      <c r="I2453" s="919" t="s">
        <v>3686</v>
      </c>
      <c r="J2453" s="919"/>
      <c r="K2453" s="920">
        <v>1</v>
      </c>
      <c r="L2453" s="920">
        <v>12</v>
      </c>
      <c r="M2453" s="920">
        <f t="shared" si="76"/>
        <v>16800</v>
      </c>
      <c r="N2453" s="919"/>
      <c r="O2453" s="919"/>
      <c r="P2453" s="921">
        <f t="shared" si="77"/>
        <v>0</v>
      </c>
    </row>
    <row r="2454" spans="1:16" ht="20.100000000000001" customHeight="1" x14ac:dyDescent="0.25">
      <c r="A2454" s="918" t="s">
        <v>488</v>
      </c>
      <c r="B2454" s="944" t="s">
        <v>3901</v>
      </c>
      <c r="C2454" s="919" t="s">
        <v>3902</v>
      </c>
      <c r="D2454" s="919" t="s">
        <v>8344</v>
      </c>
      <c r="E2454" s="920">
        <v>1400</v>
      </c>
      <c r="F2454" s="919" t="s">
        <v>8384</v>
      </c>
      <c r="G2454" s="919" t="s">
        <v>8385</v>
      </c>
      <c r="H2454" s="919" t="s">
        <v>8344</v>
      </c>
      <c r="I2454" s="919" t="s">
        <v>3686</v>
      </c>
      <c r="J2454" s="919"/>
      <c r="K2454" s="920">
        <v>1</v>
      </c>
      <c r="L2454" s="920">
        <v>12</v>
      </c>
      <c r="M2454" s="920">
        <f t="shared" si="76"/>
        <v>16800</v>
      </c>
      <c r="N2454" s="919"/>
      <c r="O2454" s="919"/>
      <c r="P2454" s="921">
        <f t="shared" si="77"/>
        <v>0</v>
      </c>
    </row>
    <row r="2455" spans="1:16" ht="20.100000000000001" customHeight="1" x14ac:dyDescent="0.25">
      <c r="A2455" s="918" t="s">
        <v>488</v>
      </c>
      <c r="B2455" s="944" t="s">
        <v>3901</v>
      </c>
      <c r="C2455" s="919" t="s">
        <v>3902</v>
      </c>
      <c r="D2455" s="919" t="s">
        <v>8344</v>
      </c>
      <c r="E2455" s="920">
        <v>1500</v>
      </c>
      <c r="F2455" s="919" t="s">
        <v>4041</v>
      </c>
      <c r="G2455" s="919" t="s">
        <v>4042</v>
      </c>
      <c r="H2455" s="919" t="s">
        <v>8344</v>
      </c>
      <c r="I2455" s="919" t="s">
        <v>3686</v>
      </c>
      <c r="J2455" s="919"/>
      <c r="K2455" s="920">
        <v>1</v>
      </c>
      <c r="L2455" s="920">
        <v>12</v>
      </c>
      <c r="M2455" s="920">
        <f t="shared" si="76"/>
        <v>18000</v>
      </c>
      <c r="N2455" s="919"/>
      <c r="O2455" s="919"/>
      <c r="P2455" s="921">
        <f t="shared" si="77"/>
        <v>0</v>
      </c>
    </row>
    <row r="2456" spans="1:16" ht="20.100000000000001" customHeight="1" x14ac:dyDescent="0.25">
      <c r="A2456" s="918" t="s">
        <v>488</v>
      </c>
      <c r="B2456" s="944" t="s">
        <v>3901</v>
      </c>
      <c r="C2456" s="919" t="s">
        <v>3902</v>
      </c>
      <c r="D2456" s="919" t="s">
        <v>8344</v>
      </c>
      <c r="E2456" s="920">
        <v>1320</v>
      </c>
      <c r="F2456" s="919" t="s">
        <v>8386</v>
      </c>
      <c r="G2456" s="919" t="s">
        <v>8387</v>
      </c>
      <c r="H2456" s="919" t="s">
        <v>8344</v>
      </c>
      <c r="I2456" s="919" t="s">
        <v>3686</v>
      </c>
      <c r="J2456" s="919"/>
      <c r="K2456" s="920">
        <v>1</v>
      </c>
      <c r="L2456" s="920">
        <v>12</v>
      </c>
      <c r="M2456" s="920">
        <f t="shared" si="76"/>
        <v>15840</v>
      </c>
      <c r="N2456" s="919"/>
      <c r="O2456" s="919"/>
      <c r="P2456" s="921">
        <f t="shared" si="77"/>
        <v>0</v>
      </c>
    </row>
    <row r="2457" spans="1:16" ht="20.100000000000001" customHeight="1" x14ac:dyDescent="0.25">
      <c r="A2457" s="918" t="s">
        <v>488</v>
      </c>
      <c r="B2457" s="944" t="s">
        <v>3901</v>
      </c>
      <c r="C2457" s="919" t="s">
        <v>3902</v>
      </c>
      <c r="D2457" s="919" t="s">
        <v>8341</v>
      </c>
      <c r="E2457" s="920">
        <v>950</v>
      </c>
      <c r="F2457" s="919" t="s">
        <v>8388</v>
      </c>
      <c r="G2457" s="919" t="s">
        <v>8389</v>
      </c>
      <c r="H2457" s="919" t="s">
        <v>8341</v>
      </c>
      <c r="I2457" s="919" t="s">
        <v>3686</v>
      </c>
      <c r="J2457" s="919"/>
      <c r="K2457" s="920">
        <v>1</v>
      </c>
      <c r="L2457" s="920">
        <v>12</v>
      </c>
      <c r="M2457" s="920">
        <f t="shared" si="76"/>
        <v>11400</v>
      </c>
      <c r="N2457" s="919"/>
      <c r="O2457" s="919"/>
      <c r="P2457" s="921">
        <f t="shared" si="77"/>
        <v>0</v>
      </c>
    </row>
    <row r="2458" spans="1:16" ht="20.100000000000001" customHeight="1" x14ac:dyDescent="0.25">
      <c r="A2458" s="918" t="s">
        <v>488</v>
      </c>
      <c r="B2458" s="944" t="s">
        <v>3901</v>
      </c>
      <c r="C2458" s="919" t="s">
        <v>3902</v>
      </c>
      <c r="D2458" s="919" t="s">
        <v>4462</v>
      </c>
      <c r="E2458" s="920">
        <v>1900</v>
      </c>
      <c r="F2458" s="919" t="s">
        <v>8390</v>
      </c>
      <c r="G2458" s="919" t="s">
        <v>8391</v>
      </c>
      <c r="H2458" s="919" t="s">
        <v>4462</v>
      </c>
      <c r="I2458" s="919" t="s">
        <v>3686</v>
      </c>
      <c r="J2458" s="919"/>
      <c r="K2458" s="920">
        <v>1</v>
      </c>
      <c r="L2458" s="920">
        <v>12</v>
      </c>
      <c r="M2458" s="920">
        <f t="shared" si="76"/>
        <v>22800</v>
      </c>
      <c r="N2458" s="919"/>
      <c r="O2458" s="919"/>
      <c r="P2458" s="921">
        <f t="shared" si="77"/>
        <v>0</v>
      </c>
    </row>
    <row r="2459" spans="1:16" ht="20.100000000000001" customHeight="1" x14ac:dyDescent="0.25">
      <c r="A2459" s="918" t="s">
        <v>488</v>
      </c>
      <c r="B2459" s="944" t="s">
        <v>3901</v>
      </c>
      <c r="C2459" s="919" t="s">
        <v>3902</v>
      </c>
      <c r="D2459" s="919" t="s">
        <v>6130</v>
      </c>
      <c r="E2459" s="920">
        <v>1500</v>
      </c>
      <c r="F2459" s="919" t="s">
        <v>8392</v>
      </c>
      <c r="G2459" s="919" t="s">
        <v>8393</v>
      </c>
      <c r="H2459" s="919" t="s">
        <v>6130</v>
      </c>
      <c r="I2459" s="919" t="s">
        <v>3686</v>
      </c>
      <c r="J2459" s="919"/>
      <c r="K2459" s="920">
        <v>1</v>
      </c>
      <c r="L2459" s="920">
        <v>12</v>
      </c>
      <c r="M2459" s="920">
        <f t="shared" si="76"/>
        <v>18000</v>
      </c>
      <c r="N2459" s="919"/>
      <c r="O2459" s="919"/>
      <c r="P2459" s="921">
        <f t="shared" si="77"/>
        <v>0</v>
      </c>
    </row>
    <row r="2460" spans="1:16" ht="20.100000000000001" customHeight="1" x14ac:dyDescent="0.25">
      <c r="A2460" s="918" t="s">
        <v>488</v>
      </c>
      <c r="B2460" s="944" t="s">
        <v>3901</v>
      </c>
      <c r="C2460" s="919" t="s">
        <v>3902</v>
      </c>
      <c r="D2460" s="919" t="s">
        <v>6130</v>
      </c>
      <c r="E2460" s="920">
        <v>1400</v>
      </c>
      <c r="F2460" s="919" t="s">
        <v>8394</v>
      </c>
      <c r="G2460" s="919" t="s">
        <v>8395</v>
      </c>
      <c r="H2460" s="919" t="s">
        <v>6130</v>
      </c>
      <c r="I2460" s="919" t="s">
        <v>3686</v>
      </c>
      <c r="J2460" s="919"/>
      <c r="K2460" s="920">
        <v>1</v>
      </c>
      <c r="L2460" s="920">
        <v>12</v>
      </c>
      <c r="M2460" s="920">
        <f t="shared" si="76"/>
        <v>16800</v>
      </c>
      <c r="N2460" s="919"/>
      <c r="O2460" s="919"/>
      <c r="P2460" s="921">
        <f t="shared" si="77"/>
        <v>0</v>
      </c>
    </row>
    <row r="2461" spans="1:16" ht="20.100000000000001" customHeight="1" x14ac:dyDescent="0.25">
      <c r="A2461" s="918" t="s">
        <v>488</v>
      </c>
      <c r="B2461" s="944" t="s">
        <v>3901</v>
      </c>
      <c r="C2461" s="919" t="s">
        <v>3902</v>
      </c>
      <c r="D2461" s="919" t="s">
        <v>4352</v>
      </c>
      <c r="E2461" s="920">
        <v>1700</v>
      </c>
      <c r="F2461" s="919" t="s">
        <v>8396</v>
      </c>
      <c r="G2461" s="919" t="s">
        <v>8397</v>
      </c>
      <c r="H2461" s="919" t="s">
        <v>4352</v>
      </c>
      <c r="I2461" s="919" t="s">
        <v>3724</v>
      </c>
      <c r="J2461" s="919"/>
      <c r="K2461" s="920">
        <v>1</v>
      </c>
      <c r="L2461" s="920">
        <v>12</v>
      </c>
      <c r="M2461" s="920">
        <f t="shared" si="76"/>
        <v>20400</v>
      </c>
      <c r="N2461" s="919"/>
      <c r="O2461" s="919"/>
      <c r="P2461" s="921">
        <f t="shared" si="77"/>
        <v>0</v>
      </c>
    </row>
    <row r="2462" spans="1:16" ht="20.100000000000001" customHeight="1" x14ac:dyDescent="0.25">
      <c r="A2462" s="918" t="s">
        <v>488</v>
      </c>
      <c r="B2462" s="944" t="s">
        <v>3901</v>
      </c>
      <c r="C2462" s="919" t="s">
        <v>3902</v>
      </c>
      <c r="D2462" s="919" t="s">
        <v>6130</v>
      </c>
      <c r="E2462" s="920">
        <v>1900</v>
      </c>
      <c r="F2462" s="919" t="s">
        <v>8398</v>
      </c>
      <c r="G2462" s="919" t="s">
        <v>8399</v>
      </c>
      <c r="H2462" s="919" t="s">
        <v>6130</v>
      </c>
      <c r="I2462" s="919" t="s">
        <v>3686</v>
      </c>
      <c r="J2462" s="919"/>
      <c r="K2462" s="920">
        <v>1</v>
      </c>
      <c r="L2462" s="920">
        <v>12</v>
      </c>
      <c r="M2462" s="920">
        <f t="shared" si="76"/>
        <v>22800</v>
      </c>
      <c r="N2462" s="919"/>
      <c r="O2462" s="919"/>
      <c r="P2462" s="921">
        <f t="shared" si="77"/>
        <v>0</v>
      </c>
    </row>
    <row r="2463" spans="1:16" ht="20.100000000000001" customHeight="1" x14ac:dyDescent="0.25">
      <c r="A2463" s="918" t="s">
        <v>488</v>
      </c>
      <c r="B2463" s="944" t="s">
        <v>3901</v>
      </c>
      <c r="C2463" s="919" t="s">
        <v>3902</v>
      </c>
      <c r="D2463" s="919" t="s">
        <v>4462</v>
      </c>
      <c r="E2463" s="920">
        <v>1400</v>
      </c>
      <c r="F2463" s="919" t="s">
        <v>8400</v>
      </c>
      <c r="G2463" s="919" t="s">
        <v>8401</v>
      </c>
      <c r="H2463" s="919" t="s">
        <v>4462</v>
      </c>
      <c r="I2463" s="919" t="s">
        <v>3686</v>
      </c>
      <c r="J2463" s="919"/>
      <c r="K2463" s="920">
        <v>1</v>
      </c>
      <c r="L2463" s="920">
        <v>12</v>
      </c>
      <c r="M2463" s="920">
        <f t="shared" si="76"/>
        <v>16800</v>
      </c>
      <c r="N2463" s="919"/>
      <c r="O2463" s="919"/>
      <c r="P2463" s="921">
        <f t="shared" si="77"/>
        <v>0</v>
      </c>
    </row>
    <row r="2464" spans="1:16" ht="20.100000000000001" customHeight="1" x14ac:dyDescent="0.25">
      <c r="A2464" s="918" t="s">
        <v>488</v>
      </c>
      <c r="B2464" s="944" t="s">
        <v>3901</v>
      </c>
      <c r="C2464" s="919" t="s">
        <v>3902</v>
      </c>
      <c r="D2464" s="919" t="s">
        <v>4462</v>
      </c>
      <c r="E2464" s="920">
        <v>1500</v>
      </c>
      <c r="F2464" s="919" t="s">
        <v>8402</v>
      </c>
      <c r="G2464" s="919" t="s">
        <v>8403</v>
      </c>
      <c r="H2464" s="919" t="s">
        <v>4462</v>
      </c>
      <c r="I2464" s="919" t="s">
        <v>3686</v>
      </c>
      <c r="J2464" s="919"/>
      <c r="K2464" s="920">
        <v>1</v>
      </c>
      <c r="L2464" s="920">
        <v>12</v>
      </c>
      <c r="M2464" s="920">
        <f t="shared" si="76"/>
        <v>18000</v>
      </c>
      <c r="N2464" s="919"/>
      <c r="O2464" s="919"/>
      <c r="P2464" s="921">
        <f t="shared" si="77"/>
        <v>0</v>
      </c>
    </row>
    <row r="2465" spans="1:16" ht="20.100000000000001" customHeight="1" x14ac:dyDescent="0.25">
      <c r="A2465" s="918" t="s">
        <v>488</v>
      </c>
      <c r="B2465" s="944" t="s">
        <v>3901</v>
      </c>
      <c r="C2465" s="919" t="s">
        <v>3902</v>
      </c>
      <c r="D2465" s="919" t="s">
        <v>6130</v>
      </c>
      <c r="E2465" s="920">
        <v>1800</v>
      </c>
      <c r="F2465" s="919" t="s">
        <v>8404</v>
      </c>
      <c r="G2465" s="919" t="s">
        <v>8405</v>
      </c>
      <c r="H2465" s="919" t="s">
        <v>6130</v>
      </c>
      <c r="I2465" s="919" t="s">
        <v>3686</v>
      </c>
      <c r="J2465" s="919"/>
      <c r="K2465" s="920">
        <v>1</v>
      </c>
      <c r="L2465" s="920">
        <v>12</v>
      </c>
      <c r="M2465" s="920">
        <f t="shared" si="76"/>
        <v>21600</v>
      </c>
      <c r="N2465" s="919"/>
      <c r="O2465" s="919"/>
      <c r="P2465" s="921">
        <f t="shared" si="77"/>
        <v>0</v>
      </c>
    </row>
    <row r="2466" spans="1:16" ht="20.100000000000001" customHeight="1" x14ac:dyDescent="0.25">
      <c r="A2466" s="918" t="s">
        <v>488</v>
      </c>
      <c r="B2466" s="944" t="s">
        <v>3901</v>
      </c>
      <c r="C2466" s="919" t="s">
        <v>3902</v>
      </c>
      <c r="D2466" s="919" t="s">
        <v>6130</v>
      </c>
      <c r="E2466" s="920">
        <v>1320</v>
      </c>
      <c r="F2466" s="919" t="s">
        <v>8406</v>
      </c>
      <c r="G2466" s="919" t="s">
        <v>8407</v>
      </c>
      <c r="H2466" s="919" t="s">
        <v>6130</v>
      </c>
      <c r="I2466" s="919" t="s">
        <v>3686</v>
      </c>
      <c r="J2466" s="919"/>
      <c r="K2466" s="920">
        <v>1</v>
      </c>
      <c r="L2466" s="920">
        <v>12</v>
      </c>
      <c r="M2466" s="920">
        <f t="shared" si="76"/>
        <v>15840</v>
      </c>
      <c r="N2466" s="919"/>
      <c r="O2466" s="919"/>
      <c r="P2466" s="921">
        <f t="shared" si="77"/>
        <v>0</v>
      </c>
    </row>
    <row r="2467" spans="1:16" ht="20.100000000000001" customHeight="1" x14ac:dyDescent="0.25">
      <c r="A2467" s="918" t="s">
        <v>488</v>
      </c>
      <c r="B2467" s="944" t="s">
        <v>3901</v>
      </c>
      <c r="C2467" s="919" t="s">
        <v>3902</v>
      </c>
      <c r="D2467" s="919" t="s">
        <v>8341</v>
      </c>
      <c r="E2467" s="920">
        <v>950</v>
      </c>
      <c r="F2467" s="919" t="s">
        <v>8408</v>
      </c>
      <c r="G2467" s="919" t="s">
        <v>8409</v>
      </c>
      <c r="H2467" s="919" t="s">
        <v>8341</v>
      </c>
      <c r="I2467" s="919" t="s">
        <v>3686</v>
      </c>
      <c r="J2467" s="919"/>
      <c r="K2467" s="920">
        <v>1</v>
      </c>
      <c r="L2467" s="920">
        <v>12</v>
      </c>
      <c r="M2467" s="920">
        <f t="shared" si="76"/>
        <v>11400</v>
      </c>
      <c r="N2467" s="919"/>
      <c r="O2467" s="919"/>
      <c r="P2467" s="921">
        <f t="shared" si="77"/>
        <v>0</v>
      </c>
    </row>
    <row r="2468" spans="1:16" ht="20.100000000000001" customHeight="1" x14ac:dyDescent="0.25">
      <c r="A2468" s="918" t="s">
        <v>488</v>
      </c>
      <c r="B2468" s="944" t="s">
        <v>3901</v>
      </c>
      <c r="C2468" s="919" t="s">
        <v>3902</v>
      </c>
      <c r="D2468" s="919" t="s">
        <v>8344</v>
      </c>
      <c r="E2468" s="920">
        <v>1650</v>
      </c>
      <c r="F2468" s="919" t="s">
        <v>8410</v>
      </c>
      <c r="G2468" s="919" t="s">
        <v>8411</v>
      </c>
      <c r="H2468" s="919" t="s">
        <v>8344</v>
      </c>
      <c r="I2468" s="919" t="s">
        <v>3686</v>
      </c>
      <c r="J2468" s="919"/>
      <c r="K2468" s="920">
        <v>1</v>
      </c>
      <c r="L2468" s="920">
        <v>12</v>
      </c>
      <c r="M2468" s="920">
        <f t="shared" si="76"/>
        <v>19800</v>
      </c>
      <c r="N2468" s="919"/>
      <c r="O2468" s="919"/>
      <c r="P2468" s="921">
        <f t="shared" si="77"/>
        <v>0</v>
      </c>
    </row>
    <row r="2469" spans="1:16" ht="20.100000000000001" customHeight="1" x14ac:dyDescent="0.25">
      <c r="A2469" s="918" t="s">
        <v>488</v>
      </c>
      <c r="B2469" s="944" t="s">
        <v>3901</v>
      </c>
      <c r="C2469" s="919" t="s">
        <v>3902</v>
      </c>
      <c r="D2469" s="919" t="s">
        <v>8344</v>
      </c>
      <c r="E2469" s="920">
        <v>1400</v>
      </c>
      <c r="F2469" s="919" t="s">
        <v>8412</v>
      </c>
      <c r="G2469" s="919" t="s">
        <v>8413</v>
      </c>
      <c r="H2469" s="919" t="s">
        <v>8344</v>
      </c>
      <c r="I2469" s="919" t="s">
        <v>3686</v>
      </c>
      <c r="J2469" s="919"/>
      <c r="K2469" s="920">
        <v>1</v>
      </c>
      <c r="L2469" s="920">
        <v>12</v>
      </c>
      <c r="M2469" s="920">
        <f t="shared" si="76"/>
        <v>16800</v>
      </c>
      <c r="N2469" s="919"/>
      <c r="O2469" s="919"/>
      <c r="P2469" s="921">
        <f t="shared" si="77"/>
        <v>0</v>
      </c>
    </row>
    <row r="2470" spans="1:16" ht="20.100000000000001" customHeight="1" x14ac:dyDescent="0.25">
      <c r="A2470" s="918" t="s">
        <v>488</v>
      </c>
      <c r="B2470" s="944" t="s">
        <v>3901</v>
      </c>
      <c r="C2470" s="919" t="s">
        <v>3902</v>
      </c>
      <c r="D2470" s="919" t="s">
        <v>4006</v>
      </c>
      <c r="E2470" s="920">
        <v>1250</v>
      </c>
      <c r="F2470" s="919" t="s">
        <v>8414</v>
      </c>
      <c r="G2470" s="919" t="s">
        <v>8415</v>
      </c>
      <c r="H2470" s="919" t="s">
        <v>4006</v>
      </c>
      <c r="I2470" s="919" t="s">
        <v>3686</v>
      </c>
      <c r="J2470" s="919"/>
      <c r="K2470" s="920">
        <v>1</v>
      </c>
      <c r="L2470" s="920">
        <v>12</v>
      </c>
      <c r="M2470" s="920">
        <f t="shared" si="76"/>
        <v>15000</v>
      </c>
      <c r="N2470" s="919"/>
      <c r="O2470" s="919"/>
      <c r="P2470" s="921">
        <f t="shared" si="77"/>
        <v>0</v>
      </c>
    </row>
    <row r="2471" spans="1:16" ht="20.100000000000001" customHeight="1" x14ac:dyDescent="0.25">
      <c r="A2471" s="918" t="s">
        <v>488</v>
      </c>
      <c r="B2471" s="944" t="s">
        <v>3901</v>
      </c>
      <c r="C2471" s="919" t="s">
        <v>3902</v>
      </c>
      <c r="D2471" s="919" t="s">
        <v>8344</v>
      </c>
      <c r="E2471" s="920">
        <v>1400</v>
      </c>
      <c r="F2471" s="919" t="s">
        <v>8416</v>
      </c>
      <c r="G2471" s="919" t="s">
        <v>8417</v>
      </c>
      <c r="H2471" s="919" t="s">
        <v>8344</v>
      </c>
      <c r="I2471" s="919" t="s">
        <v>3686</v>
      </c>
      <c r="J2471" s="919"/>
      <c r="K2471" s="920">
        <v>1</v>
      </c>
      <c r="L2471" s="920">
        <v>12</v>
      </c>
      <c r="M2471" s="920">
        <f t="shared" si="76"/>
        <v>16800</v>
      </c>
      <c r="N2471" s="919"/>
      <c r="O2471" s="919"/>
      <c r="P2471" s="921">
        <f t="shared" si="77"/>
        <v>0</v>
      </c>
    </row>
    <row r="2472" spans="1:16" ht="20.100000000000001" customHeight="1" x14ac:dyDescent="0.25">
      <c r="A2472" s="918" t="s">
        <v>488</v>
      </c>
      <c r="B2472" s="944" t="s">
        <v>3901</v>
      </c>
      <c r="C2472" s="919" t="s">
        <v>3902</v>
      </c>
      <c r="D2472" s="919" t="s">
        <v>8344</v>
      </c>
      <c r="E2472" s="920">
        <v>1600</v>
      </c>
      <c r="F2472" s="919" t="s">
        <v>8418</v>
      </c>
      <c r="G2472" s="919" t="s">
        <v>8419</v>
      </c>
      <c r="H2472" s="919" t="s">
        <v>8344</v>
      </c>
      <c r="I2472" s="919" t="s">
        <v>3686</v>
      </c>
      <c r="J2472" s="919"/>
      <c r="K2472" s="920">
        <v>1</v>
      </c>
      <c r="L2472" s="920">
        <v>12</v>
      </c>
      <c r="M2472" s="920">
        <f t="shared" si="76"/>
        <v>19200</v>
      </c>
      <c r="N2472" s="919"/>
      <c r="O2472" s="919"/>
      <c r="P2472" s="921">
        <f t="shared" si="77"/>
        <v>0</v>
      </c>
    </row>
    <row r="2473" spans="1:16" ht="20.100000000000001" customHeight="1" x14ac:dyDescent="0.25">
      <c r="A2473" s="918" t="s">
        <v>488</v>
      </c>
      <c r="B2473" s="944" t="s">
        <v>3901</v>
      </c>
      <c r="C2473" s="919" t="s">
        <v>3902</v>
      </c>
      <c r="D2473" s="919" t="s">
        <v>8344</v>
      </c>
      <c r="E2473" s="920">
        <v>1250</v>
      </c>
      <c r="F2473" s="919" t="s">
        <v>8420</v>
      </c>
      <c r="G2473" s="919" t="s">
        <v>8421</v>
      </c>
      <c r="H2473" s="919" t="s">
        <v>8344</v>
      </c>
      <c r="I2473" s="919" t="s">
        <v>3686</v>
      </c>
      <c r="J2473" s="919"/>
      <c r="K2473" s="920">
        <v>1</v>
      </c>
      <c r="L2473" s="920">
        <v>12</v>
      </c>
      <c r="M2473" s="920">
        <f t="shared" si="76"/>
        <v>15000</v>
      </c>
      <c r="N2473" s="919"/>
      <c r="O2473" s="919"/>
      <c r="P2473" s="921">
        <f t="shared" si="77"/>
        <v>0</v>
      </c>
    </row>
    <row r="2474" spans="1:16" ht="20.100000000000001" customHeight="1" x14ac:dyDescent="0.25">
      <c r="A2474" s="918" t="s">
        <v>488</v>
      </c>
      <c r="B2474" s="944" t="s">
        <v>3901</v>
      </c>
      <c r="C2474" s="919" t="s">
        <v>3902</v>
      </c>
      <c r="D2474" s="919" t="s">
        <v>8344</v>
      </c>
      <c r="E2474" s="920">
        <v>1250</v>
      </c>
      <c r="F2474" s="919" t="s">
        <v>8422</v>
      </c>
      <c r="G2474" s="919" t="s">
        <v>8423</v>
      </c>
      <c r="H2474" s="919" t="s">
        <v>8344</v>
      </c>
      <c r="I2474" s="919" t="s">
        <v>3686</v>
      </c>
      <c r="J2474" s="919"/>
      <c r="K2474" s="920">
        <v>1</v>
      </c>
      <c r="L2474" s="920">
        <v>12</v>
      </c>
      <c r="M2474" s="920">
        <f t="shared" si="76"/>
        <v>15000</v>
      </c>
      <c r="N2474" s="919"/>
      <c r="O2474" s="919"/>
      <c r="P2474" s="921">
        <f t="shared" si="77"/>
        <v>0</v>
      </c>
    </row>
    <row r="2475" spans="1:16" ht="20.100000000000001" customHeight="1" x14ac:dyDescent="0.25">
      <c r="A2475" s="918" t="s">
        <v>488</v>
      </c>
      <c r="B2475" s="944" t="s">
        <v>3901</v>
      </c>
      <c r="C2475" s="919" t="s">
        <v>3902</v>
      </c>
      <c r="D2475" s="919" t="s">
        <v>4006</v>
      </c>
      <c r="E2475" s="920">
        <v>1300</v>
      </c>
      <c r="F2475" s="919" t="s">
        <v>8424</v>
      </c>
      <c r="G2475" s="919" t="s">
        <v>8425</v>
      </c>
      <c r="H2475" s="919" t="s">
        <v>4006</v>
      </c>
      <c r="I2475" s="919" t="s">
        <v>3686</v>
      </c>
      <c r="J2475" s="919"/>
      <c r="K2475" s="920">
        <v>1</v>
      </c>
      <c r="L2475" s="920">
        <v>12</v>
      </c>
      <c r="M2475" s="920">
        <f t="shared" si="76"/>
        <v>15600</v>
      </c>
      <c r="N2475" s="919"/>
      <c r="O2475" s="919"/>
      <c r="P2475" s="921">
        <f t="shared" si="77"/>
        <v>0</v>
      </c>
    </row>
    <row r="2476" spans="1:16" ht="20.100000000000001" customHeight="1" x14ac:dyDescent="0.25">
      <c r="A2476" s="918" t="s">
        <v>488</v>
      </c>
      <c r="B2476" s="944" t="s">
        <v>3901</v>
      </c>
      <c r="C2476" s="919" t="s">
        <v>3902</v>
      </c>
      <c r="D2476" s="919" t="s">
        <v>3999</v>
      </c>
      <c r="E2476" s="920">
        <v>1900</v>
      </c>
      <c r="F2476" s="919" t="s">
        <v>8426</v>
      </c>
      <c r="G2476" s="919" t="s">
        <v>8427</v>
      </c>
      <c r="H2476" s="919" t="s">
        <v>3999</v>
      </c>
      <c r="I2476" s="919" t="s">
        <v>3724</v>
      </c>
      <c r="J2476" s="919"/>
      <c r="K2476" s="920">
        <v>1</v>
      </c>
      <c r="L2476" s="920">
        <v>12</v>
      </c>
      <c r="M2476" s="920">
        <f t="shared" si="76"/>
        <v>22800</v>
      </c>
      <c r="N2476" s="919"/>
      <c r="O2476" s="919"/>
      <c r="P2476" s="921">
        <f t="shared" si="77"/>
        <v>0</v>
      </c>
    </row>
    <row r="2477" spans="1:16" ht="20.100000000000001" customHeight="1" x14ac:dyDescent="0.25">
      <c r="A2477" s="918" t="s">
        <v>488</v>
      </c>
      <c r="B2477" s="944" t="s">
        <v>3901</v>
      </c>
      <c r="C2477" s="919" t="s">
        <v>3902</v>
      </c>
      <c r="D2477" s="919" t="s">
        <v>8344</v>
      </c>
      <c r="E2477" s="920">
        <v>1500</v>
      </c>
      <c r="F2477" s="919" t="s">
        <v>4041</v>
      </c>
      <c r="G2477" s="919" t="s">
        <v>4042</v>
      </c>
      <c r="H2477" s="919" t="s">
        <v>8344</v>
      </c>
      <c r="I2477" s="919" t="s">
        <v>3686</v>
      </c>
      <c r="J2477" s="919"/>
      <c r="K2477" s="920">
        <v>1</v>
      </c>
      <c r="L2477" s="920">
        <v>12</v>
      </c>
      <c r="M2477" s="920">
        <f t="shared" si="76"/>
        <v>18000</v>
      </c>
      <c r="N2477" s="919"/>
      <c r="O2477" s="919"/>
      <c r="P2477" s="921">
        <f t="shared" si="77"/>
        <v>0</v>
      </c>
    </row>
    <row r="2478" spans="1:16" ht="20.100000000000001" customHeight="1" x14ac:dyDescent="0.25">
      <c r="A2478" s="918" t="s">
        <v>488</v>
      </c>
      <c r="B2478" s="944" t="s">
        <v>3901</v>
      </c>
      <c r="C2478" s="919" t="s">
        <v>3902</v>
      </c>
      <c r="D2478" s="919" t="s">
        <v>8344</v>
      </c>
      <c r="E2478" s="920">
        <v>1250</v>
      </c>
      <c r="F2478" s="919" t="s">
        <v>8428</v>
      </c>
      <c r="G2478" s="919" t="s">
        <v>8429</v>
      </c>
      <c r="H2478" s="919" t="s">
        <v>8344</v>
      </c>
      <c r="I2478" s="919" t="s">
        <v>3686</v>
      </c>
      <c r="J2478" s="919"/>
      <c r="K2478" s="920">
        <v>1</v>
      </c>
      <c r="L2478" s="920">
        <v>12</v>
      </c>
      <c r="M2478" s="920">
        <f t="shared" si="76"/>
        <v>15000</v>
      </c>
      <c r="N2478" s="919"/>
      <c r="O2478" s="919"/>
      <c r="P2478" s="921">
        <f t="shared" si="77"/>
        <v>0</v>
      </c>
    </row>
    <row r="2479" spans="1:16" ht="20.100000000000001" customHeight="1" x14ac:dyDescent="0.25">
      <c r="A2479" s="918" t="s">
        <v>488</v>
      </c>
      <c r="B2479" s="944" t="s">
        <v>3901</v>
      </c>
      <c r="C2479" s="919" t="s">
        <v>3902</v>
      </c>
      <c r="D2479" s="919" t="s">
        <v>6130</v>
      </c>
      <c r="E2479" s="920">
        <v>1400</v>
      </c>
      <c r="F2479" s="919" t="s">
        <v>8430</v>
      </c>
      <c r="G2479" s="919" t="s">
        <v>8431</v>
      </c>
      <c r="H2479" s="919" t="s">
        <v>6130</v>
      </c>
      <c r="I2479" s="919" t="s">
        <v>3686</v>
      </c>
      <c r="J2479" s="919"/>
      <c r="K2479" s="920">
        <v>1</v>
      </c>
      <c r="L2479" s="920">
        <v>12</v>
      </c>
      <c r="M2479" s="920">
        <f t="shared" si="76"/>
        <v>16800</v>
      </c>
      <c r="N2479" s="919"/>
      <c r="O2479" s="919"/>
      <c r="P2479" s="921">
        <f t="shared" si="77"/>
        <v>0</v>
      </c>
    </row>
    <row r="2480" spans="1:16" ht="20.100000000000001" customHeight="1" x14ac:dyDescent="0.25">
      <c r="A2480" s="918" t="s">
        <v>488</v>
      </c>
      <c r="B2480" s="944" t="s">
        <v>3901</v>
      </c>
      <c r="C2480" s="919" t="s">
        <v>3902</v>
      </c>
      <c r="D2480" s="919" t="s">
        <v>3999</v>
      </c>
      <c r="E2480" s="920">
        <v>1900</v>
      </c>
      <c r="F2480" s="919" t="s">
        <v>8432</v>
      </c>
      <c r="G2480" s="919" t="s">
        <v>8433</v>
      </c>
      <c r="H2480" s="919" t="s">
        <v>3999</v>
      </c>
      <c r="I2480" s="919" t="s">
        <v>3724</v>
      </c>
      <c r="J2480" s="919"/>
      <c r="K2480" s="920">
        <v>1</v>
      </c>
      <c r="L2480" s="920">
        <v>12</v>
      </c>
      <c r="M2480" s="920">
        <f t="shared" si="76"/>
        <v>22800</v>
      </c>
      <c r="N2480" s="919"/>
      <c r="O2480" s="919"/>
      <c r="P2480" s="921">
        <f t="shared" si="77"/>
        <v>0</v>
      </c>
    </row>
    <row r="2481" spans="1:16" ht="20.100000000000001" customHeight="1" x14ac:dyDescent="0.25">
      <c r="A2481" s="918" t="s">
        <v>488</v>
      </c>
      <c r="B2481" s="944" t="s">
        <v>3901</v>
      </c>
      <c r="C2481" s="919" t="s">
        <v>3902</v>
      </c>
      <c r="D2481" s="919" t="s">
        <v>4462</v>
      </c>
      <c r="E2481" s="920">
        <v>1800</v>
      </c>
      <c r="F2481" s="919" t="s">
        <v>8434</v>
      </c>
      <c r="G2481" s="919" t="s">
        <v>8435</v>
      </c>
      <c r="H2481" s="919" t="s">
        <v>4462</v>
      </c>
      <c r="I2481" s="919" t="s">
        <v>3686</v>
      </c>
      <c r="J2481" s="919"/>
      <c r="K2481" s="920">
        <v>1</v>
      </c>
      <c r="L2481" s="920">
        <v>12</v>
      </c>
      <c r="M2481" s="920">
        <f t="shared" si="76"/>
        <v>21600</v>
      </c>
      <c r="N2481" s="919"/>
      <c r="O2481" s="919"/>
      <c r="P2481" s="921">
        <f t="shared" si="77"/>
        <v>0</v>
      </c>
    </row>
    <row r="2482" spans="1:16" ht="20.100000000000001" customHeight="1" x14ac:dyDescent="0.25">
      <c r="A2482" s="918" t="s">
        <v>488</v>
      </c>
      <c r="B2482" s="944" t="s">
        <v>3901</v>
      </c>
      <c r="C2482" s="919" t="s">
        <v>3902</v>
      </c>
      <c r="D2482" s="919" t="s">
        <v>3999</v>
      </c>
      <c r="E2482" s="920">
        <v>2100</v>
      </c>
      <c r="F2482" s="919" t="s">
        <v>8436</v>
      </c>
      <c r="G2482" s="919" t="s">
        <v>8437</v>
      </c>
      <c r="H2482" s="919" t="s">
        <v>3999</v>
      </c>
      <c r="I2482" s="919" t="s">
        <v>3724</v>
      </c>
      <c r="J2482" s="919"/>
      <c r="K2482" s="920">
        <v>1</v>
      </c>
      <c r="L2482" s="920">
        <v>12</v>
      </c>
      <c r="M2482" s="920">
        <f t="shared" si="76"/>
        <v>25200</v>
      </c>
      <c r="N2482" s="919"/>
      <c r="O2482" s="919"/>
      <c r="P2482" s="921">
        <f t="shared" si="77"/>
        <v>0</v>
      </c>
    </row>
    <row r="2483" spans="1:16" ht="20.100000000000001" customHeight="1" x14ac:dyDescent="0.25">
      <c r="A2483" s="918" t="s">
        <v>488</v>
      </c>
      <c r="B2483" s="944" t="s">
        <v>3901</v>
      </c>
      <c r="C2483" s="919" t="s">
        <v>3902</v>
      </c>
      <c r="D2483" s="919" t="s">
        <v>6115</v>
      </c>
      <c r="E2483" s="920">
        <v>2200</v>
      </c>
      <c r="F2483" s="919" t="s">
        <v>8438</v>
      </c>
      <c r="G2483" s="919" t="s">
        <v>8439</v>
      </c>
      <c r="H2483" s="919" t="s">
        <v>6115</v>
      </c>
      <c r="I2483" s="919" t="s">
        <v>3679</v>
      </c>
      <c r="J2483" s="919"/>
      <c r="K2483" s="920">
        <v>1</v>
      </c>
      <c r="L2483" s="920">
        <v>12</v>
      </c>
      <c r="M2483" s="920">
        <f t="shared" si="76"/>
        <v>26400</v>
      </c>
      <c r="N2483" s="919"/>
      <c r="O2483" s="919"/>
      <c r="P2483" s="921">
        <f t="shared" si="77"/>
        <v>0</v>
      </c>
    </row>
    <row r="2484" spans="1:16" ht="20.100000000000001" customHeight="1" x14ac:dyDescent="0.25">
      <c r="A2484" s="918" t="s">
        <v>488</v>
      </c>
      <c r="B2484" s="944" t="s">
        <v>3901</v>
      </c>
      <c r="C2484" s="919" t="s">
        <v>3902</v>
      </c>
      <c r="D2484" s="919" t="s">
        <v>6115</v>
      </c>
      <c r="E2484" s="920">
        <v>2200</v>
      </c>
      <c r="F2484" s="919" t="s">
        <v>8440</v>
      </c>
      <c r="G2484" s="919" t="s">
        <v>8441</v>
      </c>
      <c r="H2484" s="919" t="s">
        <v>6115</v>
      </c>
      <c r="I2484" s="919" t="s">
        <v>3679</v>
      </c>
      <c r="J2484" s="919"/>
      <c r="K2484" s="920">
        <v>1</v>
      </c>
      <c r="L2484" s="920">
        <v>12</v>
      </c>
      <c r="M2484" s="920">
        <f t="shared" si="76"/>
        <v>26400</v>
      </c>
      <c r="N2484" s="919"/>
      <c r="O2484" s="919"/>
      <c r="P2484" s="921">
        <f t="shared" si="77"/>
        <v>0</v>
      </c>
    </row>
    <row r="2485" spans="1:16" ht="20.100000000000001" customHeight="1" x14ac:dyDescent="0.25">
      <c r="A2485" s="918" t="s">
        <v>488</v>
      </c>
      <c r="B2485" s="944" t="s">
        <v>3901</v>
      </c>
      <c r="C2485" s="919" t="s">
        <v>3902</v>
      </c>
      <c r="D2485" s="919" t="s">
        <v>8349</v>
      </c>
      <c r="E2485" s="920">
        <v>1650</v>
      </c>
      <c r="F2485" s="919" t="s">
        <v>8442</v>
      </c>
      <c r="G2485" s="919" t="s">
        <v>8443</v>
      </c>
      <c r="H2485" s="919" t="s">
        <v>8349</v>
      </c>
      <c r="I2485" s="919" t="s">
        <v>3679</v>
      </c>
      <c r="J2485" s="919"/>
      <c r="K2485" s="920">
        <v>1</v>
      </c>
      <c r="L2485" s="920">
        <v>12</v>
      </c>
      <c r="M2485" s="920">
        <f t="shared" si="76"/>
        <v>19800</v>
      </c>
      <c r="N2485" s="919"/>
      <c r="O2485" s="919"/>
      <c r="P2485" s="921">
        <f t="shared" si="77"/>
        <v>0</v>
      </c>
    </row>
    <row r="2486" spans="1:16" ht="20.100000000000001" customHeight="1" x14ac:dyDescent="0.25">
      <c r="A2486" s="918" t="s">
        <v>488</v>
      </c>
      <c r="B2486" s="944" t="s">
        <v>3901</v>
      </c>
      <c r="C2486" s="919" t="s">
        <v>3902</v>
      </c>
      <c r="D2486" s="919" t="s">
        <v>6130</v>
      </c>
      <c r="E2486" s="920">
        <v>1600</v>
      </c>
      <c r="F2486" s="919" t="s">
        <v>8444</v>
      </c>
      <c r="G2486" s="919" t="s">
        <v>8445</v>
      </c>
      <c r="H2486" s="919" t="s">
        <v>6130</v>
      </c>
      <c r="I2486" s="919" t="s">
        <v>3686</v>
      </c>
      <c r="J2486" s="919"/>
      <c r="K2486" s="920">
        <v>1</v>
      </c>
      <c r="L2486" s="920">
        <v>12</v>
      </c>
      <c r="M2486" s="920">
        <f t="shared" si="76"/>
        <v>19200</v>
      </c>
      <c r="N2486" s="919"/>
      <c r="O2486" s="919"/>
      <c r="P2486" s="921">
        <f t="shared" si="77"/>
        <v>0</v>
      </c>
    </row>
    <row r="2487" spans="1:16" ht="20.100000000000001" customHeight="1" x14ac:dyDescent="0.25">
      <c r="A2487" s="918" t="s">
        <v>488</v>
      </c>
      <c r="B2487" s="944" t="s">
        <v>3901</v>
      </c>
      <c r="C2487" s="919" t="s">
        <v>3902</v>
      </c>
      <c r="D2487" s="919" t="s">
        <v>3999</v>
      </c>
      <c r="E2487" s="920">
        <v>1600</v>
      </c>
      <c r="F2487" s="919" t="s">
        <v>8446</v>
      </c>
      <c r="G2487" s="919" t="s">
        <v>8447</v>
      </c>
      <c r="H2487" s="919" t="s">
        <v>3999</v>
      </c>
      <c r="I2487" s="919" t="s">
        <v>3724</v>
      </c>
      <c r="J2487" s="919"/>
      <c r="K2487" s="920">
        <v>1</v>
      </c>
      <c r="L2487" s="920">
        <v>12</v>
      </c>
      <c r="M2487" s="920">
        <f t="shared" si="76"/>
        <v>19200</v>
      </c>
      <c r="N2487" s="919"/>
      <c r="O2487" s="919"/>
      <c r="P2487" s="921">
        <f t="shared" si="77"/>
        <v>0</v>
      </c>
    </row>
    <row r="2488" spans="1:16" ht="20.100000000000001" customHeight="1" x14ac:dyDescent="0.25">
      <c r="A2488" s="918" t="s">
        <v>488</v>
      </c>
      <c r="B2488" s="944" t="s">
        <v>3901</v>
      </c>
      <c r="C2488" s="919" t="s">
        <v>3902</v>
      </c>
      <c r="D2488" s="919" t="s">
        <v>6130</v>
      </c>
      <c r="E2488" s="920">
        <v>1320</v>
      </c>
      <c r="F2488" s="919" t="s">
        <v>8448</v>
      </c>
      <c r="G2488" s="919" t="s">
        <v>8449</v>
      </c>
      <c r="H2488" s="919" t="s">
        <v>6130</v>
      </c>
      <c r="I2488" s="919" t="s">
        <v>3686</v>
      </c>
      <c r="J2488" s="919"/>
      <c r="K2488" s="920">
        <v>1</v>
      </c>
      <c r="L2488" s="920">
        <v>12</v>
      </c>
      <c r="M2488" s="920">
        <f t="shared" si="76"/>
        <v>15840</v>
      </c>
      <c r="N2488" s="919"/>
      <c r="O2488" s="919"/>
      <c r="P2488" s="921">
        <f t="shared" si="77"/>
        <v>0</v>
      </c>
    </row>
    <row r="2489" spans="1:16" ht="20.100000000000001" customHeight="1" x14ac:dyDescent="0.25">
      <c r="A2489" s="918" t="s">
        <v>488</v>
      </c>
      <c r="B2489" s="944" t="s">
        <v>3901</v>
      </c>
      <c r="C2489" s="919" t="s">
        <v>3902</v>
      </c>
      <c r="D2489" s="919" t="s">
        <v>6130</v>
      </c>
      <c r="E2489" s="920">
        <v>1250</v>
      </c>
      <c r="F2489" s="919" t="s">
        <v>8450</v>
      </c>
      <c r="G2489" s="919" t="s">
        <v>8451</v>
      </c>
      <c r="H2489" s="919" t="s">
        <v>6130</v>
      </c>
      <c r="I2489" s="919" t="s">
        <v>3686</v>
      </c>
      <c r="J2489" s="919"/>
      <c r="K2489" s="920">
        <v>1</v>
      </c>
      <c r="L2489" s="920">
        <v>12</v>
      </c>
      <c r="M2489" s="920">
        <f t="shared" si="76"/>
        <v>15000</v>
      </c>
      <c r="N2489" s="919"/>
      <c r="O2489" s="919"/>
      <c r="P2489" s="921">
        <f t="shared" si="77"/>
        <v>0</v>
      </c>
    </row>
    <row r="2490" spans="1:16" ht="20.100000000000001" customHeight="1" x14ac:dyDescent="0.25">
      <c r="A2490" s="918" t="s">
        <v>488</v>
      </c>
      <c r="B2490" s="944" t="s">
        <v>3901</v>
      </c>
      <c r="C2490" s="919" t="s">
        <v>3902</v>
      </c>
      <c r="D2490" s="919" t="s">
        <v>8344</v>
      </c>
      <c r="E2490" s="920">
        <v>1320</v>
      </c>
      <c r="F2490" s="919" t="s">
        <v>8452</v>
      </c>
      <c r="G2490" s="919" t="s">
        <v>8453</v>
      </c>
      <c r="H2490" s="919" t="s">
        <v>8344</v>
      </c>
      <c r="I2490" s="919" t="s">
        <v>3686</v>
      </c>
      <c r="J2490" s="919"/>
      <c r="K2490" s="920">
        <v>1</v>
      </c>
      <c r="L2490" s="920">
        <v>12</v>
      </c>
      <c r="M2490" s="920">
        <f t="shared" si="76"/>
        <v>15840</v>
      </c>
      <c r="N2490" s="919"/>
      <c r="O2490" s="919"/>
      <c r="P2490" s="921">
        <f t="shared" si="77"/>
        <v>0</v>
      </c>
    </row>
    <row r="2491" spans="1:16" ht="20.100000000000001" customHeight="1" x14ac:dyDescent="0.25">
      <c r="A2491" s="918" t="s">
        <v>488</v>
      </c>
      <c r="B2491" s="944" t="s">
        <v>3901</v>
      </c>
      <c r="C2491" s="919" t="s">
        <v>3902</v>
      </c>
      <c r="D2491" s="919" t="s">
        <v>8344</v>
      </c>
      <c r="E2491" s="920">
        <v>1320</v>
      </c>
      <c r="F2491" s="919" t="s">
        <v>8454</v>
      </c>
      <c r="G2491" s="919" t="s">
        <v>8455</v>
      </c>
      <c r="H2491" s="919" t="s">
        <v>8344</v>
      </c>
      <c r="I2491" s="919" t="s">
        <v>3686</v>
      </c>
      <c r="J2491" s="919"/>
      <c r="K2491" s="920">
        <v>1</v>
      </c>
      <c r="L2491" s="920">
        <v>12</v>
      </c>
      <c r="M2491" s="920">
        <f t="shared" si="76"/>
        <v>15840</v>
      </c>
      <c r="N2491" s="919"/>
      <c r="O2491" s="919"/>
      <c r="P2491" s="921">
        <f t="shared" si="77"/>
        <v>0</v>
      </c>
    </row>
    <row r="2492" spans="1:16" ht="20.100000000000001" customHeight="1" x14ac:dyDescent="0.25">
      <c r="A2492" s="918" t="s">
        <v>488</v>
      </c>
      <c r="B2492" s="944" t="s">
        <v>3901</v>
      </c>
      <c r="C2492" s="919" t="s">
        <v>3902</v>
      </c>
      <c r="D2492" s="919" t="s">
        <v>8344</v>
      </c>
      <c r="E2492" s="920">
        <v>1250</v>
      </c>
      <c r="F2492" s="919" t="s">
        <v>8456</v>
      </c>
      <c r="G2492" s="919" t="s">
        <v>8457</v>
      </c>
      <c r="H2492" s="919" t="s">
        <v>8344</v>
      </c>
      <c r="I2492" s="919" t="s">
        <v>3686</v>
      </c>
      <c r="J2492" s="919"/>
      <c r="K2492" s="920">
        <v>1</v>
      </c>
      <c r="L2492" s="920">
        <v>12</v>
      </c>
      <c r="M2492" s="920">
        <f t="shared" si="76"/>
        <v>15000</v>
      </c>
      <c r="N2492" s="919"/>
      <c r="O2492" s="919"/>
      <c r="P2492" s="921">
        <f t="shared" si="77"/>
        <v>0</v>
      </c>
    </row>
    <row r="2493" spans="1:16" ht="20.100000000000001" customHeight="1" x14ac:dyDescent="0.25">
      <c r="A2493" s="918" t="s">
        <v>488</v>
      </c>
      <c r="B2493" s="944" t="s">
        <v>3901</v>
      </c>
      <c r="C2493" s="919" t="s">
        <v>3902</v>
      </c>
      <c r="D2493" s="919" t="s">
        <v>8344</v>
      </c>
      <c r="E2493" s="920">
        <v>1250</v>
      </c>
      <c r="F2493" s="919" t="s">
        <v>8458</v>
      </c>
      <c r="G2493" s="919" t="s">
        <v>8459</v>
      </c>
      <c r="H2493" s="919" t="s">
        <v>8344</v>
      </c>
      <c r="I2493" s="919" t="s">
        <v>3686</v>
      </c>
      <c r="J2493" s="919"/>
      <c r="K2493" s="920">
        <v>1</v>
      </c>
      <c r="L2493" s="920">
        <v>12</v>
      </c>
      <c r="M2493" s="920">
        <f t="shared" si="76"/>
        <v>15000</v>
      </c>
      <c r="N2493" s="919"/>
      <c r="O2493" s="919"/>
      <c r="P2493" s="921">
        <f t="shared" si="77"/>
        <v>0</v>
      </c>
    </row>
    <row r="2494" spans="1:16" ht="20.100000000000001" customHeight="1" x14ac:dyDescent="0.25">
      <c r="A2494" s="918" t="s">
        <v>488</v>
      </c>
      <c r="B2494" s="944" t="s">
        <v>3901</v>
      </c>
      <c r="C2494" s="919" t="s">
        <v>3902</v>
      </c>
      <c r="D2494" s="919" t="s">
        <v>8344</v>
      </c>
      <c r="E2494" s="920">
        <v>1250</v>
      </c>
      <c r="F2494" s="919" t="s">
        <v>8460</v>
      </c>
      <c r="G2494" s="919" t="s">
        <v>8461</v>
      </c>
      <c r="H2494" s="919" t="s">
        <v>8344</v>
      </c>
      <c r="I2494" s="919" t="s">
        <v>3686</v>
      </c>
      <c r="J2494" s="919"/>
      <c r="K2494" s="920">
        <v>1</v>
      </c>
      <c r="L2494" s="920">
        <v>12</v>
      </c>
      <c r="M2494" s="920">
        <f t="shared" si="76"/>
        <v>15000</v>
      </c>
      <c r="N2494" s="919"/>
      <c r="O2494" s="919"/>
      <c r="P2494" s="921">
        <f t="shared" si="77"/>
        <v>0</v>
      </c>
    </row>
    <row r="2495" spans="1:16" ht="20.100000000000001" customHeight="1" x14ac:dyDescent="0.25">
      <c r="A2495" s="918" t="s">
        <v>488</v>
      </c>
      <c r="B2495" s="944" t="s">
        <v>3901</v>
      </c>
      <c r="C2495" s="919" t="s">
        <v>3902</v>
      </c>
      <c r="D2495" s="919" t="s">
        <v>8344</v>
      </c>
      <c r="E2495" s="920">
        <v>1400</v>
      </c>
      <c r="F2495" s="919" t="s">
        <v>4041</v>
      </c>
      <c r="G2495" s="919" t="s">
        <v>4042</v>
      </c>
      <c r="H2495" s="919" t="s">
        <v>8344</v>
      </c>
      <c r="I2495" s="919" t="s">
        <v>3686</v>
      </c>
      <c r="J2495" s="919"/>
      <c r="K2495" s="920">
        <v>1</v>
      </c>
      <c r="L2495" s="920">
        <v>12</v>
      </c>
      <c r="M2495" s="920">
        <f t="shared" si="76"/>
        <v>16800</v>
      </c>
      <c r="N2495" s="919"/>
      <c r="O2495" s="919"/>
      <c r="P2495" s="921">
        <f t="shared" si="77"/>
        <v>0</v>
      </c>
    </row>
    <row r="2496" spans="1:16" ht="20.100000000000001" customHeight="1" x14ac:dyDescent="0.25">
      <c r="A2496" s="918" t="s">
        <v>488</v>
      </c>
      <c r="B2496" s="944" t="s">
        <v>3901</v>
      </c>
      <c r="C2496" s="919" t="s">
        <v>3902</v>
      </c>
      <c r="D2496" s="919" t="s">
        <v>8344</v>
      </c>
      <c r="E2496" s="920">
        <v>1500</v>
      </c>
      <c r="F2496" s="919" t="s">
        <v>8462</v>
      </c>
      <c r="G2496" s="919" t="s">
        <v>8463</v>
      </c>
      <c r="H2496" s="919" t="s">
        <v>8344</v>
      </c>
      <c r="I2496" s="919" t="s">
        <v>3686</v>
      </c>
      <c r="J2496" s="919"/>
      <c r="K2496" s="920">
        <v>1</v>
      </c>
      <c r="L2496" s="920">
        <v>12</v>
      </c>
      <c r="M2496" s="920">
        <f t="shared" si="76"/>
        <v>18000</v>
      </c>
      <c r="N2496" s="919"/>
      <c r="O2496" s="919"/>
      <c r="P2496" s="921">
        <f t="shared" si="77"/>
        <v>0</v>
      </c>
    </row>
    <row r="2497" spans="1:16" ht="20.100000000000001" customHeight="1" x14ac:dyDescent="0.25">
      <c r="A2497" s="918" t="s">
        <v>488</v>
      </c>
      <c r="B2497" s="944" t="s">
        <v>3901</v>
      </c>
      <c r="C2497" s="919" t="s">
        <v>3902</v>
      </c>
      <c r="D2497" s="919" t="s">
        <v>8344</v>
      </c>
      <c r="E2497" s="920">
        <v>1500</v>
      </c>
      <c r="F2497" s="919" t="s">
        <v>8464</v>
      </c>
      <c r="G2497" s="919" t="s">
        <v>8465</v>
      </c>
      <c r="H2497" s="919" t="s">
        <v>8344</v>
      </c>
      <c r="I2497" s="919" t="s">
        <v>3686</v>
      </c>
      <c r="J2497" s="919"/>
      <c r="K2497" s="920">
        <v>1</v>
      </c>
      <c r="L2497" s="920">
        <v>12</v>
      </c>
      <c r="M2497" s="920">
        <f t="shared" si="76"/>
        <v>18000</v>
      </c>
      <c r="N2497" s="919"/>
      <c r="O2497" s="919"/>
      <c r="P2497" s="921">
        <f t="shared" si="77"/>
        <v>0</v>
      </c>
    </row>
    <row r="2498" spans="1:16" ht="20.100000000000001" customHeight="1" x14ac:dyDescent="0.25">
      <c r="A2498" s="918" t="s">
        <v>488</v>
      </c>
      <c r="B2498" s="944" t="s">
        <v>3901</v>
      </c>
      <c r="C2498" s="919" t="s">
        <v>3902</v>
      </c>
      <c r="D2498" s="919" t="s">
        <v>8344</v>
      </c>
      <c r="E2498" s="920">
        <v>1250</v>
      </c>
      <c r="F2498" s="919" t="s">
        <v>8466</v>
      </c>
      <c r="G2498" s="919" t="s">
        <v>8467</v>
      </c>
      <c r="H2498" s="919" t="s">
        <v>8344</v>
      </c>
      <c r="I2498" s="919" t="s">
        <v>3686</v>
      </c>
      <c r="J2498" s="919"/>
      <c r="K2498" s="920">
        <v>1</v>
      </c>
      <c r="L2498" s="920">
        <v>12</v>
      </c>
      <c r="M2498" s="920">
        <f t="shared" si="76"/>
        <v>15000</v>
      </c>
      <c r="N2498" s="919"/>
      <c r="O2498" s="919"/>
      <c r="P2498" s="921">
        <f t="shared" si="77"/>
        <v>0</v>
      </c>
    </row>
    <row r="2499" spans="1:16" ht="20.100000000000001" customHeight="1" x14ac:dyDescent="0.25">
      <c r="A2499" s="918" t="s">
        <v>488</v>
      </c>
      <c r="B2499" s="944" t="s">
        <v>3901</v>
      </c>
      <c r="C2499" s="919" t="s">
        <v>3902</v>
      </c>
      <c r="D2499" s="919" t="s">
        <v>6130</v>
      </c>
      <c r="E2499" s="920">
        <v>1500</v>
      </c>
      <c r="F2499" s="919" t="s">
        <v>8468</v>
      </c>
      <c r="G2499" s="919" t="s">
        <v>8469</v>
      </c>
      <c r="H2499" s="919" t="s">
        <v>6130</v>
      </c>
      <c r="I2499" s="919" t="s">
        <v>3686</v>
      </c>
      <c r="J2499" s="919"/>
      <c r="K2499" s="920">
        <v>1</v>
      </c>
      <c r="L2499" s="920">
        <v>12</v>
      </c>
      <c r="M2499" s="920">
        <f t="shared" si="76"/>
        <v>18000</v>
      </c>
      <c r="N2499" s="919"/>
      <c r="O2499" s="919"/>
      <c r="P2499" s="921">
        <f t="shared" si="77"/>
        <v>0</v>
      </c>
    </row>
    <row r="2500" spans="1:16" ht="20.100000000000001" customHeight="1" x14ac:dyDescent="0.25">
      <c r="A2500" s="918" t="s">
        <v>488</v>
      </c>
      <c r="B2500" s="944" t="s">
        <v>3901</v>
      </c>
      <c r="C2500" s="919" t="s">
        <v>3902</v>
      </c>
      <c r="D2500" s="919" t="s">
        <v>3999</v>
      </c>
      <c r="E2500" s="920">
        <v>2100</v>
      </c>
      <c r="F2500" s="919" t="s">
        <v>4041</v>
      </c>
      <c r="G2500" s="919" t="s">
        <v>4042</v>
      </c>
      <c r="H2500" s="919" t="s">
        <v>3999</v>
      </c>
      <c r="I2500" s="919" t="s">
        <v>3724</v>
      </c>
      <c r="J2500" s="919"/>
      <c r="K2500" s="920">
        <v>1</v>
      </c>
      <c r="L2500" s="920">
        <v>12</v>
      </c>
      <c r="M2500" s="920">
        <f t="shared" si="76"/>
        <v>25200</v>
      </c>
      <c r="N2500" s="919"/>
      <c r="O2500" s="919"/>
      <c r="P2500" s="921">
        <f t="shared" si="77"/>
        <v>0</v>
      </c>
    </row>
    <row r="2501" spans="1:16" ht="20.100000000000001" customHeight="1" x14ac:dyDescent="0.25">
      <c r="A2501" s="918" t="s">
        <v>488</v>
      </c>
      <c r="B2501" s="944" t="s">
        <v>3901</v>
      </c>
      <c r="C2501" s="919" t="s">
        <v>3902</v>
      </c>
      <c r="D2501" s="919" t="s">
        <v>8344</v>
      </c>
      <c r="E2501" s="920">
        <v>1400</v>
      </c>
      <c r="F2501" s="919" t="s">
        <v>8470</v>
      </c>
      <c r="G2501" s="919" t="s">
        <v>8471</v>
      </c>
      <c r="H2501" s="919" t="s">
        <v>8344</v>
      </c>
      <c r="I2501" s="919" t="s">
        <v>3686</v>
      </c>
      <c r="J2501" s="919"/>
      <c r="K2501" s="920">
        <v>1</v>
      </c>
      <c r="L2501" s="920">
        <v>12</v>
      </c>
      <c r="M2501" s="920">
        <f t="shared" si="76"/>
        <v>16800</v>
      </c>
      <c r="N2501" s="919"/>
      <c r="O2501" s="919"/>
      <c r="P2501" s="921">
        <f t="shared" si="77"/>
        <v>0</v>
      </c>
    </row>
    <row r="2502" spans="1:16" ht="20.100000000000001" customHeight="1" x14ac:dyDescent="0.25">
      <c r="A2502" s="918" t="s">
        <v>488</v>
      </c>
      <c r="B2502" s="944" t="s">
        <v>3901</v>
      </c>
      <c r="C2502" s="919" t="s">
        <v>3902</v>
      </c>
      <c r="D2502" s="919" t="s">
        <v>6130</v>
      </c>
      <c r="E2502" s="920">
        <v>1500</v>
      </c>
      <c r="F2502" s="919" t="s">
        <v>8472</v>
      </c>
      <c r="G2502" s="919" t="s">
        <v>8473</v>
      </c>
      <c r="H2502" s="919" t="s">
        <v>6130</v>
      </c>
      <c r="I2502" s="919" t="s">
        <v>3686</v>
      </c>
      <c r="J2502" s="919"/>
      <c r="K2502" s="920">
        <v>1</v>
      </c>
      <c r="L2502" s="920">
        <v>12</v>
      </c>
      <c r="M2502" s="920">
        <f t="shared" ref="M2502:M2565" si="78">E2502*L2502</f>
        <v>18000</v>
      </c>
      <c r="N2502" s="919"/>
      <c r="O2502" s="919"/>
      <c r="P2502" s="921">
        <f t="shared" ref="P2502:P2565" si="79">E2502*O2502</f>
        <v>0</v>
      </c>
    </row>
    <row r="2503" spans="1:16" ht="20.100000000000001" customHeight="1" x14ac:dyDescent="0.25">
      <c r="A2503" s="918" t="s">
        <v>488</v>
      </c>
      <c r="B2503" s="944" t="s">
        <v>3901</v>
      </c>
      <c r="C2503" s="919" t="s">
        <v>3902</v>
      </c>
      <c r="D2503" s="919" t="s">
        <v>8344</v>
      </c>
      <c r="E2503" s="920">
        <v>1250</v>
      </c>
      <c r="F2503" s="919" t="s">
        <v>8474</v>
      </c>
      <c r="G2503" s="919" t="s">
        <v>8475</v>
      </c>
      <c r="H2503" s="919" t="s">
        <v>8344</v>
      </c>
      <c r="I2503" s="919" t="s">
        <v>3686</v>
      </c>
      <c r="J2503" s="919"/>
      <c r="K2503" s="920">
        <v>1</v>
      </c>
      <c r="L2503" s="920">
        <v>12</v>
      </c>
      <c r="M2503" s="920">
        <f t="shared" si="78"/>
        <v>15000</v>
      </c>
      <c r="N2503" s="919"/>
      <c r="O2503" s="919"/>
      <c r="P2503" s="921">
        <f t="shared" si="79"/>
        <v>0</v>
      </c>
    </row>
    <row r="2504" spans="1:16" ht="20.100000000000001" customHeight="1" x14ac:dyDescent="0.25">
      <c r="A2504" s="918" t="s">
        <v>488</v>
      </c>
      <c r="B2504" s="944" t="s">
        <v>3901</v>
      </c>
      <c r="C2504" s="919" t="s">
        <v>3902</v>
      </c>
      <c r="D2504" s="919" t="s">
        <v>3999</v>
      </c>
      <c r="E2504" s="920">
        <v>1900</v>
      </c>
      <c r="F2504" s="919" t="s">
        <v>8476</v>
      </c>
      <c r="G2504" s="919" t="s">
        <v>8477</v>
      </c>
      <c r="H2504" s="919" t="s">
        <v>3999</v>
      </c>
      <c r="I2504" s="919" t="s">
        <v>3724</v>
      </c>
      <c r="J2504" s="919"/>
      <c r="K2504" s="920">
        <v>1</v>
      </c>
      <c r="L2504" s="920">
        <v>12</v>
      </c>
      <c r="M2504" s="920">
        <f t="shared" si="78"/>
        <v>22800</v>
      </c>
      <c r="N2504" s="919"/>
      <c r="O2504" s="919"/>
      <c r="P2504" s="921">
        <f t="shared" si="79"/>
        <v>0</v>
      </c>
    </row>
    <row r="2505" spans="1:16" ht="20.100000000000001" customHeight="1" x14ac:dyDescent="0.25">
      <c r="A2505" s="918" t="s">
        <v>488</v>
      </c>
      <c r="B2505" s="944" t="s">
        <v>3901</v>
      </c>
      <c r="C2505" s="919" t="s">
        <v>3902</v>
      </c>
      <c r="D2505" s="919" t="s">
        <v>8344</v>
      </c>
      <c r="E2505" s="920">
        <v>1900</v>
      </c>
      <c r="F2505" s="919" t="s">
        <v>8478</v>
      </c>
      <c r="G2505" s="919" t="s">
        <v>8479</v>
      </c>
      <c r="H2505" s="919" t="s">
        <v>8344</v>
      </c>
      <c r="I2505" s="919" t="s">
        <v>3686</v>
      </c>
      <c r="J2505" s="919"/>
      <c r="K2505" s="920">
        <v>1</v>
      </c>
      <c r="L2505" s="920">
        <v>12</v>
      </c>
      <c r="M2505" s="920">
        <f t="shared" si="78"/>
        <v>22800</v>
      </c>
      <c r="N2505" s="919"/>
      <c r="O2505" s="919"/>
      <c r="P2505" s="921">
        <f t="shared" si="79"/>
        <v>0</v>
      </c>
    </row>
    <row r="2506" spans="1:16" ht="20.100000000000001" customHeight="1" x14ac:dyDescent="0.25">
      <c r="A2506" s="918" t="s">
        <v>488</v>
      </c>
      <c r="B2506" s="944" t="s">
        <v>3901</v>
      </c>
      <c r="C2506" s="919" t="s">
        <v>3902</v>
      </c>
      <c r="D2506" s="919" t="s">
        <v>8344</v>
      </c>
      <c r="E2506" s="920">
        <v>1500</v>
      </c>
      <c r="F2506" s="919" t="s">
        <v>8480</v>
      </c>
      <c r="G2506" s="919" t="s">
        <v>8481</v>
      </c>
      <c r="H2506" s="919" t="s">
        <v>8344</v>
      </c>
      <c r="I2506" s="919" t="s">
        <v>3686</v>
      </c>
      <c r="J2506" s="919"/>
      <c r="K2506" s="920">
        <v>1</v>
      </c>
      <c r="L2506" s="920">
        <v>12</v>
      </c>
      <c r="M2506" s="920">
        <f t="shared" si="78"/>
        <v>18000</v>
      </c>
      <c r="N2506" s="919"/>
      <c r="O2506" s="919"/>
      <c r="P2506" s="921">
        <f t="shared" si="79"/>
        <v>0</v>
      </c>
    </row>
    <row r="2507" spans="1:16" ht="20.100000000000001" customHeight="1" x14ac:dyDescent="0.25">
      <c r="A2507" s="918" t="s">
        <v>488</v>
      </c>
      <c r="B2507" s="944" t="s">
        <v>3901</v>
      </c>
      <c r="C2507" s="919" t="s">
        <v>3902</v>
      </c>
      <c r="D2507" s="919" t="s">
        <v>3999</v>
      </c>
      <c r="E2507" s="920">
        <v>2100</v>
      </c>
      <c r="F2507" s="919" t="s">
        <v>4041</v>
      </c>
      <c r="G2507" s="919" t="s">
        <v>4042</v>
      </c>
      <c r="H2507" s="919" t="s">
        <v>3999</v>
      </c>
      <c r="I2507" s="919" t="s">
        <v>3724</v>
      </c>
      <c r="J2507" s="919"/>
      <c r="K2507" s="920">
        <v>1</v>
      </c>
      <c r="L2507" s="920">
        <v>12</v>
      </c>
      <c r="M2507" s="920">
        <f t="shared" si="78"/>
        <v>25200</v>
      </c>
      <c r="N2507" s="919"/>
      <c r="O2507" s="919"/>
      <c r="P2507" s="921">
        <f t="shared" si="79"/>
        <v>0</v>
      </c>
    </row>
    <row r="2508" spans="1:16" ht="20.100000000000001" customHeight="1" x14ac:dyDescent="0.25">
      <c r="A2508" s="918" t="s">
        <v>488</v>
      </c>
      <c r="B2508" s="944" t="s">
        <v>3901</v>
      </c>
      <c r="C2508" s="919" t="s">
        <v>3902</v>
      </c>
      <c r="D2508" s="919" t="s">
        <v>6130</v>
      </c>
      <c r="E2508" s="920">
        <v>1400</v>
      </c>
      <c r="F2508" s="919" t="s">
        <v>8482</v>
      </c>
      <c r="G2508" s="919" t="s">
        <v>8483</v>
      </c>
      <c r="H2508" s="919" t="s">
        <v>6130</v>
      </c>
      <c r="I2508" s="919" t="s">
        <v>3686</v>
      </c>
      <c r="J2508" s="919"/>
      <c r="K2508" s="920">
        <v>1</v>
      </c>
      <c r="L2508" s="920">
        <v>12</v>
      </c>
      <c r="M2508" s="920">
        <f t="shared" si="78"/>
        <v>16800</v>
      </c>
      <c r="N2508" s="919"/>
      <c r="O2508" s="919"/>
      <c r="P2508" s="921">
        <f t="shared" si="79"/>
        <v>0</v>
      </c>
    </row>
    <row r="2509" spans="1:16" ht="20.100000000000001" customHeight="1" x14ac:dyDescent="0.25">
      <c r="A2509" s="918" t="s">
        <v>488</v>
      </c>
      <c r="B2509" s="944" t="s">
        <v>3901</v>
      </c>
      <c r="C2509" s="919" t="s">
        <v>3902</v>
      </c>
      <c r="D2509" s="919" t="s">
        <v>6130</v>
      </c>
      <c r="E2509" s="920">
        <v>1250</v>
      </c>
      <c r="F2509" s="919" t="s">
        <v>8484</v>
      </c>
      <c r="G2509" s="919" t="s">
        <v>8485</v>
      </c>
      <c r="H2509" s="919" t="s">
        <v>6130</v>
      </c>
      <c r="I2509" s="919" t="s">
        <v>3686</v>
      </c>
      <c r="J2509" s="919"/>
      <c r="K2509" s="920">
        <v>1</v>
      </c>
      <c r="L2509" s="920">
        <v>12</v>
      </c>
      <c r="M2509" s="920">
        <f t="shared" si="78"/>
        <v>15000</v>
      </c>
      <c r="N2509" s="919"/>
      <c r="O2509" s="919"/>
      <c r="P2509" s="921">
        <f t="shared" si="79"/>
        <v>0</v>
      </c>
    </row>
    <row r="2510" spans="1:16" ht="20.100000000000001" customHeight="1" x14ac:dyDescent="0.25">
      <c r="A2510" s="918" t="s">
        <v>488</v>
      </c>
      <c r="B2510" s="944" t="s">
        <v>3901</v>
      </c>
      <c r="C2510" s="919" t="s">
        <v>3902</v>
      </c>
      <c r="D2510" s="919" t="s">
        <v>6130</v>
      </c>
      <c r="E2510" s="920">
        <v>1250</v>
      </c>
      <c r="F2510" s="919" t="s">
        <v>8486</v>
      </c>
      <c r="G2510" s="919" t="s">
        <v>8487</v>
      </c>
      <c r="H2510" s="919" t="s">
        <v>6130</v>
      </c>
      <c r="I2510" s="919" t="s">
        <v>3686</v>
      </c>
      <c r="J2510" s="919"/>
      <c r="K2510" s="920">
        <v>1</v>
      </c>
      <c r="L2510" s="920">
        <v>12</v>
      </c>
      <c r="M2510" s="920">
        <f t="shared" si="78"/>
        <v>15000</v>
      </c>
      <c r="N2510" s="919"/>
      <c r="O2510" s="919"/>
      <c r="P2510" s="921">
        <f t="shared" si="79"/>
        <v>0</v>
      </c>
    </row>
    <row r="2511" spans="1:16" ht="20.100000000000001" customHeight="1" x14ac:dyDescent="0.25">
      <c r="A2511" s="918" t="s">
        <v>488</v>
      </c>
      <c r="B2511" s="944" t="s">
        <v>3901</v>
      </c>
      <c r="C2511" s="919" t="s">
        <v>3902</v>
      </c>
      <c r="D2511" s="919" t="s">
        <v>6130</v>
      </c>
      <c r="E2511" s="920">
        <v>1500</v>
      </c>
      <c r="F2511" s="919" t="s">
        <v>8488</v>
      </c>
      <c r="G2511" s="919" t="s">
        <v>8489</v>
      </c>
      <c r="H2511" s="919" t="s">
        <v>6130</v>
      </c>
      <c r="I2511" s="919" t="s">
        <v>3686</v>
      </c>
      <c r="J2511" s="919"/>
      <c r="K2511" s="920">
        <v>1</v>
      </c>
      <c r="L2511" s="920">
        <v>12</v>
      </c>
      <c r="M2511" s="920">
        <f t="shared" si="78"/>
        <v>18000</v>
      </c>
      <c r="N2511" s="919"/>
      <c r="O2511" s="919"/>
      <c r="P2511" s="921">
        <f t="shared" si="79"/>
        <v>0</v>
      </c>
    </row>
    <row r="2512" spans="1:16" ht="20.100000000000001" customHeight="1" x14ac:dyDescent="0.25">
      <c r="A2512" s="918" t="s">
        <v>488</v>
      </c>
      <c r="B2512" s="944" t="s">
        <v>3901</v>
      </c>
      <c r="C2512" s="919" t="s">
        <v>3902</v>
      </c>
      <c r="D2512" s="919" t="s">
        <v>6130</v>
      </c>
      <c r="E2512" s="920">
        <v>1320</v>
      </c>
      <c r="F2512" s="919" t="s">
        <v>8490</v>
      </c>
      <c r="G2512" s="919" t="s">
        <v>8491</v>
      </c>
      <c r="H2512" s="919" t="s">
        <v>6130</v>
      </c>
      <c r="I2512" s="919" t="s">
        <v>3686</v>
      </c>
      <c r="J2512" s="919"/>
      <c r="K2512" s="920">
        <v>1</v>
      </c>
      <c r="L2512" s="920">
        <v>12</v>
      </c>
      <c r="M2512" s="920">
        <f t="shared" si="78"/>
        <v>15840</v>
      </c>
      <c r="N2512" s="919"/>
      <c r="O2512" s="919"/>
      <c r="P2512" s="921">
        <f t="shared" si="79"/>
        <v>0</v>
      </c>
    </row>
    <row r="2513" spans="1:16" ht="20.100000000000001" customHeight="1" x14ac:dyDescent="0.25">
      <c r="A2513" s="918" t="s">
        <v>488</v>
      </c>
      <c r="B2513" s="944" t="s">
        <v>3901</v>
      </c>
      <c r="C2513" s="919" t="s">
        <v>3902</v>
      </c>
      <c r="D2513" s="919" t="s">
        <v>4006</v>
      </c>
      <c r="E2513" s="920">
        <v>1300</v>
      </c>
      <c r="F2513" s="919" t="s">
        <v>8492</v>
      </c>
      <c r="G2513" s="919" t="s">
        <v>8493</v>
      </c>
      <c r="H2513" s="919" t="s">
        <v>4006</v>
      </c>
      <c r="I2513" s="919" t="s">
        <v>3686</v>
      </c>
      <c r="J2513" s="919"/>
      <c r="K2513" s="920">
        <v>1</v>
      </c>
      <c r="L2513" s="920">
        <v>12</v>
      </c>
      <c r="M2513" s="920">
        <f t="shared" si="78"/>
        <v>15600</v>
      </c>
      <c r="N2513" s="919"/>
      <c r="O2513" s="919"/>
      <c r="P2513" s="921">
        <f t="shared" si="79"/>
        <v>0</v>
      </c>
    </row>
    <row r="2514" spans="1:16" ht="20.100000000000001" customHeight="1" x14ac:dyDescent="0.25">
      <c r="A2514" s="918" t="s">
        <v>488</v>
      </c>
      <c r="B2514" s="944" t="s">
        <v>3901</v>
      </c>
      <c r="C2514" s="919" t="s">
        <v>3902</v>
      </c>
      <c r="D2514" s="919" t="s">
        <v>3999</v>
      </c>
      <c r="E2514" s="920">
        <v>2100</v>
      </c>
      <c r="F2514" s="919" t="s">
        <v>8494</v>
      </c>
      <c r="G2514" s="919" t="s">
        <v>8495</v>
      </c>
      <c r="H2514" s="919" t="s">
        <v>3999</v>
      </c>
      <c r="I2514" s="919" t="s">
        <v>3724</v>
      </c>
      <c r="J2514" s="919"/>
      <c r="K2514" s="920">
        <v>1</v>
      </c>
      <c r="L2514" s="920">
        <v>12</v>
      </c>
      <c r="M2514" s="920">
        <f t="shared" si="78"/>
        <v>25200</v>
      </c>
      <c r="N2514" s="919"/>
      <c r="O2514" s="919"/>
      <c r="P2514" s="921">
        <f t="shared" si="79"/>
        <v>0</v>
      </c>
    </row>
    <row r="2515" spans="1:16" ht="20.100000000000001" customHeight="1" x14ac:dyDescent="0.25">
      <c r="A2515" s="918" t="s">
        <v>488</v>
      </c>
      <c r="B2515" s="944" t="s">
        <v>3901</v>
      </c>
      <c r="C2515" s="919" t="s">
        <v>3902</v>
      </c>
      <c r="D2515" s="919" t="s">
        <v>4352</v>
      </c>
      <c r="E2515" s="920">
        <v>2100</v>
      </c>
      <c r="F2515" s="919" t="s">
        <v>4041</v>
      </c>
      <c r="G2515" s="919" t="s">
        <v>4042</v>
      </c>
      <c r="H2515" s="919" t="s">
        <v>4352</v>
      </c>
      <c r="I2515" s="919" t="s">
        <v>3724</v>
      </c>
      <c r="J2515" s="919"/>
      <c r="K2515" s="920">
        <v>1</v>
      </c>
      <c r="L2515" s="920">
        <v>12</v>
      </c>
      <c r="M2515" s="920">
        <f t="shared" si="78"/>
        <v>25200</v>
      </c>
      <c r="N2515" s="919"/>
      <c r="O2515" s="919"/>
      <c r="P2515" s="921">
        <f t="shared" si="79"/>
        <v>0</v>
      </c>
    </row>
    <row r="2516" spans="1:16" ht="20.100000000000001" customHeight="1" x14ac:dyDescent="0.25">
      <c r="A2516" s="918" t="s">
        <v>488</v>
      </c>
      <c r="B2516" s="944" t="s">
        <v>3901</v>
      </c>
      <c r="C2516" s="919" t="s">
        <v>3902</v>
      </c>
      <c r="D2516" s="919" t="s">
        <v>4352</v>
      </c>
      <c r="E2516" s="920">
        <v>1900</v>
      </c>
      <c r="F2516" s="919" t="s">
        <v>8496</v>
      </c>
      <c r="G2516" s="919" t="s">
        <v>8497</v>
      </c>
      <c r="H2516" s="919" t="s">
        <v>4352</v>
      </c>
      <c r="I2516" s="919" t="s">
        <v>3724</v>
      </c>
      <c r="J2516" s="919"/>
      <c r="K2516" s="920">
        <v>1</v>
      </c>
      <c r="L2516" s="920">
        <v>12</v>
      </c>
      <c r="M2516" s="920">
        <f t="shared" si="78"/>
        <v>22800</v>
      </c>
      <c r="N2516" s="919"/>
      <c r="O2516" s="919"/>
      <c r="P2516" s="921">
        <f t="shared" si="79"/>
        <v>0</v>
      </c>
    </row>
    <row r="2517" spans="1:16" ht="20.100000000000001" customHeight="1" x14ac:dyDescent="0.25">
      <c r="A2517" s="918" t="s">
        <v>488</v>
      </c>
      <c r="B2517" s="944" t="s">
        <v>3901</v>
      </c>
      <c r="C2517" s="919" t="s">
        <v>3902</v>
      </c>
      <c r="D2517" s="919" t="s">
        <v>4462</v>
      </c>
      <c r="E2517" s="920">
        <v>1320</v>
      </c>
      <c r="F2517" s="919" t="s">
        <v>8498</v>
      </c>
      <c r="G2517" s="919" t="s">
        <v>8499</v>
      </c>
      <c r="H2517" s="919" t="s">
        <v>4462</v>
      </c>
      <c r="I2517" s="919" t="s">
        <v>3686</v>
      </c>
      <c r="J2517" s="919"/>
      <c r="K2517" s="920">
        <v>1</v>
      </c>
      <c r="L2517" s="920">
        <v>12</v>
      </c>
      <c r="M2517" s="920">
        <f t="shared" si="78"/>
        <v>15840</v>
      </c>
      <c r="N2517" s="919"/>
      <c r="O2517" s="919"/>
      <c r="P2517" s="921">
        <f t="shared" si="79"/>
        <v>0</v>
      </c>
    </row>
    <row r="2518" spans="1:16" ht="20.100000000000001" customHeight="1" x14ac:dyDescent="0.25">
      <c r="A2518" s="918" t="s">
        <v>488</v>
      </c>
      <c r="B2518" s="944" t="s">
        <v>3901</v>
      </c>
      <c r="C2518" s="919" t="s">
        <v>3902</v>
      </c>
      <c r="D2518" s="919" t="s">
        <v>6074</v>
      </c>
      <c r="E2518" s="920">
        <v>950</v>
      </c>
      <c r="F2518" s="919" t="s">
        <v>8500</v>
      </c>
      <c r="G2518" s="919" t="s">
        <v>8501</v>
      </c>
      <c r="H2518" s="919" t="s">
        <v>6074</v>
      </c>
      <c r="I2518" s="919" t="s">
        <v>3686</v>
      </c>
      <c r="J2518" s="919"/>
      <c r="K2518" s="920">
        <v>1</v>
      </c>
      <c r="L2518" s="920">
        <v>12</v>
      </c>
      <c r="M2518" s="920">
        <f t="shared" si="78"/>
        <v>11400</v>
      </c>
      <c r="N2518" s="919"/>
      <c r="O2518" s="919"/>
      <c r="P2518" s="921">
        <f t="shared" si="79"/>
        <v>0</v>
      </c>
    </row>
    <row r="2519" spans="1:16" ht="20.100000000000001" customHeight="1" x14ac:dyDescent="0.25">
      <c r="A2519" s="918" t="s">
        <v>488</v>
      </c>
      <c r="B2519" s="944" t="s">
        <v>3901</v>
      </c>
      <c r="C2519" s="919" t="s">
        <v>3902</v>
      </c>
      <c r="D2519" s="919" t="s">
        <v>8502</v>
      </c>
      <c r="E2519" s="920">
        <v>950</v>
      </c>
      <c r="F2519" s="919" t="s">
        <v>8503</v>
      </c>
      <c r="G2519" s="919" t="s">
        <v>8504</v>
      </c>
      <c r="H2519" s="919" t="s">
        <v>8502</v>
      </c>
      <c r="I2519" s="919" t="s">
        <v>3679</v>
      </c>
      <c r="J2519" s="919"/>
      <c r="K2519" s="920">
        <v>1</v>
      </c>
      <c r="L2519" s="920">
        <v>12</v>
      </c>
      <c r="M2519" s="920">
        <f t="shared" si="78"/>
        <v>11400</v>
      </c>
      <c r="N2519" s="919"/>
      <c r="O2519" s="919"/>
      <c r="P2519" s="921">
        <f t="shared" si="79"/>
        <v>0</v>
      </c>
    </row>
    <row r="2520" spans="1:16" ht="20.100000000000001" customHeight="1" x14ac:dyDescent="0.25">
      <c r="A2520" s="918" t="s">
        <v>488</v>
      </c>
      <c r="B2520" s="944" t="s">
        <v>3901</v>
      </c>
      <c r="C2520" s="919" t="s">
        <v>3902</v>
      </c>
      <c r="D2520" s="919" t="s">
        <v>8361</v>
      </c>
      <c r="E2520" s="920">
        <v>950</v>
      </c>
      <c r="F2520" s="919" t="s">
        <v>8505</v>
      </c>
      <c r="G2520" s="919" t="s">
        <v>8506</v>
      </c>
      <c r="H2520" s="919" t="s">
        <v>8361</v>
      </c>
      <c r="I2520" s="919" t="s">
        <v>3686</v>
      </c>
      <c r="J2520" s="919"/>
      <c r="K2520" s="920">
        <v>1</v>
      </c>
      <c r="L2520" s="920">
        <v>12</v>
      </c>
      <c r="M2520" s="920">
        <f t="shared" si="78"/>
        <v>11400</v>
      </c>
      <c r="N2520" s="919"/>
      <c r="O2520" s="919"/>
      <c r="P2520" s="921">
        <f t="shared" si="79"/>
        <v>0</v>
      </c>
    </row>
    <row r="2521" spans="1:16" ht="20.100000000000001" customHeight="1" x14ac:dyDescent="0.25">
      <c r="A2521" s="918" t="s">
        <v>488</v>
      </c>
      <c r="B2521" s="944" t="s">
        <v>3901</v>
      </c>
      <c r="C2521" s="919" t="s">
        <v>3902</v>
      </c>
      <c r="D2521" s="919" t="s">
        <v>3999</v>
      </c>
      <c r="E2521" s="920">
        <v>1700</v>
      </c>
      <c r="F2521" s="919" t="s">
        <v>8507</v>
      </c>
      <c r="G2521" s="919" t="s">
        <v>8508</v>
      </c>
      <c r="H2521" s="919" t="s">
        <v>3999</v>
      </c>
      <c r="I2521" s="919" t="s">
        <v>3724</v>
      </c>
      <c r="J2521" s="919"/>
      <c r="K2521" s="920">
        <v>1</v>
      </c>
      <c r="L2521" s="920">
        <v>12</v>
      </c>
      <c r="M2521" s="920">
        <f t="shared" si="78"/>
        <v>20400</v>
      </c>
      <c r="N2521" s="919"/>
      <c r="O2521" s="919"/>
      <c r="P2521" s="921">
        <f t="shared" si="79"/>
        <v>0</v>
      </c>
    </row>
    <row r="2522" spans="1:16" ht="20.100000000000001" customHeight="1" x14ac:dyDescent="0.25">
      <c r="A2522" s="918" t="s">
        <v>488</v>
      </c>
      <c r="B2522" s="944" t="s">
        <v>3901</v>
      </c>
      <c r="C2522" s="919" t="s">
        <v>3902</v>
      </c>
      <c r="D2522" s="919" t="s">
        <v>4382</v>
      </c>
      <c r="E2522" s="920">
        <v>1600</v>
      </c>
      <c r="F2522" s="919" t="s">
        <v>8509</v>
      </c>
      <c r="G2522" s="919" t="s">
        <v>8510</v>
      </c>
      <c r="H2522" s="919" t="s">
        <v>4382</v>
      </c>
      <c r="I2522" s="919" t="s">
        <v>3724</v>
      </c>
      <c r="J2522" s="919"/>
      <c r="K2522" s="920">
        <v>1</v>
      </c>
      <c r="L2522" s="920">
        <v>12</v>
      </c>
      <c r="M2522" s="920">
        <f t="shared" si="78"/>
        <v>19200</v>
      </c>
      <c r="N2522" s="919"/>
      <c r="O2522" s="919"/>
      <c r="P2522" s="921">
        <f t="shared" si="79"/>
        <v>0</v>
      </c>
    </row>
    <row r="2523" spans="1:16" ht="20.100000000000001" customHeight="1" x14ac:dyDescent="0.25">
      <c r="A2523" s="918" t="s">
        <v>488</v>
      </c>
      <c r="B2523" s="944" t="s">
        <v>3901</v>
      </c>
      <c r="C2523" s="919" t="s">
        <v>3902</v>
      </c>
      <c r="D2523" s="919" t="s">
        <v>6145</v>
      </c>
      <c r="E2523" s="920">
        <v>2300</v>
      </c>
      <c r="F2523" s="919" t="s">
        <v>8511</v>
      </c>
      <c r="G2523" s="919" t="s">
        <v>8512</v>
      </c>
      <c r="H2523" s="919" t="s">
        <v>6145</v>
      </c>
      <c r="I2523" s="919" t="s">
        <v>3679</v>
      </c>
      <c r="J2523" s="919"/>
      <c r="K2523" s="920">
        <v>1</v>
      </c>
      <c r="L2523" s="920">
        <v>12</v>
      </c>
      <c r="M2523" s="920">
        <f t="shared" si="78"/>
        <v>27600</v>
      </c>
      <c r="N2523" s="919"/>
      <c r="O2523" s="919"/>
      <c r="P2523" s="921">
        <f t="shared" si="79"/>
        <v>0</v>
      </c>
    </row>
    <row r="2524" spans="1:16" ht="20.100000000000001" customHeight="1" x14ac:dyDescent="0.25">
      <c r="A2524" s="918" t="s">
        <v>488</v>
      </c>
      <c r="B2524" s="944" t="s">
        <v>3901</v>
      </c>
      <c r="C2524" s="919" t="s">
        <v>3902</v>
      </c>
      <c r="D2524" s="919" t="s">
        <v>6115</v>
      </c>
      <c r="E2524" s="920">
        <v>2200</v>
      </c>
      <c r="F2524" s="919" t="s">
        <v>8513</v>
      </c>
      <c r="G2524" s="919" t="s">
        <v>8514</v>
      </c>
      <c r="H2524" s="919" t="s">
        <v>6115</v>
      </c>
      <c r="I2524" s="919" t="s">
        <v>3679</v>
      </c>
      <c r="J2524" s="919"/>
      <c r="K2524" s="920">
        <v>1</v>
      </c>
      <c r="L2524" s="920">
        <v>12</v>
      </c>
      <c r="M2524" s="920">
        <f t="shared" si="78"/>
        <v>26400</v>
      </c>
      <c r="N2524" s="919"/>
      <c r="O2524" s="919"/>
      <c r="P2524" s="921">
        <f t="shared" si="79"/>
        <v>0</v>
      </c>
    </row>
    <row r="2525" spans="1:16" ht="20.100000000000001" customHeight="1" x14ac:dyDescent="0.25">
      <c r="A2525" s="918" t="s">
        <v>488</v>
      </c>
      <c r="B2525" s="944" t="s">
        <v>3901</v>
      </c>
      <c r="C2525" s="919" t="s">
        <v>3902</v>
      </c>
      <c r="D2525" s="919" t="s">
        <v>8341</v>
      </c>
      <c r="E2525" s="920">
        <v>950</v>
      </c>
      <c r="F2525" s="919" t="s">
        <v>8515</v>
      </c>
      <c r="G2525" s="919" t="s">
        <v>8516</v>
      </c>
      <c r="H2525" s="919" t="s">
        <v>8341</v>
      </c>
      <c r="I2525" s="919" t="s">
        <v>3686</v>
      </c>
      <c r="J2525" s="919"/>
      <c r="K2525" s="920">
        <v>1</v>
      </c>
      <c r="L2525" s="920">
        <v>12</v>
      </c>
      <c r="M2525" s="920">
        <f t="shared" si="78"/>
        <v>11400</v>
      </c>
      <c r="N2525" s="919"/>
      <c r="O2525" s="919"/>
      <c r="P2525" s="921">
        <f t="shared" si="79"/>
        <v>0</v>
      </c>
    </row>
    <row r="2526" spans="1:16" ht="20.100000000000001" customHeight="1" x14ac:dyDescent="0.25">
      <c r="A2526" s="918" t="s">
        <v>488</v>
      </c>
      <c r="B2526" s="944" t="s">
        <v>3901</v>
      </c>
      <c r="C2526" s="919" t="s">
        <v>3902</v>
      </c>
      <c r="D2526" s="919" t="s">
        <v>8361</v>
      </c>
      <c r="E2526" s="920">
        <v>950</v>
      </c>
      <c r="F2526" s="919" t="s">
        <v>8517</v>
      </c>
      <c r="G2526" s="919" t="s">
        <v>8518</v>
      </c>
      <c r="H2526" s="919" t="s">
        <v>8361</v>
      </c>
      <c r="I2526" s="919" t="s">
        <v>3686</v>
      </c>
      <c r="J2526" s="919"/>
      <c r="K2526" s="920">
        <v>1</v>
      </c>
      <c r="L2526" s="920">
        <v>12</v>
      </c>
      <c r="M2526" s="920">
        <f t="shared" si="78"/>
        <v>11400</v>
      </c>
      <c r="N2526" s="919"/>
      <c r="O2526" s="919"/>
      <c r="P2526" s="921">
        <f t="shared" si="79"/>
        <v>0</v>
      </c>
    </row>
    <row r="2527" spans="1:16" ht="20.100000000000001" customHeight="1" x14ac:dyDescent="0.25">
      <c r="A2527" s="918" t="s">
        <v>488</v>
      </c>
      <c r="B2527" s="944" t="s">
        <v>3901</v>
      </c>
      <c r="C2527" s="919" t="s">
        <v>3902</v>
      </c>
      <c r="D2527" s="919" t="s">
        <v>8361</v>
      </c>
      <c r="E2527" s="920">
        <v>950</v>
      </c>
      <c r="F2527" s="919" t="s">
        <v>8519</v>
      </c>
      <c r="G2527" s="919" t="s">
        <v>8520</v>
      </c>
      <c r="H2527" s="919" t="s">
        <v>8361</v>
      </c>
      <c r="I2527" s="919" t="s">
        <v>3686</v>
      </c>
      <c r="J2527" s="919"/>
      <c r="K2527" s="920">
        <v>1</v>
      </c>
      <c r="L2527" s="920">
        <v>12</v>
      </c>
      <c r="M2527" s="920">
        <f t="shared" si="78"/>
        <v>11400</v>
      </c>
      <c r="N2527" s="919"/>
      <c r="O2527" s="919"/>
      <c r="P2527" s="921">
        <f t="shared" si="79"/>
        <v>0</v>
      </c>
    </row>
    <row r="2528" spans="1:16" ht="20.100000000000001" customHeight="1" x14ac:dyDescent="0.25">
      <c r="A2528" s="918" t="s">
        <v>488</v>
      </c>
      <c r="B2528" s="944" t="s">
        <v>3901</v>
      </c>
      <c r="C2528" s="919" t="s">
        <v>3902</v>
      </c>
      <c r="D2528" s="919" t="s">
        <v>8361</v>
      </c>
      <c r="E2528" s="920">
        <v>950</v>
      </c>
      <c r="F2528" s="919" t="s">
        <v>8521</v>
      </c>
      <c r="G2528" s="919" t="s">
        <v>8522</v>
      </c>
      <c r="H2528" s="919" t="s">
        <v>8361</v>
      </c>
      <c r="I2528" s="919" t="s">
        <v>3686</v>
      </c>
      <c r="J2528" s="919"/>
      <c r="K2528" s="920">
        <v>1</v>
      </c>
      <c r="L2528" s="920">
        <v>12</v>
      </c>
      <c r="M2528" s="920">
        <f t="shared" si="78"/>
        <v>11400</v>
      </c>
      <c r="N2528" s="919"/>
      <c r="O2528" s="919"/>
      <c r="P2528" s="921">
        <f t="shared" si="79"/>
        <v>0</v>
      </c>
    </row>
    <row r="2529" spans="1:16" ht="20.100000000000001" customHeight="1" x14ac:dyDescent="0.25">
      <c r="A2529" s="918" t="s">
        <v>488</v>
      </c>
      <c r="B2529" s="944" t="s">
        <v>3901</v>
      </c>
      <c r="C2529" s="919" t="s">
        <v>3902</v>
      </c>
      <c r="D2529" s="919" t="s">
        <v>8341</v>
      </c>
      <c r="E2529" s="920">
        <v>950</v>
      </c>
      <c r="F2529" s="919" t="s">
        <v>8523</v>
      </c>
      <c r="G2529" s="919" t="s">
        <v>8524</v>
      </c>
      <c r="H2529" s="919" t="s">
        <v>8341</v>
      </c>
      <c r="I2529" s="919" t="s">
        <v>3686</v>
      </c>
      <c r="J2529" s="919"/>
      <c r="K2529" s="920">
        <v>1</v>
      </c>
      <c r="L2529" s="920">
        <v>12</v>
      </c>
      <c r="M2529" s="920">
        <f t="shared" si="78"/>
        <v>11400</v>
      </c>
      <c r="N2529" s="919"/>
      <c r="O2529" s="919"/>
      <c r="P2529" s="921">
        <f t="shared" si="79"/>
        <v>0</v>
      </c>
    </row>
    <row r="2530" spans="1:16" ht="20.100000000000001" customHeight="1" x14ac:dyDescent="0.25">
      <c r="A2530" s="918" t="s">
        <v>488</v>
      </c>
      <c r="B2530" s="944" t="s">
        <v>3901</v>
      </c>
      <c r="C2530" s="919" t="s">
        <v>3902</v>
      </c>
      <c r="D2530" s="919" t="s">
        <v>8341</v>
      </c>
      <c r="E2530" s="920">
        <v>950</v>
      </c>
      <c r="F2530" s="919" t="s">
        <v>8525</v>
      </c>
      <c r="G2530" s="919" t="s">
        <v>8526</v>
      </c>
      <c r="H2530" s="919" t="s">
        <v>8341</v>
      </c>
      <c r="I2530" s="919" t="s">
        <v>3686</v>
      </c>
      <c r="J2530" s="919"/>
      <c r="K2530" s="920">
        <v>1</v>
      </c>
      <c r="L2530" s="920">
        <v>12</v>
      </c>
      <c r="M2530" s="920">
        <f t="shared" si="78"/>
        <v>11400</v>
      </c>
      <c r="N2530" s="919"/>
      <c r="O2530" s="919"/>
      <c r="P2530" s="921">
        <f t="shared" si="79"/>
        <v>0</v>
      </c>
    </row>
    <row r="2531" spans="1:16" ht="20.100000000000001" customHeight="1" x14ac:dyDescent="0.25">
      <c r="A2531" s="918" t="s">
        <v>488</v>
      </c>
      <c r="B2531" s="944" t="s">
        <v>3901</v>
      </c>
      <c r="C2531" s="919" t="s">
        <v>3902</v>
      </c>
      <c r="D2531" s="919" t="s">
        <v>8341</v>
      </c>
      <c r="E2531" s="920">
        <v>950</v>
      </c>
      <c r="F2531" s="919" t="s">
        <v>8527</v>
      </c>
      <c r="G2531" s="919" t="s">
        <v>8528</v>
      </c>
      <c r="H2531" s="919" t="s">
        <v>8341</v>
      </c>
      <c r="I2531" s="919" t="s">
        <v>3686</v>
      </c>
      <c r="J2531" s="919"/>
      <c r="K2531" s="920">
        <v>1</v>
      </c>
      <c r="L2531" s="920">
        <v>12</v>
      </c>
      <c r="M2531" s="920">
        <f t="shared" si="78"/>
        <v>11400</v>
      </c>
      <c r="N2531" s="919"/>
      <c r="O2531" s="919"/>
      <c r="P2531" s="921">
        <f t="shared" si="79"/>
        <v>0</v>
      </c>
    </row>
    <row r="2532" spans="1:16" ht="20.100000000000001" customHeight="1" x14ac:dyDescent="0.25">
      <c r="A2532" s="918" t="s">
        <v>488</v>
      </c>
      <c r="B2532" s="944" t="s">
        <v>3901</v>
      </c>
      <c r="C2532" s="919" t="s">
        <v>3902</v>
      </c>
      <c r="D2532" s="919" t="s">
        <v>8341</v>
      </c>
      <c r="E2532" s="920">
        <v>950</v>
      </c>
      <c r="F2532" s="919" t="s">
        <v>8529</v>
      </c>
      <c r="G2532" s="919" t="s">
        <v>8530</v>
      </c>
      <c r="H2532" s="919" t="s">
        <v>8341</v>
      </c>
      <c r="I2532" s="919" t="s">
        <v>3686</v>
      </c>
      <c r="J2532" s="919"/>
      <c r="K2532" s="920">
        <v>1</v>
      </c>
      <c r="L2532" s="920">
        <v>12</v>
      </c>
      <c r="M2532" s="920">
        <f t="shared" si="78"/>
        <v>11400</v>
      </c>
      <c r="N2532" s="919"/>
      <c r="O2532" s="919"/>
      <c r="P2532" s="921">
        <f t="shared" si="79"/>
        <v>0</v>
      </c>
    </row>
    <row r="2533" spans="1:16" ht="20.100000000000001" customHeight="1" x14ac:dyDescent="0.25">
      <c r="A2533" s="918" t="s">
        <v>488</v>
      </c>
      <c r="B2533" s="944" t="s">
        <v>3901</v>
      </c>
      <c r="C2533" s="919" t="s">
        <v>3902</v>
      </c>
      <c r="D2533" s="919" t="s">
        <v>4352</v>
      </c>
      <c r="E2533" s="920">
        <v>2100</v>
      </c>
      <c r="F2533" s="919" t="s">
        <v>8531</v>
      </c>
      <c r="G2533" s="919" t="s">
        <v>8532</v>
      </c>
      <c r="H2533" s="919" t="s">
        <v>4352</v>
      </c>
      <c r="I2533" s="919" t="s">
        <v>3724</v>
      </c>
      <c r="J2533" s="919"/>
      <c r="K2533" s="920">
        <v>1</v>
      </c>
      <c r="L2533" s="920">
        <v>12</v>
      </c>
      <c r="M2533" s="920">
        <f t="shared" si="78"/>
        <v>25200</v>
      </c>
      <c r="N2533" s="919"/>
      <c r="O2533" s="919"/>
      <c r="P2533" s="921">
        <f t="shared" si="79"/>
        <v>0</v>
      </c>
    </row>
    <row r="2534" spans="1:16" ht="20.100000000000001" customHeight="1" x14ac:dyDescent="0.25">
      <c r="A2534" s="918" t="s">
        <v>488</v>
      </c>
      <c r="B2534" s="944" t="s">
        <v>3901</v>
      </c>
      <c r="C2534" s="919" t="s">
        <v>3902</v>
      </c>
      <c r="D2534" s="919" t="s">
        <v>8361</v>
      </c>
      <c r="E2534" s="920">
        <v>950</v>
      </c>
      <c r="F2534" s="919" t="s">
        <v>8533</v>
      </c>
      <c r="G2534" s="919" t="s">
        <v>8534</v>
      </c>
      <c r="H2534" s="919" t="s">
        <v>8361</v>
      </c>
      <c r="I2534" s="919" t="s">
        <v>3686</v>
      </c>
      <c r="J2534" s="919"/>
      <c r="K2534" s="920">
        <v>1</v>
      </c>
      <c r="L2534" s="920">
        <v>12</v>
      </c>
      <c r="M2534" s="920">
        <f t="shared" si="78"/>
        <v>11400</v>
      </c>
      <c r="N2534" s="919"/>
      <c r="O2534" s="919"/>
      <c r="P2534" s="921">
        <f t="shared" si="79"/>
        <v>0</v>
      </c>
    </row>
    <row r="2535" spans="1:16" ht="20.100000000000001" customHeight="1" x14ac:dyDescent="0.25">
      <c r="A2535" s="918" t="s">
        <v>488</v>
      </c>
      <c r="B2535" s="944" t="s">
        <v>3901</v>
      </c>
      <c r="C2535" s="919" t="s">
        <v>3902</v>
      </c>
      <c r="D2535" s="919" t="s">
        <v>6125</v>
      </c>
      <c r="E2535" s="920">
        <v>1600</v>
      </c>
      <c r="F2535" s="919" t="s">
        <v>8535</v>
      </c>
      <c r="G2535" s="919" t="s">
        <v>8536</v>
      </c>
      <c r="H2535" s="919" t="s">
        <v>6125</v>
      </c>
      <c r="I2535" s="919" t="s">
        <v>3724</v>
      </c>
      <c r="J2535" s="919"/>
      <c r="K2535" s="920">
        <v>1</v>
      </c>
      <c r="L2535" s="920">
        <v>12</v>
      </c>
      <c r="M2535" s="920">
        <f t="shared" si="78"/>
        <v>19200</v>
      </c>
      <c r="N2535" s="919"/>
      <c r="O2535" s="919"/>
      <c r="P2535" s="921">
        <f t="shared" si="79"/>
        <v>0</v>
      </c>
    </row>
    <row r="2536" spans="1:16" ht="20.100000000000001" customHeight="1" x14ac:dyDescent="0.25">
      <c r="A2536" s="918" t="s">
        <v>488</v>
      </c>
      <c r="B2536" s="944" t="s">
        <v>3901</v>
      </c>
      <c r="C2536" s="919" t="s">
        <v>3902</v>
      </c>
      <c r="D2536" s="919" t="s">
        <v>4462</v>
      </c>
      <c r="E2536" s="920">
        <v>1320</v>
      </c>
      <c r="F2536" s="919" t="s">
        <v>8537</v>
      </c>
      <c r="G2536" s="919" t="s">
        <v>8538</v>
      </c>
      <c r="H2536" s="919" t="s">
        <v>4462</v>
      </c>
      <c r="I2536" s="919" t="s">
        <v>3686</v>
      </c>
      <c r="J2536" s="919"/>
      <c r="K2536" s="920">
        <v>1</v>
      </c>
      <c r="L2536" s="920">
        <v>12</v>
      </c>
      <c r="M2536" s="920">
        <f t="shared" si="78"/>
        <v>15840</v>
      </c>
      <c r="N2536" s="919"/>
      <c r="O2536" s="919"/>
      <c r="P2536" s="921">
        <f t="shared" si="79"/>
        <v>0</v>
      </c>
    </row>
    <row r="2537" spans="1:16" ht="20.100000000000001" customHeight="1" x14ac:dyDescent="0.25">
      <c r="A2537" s="918" t="s">
        <v>488</v>
      </c>
      <c r="B2537" s="944" t="s">
        <v>3901</v>
      </c>
      <c r="C2537" s="919" t="s">
        <v>3902</v>
      </c>
      <c r="D2537" s="919" t="s">
        <v>4462</v>
      </c>
      <c r="E2537" s="920">
        <v>1500</v>
      </c>
      <c r="F2537" s="919" t="s">
        <v>8539</v>
      </c>
      <c r="G2537" s="919" t="s">
        <v>8540</v>
      </c>
      <c r="H2537" s="919" t="s">
        <v>4462</v>
      </c>
      <c r="I2537" s="919" t="s">
        <v>3686</v>
      </c>
      <c r="J2537" s="919"/>
      <c r="K2537" s="920">
        <v>1</v>
      </c>
      <c r="L2537" s="920">
        <v>12</v>
      </c>
      <c r="M2537" s="920">
        <f t="shared" si="78"/>
        <v>18000</v>
      </c>
      <c r="N2537" s="919"/>
      <c r="O2537" s="919"/>
      <c r="P2537" s="921">
        <f t="shared" si="79"/>
        <v>0</v>
      </c>
    </row>
    <row r="2538" spans="1:16" ht="20.100000000000001" customHeight="1" x14ac:dyDescent="0.25">
      <c r="A2538" s="918" t="s">
        <v>488</v>
      </c>
      <c r="B2538" s="944" t="s">
        <v>3901</v>
      </c>
      <c r="C2538" s="919" t="s">
        <v>3902</v>
      </c>
      <c r="D2538" s="919" t="s">
        <v>8541</v>
      </c>
      <c r="E2538" s="920">
        <v>2100</v>
      </c>
      <c r="F2538" s="919" t="s">
        <v>8542</v>
      </c>
      <c r="G2538" s="919" t="s">
        <v>8543</v>
      </c>
      <c r="H2538" s="919" t="s">
        <v>8541</v>
      </c>
      <c r="I2538" s="919" t="s">
        <v>3724</v>
      </c>
      <c r="J2538" s="919"/>
      <c r="K2538" s="920">
        <v>1</v>
      </c>
      <c r="L2538" s="920">
        <v>12</v>
      </c>
      <c r="M2538" s="920">
        <f t="shared" si="78"/>
        <v>25200</v>
      </c>
      <c r="N2538" s="919"/>
      <c r="O2538" s="919"/>
      <c r="P2538" s="921">
        <f t="shared" si="79"/>
        <v>0</v>
      </c>
    </row>
    <row r="2539" spans="1:16" ht="20.100000000000001" customHeight="1" x14ac:dyDescent="0.25">
      <c r="A2539" s="918" t="s">
        <v>488</v>
      </c>
      <c r="B2539" s="944" t="s">
        <v>3901</v>
      </c>
      <c r="C2539" s="919" t="s">
        <v>3902</v>
      </c>
      <c r="D2539" s="919" t="s">
        <v>8541</v>
      </c>
      <c r="E2539" s="920">
        <v>1900</v>
      </c>
      <c r="F2539" s="919" t="s">
        <v>8544</v>
      </c>
      <c r="G2539" s="919" t="s">
        <v>8545</v>
      </c>
      <c r="H2539" s="919" t="s">
        <v>8541</v>
      </c>
      <c r="I2539" s="919" t="s">
        <v>3724</v>
      </c>
      <c r="J2539" s="919"/>
      <c r="K2539" s="920">
        <v>1</v>
      </c>
      <c r="L2539" s="920">
        <v>12</v>
      </c>
      <c r="M2539" s="920">
        <f t="shared" si="78"/>
        <v>22800</v>
      </c>
      <c r="N2539" s="919"/>
      <c r="O2539" s="919"/>
      <c r="P2539" s="921">
        <f t="shared" si="79"/>
        <v>0</v>
      </c>
    </row>
    <row r="2540" spans="1:16" ht="20.100000000000001" customHeight="1" x14ac:dyDescent="0.25">
      <c r="A2540" s="918" t="s">
        <v>488</v>
      </c>
      <c r="B2540" s="944" t="s">
        <v>3901</v>
      </c>
      <c r="C2540" s="919" t="s">
        <v>3902</v>
      </c>
      <c r="D2540" s="919" t="s">
        <v>7193</v>
      </c>
      <c r="E2540" s="920">
        <v>1600</v>
      </c>
      <c r="F2540" s="919" t="s">
        <v>4041</v>
      </c>
      <c r="G2540" s="919" t="s">
        <v>4042</v>
      </c>
      <c r="H2540" s="919" t="s">
        <v>7193</v>
      </c>
      <c r="I2540" s="919" t="s">
        <v>3724</v>
      </c>
      <c r="J2540" s="919"/>
      <c r="K2540" s="920">
        <v>1</v>
      </c>
      <c r="L2540" s="920">
        <v>12</v>
      </c>
      <c r="M2540" s="920">
        <f t="shared" si="78"/>
        <v>19200</v>
      </c>
      <c r="N2540" s="919"/>
      <c r="O2540" s="919"/>
      <c r="P2540" s="921">
        <f t="shared" si="79"/>
        <v>0</v>
      </c>
    </row>
    <row r="2541" spans="1:16" ht="20.100000000000001" customHeight="1" x14ac:dyDescent="0.25">
      <c r="A2541" s="918" t="s">
        <v>488</v>
      </c>
      <c r="B2541" s="944" t="s">
        <v>3901</v>
      </c>
      <c r="C2541" s="919" t="s">
        <v>3902</v>
      </c>
      <c r="D2541" s="919" t="s">
        <v>3999</v>
      </c>
      <c r="E2541" s="920">
        <v>2700</v>
      </c>
      <c r="F2541" s="919" t="s">
        <v>8546</v>
      </c>
      <c r="G2541" s="919" t="s">
        <v>8547</v>
      </c>
      <c r="H2541" s="919" t="s">
        <v>3999</v>
      </c>
      <c r="I2541" s="919" t="s">
        <v>3724</v>
      </c>
      <c r="J2541" s="919"/>
      <c r="K2541" s="920">
        <v>1</v>
      </c>
      <c r="L2541" s="920">
        <v>12</v>
      </c>
      <c r="M2541" s="920">
        <f t="shared" si="78"/>
        <v>32400</v>
      </c>
      <c r="N2541" s="919"/>
      <c r="O2541" s="919"/>
      <c r="P2541" s="921">
        <f t="shared" si="79"/>
        <v>0</v>
      </c>
    </row>
    <row r="2542" spans="1:16" ht="20.100000000000001" customHeight="1" x14ac:dyDescent="0.25">
      <c r="A2542" s="918" t="s">
        <v>488</v>
      </c>
      <c r="B2542" s="944" t="s">
        <v>3901</v>
      </c>
      <c r="C2542" s="919" t="s">
        <v>3902</v>
      </c>
      <c r="D2542" s="919" t="s">
        <v>4462</v>
      </c>
      <c r="E2542" s="920">
        <v>1800</v>
      </c>
      <c r="F2542" s="919" t="s">
        <v>4041</v>
      </c>
      <c r="G2542" s="919" t="s">
        <v>4042</v>
      </c>
      <c r="H2542" s="919" t="s">
        <v>4462</v>
      </c>
      <c r="I2542" s="919" t="s">
        <v>3686</v>
      </c>
      <c r="J2542" s="919"/>
      <c r="K2542" s="920">
        <v>1</v>
      </c>
      <c r="L2542" s="920">
        <v>12</v>
      </c>
      <c r="M2542" s="920">
        <f t="shared" si="78"/>
        <v>21600</v>
      </c>
      <c r="N2542" s="919"/>
      <c r="O2542" s="919"/>
      <c r="P2542" s="921">
        <f t="shared" si="79"/>
        <v>0</v>
      </c>
    </row>
    <row r="2543" spans="1:16" ht="20.100000000000001" customHeight="1" x14ac:dyDescent="0.25">
      <c r="A2543" s="918" t="s">
        <v>488</v>
      </c>
      <c r="B2543" s="944" t="s">
        <v>3901</v>
      </c>
      <c r="C2543" s="919" t="s">
        <v>3902</v>
      </c>
      <c r="D2543" s="919" t="s">
        <v>8541</v>
      </c>
      <c r="E2543" s="920">
        <v>2400</v>
      </c>
      <c r="F2543" s="919" t="s">
        <v>8548</v>
      </c>
      <c r="G2543" s="919" t="s">
        <v>8549</v>
      </c>
      <c r="H2543" s="919" t="s">
        <v>8541</v>
      </c>
      <c r="I2543" s="919" t="s">
        <v>3724</v>
      </c>
      <c r="J2543" s="919"/>
      <c r="K2543" s="920">
        <v>1</v>
      </c>
      <c r="L2543" s="920">
        <v>12</v>
      </c>
      <c r="M2543" s="920">
        <f t="shared" si="78"/>
        <v>28800</v>
      </c>
      <c r="N2543" s="919"/>
      <c r="O2543" s="919"/>
      <c r="P2543" s="921">
        <f t="shared" si="79"/>
        <v>0</v>
      </c>
    </row>
    <row r="2544" spans="1:16" ht="20.100000000000001" customHeight="1" x14ac:dyDescent="0.25">
      <c r="A2544" s="918" t="s">
        <v>488</v>
      </c>
      <c r="B2544" s="944" t="s">
        <v>3901</v>
      </c>
      <c r="C2544" s="919" t="s">
        <v>3902</v>
      </c>
      <c r="D2544" s="919" t="s">
        <v>3999</v>
      </c>
      <c r="E2544" s="920">
        <v>2100</v>
      </c>
      <c r="F2544" s="919" t="s">
        <v>4041</v>
      </c>
      <c r="G2544" s="919" t="s">
        <v>4042</v>
      </c>
      <c r="H2544" s="919" t="s">
        <v>3999</v>
      </c>
      <c r="I2544" s="919" t="s">
        <v>3724</v>
      </c>
      <c r="J2544" s="919"/>
      <c r="K2544" s="920">
        <v>1</v>
      </c>
      <c r="L2544" s="920">
        <v>12</v>
      </c>
      <c r="M2544" s="920">
        <f t="shared" si="78"/>
        <v>25200</v>
      </c>
      <c r="N2544" s="919"/>
      <c r="O2544" s="919"/>
      <c r="P2544" s="921">
        <f t="shared" si="79"/>
        <v>0</v>
      </c>
    </row>
    <row r="2545" spans="1:16" ht="20.100000000000001" customHeight="1" x14ac:dyDescent="0.25">
      <c r="A2545" s="918" t="s">
        <v>488</v>
      </c>
      <c r="B2545" s="944" t="s">
        <v>3901</v>
      </c>
      <c r="C2545" s="919" t="s">
        <v>3902</v>
      </c>
      <c r="D2545" s="919" t="s">
        <v>4462</v>
      </c>
      <c r="E2545" s="920">
        <v>1600</v>
      </c>
      <c r="F2545" s="919" t="s">
        <v>4041</v>
      </c>
      <c r="G2545" s="919" t="s">
        <v>4042</v>
      </c>
      <c r="H2545" s="919" t="s">
        <v>4462</v>
      </c>
      <c r="I2545" s="919" t="s">
        <v>3686</v>
      </c>
      <c r="J2545" s="919"/>
      <c r="K2545" s="920">
        <v>1</v>
      </c>
      <c r="L2545" s="920">
        <v>12</v>
      </c>
      <c r="M2545" s="920">
        <f t="shared" si="78"/>
        <v>19200</v>
      </c>
      <c r="N2545" s="919"/>
      <c r="O2545" s="919"/>
      <c r="P2545" s="921">
        <f t="shared" si="79"/>
        <v>0</v>
      </c>
    </row>
    <row r="2546" spans="1:16" ht="20.100000000000001" customHeight="1" x14ac:dyDescent="0.25">
      <c r="A2546" s="918" t="s">
        <v>488</v>
      </c>
      <c r="B2546" s="944" t="s">
        <v>3901</v>
      </c>
      <c r="C2546" s="919" t="s">
        <v>3902</v>
      </c>
      <c r="D2546" s="919" t="s">
        <v>4462</v>
      </c>
      <c r="E2546" s="920">
        <v>1500</v>
      </c>
      <c r="F2546" s="919" t="s">
        <v>8550</v>
      </c>
      <c r="G2546" s="919" t="s">
        <v>8551</v>
      </c>
      <c r="H2546" s="919" t="s">
        <v>4462</v>
      </c>
      <c r="I2546" s="919" t="s">
        <v>3686</v>
      </c>
      <c r="J2546" s="919"/>
      <c r="K2546" s="920">
        <v>1</v>
      </c>
      <c r="L2546" s="920">
        <v>12</v>
      </c>
      <c r="M2546" s="920">
        <f t="shared" si="78"/>
        <v>18000</v>
      </c>
      <c r="N2546" s="919"/>
      <c r="O2546" s="919"/>
      <c r="P2546" s="921">
        <f t="shared" si="79"/>
        <v>0</v>
      </c>
    </row>
    <row r="2547" spans="1:16" ht="20.100000000000001" customHeight="1" x14ac:dyDescent="0.25">
      <c r="A2547" s="918" t="s">
        <v>488</v>
      </c>
      <c r="B2547" s="944" t="s">
        <v>3901</v>
      </c>
      <c r="C2547" s="919" t="s">
        <v>3902</v>
      </c>
      <c r="D2547" s="919" t="s">
        <v>4462</v>
      </c>
      <c r="E2547" s="920">
        <v>1500</v>
      </c>
      <c r="F2547" s="919" t="s">
        <v>8552</v>
      </c>
      <c r="G2547" s="919" t="s">
        <v>8553</v>
      </c>
      <c r="H2547" s="919" t="s">
        <v>4462</v>
      </c>
      <c r="I2547" s="919" t="s">
        <v>3686</v>
      </c>
      <c r="J2547" s="919"/>
      <c r="K2547" s="920">
        <v>1</v>
      </c>
      <c r="L2547" s="920">
        <v>12</v>
      </c>
      <c r="M2547" s="920">
        <f t="shared" si="78"/>
        <v>18000</v>
      </c>
      <c r="N2547" s="919"/>
      <c r="O2547" s="919"/>
      <c r="P2547" s="921">
        <f t="shared" si="79"/>
        <v>0</v>
      </c>
    </row>
    <row r="2548" spans="1:16" ht="20.100000000000001" customHeight="1" x14ac:dyDescent="0.25">
      <c r="A2548" s="918" t="s">
        <v>488</v>
      </c>
      <c r="B2548" s="944" t="s">
        <v>3901</v>
      </c>
      <c r="C2548" s="919" t="s">
        <v>3902</v>
      </c>
      <c r="D2548" s="919" t="s">
        <v>8341</v>
      </c>
      <c r="E2548" s="920">
        <v>950</v>
      </c>
      <c r="F2548" s="919" t="s">
        <v>8554</v>
      </c>
      <c r="G2548" s="919" t="s">
        <v>8555</v>
      </c>
      <c r="H2548" s="919" t="s">
        <v>8341</v>
      </c>
      <c r="I2548" s="919" t="s">
        <v>3686</v>
      </c>
      <c r="J2548" s="919"/>
      <c r="K2548" s="920">
        <v>1</v>
      </c>
      <c r="L2548" s="920">
        <v>12</v>
      </c>
      <c r="M2548" s="920">
        <f t="shared" si="78"/>
        <v>11400</v>
      </c>
      <c r="N2548" s="919"/>
      <c r="O2548" s="919"/>
      <c r="P2548" s="921">
        <f t="shared" si="79"/>
        <v>0</v>
      </c>
    </row>
    <row r="2549" spans="1:16" ht="20.100000000000001" customHeight="1" x14ac:dyDescent="0.25">
      <c r="A2549" s="918" t="s">
        <v>488</v>
      </c>
      <c r="B2549" s="944" t="s">
        <v>3901</v>
      </c>
      <c r="C2549" s="919" t="s">
        <v>3902</v>
      </c>
      <c r="D2549" s="919" t="s">
        <v>3999</v>
      </c>
      <c r="E2549" s="920">
        <v>2100</v>
      </c>
      <c r="F2549" s="919" t="s">
        <v>8556</v>
      </c>
      <c r="G2549" s="919" t="s">
        <v>8557</v>
      </c>
      <c r="H2549" s="919" t="s">
        <v>3999</v>
      </c>
      <c r="I2549" s="919" t="s">
        <v>3724</v>
      </c>
      <c r="J2549" s="919"/>
      <c r="K2549" s="920">
        <v>1</v>
      </c>
      <c r="L2549" s="920">
        <v>12</v>
      </c>
      <c r="M2549" s="920">
        <f t="shared" si="78"/>
        <v>25200</v>
      </c>
      <c r="N2549" s="919"/>
      <c r="O2549" s="919"/>
      <c r="P2549" s="921">
        <f t="shared" si="79"/>
        <v>0</v>
      </c>
    </row>
    <row r="2550" spans="1:16" ht="20.100000000000001" customHeight="1" x14ac:dyDescent="0.25">
      <c r="A2550" s="918" t="s">
        <v>488</v>
      </c>
      <c r="B2550" s="944" t="s">
        <v>3901</v>
      </c>
      <c r="C2550" s="919" t="s">
        <v>3902</v>
      </c>
      <c r="D2550" s="919" t="s">
        <v>8541</v>
      </c>
      <c r="E2550" s="920">
        <v>2100</v>
      </c>
      <c r="F2550" s="919" t="s">
        <v>8558</v>
      </c>
      <c r="G2550" s="919" t="s">
        <v>8559</v>
      </c>
      <c r="H2550" s="919" t="s">
        <v>8541</v>
      </c>
      <c r="I2550" s="919" t="s">
        <v>3724</v>
      </c>
      <c r="J2550" s="919"/>
      <c r="K2550" s="920">
        <v>1</v>
      </c>
      <c r="L2550" s="920">
        <v>12</v>
      </c>
      <c r="M2550" s="920">
        <f t="shared" si="78"/>
        <v>25200</v>
      </c>
      <c r="N2550" s="919"/>
      <c r="O2550" s="919"/>
      <c r="P2550" s="921">
        <f t="shared" si="79"/>
        <v>0</v>
      </c>
    </row>
    <row r="2551" spans="1:16" ht="20.100000000000001" customHeight="1" x14ac:dyDescent="0.25">
      <c r="A2551" s="918" t="s">
        <v>488</v>
      </c>
      <c r="B2551" s="944" t="s">
        <v>3901</v>
      </c>
      <c r="C2551" s="919" t="s">
        <v>3902</v>
      </c>
      <c r="D2551" s="919" t="s">
        <v>4352</v>
      </c>
      <c r="E2551" s="920">
        <v>2100</v>
      </c>
      <c r="F2551" s="919" t="s">
        <v>4041</v>
      </c>
      <c r="G2551" s="919" t="s">
        <v>4042</v>
      </c>
      <c r="H2551" s="919" t="s">
        <v>4352</v>
      </c>
      <c r="I2551" s="919" t="s">
        <v>3724</v>
      </c>
      <c r="J2551" s="919"/>
      <c r="K2551" s="920">
        <v>1</v>
      </c>
      <c r="L2551" s="920">
        <v>12</v>
      </c>
      <c r="M2551" s="920">
        <f t="shared" si="78"/>
        <v>25200</v>
      </c>
      <c r="N2551" s="919"/>
      <c r="O2551" s="919"/>
      <c r="P2551" s="921">
        <f t="shared" si="79"/>
        <v>0</v>
      </c>
    </row>
    <row r="2552" spans="1:16" ht="20.100000000000001" customHeight="1" x14ac:dyDescent="0.25">
      <c r="A2552" s="918" t="s">
        <v>488</v>
      </c>
      <c r="B2552" s="944" t="s">
        <v>3901</v>
      </c>
      <c r="C2552" s="919" t="s">
        <v>3902</v>
      </c>
      <c r="D2552" s="919" t="s">
        <v>4462</v>
      </c>
      <c r="E2552" s="920">
        <v>1400</v>
      </c>
      <c r="F2552" s="919" t="s">
        <v>8560</v>
      </c>
      <c r="G2552" s="919" t="s">
        <v>8561</v>
      </c>
      <c r="H2552" s="919" t="s">
        <v>4462</v>
      </c>
      <c r="I2552" s="919" t="s">
        <v>3686</v>
      </c>
      <c r="J2552" s="919"/>
      <c r="K2552" s="920">
        <v>1</v>
      </c>
      <c r="L2552" s="920">
        <v>12</v>
      </c>
      <c r="M2552" s="920">
        <f t="shared" si="78"/>
        <v>16800</v>
      </c>
      <c r="N2552" s="919"/>
      <c r="O2552" s="919"/>
      <c r="P2552" s="921">
        <f t="shared" si="79"/>
        <v>0</v>
      </c>
    </row>
    <row r="2553" spans="1:16" ht="20.100000000000001" customHeight="1" x14ac:dyDescent="0.25">
      <c r="A2553" s="918" t="s">
        <v>488</v>
      </c>
      <c r="B2553" s="944" t="s">
        <v>3901</v>
      </c>
      <c r="C2553" s="919" t="s">
        <v>3902</v>
      </c>
      <c r="D2553" s="919" t="s">
        <v>8341</v>
      </c>
      <c r="E2553" s="920">
        <v>950</v>
      </c>
      <c r="F2553" s="919" t="s">
        <v>8562</v>
      </c>
      <c r="G2553" s="919" t="s">
        <v>8563</v>
      </c>
      <c r="H2553" s="919" t="s">
        <v>8341</v>
      </c>
      <c r="I2553" s="919" t="s">
        <v>3686</v>
      </c>
      <c r="J2553" s="919"/>
      <c r="K2553" s="920">
        <v>1</v>
      </c>
      <c r="L2553" s="920">
        <v>12</v>
      </c>
      <c r="M2553" s="920">
        <f t="shared" si="78"/>
        <v>11400</v>
      </c>
      <c r="N2553" s="919"/>
      <c r="O2553" s="919"/>
      <c r="P2553" s="921">
        <f t="shared" si="79"/>
        <v>0</v>
      </c>
    </row>
    <row r="2554" spans="1:16" ht="20.100000000000001" customHeight="1" x14ac:dyDescent="0.25">
      <c r="A2554" s="918" t="s">
        <v>488</v>
      </c>
      <c r="B2554" s="944" t="s">
        <v>3901</v>
      </c>
      <c r="C2554" s="919" t="s">
        <v>3902</v>
      </c>
      <c r="D2554" s="919" t="s">
        <v>4462</v>
      </c>
      <c r="E2554" s="920">
        <v>1400</v>
      </c>
      <c r="F2554" s="919" t="s">
        <v>8564</v>
      </c>
      <c r="G2554" s="919" t="s">
        <v>8565</v>
      </c>
      <c r="H2554" s="919" t="s">
        <v>4462</v>
      </c>
      <c r="I2554" s="919" t="s">
        <v>3686</v>
      </c>
      <c r="J2554" s="919"/>
      <c r="K2554" s="920">
        <v>1</v>
      </c>
      <c r="L2554" s="920">
        <v>12</v>
      </c>
      <c r="M2554" s="920">
        <f t="shared" si="78"/>
        <v>16800</v>
      </c>
      <c r="N2554" s="919"/>
      <c r="O2554" s="919"/>
      <c r="P2554" s="921">
        <f t="shared" si="79"/>
        <v>0</v>
      </c>
    </row>
    <row r="2555" spans="1:16" ht="20.100000000000001" customHeight="1" x14ac:dyDescent="0.25">
      <c r="A2555" s="918" t="s">
        <v>488</v>
      </c>
      <c r="B2555" s="944" t="s">
        <v>3901</v>
      </c>
      <c r="C2555" s="919" t="s">
        <v>3902</v>
      </c>
      <c r="D2555" s="919" t="s">
        <v>4462</v>
      </c>
      <c r="E2555" s="920">
        <v>1800</v>
      </c>
      <c r="F2555" s="919" t="s">
        <v>8566</v>
      </c>
      <c r="G2555" s="919" t="s">
        <v>8567</v>
      </c>
      <c r="H2555" s="919" t="s">
        <v>4462</v>
      </c>
      <c r="I2555" s="919" t="s">
        <v>3686</v>
      </c>
      <c r="J2555" s="919"/>
      <c r="K2555" s="920">
        <v>1</v>
      </c>
      <c r="L2555" s="920">
        <v>12</v>
      </c>
      <c r="M2555" s="920">
        <f t="shared" si="78"/>
        <v>21600</v>
      </c>
      <c r="N2555" s="919"/>
      <c r="O2555" s="919"/>
      <c r="P2555" s="921">
        <f t="shared" si="79"/>
        <v>0</v>
      </c>
    </row>
    <row r="2556" spans="1:16" ht="20.100000000000001" customHeight="1" x14ac:dyDescent="0.25">
      <c r="A2556" s="918" t="s">
        <v>488</v>
      </c>
      <c r="B2556" s="944" t="s">
        <v>3901</v>
      </c>
      <c r="C2556" s="919" t="s">
        <v>3902</v>
      </c>
      <c r="D2556" s="919" t="s">
        <v>4462</v>
      </c>
      <c r="E2556" s="920">
        <v>1400</v>
      </c>
      <c r="F2556" s="919" t="s">
        <v>8568</v>
      </c>
      <c r="G2556" s="919" t="s">
        <v>8569</v>
      </c>
      <c r="H2556" s="919" t="s">
        <v>4462</v>
      </c>
      <c r="I2556" s="919" t="s">
        <v>3686</v>
      </c>
      <c r="J2556" s="919"/>
      <c r="K2556" s="920">
        <v>1</v>
      </c>
      <c r="L2556" s="920">
        <v>12</v>
      </c>
      <c r="M2556" s="920">
        <f t="shared" si="78"/>
        <v>16800</v>
      </c>
      <c r="N2556" s="919"/>
      <c r="O2556" s="919"/>
      <c r="P2556" s="921">
        <f t="shared" si="79"/>
        <v>0</v>
      </c>
    </row>
    <row r="2557" spans="1:16" ht="20.100000000000001" customHeight="1" x14ac:dyDescent="0.25">
      <c r="A2557" s="918" t="s">
        <v>488</v>
      </c>
      <c r="B2557" s="944" t="s">
        <v>3901</v>
      </c>
      <c r="C2557" s="919" t="s">
        <v>3902</v>
      </c>
      <c r="D2557" s="919" t="s">
        <v>4375</v>
      </c>
      <c r="E2557" s="920">
        <v>3000</v>
      </c>
      <c r="F2557" s="919" t="s">
        <v>8570</v>
      </c>
      <c r="G2557" s="919" t="s">
        <v>8571</v>
      </c>
      <c r="H2557" s="919" t="s">
        <v>4375</v>
      </c>
      <c r="I2557" s="919" t="s">
        <v>3724</v>
      </c>
      <c r="J2557" s="919"/>
      <c r="K2557" s="920">
        <v>1</v>
      </c>
      <c r="L2557" s="920">
        <v>12</v>
      </c>
      <c r="M2557" s="920">
        <f t="shared" si="78"/>
        <v>36000</v>
      </c>
      <c r="N2557" s="919"/>
      <c r="O2557" s="919"/>
      <c r="P2557" s="921">
        <f t="shared" si="79"/>
        <v>0</v>
      </c>
    </row>
    <row r="2558" spans="1:16" ht="20.100000000000001" customHeight="1" x14ac:dyDescent="0.25">
      <c r="A2558" s="918" t="s">
        <v>488</v>
      </c>
      <c r="B2558" s="944" t="s">
        <v>3901</v>
      </c>
      <c r="C2558" s="919" t="s">
        <v>3902</v>
      </c>
      <c r="D2558" s="919" t="s">
        <v>8344</v>
      </c>
      <c r="E2558" s="920">
        <v>1500</v>
      </c>
      <c r="F2558" s="919" t="s">
        <v>8572</v>
      </c>
      <c r="G2558" s="919" t="s">
        <v>8573</v>
      </c>
      <c r="H2558" s="919" t="s">
        <v>8344</v>
      </c>
      <c r="I2558" s="919" t="s">
        <v>3686</v>
      </c>
      <c r="J2558" s="919"/>
      <c r="K2558" s="920">
        <v>1</v>
      </c>
      <c r="L2558" s="920">
        <v>12</v>
      </c>
      <c r="M2558" s="920">
        <f t="shared" si="78"/>
        <v>18000</v>
      </c>
      <c r="N2558" s="919"/>
      <c r="O2558" s="919"/>
      <c r="P2558" s="921">
        <f t="shared" si="79"/>
        <v>0</v>
      </c>
    </row>
    <row r="2559" spans="1:16" ht="20.100000000000001" customHeight="1" x14ac:dyDescent="0.25">
      <c r="A2559" s="918" t="s">
        <v>488</v>
      </c>
      <c r="B2559" s="944" t="s">
        <v>3901</v>
      </c>
      <c r="C2559" s="919" t="s">
        <v>3902</v>
      </c>
      <c r="D2559" s="919" t="s">
        <v>8344</v>
      </c>
      <c r="E2559" s="920">
        <v>1500</v>
      </c>
      <c r="F2559" s="919" t="s">
        <v>8574</v>
      </c>
      <c r="G2559" s="919" t="s">
        <v>8575</v>
      </c>
      <c r="H2559" s="919" t="s">
        <v>8344</v>
      </c>
      <c r="I2559" s="919" t="s">
        <v>3686</v>
      </c>
      <c r="J2559" s="919"/>
      <c r="K2559" s="920">
        <v>1</v>
      </c>
      <c r="L2559" s="920">
        <v>12</v>
      </c>
      <c r="M2559" s="920">
        <f t="shared" si="78"/>
        <v>18000</v>
      </c>
      <c r="N2559" s="919"/>
      <c r="O2559" s="919"/>
      <c r="P2559" s="921">
        <f t="shared" si="79"/>
        <v>0</v>
      </c>
    </row>
    <row r="2560" spans="1:16" ht="20.100000000000001" customHeight="1" x14ac:dyDescent="0.25">
      <c r="A2560" s="918" t="s">
        <v>488</v>
      </c>
      <c r="B2560" s="944" t="s">
        <v>3901</v>
      </c>
      <c r="C2560" s="919" t="s">
        <v>3902</v>
      </c>
      <c r="D2560" s="919" t="s">
        <v>4462</v>
      </c>
      <c r="E2560" s="920">
        <v>1600</v>
      </c>
      <c r="F2560" s="919" t="s">
        <v>8576</v>
      </c>
      <c r="G2560" s="919" t="s">
        <v>8577</v>
      </c>
      <c r="H2560" s="919" t="s">
        <v>4462</v>
      </c>
      <c r="I2560" s="919" t="s">
        <v>3686</v>
      </c>
      <c r="J2560" s="919"/>
      <c r="K2560" s="920">
        <v>1</v>
      </c>
      <c r="L2560" s="920">
        <v>12</v>
      </c>
      <c r="M2560" s="920">
        <f t="shared" si="78"/>
        <v>19200</v>
      </c>
      <c r="N2560" s="919"/>
      <c r="O2560" s="919"/>
      <c r="P2560" s="921">
        <f t="shared" si="79"/>
        <v>0</v>
      </c>
    </row>
    <row r="2561" spans="1:16" ht="20.100000000000001" customHeight="1" x14ac:dyDescent="0.25">
      <c r="A2561" s="918" t="s">
        <v>488</v>
      </c>
      <c r="B2561" s="944" t="s">
        <v>3901</v>
      </c>
      <c r="C2561" s="919" t="s">
        <v>3902</v>
      </c>
      <c r="D2561" s="919" t="s">
        <v>4462</v>
      </c>
      <c r="E2561" s="920">
        <v>1400</v>
      </c>
      <c r="F2561" s="919" t="s">
        <v>8578</v>
      </c>
      <c r="G2561" s="919" t="s">
        <v>8579</v>
      </c>
      <c r="H2561" s="919" t="s">
        <v>4462</v>
      </c>
      <c r="I2561" s="919" t="s">
        <v>3686</v>
      </c>
      <c r="J2561" s="919"/>
      <c r="K2561" s="920">
        <v>1</v>
      </c>
      <c r="L2561" s="920">
        <v>12</v>
      </c>
      <c r="M2561" s="920">
        <f t="shared" si="78"/>
        <v>16800</v>
      </c>
      <c r="N2561" s="919"/>
      <c r="O2561" s="919"/>
      <c r="P2561" s="921">
        <f t="shared" si="79"/>
        <v>0</v>
      </c>
    </row>
    <row r="2562" spans="1:16" ht="20.100000000000001" customHeight="1" x14ac:dyDescent="0.25">
      <c r="A2562" s="918" t="s">
        <v>488</v>
      </c>
      <c r="B2562" s="944" t="s">
        <v>3901</v>
      </c>
      <c r="C2562" s="919" t="s">
        <v>3902</v>
      </c>
      <c r="D2562" s="919" t="s">
        <v>8344</v>
      </c>
      <c r="E2562" s="920">
        <v>1500</v>
      </c>
      <c r="F2562" s="919" t="s">
        <v>8580</v>
      </c>
      <c r="G2562" s="919" t="s">
        <v>8581</v>
      </c>
      <c r="H2562" s="919" t="s">
        <v>8344</v>
      </c>
      <c r="I2562" s="919" t="s">
        <v>3686</v>
      </c>
      <c r="J2562" s="919"/>
      <c r="K2562" s="920">
        <v>1</v>
      </c>
      <c r="L2562" s="920">
        <v>12</v>
      </c>
      <c r="M2562" s="920">
        <f t="shared" si="78"/>
        <v>18000</v>
      </c>
      <c r="N2562" s="919"/>
      <c r="O2562" s="919"/>
      <c r="P2562" s="921">
        <f t="shared" si="79"/>
        <v>0</v>
      </c>
    </row>
    <row r="2563" spans="1:16" ht="20.100000000000001" customHeight="1" x14ac:dyDescent="0.25">
      <c r="A2563" s="918" t="s">
        <v>488</v>
      </c>
      <c r="B2563" s="944" t="s">
        <v>3901</v>
      </c>
      <c r="C2563" s="919" t="s">
        <v>3902</v>
      </c>
      <c r="D2563" s="919" t="s">
        <v>4462</v>
      </c>
      <c r="E2563" s="920">
        <v>1900</v>
      </c>
      <c r="F2563" s="919" t="s">
        <v>4041</v>
      </c>
      <c r="G2563" s="919" t="s">
        <v>4042</v>
      </c>
      <c r="H2563" s="919" t="s">
        <v>4462</v>
      </c>
      <c r="I2563" s="919" t="s">
        <v>3686</v>
      </c>
      <c r="J2563" s="919"/>
      <c r="K2563" s="920">
        <v>1</v>
      </c>
      <c r="L2563" s="920">
        <v>12</v>
      </c>
      <c r="M2563" s="920">
        <f t="shared" si="78"/>
        <v>22800</v>
      </c>
      <c r="N2563" s="919"/>
      <c r="O2563" s="919"/>
      <c r="P2563" s="921">
        <f t="shared" si="79"/>
        <v>0</v>
      </c>
    </row>
    <row r="2564" spans="1:16" ht="20.100000000000001" customHeight="1" x14ac:dyDescent="0.25">
      <c r="A2564" s="918" t="s">
        <v>488</v>
      </c>
      <c r="B2564" s="944" t="s">
        <v>3901</v>
      </c>
      <c r="C2564" s="919" t="s">
        <v>3902</v>
      </c>
      <c r="D2564" s="919" t="s">
        <v>4462</v>
      </c>
      <c r="E2564" s="920">
        <v>1800</v>
      </c>
      <c r="F2564" s="919" t="s">
        <v>8582</v>
      </c>
      <c r="G2564" s="919" t="s">
        <v>8583</v>
      </c>
      <c r="H2564" s="919" t="s">
        <v>4462</v>
      </c>
      <c r="I2564" s="919" t="s">
        <v>3686</v>
      </c>
      <c r="J2564" s="919"/>
      <c r="K2564" s="920">
        <v>1</v>
      </c>
      <c r="L2564" s="920">
        <v>12</v>
      </c>
      <c r="M2564" s="920">
        <f t="shared" si="78"/>
        <v>21600</v>
      </c>
      <c r="N2564" s="919"/>
      <c r="O2564" s="919"/>
      <c r="P2564" s="921">
        <f t="shared" si="79"/>
        <v>0</v>
      </c>
    </row>
    <row r="2565" spans="1:16" ht="20.100000000000001" customHeight="1" x14ac:dyDescent="0.25">
      <c r="A2565" s="918" t="s">
        <v>488</v>
      </c>
      <c r="B2565" s="944" t="s">
        <v>3901</v>
      </c>
      <c r="C2565" s="919" t="s">
        <v>3902</v>
      </c>
      <c r="D2565" s="919" t="s">
        <v>4462</v>
      </c>
      <c r="E2565" s="920">
        <v>1600</v>
      </c>
      <c r="F2565" s="919" t="s">
        <v>4041</v>
      </c>
      <c r="G2565" s="919" t="s">
        <v>4042</v>
      </c>
      <c r="H2565" s="919" t="s">
        <v>4462</v>
      </c>
      <c r="I2565" s="919" t="s">
        <v>3686</v>
      </c>
      <c r="J2565" s="919"/>
      <c r="K2565" s="920">
        <v>1</v>
      </c>
      <c r="L2565" s="920">
        <v>12</v>
      </c>
      <c r="M2565" s="920">
        <f t="shared" si="78"/>
        <v>19200</v>
      </c>
      <c r="N2565" s="919"/>
      <c r="O2565" s="919"/>
      <c r="P2565" s="921">
        <f t="shared" si="79"/>
        <v>0</v>
      </c>
    </row>
    <row r="2566" spans="1:16" ht="20.100000000000001" customHeight="1" x14ac:dyDescent="0.25">
      <c r="A2566" s="918" t="s">
        <v>488</v>
      </c>
      <c r="B2566" s="944" t="s">
        <v>3901</v>
      </c>
      <c r="C2566" s="919" t="s">
        <v>3902</v>
      </c>
      <c r="D2566" s="919" t="s">
        <v>4352</v>
      </c>
      <c r="E2566" s="920">
        <v>2100</v>
      </c>
      <c r="F2566" s="919" t="s">
        <v>8584</v>
      </c>
      <c r="G2566" s="919" t="s">
        <v>8585</v>
      </c>
      <c r="H2566" s="919" t="s">
        <v>4352</v>
      </c>
      <c r="I2566" s="919" t="s">
        <v>3724</v>
      </c>
      <c r="J2566" s="919"/>
      <c r="K2566" s="920">
        <v>1</v>
      </c>
      <c r="L2566" s="920">
        <v>12</v>
      </c>
      <c r="M2566" s="920">
        <f t="shared" ref="M2566:M2629" si="80">E2566*L2566</f>
        <v>25200</v>
      </c>
      <c r="N2566" s="919"/>
      <c r="O2566" s="919"/>
      <c r="P2566" s="921">
        <f t="shared" ref="P2566:P2629" si="81">E2566*O2566</f>
        <v>0</v>
      </c>
    </row>
    <row r="2567" spans="1:16" ht="20.100000000000001" customHeight="1" x14ac:dyDescent="0.25">
      <c r="A2567" s="918" t="s">
        <v>488</v>
      </c>
      <c r="B2567" s="944" t="s">
        <v>3901</v>
      </c>
      <c r="C2567" s="919" t="s">
        <v>3902</v>
      </c>
      <c r="D2567" s="919" t="s">
        <v>8344</v>
      </c>
      <c r="E2567" s="920">
        <v>1250</v>
      </c>
      <c r="F2567" s="919" t="s">
        <v>8586</v>
      </c>
      <c r="G2567" s="919" t="s">
        <v>8587</v>
      </c>
      <c r="H2567" s="919" t="s">
        <v>8344</v>
      </c>
      <c r="I2567" s="919" t="s">
        <v>3686</v>
      </c>
      <c r="J2567" s="919"/>
      <c r="K2567" s="920">
        <v>1</v>
      </c>
      <c r="L2567" s="920">
        <v>12</v>
      </c>
      <c r="M2567" s="920">
        <f t="shared" si="80"/>
        <v>15000</v>
      </c>
      <c r="N2567" s="919"/>
      <c r="O2567" s="919"/>
      <c r="P2567" s="921">
        <f t="shared" si="81"/>
        <v>0</v>
      </c>
    </row>
    <row r="2568" spans="1:16" ht="20.100000000000001" customHeight="1" x14ac:dyDescent="0.25">
      <c r="A2568" s="918" t="s">
        <v>488</v>
      </c>
      <c r="B2568" s="944" t="s">
        <v>3901</v>
      </c>
      <c r="C2568" s="919" t="s">
        <v>3902</v>
      </c>
      <c r="D2568" s="919" t="s">
        <v>4462</v>
      </c>
      <c r="E2568" s="920">
        <v>1900</v>
      </c>
      <c r="F2568" s="919" t="s">
        <v>8588</v>
      </c>
      <c r="G2568" s="919" t="s">
        <v>8589</v>
      </c>
      <c r="H2568" s="919" t="s">
        <v>4462</v>
      </c>
      <c r="I2568" s="919" t="s">
        <v>3686</v>
      </c>
      <c r="J2568" s="919"/>
      <c r="K2568" s="920">
        <v>1</v>
      </c>
      <c r="L2568" s="920">
        <v>12</v>
      </c>
      <c r="M2568" s="920">
        <f t="shared" si="80"/>
        <v>22800</v>
      </c>
      <c r="N2568" s="919"/>
      <c r="O2568" s="919"/>
      <c r="P2568" s="921">
        <f t="shared" si="81"/>
        <v>0</v>
      </c>
    </row>
    <row r="2569" spans="1:16" ht="20.100000000000001" customHeight="1" x14ac:dyDescent="0.25">
      <c r="A2569" s="918" t="s">
        <v>488</v>
      </c>
      <c r="B2569" s="944" t="s">
        <v>3901</v>
      </c>
      <c r="C2569" s="919" t="s">
        <v>3902</v>
      </c>
      <c r="D2569" s="919" t="s">
        <v>4462</v>
      </c>
      <c r="E2569" s="920">
        <v>1500</v>
      </c>
      <c r="F2569" s="919" t="s">
        <v>8590</v>
      </c>
      <c r="G2569" s="919" t="s">
        <v>8591</v>
      </c>
      <c r="H2569" s="919" t="s">
        <v>4462</v>
      </c>
      <c r="I2569" s="919" t="s">
        <v>3686</v>
      </c>
      <c r="J2569" s="919"/>
      <c r="K2569" s="920">
        <v>1</v>
      </c>
      <c r="L2569" s="920">
        <v>12</v>
      </c>
      <c r="M2569" s="920">
        <f t="shared" si="80"/>
        <v>18000</v>
      </c>
      <c r="N2569" s="919"/>
      <c r="O2569" s="919"/>
      <c r="P2569" s="921">
        <f t="shared" si="81"/>
        <v>0</v>
      </c>
    </row>
    <row r="2570" spans="1:16" ht="20.100000000000001" customHeight="1" x14ac:dyDescent="0.25">
      <c r="A2570" s="918" t="s">
        <v>488</v>
      </c>
      <c r="B2570" s="944" t="s">
        <v>3901</v>
      </c>
      <c r="C2570" s="919" t="s">
        <v>3902</v>
      </c>
      <c r="D2570" s="919" t="s">
        <v>8344</v>
      </c>
      <c r="E2570" s="920">
        <v>1400</v>
      </c>
      <c r="F2570" s="919" t="s">
        <v>8592</v>
      </c>
      <c r="G2570" s="919" t="s">
        <v>8593</v>
      </c>
      <c r="H2570" s="919" t="s">
        <v>8344</v>
      </c>
      <c r="I2570" s="919" t="s">
        <v>3686</v>
      </c>
      <c r="J2570" s="919"/>
      <c r="K2570" s="920">
        <v>1</v>
      </c>
      <c r="L2570" s="920">
        <v>12</v>
      </c>
      <c r="M2570" s="920">
        <f t="shared" si="80"/>
        <v>16800</v>
      </c>
      <c r="N2570" s="919"/>
      <c r="O2570" s="919"/>
      <c r="P2570" s="921">
        <f t="shared" si="81"/>
        <v>0</v>
      </c>
    </row>
    <row r="2571" spans="1:16" ht="20.100000000000001" customHeight="1" x14ac:dyDescent="0.25">
      <c r="A2571" s="918" t="s">
        <v>488</v>
      </c>
      <c r="B2571" s="944" t="s">
        <v>3901</v>
      </c>
      <c r="C2571" s="919" t="s">
        <v>3902</v>
      </c>
      <c r="D2571" s="919" t="s">
        <v>4462</v>
      </c>
      <c r="E2571" s="920">
        <v>1500</v>
      </c>
      <c r="F2571" s="919" t="s">
        <v>8594</v>
      </c>
      <c r="G2571" s="919" t="s">
        <v>8595</v>
      </c>
      <c r="H2571" s="919" t="s">
        <v>4462</v>
      </c>
      <c r="I2571" s="919" t="s">
        <v>3686</v>
      </c>
      <c r="J2571" s="919"/>
      <c r="K2571" s="920">
        <v>1</v>
      </c>
      <c r="L2571" s="920">
        <v>12</v>
      </c>
      <c r="M2571" s="920">
        <f t="shared" si="80"/>
        <v>18000</v>
      </c>
      <c r="N2571" s="919"/>
      <c r="O2571" s="919"/>
      <c r="P2571" s="921">
        <f t="shared" si="81"/>
        <v>0</v>
      </c>
    </row>
    <row r="2572" spans="1:16" ht="20.100000000000001" customHeight="1" x14ac:dyDescent="0.25">
      <c r="A2572" s="918" t="s">
        <v>488</v>
      </c>
      <c r="B2572" s="944" t="s">
        <v>3901</v>
      </c>
      <c r="C2572" s="919" t="s">
        <v>3902</v>
      </c>
      <c r="D2572" s="919" t="s">
        <v>8361</v>
      </c>
      <c r="E2572" s="920">
        <v>950</v>
      </c>
      <c r="F2572" s="919" t="s">
        <v>8596</v>
      </c>
      <c r="G2572" s="919" t="s">
        <v>8597</v>
      </c>
      <c r="H2572" s="919" t="s">
        <v>8361</v>
      </c>
      <c r="I2572" s="919" t="s">
        <v>3686</v>
      </c>
      <c r="J2572" s="919"/>
      <c r="K2572" s="920">
        <v>1</v>
      </c>
      <c r="L2572" s="920">
        <v>12</v>
      </c>
      <c r="M2572" s="920">
        <f t="shared" si="80"/>
        <v>11400</v>
      </c>
      <c r="N2572" s="919"/>
      <c r="O2572" s="919"/>
      <c r="P2572" s="921">
        <f t="shared" si="81"/>
        <v>0</v>
      </c>
    </row>
    <row r="2573" spans="1:16" ht="20.100000000000001" customHeight="1" x14ac:dyDescent="0.25">
      <c r="A2573" s="918" t="s">
        <v>488</v>
      </c>
      <c r="B2573" s="944" t="s">
        <v>3901</v>
      </c>
      <c r="C2573" s="919" t="s">
        <v>3902</v>
      </c>
      <c r="D2573" s="919" t="s">
        <v>8361</v>
      </c>
      <c r="E2573" s="920">
        <v>950</v>
      </c>
      <c r="F2573" s="919" t="s">
        <v>8598</v>
      </c>
      <c r="G2573" s="919" t="s">
        <v>8599</v>
      </c>
      <c r="H2573" s="919" t="s">
        <v>8361</v>
      </c>
      <c r="I2573" s="919" t="s">
        <v>3686</v>
      </c>
      <c r="J2573" s="919"/>
      <c r="K2573" s="920">
        <v>1</v>
      </c>
      <c r="L2573" s="920">
        <v>12</v>
      </c>
      <c r="M2573" s="920">
        <f t="shared" si="80"/>
        <v>11400</v>
      </c>
      <c r="N2573" s="919"/>
      <c r="O2573" s="919"/>
      <c r="P2573" s="921">
        <f t="shared" si="81"/>
        <v>0</v>
      </c>
    </row>
    <row r="2574" spans="1:16" ht="20.100000000000001" customHeight="1" x14ac:dyDescent="0.25">
      <c r="A2574" s="918" t="s">
        <v>488</v>
      </c>
      <c r="B2574" s="944" t="s">
        <v>3901</v>
      </c>
      <c r="C2574" s="919" t="s">
        <v>3902</v>
      </c>
      <c r="D2574" s="919" t="s">
        <v>8344</v>
      </c>
      <c r="E2574" s="920">
        <v>1500</v>
      </c>
      <c r="F2574" s="919" t="s">
        <v>4041</v>
      </c>
      <c r="G2574" s="919" t="s">
        <v>4042</v>
      </c>
      <c r="H2574" s="919" t="s">
        <v>8344</v>
      </c>
      <c r="I2574" s="919" t="s">
        <v>3686</v>
      </c>
      <c r="J2574" s="919"/>
      <c r="K2574" s="920">
        <v>1</v>
      </c>
      <c r="L2574" s="920">
        <v>12</v>
      </c>
      <c r="M2574" s="920">
        <f t="shared" si="80"/>
        <v>18000</v>
      </c>
      <c r="N2574" s="919"/>
      <c r="O2574" s="919"/>
      <c r="P2574" s="921">
        <f t="shared" si="81"/>
        <v>0</v>
      </c>
    </row>
    <row r="2575" spans="1:16" ht="20.100000000000001" customHeight="1" x14ac:dyDescent="0.25">
      <c r="A2575" s="918" t="s">
        <v>488</v>
      </c>
      <c r="B2575" s="944" t="s">
        <v>3901</v>
      </c>
      <c r="C2575" s="919" t="s">
        <v>3902</v>
      </c>
      <c r="D2575" s="919" t="s">
        <v>8344</v>
      </c>
      <c r="E2575" s="920">
        <v>1400</v>
      </c>
      <c r="F2575" s="919" t="s">
        <v>8600</v>
      </c>
      <c r="G2575" s="919" t="s">
        <v>8601</v>
      </c>
      <c r="H2575" s="919" t="s">
        <v>8344</v>
      </c>
      <c r="I2575" s="919" t="s">
        <v>3686</v>
      </c>
      <c r="J2575" s="919"/>
      <c r="K2575" s="920">
        <v>1</v>
      </c>
      <c r="L2575" s="920">
        <v>12</v>
      </c>
      <c r="M2575" s="920">
        <f t="shared" si="80"/>
        <v>16800</v>
      </c>
      <c r="N2575" s="919"/>
      <c r="O2575" s="919"/>
      <c r="P2575" s="921">
        <f t="shared" si="81"/>
        <v>0</v>
      </c>
    </row>
    <row r="2576" spans="1:16" ht="20.100000000000001" customHeight="1" x14ac:dyDescent="0.25">
      <c r="A2576" s="918" t="s">
        <v>488</v>
      </c>
      <c r="B2576" s="944" t="s">
        <v>3901</v>
      </c>
      <c r="C2576" s="919" t="s">
        <v>3902</v>
      </c>
      <c r="D2576" s="919" t="s">
        <v>8344</v>
      </c>
      <c r="E2576" s="920">
        <v>1500</v>
      </c>
      <c r="F2576" s="919" t="s">
        <v>8602</v>
      </c>
      <c r="G2576" s="919" t="s">
        <v>8603</v>
      </c>
      <c r="H2576" s="919" t="s">
        <v>8344</v>
      </c>
      <c r="I2576" s="919" t="s">
        <v>3686</v>
      </c>
      <c r="J2576" s="919"/>
      <c r="K2576" s="920">
        <v>1</v>
      </c>
      <c r="L2576" s="920">
        <v>12</v>
      </c>
      <c r="M2576" s="920">
        <f t="shared" si="80"/>
        <v>18000</v>
      </c>
      <c r="N2576" s="919"/>
      <c r="O2576" s="919"/>
      <c r="P2576" s="921">
        <f t="shared" si="81"/>
        <v>0</v>
      </c>
    </row>
    <row r="2577" spans="1:16" ht="20.100000000000001" customHeight="1" x14ac:dyDescent="0.25">
      <c r="A2577" s="918" t="s">
        <v>488</v>
      </c>
      <c r="B2577" s="944" t="s">
        <v>3901</v>
      </c>
      <c r="C2577" s="919" t="s">
        <v>3902</v>
      </c>
      <c r="D2577" s="919" t="s">
        <v>8344</v>
      </c>
      <c r="E2577" s="920">
        <v>1500</v>
      </c>
      <c r="F2577" s="919" t="s">
        <v>8604</v>
      </c>
      <c r="G2577" s="919" t="s">
        <v>8605</v>
      </c>
      <c r="H2577" s="919" t="s">
        <v>8344</v>
      </c>
      <c r="I2577" s="919" t="s">
        <v>3686</v>
      </c>
      <c r="J2577" s="919"/>
      <c r="K2577" s="920">
        <v>1</v>
      </c>
      <c r="L2577" s="920">
        <v>12</v>
      </c>
      <c r="M2577" s="920">
        <f t="shared" si="80"/>
        <v>18000</v>
      </c>
      <c r="N2577" s="919"/>
      <c r="O2577" s="919"/>
      <c r="P2577" s="921">
        <f t="shared" si="81"/>
        <v>0</v>
      </c>
    </row>
    <row r="2578" spans="1:16" ht="20.100000000000001" customHeight="1" x14ac:dyDescent="0.25">
      <c r="A2578" s="918" t="s">
        <v>488</v>
      </c>
      <c r="B2578" s="944" t="s">
        <v>3901</v>
      </c>
      <c r="C2578" s="919" t="s">
        <v>3902</v>
      </c>
      <c r="D2578" s="919" t="s">
        <v>3999</v>
      </c>
      <c r="E2578" s="920">
        <v>2100</v>
      </c>
      <c r="F2578" s="919" t="s">
        <v>4041</v>
      </c>
      <c r="G2578" s="919" t="s">
        <v>4042</v>
      </c>
      <c r="H2578" s="919" t="s">
        <v>3999</v>
      </c>
      <c r="I2578" s="919" t="s">
        <v>3724</v>
      </c>
      <c r="J2578" s="919"/>
      <c r="K2578" s="920">
        <v>1</v>
      </c>
      <c r="L2578" s="920">
        <v>12</v>
      </c>
      <c r="M2578" s="920">
        <f t="shared" si="80"/>
        <v>25200</v>
      </c>
      <c r="N2578" s="919"/>
      <c r="O2578" s="919"/>
      <c r="P2578" s="921">
        <f t="shared" si="81"/>
        <v>0</v>
      </c>
    </row>
    <row r="2579" spans="1:16" ht="20.100000000000001" customHeight="1" x14ac:dyDescent="0.25">
      <c r="A2579" s="918" t="s">
        <v>488</v>
      </c>
      <c r="B2579" s="944" t="s">
        <v>3901</v>
      </c>
      <c r="C2579" s="919" t="s">
        <v>3902</v>
      </c>
      <c r="D2579" s="919" t="s">
        <v>3999</v>
      </c>
      <c r="E2579" s="920">
        <v>2100</v>
      </c>
      <c r="F2579" s="919" t="s">
        <v>4041</v>
      </c>
      <c r="G2579" s="919" t="s">
        <v>4042</v>
      </c>
      <c r="H2579" s="919" t="s">
        <v>3999</v>
      </c>
      <c r="I2579" s="919" t="s">
        <v>3724</v>
      </c>
      <c r="J2579" s="919"/>
      <c r="K2579" s="920">
        <v>1</v>
      </c>
      <c r="L2579" s="920">
        <v>12</v>
      </c>
      <c r="M2579" s="920">
        <f t="shared" si="80"/>
        <v>25200</v>
      </c>
      <c r="N2579" s="919"/>
      <c r="O2579" s="919"/>
      <c r="P2579" s="921">
        <f t="shared" si="81"/>
        <v>0</v>
      </c>
    </row>
    <row r="2580" spans="1:16" ht="20.100000000000001" customHeight="1" x14ac:dyDescent="0.25">
      <c r="A2580" s="918" t="s">
        <v>488</v>
      </c>
      <c r="B2580" s="944" t="s">
        <v>3901</v>
      </c>
      <c r="C2580" s="919" t="s">
        <v>3902</v>
      </c>
      <c r="D2580" s="919" t="s">
        <v>3999</v>
      </c>
      <c r="E2580" s="920">
        <v>1700</v>
      </c>
      <c r="F2580" s="919" t="s">
        <v>8606</v>
      </c>
      <c r="G2580" s="919" t="s">
        <v>8607</v>
      </c>
      <c r="H2580" s="919" t="s">
        <v>3999</v>
      </c>
      <c r="I2580" s="919" t="s">
        <v>3724</v>
      </c>
      <c r="J2580" s="919"/>
      <c r="K2580" s="920">
        <v>1</v>
      </c>
      <c r="L2580" s="920">
        <v>12</v>
      </c>
      <c r="M2580" s="920">
        <f t="shared" si="80"/>
        <v>20400</v>
      </c>
      <c r="N2580" s="919"/>
      <c r="O2580" s="919"/>
      <c r="P2580" s="921">
        <f t="shared" si="81"/>
        <v>0</v>
      </c>
    </row>
    <row r="2581" spans="1:16" ht="20.100000000000001" customHeight="1" x14ac:dyDescent="0.25">
      <c r="A2581" s="918" t="s">
        <v>488</v>
      </c>
      <c r="B2581" s="944" t="s">
        <v>3901</v>
      </c>
      <c r="C2581" s="919" t="s">
        <v>3902</v>
      </c>
      <c r="D2581" s="919" t="s">
        <v>3999</v>
      </c>
      <c r="E2581" s="920">
        <v>2400</v>
      </c>
      <c r="F2581" s="919" t="s">
        <v>8608</v>
      </c>
      <c r="G2581" s="919" t="s">
        <v>8609</v>
      </c>
      <c r="H2581" s="919" t="s">
        <v>3999</v>
      </c>
      <c r="I2581" s="919" t="s">
        <v>3724</v>
      </c>
      <c r="J2581" s="919"/>
      <c r="K2581" s="920">
        <v>1</v>
      </c>
      <c r="L2581" s="920">
        <v>12</v>
      </c>
      <c r="M2581" s="920">
        <f t="shared" si="80"/>
        <v>28800</v>
      </c>
      <c r="N2581" s="919"/>
      <c r="O2581" s="919"/>
      <c r="P2581" s="921">
        <f t="shared" si="81"/>
        <v>0</v>
      </c>
    </row>
    <row r="2582" spans="1:16" ht="20.100000000000001" customHeight="1" x14ac:dyDescent="0.25">
      <c r="A2582" s="918" t="s">
        <v>488</v>
      </c>
      <c r="B2582" s="944" t="s">
        <v>3901</v>
      </c>
      <c r="C2582" s="919" t="s">
        <v>3902</v>
      </c>
      <c r="D2582" s="919" t="s">
        <v>3999</v>
      </c>
      <c r="E2582" s="920">
        <v>2100</v>
      </c>
      <c r="F2582" s="919" t="s">
        <v>8610</v>
      </c>
      <c r="G2582" s="919" t="s">
        <v>8611</v>
      </c>
      <c r="H2582" s="919" t="s">
        <v>3999</v>
      </c>
      <c r="I2582" s="919" t="s">
        <v>3724</v>
      </c>
      <c r="J2582" s="919"/>
      <c r="K2582" s="920">
        <v>1</v>
      </c>
      <c r="L2582" s="920">
        <v>12</v>
      </c>
      <c r="M2582" s="920">
        <f t="shared" si="80"/>
        <v>25200</v>
      </c>
      <c r="N2582" s="919"/>
      <c r="O2582" s="919"/>
      <c r="P2582" s="921">
        <f t="shared" si="81"/>
        <v>0</v>
      </c>
    </row>
    <row r="2583" spans="1:16" ht="20.100000000000001" customHeight="1" x14ac:dyDescent="0.25">
      <c r="A2583" s="918" t="s">
        <v>488</v>
      </c>
      <c r="B2583" s="944" t="s">
        <v>3901</v>
      </c>
      <c r="C2583" s="919" t="s">
        <v>3902</v>
      </c>
      <c r="D2583" s="919" t="s">
        <v>3999</v>
      </c>
      <c r="E2583" s="920">
        <v>2100</v>
      </c>
      <c r="F2583" s="919" t="s">
        <v>8612</v>
      </c>
      <c r="G2583" s="919" t="s">
        <v>8613</v>
      </c>
      <c r="H2583" s="919" t="s">
        <v>3999</v>
      </c>
      <c r="I2583" s="919" t="s">
        <v>3724</v>
      </c>
      <c r="J2583" s="919"/>
      <c r="K2583" s="920">
        <v>1</v>
      </c>
      <c r="L2583" s="920">
        <v>12</v>
      </c>
      <c r="M2583" s="920">
        <f t="shared" si="80"/>
        <v>25200</v>
      </c>
      <c r="N2583" s="919"/>
      <c r="O2583" s="919"/>
      <c r="P2583" s="921">
        <f t="shared" si="81"/>
        <v>0</v>
      </c>
    </row>
    <row r="2584" spans="1:16" ht="20.100000000000001" customHeight="1" x14ac:dyDescent="0.25">
      <c r="A2584" s="918" t="s">
        <v>488</v>
      </c>
      <c r="B2584" s="944" t="s">
        <v>3901</v>
      </c>
      <c r="C2584" s="919" t="s">
        <v>3902</v>
      </c>
      <c r="D2584" s="919" t="s">
        <v>4375</v>
      </c>
      <c r="E2584" s="920">
        <v>3000</v>
      </c>
      <c r="F2584" s="919" t="s">
        <v>8614</v>
      </c>
      <c r="G2584" s="919" t="s">
        <v>8615</v>
      </c>
      <c r="H2584" s="919" t="s">
        <v>4375</v>
      </c>
      <c r="I2584" s="919" t="s">
        <v>3724</v>
      </c>
      <c r="J2584" s="919"/>
      <c r="K2584" s="920">
        <v>1</v>
      </c>
      <c r="L2584" s="920">
        <v>12</v>
      </c>
      <c r="M2584" s="920">
        <f t="shared" si="80"/>
        <v>36000</v>
      </c>
      <c r="N2584" s="919"/>
      <c r="O2584" s="919"/>
      <c r="P2584" s="921">
        <f t="shared" si="81"/>
        <v>0</v>
      </c>
    </row>
    <row r="2585" spans="1:16" ht="20.100000000000001" customHeight="1" x14ac:dyDescent="0.25">
      <c r="A2585" s="918" t="s">
        <v>488</v>
      </c>
      <c r="B2585" s="944" t="s">
        <v>3901</v>
      </c>
      <c r="C2585" s="919" t="s">
        <v>3902</v>
      </c>
      <c r="D2585" s="919" t="s">
        <v>6203</v>
      </c>
      <c r="E2585" s="920">
        <v>1900</v>
      </c>
      <c r="F2585" s="919" t="s">
        <v>8616</v>
      </c>
      <c r="G2585" s="919" t="s">
        <v>8617</v>
      </c>
      <c r="H2585" s="919" t="s">
        <v>6203</v>
      </c>
      <c r="I2585" s="919" t="s">
        <v>3724</v>
      </c>
      <c r="J2585" s="919"/>
      <c r="K2585" s="920">
        <v>1</v>
      </c>
      <c r="L2585" s="920">
        <v>12</v>
      </c>
      <c r="M2585" s="920">
        <f t="shared" si="80"/>
        <v>22800</v>
      </c>
      <c r="N2585" s="919"/>
      <c r="O2585" s="919"/>
      <c r="P2585" s="921">
        <f t="shared" si="81"/>
        <v>0</v>
      </c>
    </row>
    <row r="2586" spans="1:16" ht="20.100000000000001" customHeight="1" x14ac:dyDescent="0.25">
      <c r="A2586" s="918" t="s">
        <v>488</v>
      </c>
      <c r="B2586" s="944" t="s">
        <v>3901</v>
      </c>
      <c r="C2586" s="919" t="s">
        <v>3902</v>
      </c>
      <c r="D2586" s="919" t="s">
        <v>7145</v>
      </c>
      <c r="E2586" s="920">
        <v>1500</v>
      </c>
      <c r="F2586" s="919" t="s">
        <v>8618</v>
      </c>
      <c r="G2586" s="919" t="s">
        <v>8619</v>
      </c>
      <c r="H2586" s="919" t="s">
        <v>7145</v>
      </c>
      <c r="I2586" s="919" t="s">
        <v>3686</v>
      </c>
      <c r="J2586" s="919"/>
      <c r="K2586" s="920">
        <v>1</v>
      </c>
      <c r="L2586" s="920">
        <v>12</v>
      </c>
      <c r="M2586" s="920">
        <f t="shared" si="80"/>
        <v>18000</v>
      </c>
      <c r="N2586" s="919"/>
      <c r="O2586" s="919"/>
      <c r="P2586" s="921">
        <f t="shared" si="81"/>
        <v>0</v>
      </c>
    </row>
    <row r="2587" spans="1:16" ht="20.100000000000001" customHeight="1" x14ac:dyDescent="0.25">
      <c r="A2587" s="918" t="s">
        <v>488</v>
      </c>
      <c r="B2587" s="944" t="s">
        <v>3901</v>
      </c>
      <c r="C2587" s="919" t="s">
        <v>3902</v>
      </c>
      <c r="D2587" s="919" t="s">
        <v>7145</v>
      </c>
      <c r="E2587" s="920">
        <v>1500</v>
      </c>
      <c r="F2587" s="919" t="s">
        <v>8620</v>
      </c>
      <c r="G2587" s="919" t="s">
        <v>8621</v>
      </c>
      <c r="H2587" s="919" t="s">
        <v>7145</v>
      </c>
      <c r="I2587" s="919" t="s">
        <v>3686</v>
      </c>
      <c r="J2587" s="919"/>
      <c r="K2587" s="920">
        <v>1</v>
      </c>
      <c r="L2587" s="920">
        <v>12</v>
      </c>
      <c r="M2587" s="920">
        <f t="shared" si="80"/>
        <v>18000</v>
      </c>
      <c r="N2587" s="919"/>
      <c r="O2587" s="919"/>
      <c r="P2587" s="921">
        <f t="shared" si="81"/>
        <v>0</v>
      </c>
    </row>
    <row r="2588" spans="1:16" ht="20.100000000000001" customHeight="1" x14ac:dyDescent="0.25">
      <c r="A2588" s="918" t="s">
        <v>488</v>
      </c>
      <c r="B2588" s="944" t="s">
        <v>3901</v>
      </c>
      <c r="C2588" s="919" t="s">
        <v>3902</v>
      </c>
      <c r="D2588" s="919" t="s">
        <v>4382</v>
      </c>
      <c r="E2588" s="920">
        <v>1700</v>
      </c>
      <c r="F2588" s="919" t="s">
        <v>8622</v>
      </c>
      <c r="G2588" s="919" t="s">
        <v>8623</v>
      </c>
      <c r="H2588" s="919" t="s">
        <v>4382</v>
      </c>
      <c r="I2588" s="919" t="s">
        <v>3724</v>
      </c>
      <c r="J2588" s="919"/>
      <c r="K2588" s="920">
        <v>1</v>
      </c>
      <c r="L2588" s="920">
        <v>12</v>
      </c>
      <c r="M2588" s="920">
        <f t="shared" si="80"/>
        <v>20400</v>
      </c>
      <c r="N2588" s="919"/>
      <c r="O2588" s="919"/>
      <c r="P2588" s="921">
        <f t="shared" si="81"/>
        <v>0</v>
      </c>
    </row>
    <row r="2589" spans="1:16" ht="20.100000000000001" customHeight="1" x14ac:dyDescent="0.25">
      <c r="A2589" s="918" t="s">
        <v>488</v>
      </c>
      <c r="B2589" s="944" t="s">
        <v>3901</v>
      </c>
      <c r="C2589" s="919" t="s">
        <v>3902</v>
      </c>
      <c r="D2589" s="919" t="s">
        <v>4462</v>
      </c>
      <c r="E2589" s="920">
        <v>1400</v>
      </c>
      <c r="F2589" s="919" t="s">
        <v>8624</v>
      </c>
      <c r="G2589" s="919" t="s">
        <v>8625</v>
      </c>
      <c r="H2589" s="919" t="s">
        <v>4462</v>
      </c>
      <c r="I2589" s="919" t="s">
        <v>3686</v>
      </c>
      <c r="J2589" s="919"/>
      <c r="K2589" s="920">
        <v>1</v>
      </c>
      <c r="L2589" s="920">
        <v>12</v>
      </c>
      <c r="M2589" s="920">
        <f t="shared" si="80"/>
        <v>16800</v>
      </c>
      <c r="N2589" s="919"/>
      <c r="O2589" s="919"/>
      <c r="P2589" s="921">
        <f t="shared" si="81"/>
        <v>0</v>
      </c>
    </row>
    <row r="2590" spans="1:16" ht="20.100000000000001" customHeight="1" x14ac:dyDescent="0.25">
      <c r="A2590" s="918" t="s">
        <v>488</v>
      </c>
      <c r="B2590" s="944" t="s">
        <v>3901</v>
      </c>
      <c r="C2590" s="919" t="s">
        <v>3902</v>
      </c>
      <c r="D2590" s="919" t="s">
        <v>4462</v>
      </c>
      <c r="E2590" s="920">
        <v>1500</v>
      </c>
      <c r="F2590" s="919" t="s">
        <v>8626</v>
      </c>
      <c r="G2590" s="919" t="s">
        <v>8627</v>
      </c>
      <c r="H2590" s="919" t="s">
        <v>4462</v>
      </c>
      <c r="I2590" s="919" t="s">
        <v>3686</v>
      </c>
      <c r="J2590" s="919"/>
      <c r="K2590" s="920">
        <v>1</v>
      </c>
      <c r="L2590" s="920">
        <v>12</v>
      </c>
      <c r="M2590" s="920">
        <f t="shared" si="80"/>
        <v>18000</v>
      </c>
      <c r="N2590" s="919"/>
      <c r="O2590" s="919"/>
      <c r="P2590" s="921">
        <f t="shared" si="81"/>
        <v>0</v>
      </c>
    </row>
    <row r="2591" spans="1:16" ht="20.100000000000001" customHeight="1" x14ac:dyDescent="0.25">
      <c r="A2591" s="918" t="s">
        <v>488</v>
      </c>
      <c r="B2591" s="944" t="s">
        <v>3901</v>
      </c>
      <c r="C2591" s="919" t="s">
        <v>3902</v>
      </c>
      <c r="D2591" s="919" t="s">
        <v>4462</v>
      </c>
      <c r="E2591" s="920">
        <v>2400</v>
      </c>
      <c r="F2591" s="919" t="s">
        <v>8628</v>
      </c>
      <c r="G2591" s="919" t="s">
        <v>8629</v>
      </c>
      <c r="H2591" s="919" t="s">
        <v>4462</v>
      </c>
      <c r="I2591" s="919" t="s">
        <v>3686</v>
      </c>
      <c r="J2591" s="919"/>
      <c r="K2591" s="920">
        <v>1</v>
      </c>
      <c r="L2591" s="920">
        <v>12</v>
      </c>
      <c r="M2591" s="920">
        <f t="shared" si="80"/>
        <v>28800</v>
      </c>
      <c r="N2591" s="919"/>
      <c r="O2591" s="919"/>
      <c r="P2591" s="921">
        <f t="shared" si="81"/>
        <v>0</v>
      </c>
    </row>
    <row r="2592" spans="1:16" ht="20.100000000000001" customHeight="1" x14ac:dyDescent="0.25">
      <c r="A2592" s="918" t="s">
        <v>488</v>
      </c>
      <c r="B2592" s="944" t="s">
        <v>3901</v>
      </c>
      <c r="C2592" s="919" t="s">
        <v>3902</v>
      </c>
      <c r="D2592" s="919" t="s">
        <v>4462</v>
      </c>
      <c r="E2592" s="920">
        <v>1500</v>
      </c>
      <c r="F2592" s="919" t="s">
        <v>8630</v>
      </c>
      <c r="G2592" s="919" t="s">
        <v>8631</v>
      </c>
      <c r="H2592" s="919" t="s">
        <v>4462</v>
      </c>
      <c r="I2592" s="919" t="s">
        <v>3686</v>
      </c>
      <c r="J2592" s="919"/>
      <c r="K2592" s="920">
        <v>1</v>
      </c>
      <c r="L2592" s="920">
        <v>12</v>
      </c>
      <c r="M2592" s="920">
        <f t="shared" si="80"/>
        <v>18000</v>
      </c>
      <c r="N2592" s="919"/>
      <c r="O2592" s="919"/>
      <c r="P2592" s="921">
        <f t="shared" si="81"/>
        <v>0</v>
      </c>
    </row>
    <row r="2593" spans="1:16" ht="20.100000000000001" customHeight="1" x14ac:dyDescent="0.25">
      <c r="A2593" s="918" t="s">
        <v>488</v>
      </c>
      <c r="B2593" s="944" t="s">
        <v>3901</v>
      </c>
      <c r="C2593" s="919" t="s">
        <v>3902</v>
      </c>
      <c r="D2593" s="919" t="s">
        <v>4462</v>
      </c>
      <c r="E2593" s="920">
        <v>1400</v>
      </c>
      <c r="F2593" s="919" t="s">
        <v>4041</v>
      </c>
      <c r="G2593" s="919" t="s">
        <v>4042</v>
      </c>
      <c r="H2593" s="919" t="s">
        <v>4462</v>
      </c>
      <c r="I2593" s="919" t="s">
        <v>3686</v>
      </c>
      <c r="J2593" s="919"/>
      <c r="K2593" s="920">
        <v>1</v>
      </c>
      <c r="L2593" s="920">
        <v>12</v>
      </c>
      <c r="M2593" s="920">
        <f t="shared" si="80"/>
        <v>16800</v>
      </c>
      <c r="N2593" s="919"/>
      <c r="O2593" s="919"/>
      <c r="P2593" s="921">
        <f t="shared" si="81"/>
        <v>0</v>
      </c>
    </row>
    <row r="2594" spans="1:16" ht="20.100000000000001" customHeight="1" x14ac:dyDescent="0.25">
      <c r="A2594" s="918" t="s">
        <v>488</v>
      </c>
      <c r="B2594" s="944" t="s">
        <v>3901</v>
      </c>
      <c r="C2594" s="919" t="s">
        <v>3902</v>
      </c>
      <c r="D2594" s="919" t="s">
        <v>3999</v>
      </c>
      <c r="E2594" s="920">
        <v>3000</v>
      </c>
      <c r="F2594" s="919" t="s">
        <v>4041</v>
      </c>
      <c r="G2594" s="919" t="s">
        <v>4042</v>
      </c>
      <c r="H2594" s="919" t="s">
        <v>3999</v>
      </c>
      <c r="I2594" s="919" t="s">
        <v>3724</v>
      </c>
      <c r="J2594" s="919"/>
      <c r="K2594" s="920">
        <v>1</v>
      </c>
      <c r="L2594" s="920">
        <v>12</v>
      </c>
      <c r="M2594" s="920">
        <f t="shared" si="80"/>
        <v>36000</v>
      </c>
      <c r="N2594" s="919"/>
      <c r="O2594" s="919"/>
      <c r="P2594" s="921">
        <f t="shared" si="81"/>
        <v>0</v>
      </c>
    </row>
    <row r="2595" spans="1:16" ht="20.100000000000001" customHeight="1" x14ac:dyDescent="0.25">
      <c r="A2595" s="918" t="s">
        <v>488</v>
      </c>
      <c r="B2595" s="944" t="s">
        <v>3901</v>
      </c>
      <c r="C2595" s="919" t="s">
        <v>3902</v>
      </c>
      <c r="D2595" s="919" t="s">
        <v>4382</v>
      </c>
      <c r="E2595" s="920">
        <v>2100</v>
      </c>
      <c r="F2595" s="919" t="s">
        <v>8632</v>
      </c>
      <c r="G2595" s="919" t="s">
        <v>8633</v>
      </c>
      <c r="H2595" s="919" t="s">
        <v>4382</v>
      </c>
      <c r="I2595" s="919" t="s">
        <v>3724</v>
      </c>
      <c r="J2595" s="919"/>
      <c r="K2595" s="920">
        <v>1</v>
      </c>
      <c r="L2595" s="920">
        <v>12</v>
      </c>
      <c r="M2595" s="920">
        <f t="shared" si="80"/>
        <v>25200</v>
      </c>
      <c r="N2595" s="919"/>
      <c r="O2595" s="919"/>
      <c r="P2595" s="921">
        <f t="shared" si="81"/>
        <v>0</v>
      </c>
    </row>
    <row r="2596" spans="1:16" ht="20.100000000000001" customHeight="1" x14ac:dyDescent="0.25">
      <c r="A2596" s="918" t="s">
        <v>488</v>
      </c>
      <c r="B2596" s="944" t="s">
        <v>3901</v>
      </c>
      <c r="C2596" s="919" t="s">
        <v>3902</v>
      </c>
      <c r="D2596" s="919" t="s">
        <v>4352</v>
      </c>
      <c r="E2596" s="920">
        <v>2100</v>
      </c>
      <c r="F2596" s="919" t="s">
        <v>8634</v>
      </c>
      <c r="G2596" s="919" t="s">
        <v>8635</v>
      </c>
      <c r="H2596" s="919" t="s">
        <v>4352</v>
      </c>
      <c r="I2596" s="919" t="s">
        <v>3724</v>
      </c>
      <c r="J2596" s="919"/>
      <c r="K2596" s="920">
        <v>1</v>
      </c>
      <c r="L2596" s="920">
        <v>12</v>
      </c>
      <c r="M2596" s="920">
        <f t="shared" si="80"/>
        <v>25200</v>
      </c>
      <c r="N2596" s="919"/>
      <c r="O2596" s="919"/>
      <c r="P2596" s="921">
        <f t="shared" si="81"/>
        <v>0</v>
      </c>
    </row>
    <row r="2597" spans="1:16" ht="20.100000000000001" customHeight="1" x14ac:dyDescent="0.25">
      <c r="A2597" s="918" t="s">
        <v>488</v>
      </c>
      <c r="B2597" s="944" t="s">
        <v>3901</v>
      </c>
      <c r="C2597" s="919" t="s">
        <v>3902</v>
      </c>
      <c r="D2597" s="919" t="s">
        <v>8636</v>
      </c>
      <c r="E2597" s="920">
        <v>1650</v>
      </c>
      <c r="F2597" s="919" t="s">
        <v>8637</v>
      </c>
      <c r="G2597" s="919" t="s">
        <v>8638</v>
      </c>
      <c r="H2597" s="919" t="s">
        <v>8636</v>
      </c>
      <c r="I2597" s="919" t="s">
        <v>3679</v>
      </c>
      <c r="J2597" s="919"/>
      <c r="K2597" s="920">
        <v>1</v>
      </c>
      <c r="L2597" s="920">
        <v>12</v>
      </c>
      <c r="M2597" s="920">
        <f t="shared" si="80"/>
        <v>19800</v>
      </c>
      <c r="N2597" s="919"/>
      <c r="O2597" s="919"/>
      <c r="P2597" s="921">
        <f t="shared" si="81"/>
        <v>0</v>
      </c>
    </row>
    <row r="2598" spans="1:16" ht="20.100000000000001" customHeight="1" x14ac:dyDescent="0.25">
      <c r="A2598" s="918" t="s">
        <v>488</v>
      </c>
      <c r="B2598" s="944" t="s">
        <v>3901</v>
      </c>
      <c r="C2598" s="919" t="s">
        <v>3902</v>
      </c>
      <c r="D2598" s="919" t="s">
        <v>4375</v>
      </c>
      <c r="E2598" s="920">
        <v>2700</v>
      </c>
      <c r="F2598" s="919" t="s">
        <v>4041</v>
      </c>
      <c r="G2598" s="919" t="s">
        <v>4042</v>
      </c>
      <c r="H2598" s="919" t="s">
        <v>4375</v>
      </c>
      <c r="I2598" s="919" t="s">
        <v>3724</v>
      </c>
      <c r="J2598" s="919"/>
      <c r="K2598" s="920">
        <v>1</v>
      </c>
      <c r="L2598" s="920">
        <v>12</v>
      </c>
      <c r="M2598" s="920">
        <f t="shared" si="80"/>
        <v>32400</v>
      </c>
      <c r="N2598" s="919"/>
      <c r="O2598" s="919"/>
      <c r="P2598" s="921">
        <f t="shared" si="81"/>
        <v>0</v>
      </c>
    </row>
    <row r="2599" spans="1:16" ht="20.100000000000001" customHeight="1" x14ac:dyDescent="0.25">
      <c r="A2599" s="918" t="s">
        <v>488</v>
      </c>
      <c r="B2599" s="944" t="s">
        <v>3901</v>
      </c>
      <c r="C2599" s="919" t="s">
        <v>3902</v>
      </c>
      <c r="D2599" s="919" t="s">
        <v>8344</v>
      </c>
      <c r="E2599" s="920">
        <v>1250</v>
      </c>
      <c r="F2599" s="919" t="s">
        <v>8639</v>
      </c>
      <c r="G2599" s="919" t="s">
        <v>8640</v>
      </c>
      <c r="H2599" s="919" t="s">
        <v>8344</v>
      </c>
      <c r="I2599" s="919" t="s">
        <v>3686</v>
      </c>
      <c r="J2599" s="919"/>
      <c r="K2599" s="920">
        <v>1</v>
      </c>
      <c r="L2599" s="920">
        <v>12</v>
      </c>
      <c r="M2599" s="920">
        <f t="shared" si="80"/>
        <v>15000</v>
      </c>
      <c r="N2599" s="919"/>
      <c r="O2599" s="919"/>
      <c r="P2599" s="921">
        <f t="shared" si="81"/>
        <v>0</v>
      </c>
    </row>
    <row r="2600" spans="1:16" ht="20.100000000000001" customHeight="1" x14ac:dyDescent="0.25">
      <c r="A2600" s="918" t="s">
        <v>488</v>
      </c>
      <c r="B2600" s="944" t="s">
        <v>3901</v>
      </c>
      <c r="C2600" s="919" t="s">
        <v>3902</v>
      </c>
      <c r="D2600" s="919" t="s">
        <v>4352</v>
      </c>
      <c r="E2600" s="920">
        <v>2100</v>
      </c>
      <c r="F2600" s="919" t="s">
        <v>8641</v>
      </c>
      <c r="G2600" s="919" t="s">
        <v>8642</v>
      </c>
      <c r="H2600" s="919" t="s">
        <v>4352</v>
      </c>
      <c r="I2600" s="919" t="s">
        <v>3724</v>
      </c>
      <c r="J2600" s="919"/>
      <c r="K2600" s="920">
        <v>1</v>
      </c>
      <c r="L2600" s="920">
        <v>12</v>
      </c>
      <c r="M2600" s="920">
        <f t="shared" si="80"/>
        <v>25200</v>
      </c>
      <c r="N2600" s="919"/>
      <c r="O2600" s="919"/>
      <c r="P2600" s="921">
        <f t="shared" si="81"/>
        <v>0</v>
      </c>
    </row>
    <row r="2601" spans="1:16" ht="20.100000000000001" customHeight="1" x14ac:dyDescent="0.25">
      <c r="A2601" s="918" t="s">
        <v>488</v>
      </c>
      <c r="B2601" s="944" t="s">
        <v>3901</v>
      </c>
      <c r="C2601" s="919" t="s">
        <v>3902</v>
      </c>
      <c r="D2601" s="919" t="s">
        <v>4352</v>
      </c>
      <c r="E2601" s="920">
        <v>2100</v>
      </c>
      <c r="F2601" s="919" t="s">
        <v>8643</v>
      </c>
      <c r="G2601" s="919" t="s">
        <v>8644</v>
      </c>
      <c r="H2601" s="919" t="s">
        <v>4352</v>
      </c>
      <c r="I2601" s="919" t="s">
        <v>3724</v>
      </c>
      <c r="J2601" s="919"/>
      <c r="K2601" s="920">
        <v>1</v>
      </c>
      <c r="L2601" s="920">
        <v>12</v>
      </c>
      <c r="M2601" s="920">
        <f t="shared" si="80"/>
        <v>25200</v>
      </c>
      <c r="N2601" s="919"/>
      <c r="O2601" s="919"/>
      <c r="P2601" s="921">
        <f t="shared" si="81"/>
        <v>0</v>
      </c>
    </row>
    <row r="2602" spans="1:16" ht="20.100000000000001" customHeight="1" x14ac:dyDescent="0.25">
      <c r="A2602" s="918" t="s">
        <v>488</v>
      </c>
      <c r="B2602" s="944" t="s">
        <v>3901</v>
      </c>
      <c r="C2602" s="919" t="s">
        <v>3902</v>
      </c>
      <c r="D2602" s="919" t="s">
        <v>6130</v>
      </c>
      <c r="E2602" s="920">
        <v>1600</v>
      </c>
      <c r="F2602" s="919" t="s">
        <v>8645</v>
      </c>
      <c r="G2602" s="919" t="s">
        <v>8646</v>
      </c>
      <c r="H2602" s="919" t="s">
        <v>6130</v>
      </c>
      <c r="I2602" s="919" t="s">
        <v>3686</v>
      </c>
      <c r="J2602" s="919"/>
      <c r="K2602" s="920">
        <v>1</v>
      </c>
      <c r="L2602" s="920">
        <v>12</v>
      </c>
      <c r="M2602" s="920">
        <f t="shared" si="80"/>
        <v>19200</v>
      </c>
      <c r="N2602" s="919"/>
      <c r="O2602" s="919"/>
      <c r="P2602" s="921">
        <f t="shared" si="81"/>
        <v>0</v>
      </c>
    </row>
    <row r="2603" spans="1:16" ht="20.100000000000001" customHeight="1" x14ac:dyDescent="0.25">
      <c r="A2603" s="918" t="s">
        <v>488</v>
      </c>
      <c r="B2603" s="944" t="s">
        <v>3901</v>
      </c>
      <c r="C2603" s="919" t="s">
        <v>3902</v>
      </c>
      <c r="D2603" s="919" t="s">
        <v>6130</v>
      </c>
      <c r="E2603" s="920">
        <v>1800</v>
      </c>
      <c r="F2603" s="919" t="s">
        <v>8647</v>
      </c>
      <c r="G2603" s="919" t="s">
        <v>8648</v>
      </c>
      <c r="H2603" s="919" t="s">
        <v>6130</v>
      </c>
      <c r="I2603" s="919" t="s">
        <v>3686</v>
      </c>
      <c r="J2603" s="919"/>
      <c r="K2603" s="920">
        <v>1</v>
      </c>
      <c r="L2603" s="920">
        <v>12</v>
      </c>
      <c r="M2603" s="920">
        <f t="shared" si="80"/>
        <v>21600</v>
      </c>
      <c r="N2603" s="919"/>
      <c r="O2603" s="919"/>
      <c r="P2603" s="921">
        <f t="shared" si="81"/>
        <v>0</v>
      </c>
    </row>
    <row r="2604" spans="1:16" ht="20.100000000000001" customHeight="1" x14ac:dyDescent="0.25">
      <c r="A2604" s="918" t="s">
        <v>488</v>
      </c>
      <c r="B2604" s="944" t="s">
        <v>3901</v>
      </c>
      <c r="C2604" s="919" t="s">
        <v>3902</v>
      </c>
      <c r="D2604" s="919" t="s">
        <v>3999</v>
      </c>
      <c r="E2604" s="920">
        <v>3000</v>
      </c>
      <c r="F2604" s="919" t="s">
        <v>8649</v>
      </c>
      <c r="G2604" s="919" t="s">
        <v>8650</v>
      </c>
      <c r="H2604" s="919" t="s">
        <v>3999</v>
      </c>
      <c r="I2604" s="919" t="s">
        <v>3724</v>
      </c>
      <c r="J2604" s="919"/>
      <c r="K2604" s="920">
        <v>1</v>
      </c>
      <c r="L2604" s="920">
        <v>12</v>
      </c>
      <c r="M2604" s="920">
        <f t="shared" si="80"/>
        <v>36000</v>
      </c>
      <c r="N2604" s="919"/>
      <c r="O2604" s="919"/>
      <c r="P2604" s="921">
        <f t="shared" si="81"/>
        <v>0</v>
      </c>
    </row>
    <row r="2605" spans="1:16" ht="20.100000000000001" customHeight="1" x14ac:dyDescent="0.25">
      <c r="A2605" s="918" t="s">
        <v>488</v>
      </c>
      <c r="B2605" s="944" t="s">
        <v>3901</v>
      </c>
      <c r="C2605" s="919" t="s">
        <v>3902</v>
      </c>
      <c r="D2605" s="919" t="s">
        <v>3999</v>
      </c>
      <c r="E2605" s="920">
        <v>2100</v>
      </c>
      <c r="F2605" s="919" t="s">
        <v>8651</v>
      </c>
      <c r="G2605" s="919" t="s">
        <v>8652</v>
      </c>
      <c r="H2605" s="919" t="s">
        <v>3999</v>
      </c>
      <c r="I2605" s="919" t="s">
        <v>3724</v>
      </c>
      <c r="J2605" s="919"/>
      <c r="K2605" s="920">
        <v>1</v>
      </c>
      <c r="L2605" s="920">
        <v>12</v>
      </c>
      <c r="M2605" s="920">
        <f t="shared" si="80"/>
        <v>25200</v>
      </c>
      <c r="N2605" s="919"/>
      <c r="O2605" s="919"/>
      <c r="P2605" s="921">
        <f t="shared" si="81"/>
        <v>0</v>
      </c>
    </row>
    <row r="2606" spans="1:16" ht="20.100000000000001" customHeight="1" x14ac:dyDescent="0.25">
      <c r="A2606" s="918" t="s">
        <v>488</v>
      </c>
      <c r="B2606" s="944" t="s">
        <v>3901</v>
      </c>
      <c r="C2606" s="919" t="s">
        <v>3902</v>
      </c>
      <c r="D2606" s="919" t="s">
        <v>8344</v>
      </c>
      <c r="E2606" s="920">
        <v>1500</v>
      </c>
      <c r="F2606" s="919" t="s">
        <v>8653</v>
      </c>
      <c r="G2606" s="919" t="s">
        <v>8654</v>
      </c>
      <c r="H2606" s="919" t="s">
        <v>8344</v>
      </c>
      <c r="I2606" s="919" t="s">
        <v>3686</v>
      </c>
      <c r="J2606" s="919"/>
      <c r="K2606" s="920">
        <v>1</v>
      </c>
      <c r="L2606" s="920">
        <v>12</v>
      </c>
      <c r="M2606" s="920">
        <f t="shared" si="80"/>
        <v>18000</v>
      </c>
      <c r="N2606" s="919"/>
      <c r="O2606" s="919"/>
      <c r="P2606" s="921">
        <f t="shared" si="81"/>
        <v>0</v>
      </c>
    </row>
    <row r="2607" spans="1:16" ht="20.100000000000001" customHeight="1" x14ac:dyDescent="0.25">
      <c r="A2607" s="918" t="s">
        <v>488</v>
      </c>
      <c r="B2607" s="944" t="s">
        <v>3901</v>
      </c>
      <c r="C2607" s="919" t="s">
        <v>3902</v>
      </c>
      <c r="D2607" s="919" t="s">
        <v>6120</v>
      </c>
      <c r="E2607" s="920">
        <v>3000</v>
      </c>
      <c r="F2607" s="919" t="s">
        <v>8655</v>
      </c>
      <c r="G2607" s="919" t="s">
        <v>8656</v>
      </c>
      <c r="H2607" s="919" t="s">
        <v>6120</v>
      </c>
      <c r="I2607" s="919" t="s">
        <v>3724</v>
      </c>
      <c r="J2607" s="919"/>
      <c r="K2607" s="920">
        <v>1</v>
      </c>
      <c r="L2607" s="920">
        <v>12</v>
      </c>
      <c r="M2607" s="920">
        <f t="shared" si="80"/>
        <v>36000</v>
      </c>
      <c r="N2607" s="919"/>
      <c r="O2607" s="919"/>
      <c r="P2607" s="921">
        <f t="shared" si="81"/>
        <v>0</v>
      </c>
    </row>
    <row r="2608" spans="1:16" ht="20.100000000000001" customHeight="1" x14ac:dyDescent="0.25">
      <c r="A2608" s="918" t="s">
        <v>488</v>
      </c>
      <c r="B2608" s="944" t="s">
        <v>3901</v>
      </c>
      <c r="C2608" s="919" t="s">
        <v>3902</v>
      </c>
      <c r="D2608" s="919" t="s">
        <v>4006</v>
      </c>
      <c r="E2608" s="920">
        <v>1650</v>
      </c>
      <c r="F2608" s="919" t="s">
        <v>8657</v>
      </c>
      <c r="G2608" s="919" t="s">
        <v>8658</v>
      </c>
      <c r="H2608" s="919" t="s">
        <v>4006</v>
      </c>
      <c r="I2608" s="919" t="s">
        <v>3686</v>
      </c>
      <c r="J2608" s="919"/>
      <c r="K2608" s="920">
        <v>1</v>
      </c>
      <c r="L2608" s="920">
        <v>12</v>
      </c>
      <c r="M2608" s="920">
        <f t="shared" si="80"/>
        <v>19800</v>
      </c>
      <c r="N2608" s="919"/>
      <c r="O2608" s="919"/>
      <c r="P2608" s="921">
        <f t="shared" si="81"/>
        <v>0</v>
      </c>
    </row>
    <row r="2609" spans="1:16" ht="20.100000000000001" customHeight="1" x14ac:dyDescent="0.25">
      <c r="A2609" s="918" t="s">
        <v>488</v>
      </c>
      <c r="B2609" s="944" t="s">
        <v>3901</v>
      </c>
      <c r="C2609" s="919" t="s">
        <v>3902</v>
      </c>
      <c r="D2609" s="919" t="s">
        <v>4352</v>
      </c>
      <c r="E2609" s="920">
        <v>2100</v>
      </c>
      <c r="F2609" s="919" t="s">
        <v>8659</v>
      </c>
      <c r="G2609" s="919" t="s">
        <v>8660</v>
      </c>
      <c r="H2609" s="919" t="s">
        <v>4352</v>
      </c>
      <c r="I2609" s="919" t="s">
        <v>3724</v>
      </c>
      <c r="J2609" s="919"/>
      <c r="K2609" s="920">
        <v>1</v>
      </c>
      <c r="L2609" s="920">
        <v>12</v>
      </c>
      <c r="M2609" s="920">
        <f t="shared" si="80"/>
        <v>25200</v>
      </c>
      <c r="N2609" s="919"/>
      <c r="O2609" s="919"/>
      <c r="P2609" s="921">
        <f t="shared" si="81"/>
        <v>0</v>
      </c>
    </row>
    <row r="2610" spans="1:16" ht="20.100000000000001" customHeight="1" x14ac:dyDescent="0.25">
      <c r="A2610" s="918" t="s">
        <v>488</v>
      </c>
      <c r="B2610" s="944" t="s">
        <v>3901</v>
      </c>
      <c r="C2610" s="919" t="s">
        <v>3902</v>
      </c>
      <c r="D2610" s="919" t="s">
        <v>4375</v>
      </c>
      <c r="E2610" s="920">
        <v>2500</v>
      </c>
      <c r="F2610" s="919" t="s">
        <v>8661</v>
      </c>
      <c r="G2610" s="919" t="s">
        <v>8662</v>
      </c>
      <c r="H2610" s="919" t="s">
        <v>4375</v>
      </c>
      <c r="I2610" s="919" t="s">
        <v>3724</v>
      </c>
      <c r="J2610" s="919"/>
      <c r="K2610" s="920">
        <v>1</v>
      </c>
      <c r="L2610" s="920">
        <v>12</v>
      </c>
      <c r="M2610" s="920">
        <f t="shared" si="80"/>
        <v>30000</v>
      </c>
      <c r="N2610" s="919"/>
      <c r="O2610" s="919"/>
      <c r="P2610" s="921">
        <f t="shared" si="81"/>
        <v>0</v>
      </c>
    </row>
    <row r="2611" spans="1:16" ht="20.100000000000001" customHeight="1" x14ac:dyDescent="0.25">
      <c r="A2611" s="918" t="s">
        <v>488</v>
      </c>
      <c r="B2611" s="944" t="s">
        <v>3901</v>
      </c>
      <c r="C2611" s="919" t="s">
        <v>3902</v>
      </c>
      <c r="D2611" s="919" t="s">
        <v>4375</v>
      </c>
      <c r="E2611" s="920">
        <v>3300</v>
      </c>
      <c r="F2611" s="919" t="s">
        <v>8663</v>
      </c>
      <c r="G2611" s="919" t="s">
        <v>8664</v>
      </c>
      <c r="H2611" s="919" t="s">
        <v>4375</v>
      </c>
      <c r="I2611" s="919" t="s">
        <v>3724</v>
      </c>
      <c r="J2611" s="919"/>
      <c r="K2611" s="920">
        <v>1</v>
      </c>
      <c r="L2611" s="920">
        <v>12</v>
      </c>
      <c r="M2611" s="920">
        <f t="shared" si="80"/>
        <v>39600</v>
      </c>
      <c r="N2611" s="919"/>
      <c r="O2611" s="919"/>
      <c r="P2611" s="921">
        <f t="shared" si="81"/>
        <v>0</v>
      </c>
    </row>
    <row r="2612" spans="1:16" ht="20.100000000000001" customHeight="1" x14ac:dyDescent="0.25">
      <c r="A2612" s="918" t="s">
        <v>488</v>
      </c>
      <c r="B2612" s="944" t="s">
        <v>3901</v>
      </c>
      <c r="C2612" s="919" t="s">
        <v>3902</v>
      </c>
      <c r="D2612" s="919" t="s">
        <v>3999</v>
      </c>
      <c r="E2612" s="920">
        <v>3000</v>
      </c>
      <c r="F2612" s="919" t="s">
        <v>8665</v>
      </c>
      <c r="G2612" s="919" t="s">
        <v>8666</v>
      </c>
      <c r="H2612" s="919" t="s">
        <v>3999</v>
      </c>
      <c r="I2612" s="919" t="s">
        <v>3724</v>
      </c>
      <c r="J2612" s="919"/>
      <c r="K2612" s="920">
        <v>1</v>
      </c>
      <c r="L2612" s="920">
        <v>12</v>
      </c>
      <c r="M2612" s="920">
        <f t="shared" si="80"/>
        <v>36000</v>
      </c>
      <c r="N2612" s="919"/>
      <c r="O2612" s="919"/>
      <c r="P2612" s="921">
        <f t="shared" si="81"/>
        <v>0</v>
      </c>
    </row>
    <row r="2613" spans="1:16" ht="20.100000000000001" customHeight="1" x14ac:dyDescent="0.25">
      <c r="A2613" s="918" t="s">
        <v>488</v>
      </c>
      <c r="B2613" s="944" t="s">
        <v>3901</v>
      </c>
      <c r="C2613" s="919" t="s">
        <v>3902</v>
      </c>
      <c r="D2613" s="919" t="s">
        <v>7145</v>
      </c>
      <c r="E2613" s="920">
        <v>1320</v>
      </c>
      <c r="F2613" s="919" t="s">
        <v>8667</v>
      </c>
      <c r="G2613" s="919" t="s">
        <v>8668</v>
      </c>
      <c r="H2613" s="919" t="s">
        <v>7145</v>
      </c>
      <c r="I2613" s="919" t="s">
        <v>3686</v>
      </c>
      <c r="J2613" s="919"/>
      <c r="K2613" s="920">
        <v>1</v>
      </c>
      <c r="L2613" s="920">
        <v>12</v>
      </c>
      <c r="M2613" s="920">
        <f t="shared" si="80"/>
        <v>15840</v>
      </c>
      <c r="N2613" s="919"/>
      <c r="O2613" s="919"/>
      <c r="P2613" s="921">
        <f t="shared" si="81"/>
        <v>0</v>
      </c>
    </row>
    <row r="2614" spans="1:16" ht="20.100000000000001" customHeight="1" x14ac:dyDescent="0.25">
      <c r="A2614" s="918" t="s">
        <v>488</v>
      </c>
      <c r="B2614" s="944" t="s">
        <v>3901</v>
      </c>
      <c r="C2614" s="919" t="s">
        <v>3902</v>
      </c>
      <c r="D2614" s="919" t="s">
        <v>4352</v>
      </c>
      <c r="E2614" s="920">
        <v>2700</v>
      </c>
      <c r="F2614" s="919" t="s">
        <v>8669</v>
      </c>
      <c r="G2614" s="919" t="s">
        <v>8670</v>
      </c>
      <c r="H2614" s="919" t="s">
        <v>4352</v>
      </c>
      <c r="I2614" s="919" t="s">
        <v>3724</v>
      </c>
      <c r="J2614" s="919"/>
      <c r="K2614" s="920">
        <v>1</v>
      </c>
      <c r="L2614" s="920">
        <v>12</v>
      </c>
      <c r="M2614" s="920">
        <f t="shared" si="80"/>
        <v>32400</v>
      </c>
      <c r="N2614" s="919"/>
      <c r="O2614" s="919"/>
      <c r="P2614" s="921">
        <f t="shared" si="81"/>
        <v>0</v>
      </c>
    </row>
    <row r="2615" spans="1:16" ht="20.100000000000001" customHeight="1" x14ac:dyDescent="0.25">
      <c r="A2615" s="918" t="s">
        <v>488</v>
      </c>
      <c r="B2615" s="944" t="s">
        <v>3901</v>
      </c>
      <c r="C2615" s="919" t="s">
        <v>3902</v>
      </c>
      <c r="D2615" s="919" t="s">
        <v>4352</v>
      </c>
      <c r="E2615" s="920">
        <v>3000</v>
      </c>
      <c r="F2615" s="919" t="s">
        <v>8671</v>
      </c>
      <c r="G2615" s="919" t="s">
        <v>8672</v>
      </c>
      <c r="H2615" s="919" t="s">
        <v>4352</v>
      </c>
      <c r="I2615" s="919" t="s">
        <v>3724</v>
      </c>
      <c r="J2615" s="919"/>
      <c r="K2615" s="920">
        <v>1</v>
      </c>
      <c r="L2615" s="920">
        <v>12</v>
      </c>
      <c r="M2615" s="920">
        <f t="shared" si="80"/>
        <v>36000</v>
      </c>
      <c r="N2615" s="919"/>
      <c r="O2615" s="919"/>
      <c r="P2615" s="921">
        <f t="shared" si="81"/>
        <v>0</v>
      </c>
    </row>
    <row r="2616" spans="1:16" ht="20.100000000000001" customHeight="1" x14ac:dyDescent="0.25">
      <c r="A2616" s="918" t="s">
        <v>488</v>
      </c>
      <c r="B2616" s="944" t="s">
        <v>3901</v>
      </c>
      <c r="C2616" s="919" t="s">
        <v>3902</v>
      </c>
      <c r="D2616" s="919" t="s">
        <v>3999</v>
      </c>
      <c r="E2616" s="920">
        <v>2100</v>
      </c>
      <c r="F2616" s="919" t="s">
        <v>8673</v>
      </c>
      <c r="G2616" s="919" t="s">
        <v>8674</v>
      </c>
      <c r="H2616" s="919" t="s">
        <v>3999</v>
      </c>
      <c r="I2616" s="919" t="s">
        <v>3724</v>
      </c>
      <c r="J2616" s="919"/>
      <c r="K2616" s="920">
        <v>1</v>
      </c>
      <c r="L2616" s="920">
        <v>12</v>
      </c>
      <c r="M2616" s="920">
        <f t="shared" si="80"/>
        <v>25200</v>
      </c>
      <c r="N2616" s="919"/>
      <c r="O2616" s="919"/>
      <c r="P2616" s="921">
        <f t="shared" si="81"/>
        <v>0</v>
      </c>
    </row>
    <row r="2617" spans="1:16" ht="20.100000000000001" customHeight="1" x14ac:dyDescent="0.25">
      <c r="A2617" s="918" t="s">
        <v>488</v>
      </c>
      <c r="B2617" s="944" t="s">
        <v>3901</v>
      </c>
      <c r="C2617" s="919" t="s">
        <v>3902</v>
      </c>
      <c r="D2617" s="919" t="s">
        <v>4352</v>
      </c>
      <c r="E2617" s="920">
        <v>2700</v>
      </c>
      <c r="F2617" s="919" t="s">
        <v>8675</v>
      </c>
      <c r="G2617" s="919" t="s">
        <v>8676</v>
      </c>
      <c r="H2617" s="919" t="s">
        <v>4352</v>
      </c>
      <c r="I2617" s="919" t="s">
        <v>3724</v>
      </c>
      <c r="J2617" s="919"/>
      <c r="K2617" s="920">
        <v>1</v>
      </c>
      <c r="L2617" s="920">
        <v>12</v>
      </c>
      <c r="M2617" s="920">
        <f t="shared" si="80"/>
        <v>32400</v>
      </c>
      <c r="N2617" s="919"/>
      <c r="O2617" s="919"/>
      <c r="P2617" s="921">
        <f t="shared" si="81"/>
        <v>0</v>
      </c>
    </row>
    <row r="2618" spans="1:16" ht="20.100000000000001" customHeight="1" x14ac:dyDescent="0.25">
      <c r="A2618" s="918" t="s">
        <v>488</v>
      </c>
      <c r="B2618" s="944" t="s">
        <v>3901</v>
      </c>
      <c r="C2618" s="919" t="s">
        <v>3902</v>
      </c>
      <c r="D2618" s="919" t="s">
        <v>4375</v>
      </c>
      <c r="E2618" s="920">
        <v>3000</v>
      </c>
      <c r="F2618" s="919" t="s">
        <v>4041</v>
      </c>
      <c r="G2618" s="919" t="s">
        <v>4042</v>
      </c>
      <c r="H2618" s="919" t="s">
        <v>4375</v>
      </c>
      <c r="I2618" s="919" t="s">
        <v>3724</v>
      </c>
      <c r="J2618" s="919"/>
      <c r="K2618" s="920">
        <v>1</v>
      </c>
      <c r="L2618" s="920">
        <v>12</v>
      </c>
      <c r="M2618" s="920">
        <f t="shared" si="80"/>
        <v>36000</v>
      </c>
      <c r="N2618" s="919"/>
      <c r="O2618" s="919"/>
      <c r="P2618" s="921">
        <f t="shared" si="81"/>
        <v>0</v>
      </c>
    </row>
    <row r="2619" spans="1:16" ht="20.100000000000001" customHeight="1" x14ac:dyDescent="0.25">
      <c r="A2619" s="918" t="s">
        <v>488</v>
      </c>
      <c r="B2619" s="944" t="s">
        <v>3901</v>
      </c>
      <c r="C2619" s="919" t="s">
        <v>3902</v>
      </c>
      <c r="D2619" s="919" t="s">
        <v>4375</v>
      </c>
      <c r="E2619" s="920">
        <v>2700</v>
      </c>
      <c r="F2619" s="919" t="s">
        <v>8677</v>
      </c>
      <c r="G2619" s="919" t="s">
        <v>8678</v>
      </c>
      <c r="H2619" s="919" t="s">
        <v>4375</v>
      </c>
      <c r="I2619" s="919" t="s">
        <v>3724</v>
      </c>
      <c r="J2619" s="919"/>
      <c r="K2619" s="920">
        <v>1</v>
      </c>
      <c r="L2619" s="920">
        <v>12</v>
      </c>
      <c r="M2619" s="920">
        <f t="shared" si="80"/>
        <v>32400</v>
      </c>
      <c r="N2619" s="919"/>
      <c r="O2619" s="919"/>
      <c r="P2619" s="921">
        <f t="shared" si="81"/>
        <v>0</v>
      </c>
    </row>
    <row r="2620" spans="1:16" ht="20.100000000000001" customHeight="1" x14ac:dyDescent="0.25">
      <c r="A2620" s="918" t="s">
        <v>488</v>
      </c>
      <c r="B2620" s="944" t="s">
        <v>3901</v>
      </c>
      <c r="C2620" s="919" t="s">
        <v>3902</v>
      </c>
      <c r="D2620" s="919" t="s">
        <v>4352</v>
      </c>
      <c r="E2620" s="920">
        <v>1900</v>
      </c>
      <c r="F2620" s="919" t="s">
        <v>8679</v>
      </c>
      <c r="G2620" s="919" t="s">
        <v>8680</v>
      </c>
      <c r="H2620" s="919" t="s">
        <v>4352</v>
      </c>
      <c r="I2620" s="919" t="s">
        <v>3724</v>
      </c>
      <c r="J2620" s="919"/>
      <c r="K2620" s="920">
        <v>1</v>
      </c>
      <c r="L2620" s="920">
        <v>12</v>
      </c>
      <c r="M2620" s="920">
        <f t="shared" si="80"/>
        <v>22800</v>
      </c>
      <c r="N2620" s="919"/>
      <c r="O2620" s="919"/>
      <c r="P2620" s="921">
        <f t="shared" si="81"/>
        <v>0</v>
      </c>
    </row>
    <row r="2621" spans="1:16" ht="20.100000000000001" customHeight="1" x14ac:dyDescent="0.25">
      <c r="A2621" s="918" t="s">
        <v>488</v>
      </c>
      <c r="B2621" s="944" t="s">
        <v>3901</v>
      </c>
      <c r="C2621" s="919" t="s">
        <v>3902</v>
      </c>
      <c r="D2621" s="919" t="s">
        <v>8344</v>
      </c>
      <c r="E2621" s="920">
        <v>1500</v>
      </c>
      <c r="F2621" s="919" t="s">
        <v>8681</v>
      </c>
      <c r="G2621" s="919" t="s">
        <v>8682</v>
      </c>
      <c r="H2621" s="919" t="s">
        <v>8344</v>
      </c>
      <c r="I2621" s="919" t="s">
        <v>3686</v>
      </c>
      <c r="J2621" s="919"/>
      <c r="K2621" s="920">
        <v>1</v>
      </c>
      <c r="L2621" s="920">
        <v>12</v>
      </c>
      <c r="M2621" s="920">
        <f t="shared" si="80"/>
        <v>18000</v>
      </c>
      <c r="N2621" s="919"/>
      <c r="O2621" s="919"/>
      <c r="P2621" s="921">
        <f t="shared" si="81"/>
        <v>0</v>
      </c>
    </row>
    <row r="2622" spans="1:16" ht="20.100000000000001" customHeight="1" x14ac:dyDescent="0.25">
      <c r="A2622" s="918" t="s">
        <v>488</v>
      </c>
      <c r="B2622" s="944" t="s">
        <v>3901</v>
      </c>
      <c r="C2622" s="919" t="s">
        <v>3902</v>
      </c>
      <c r="D2622" s="919" t="s">
        <v>6203</v>
      </c>
      <c r="E2622" s="920">
        <v>1900</v>
      </c>
      <c r="F2622" s="919" t="s">
        <v>4041</v>
      </c>
      <c r="G2622" s="919" t="s">
        <v>4042</v>
      </c>
      <c r="H2622" s="919" t="s">
        <v>6203</v>
      </c>
      <c r="I2622" s="919" t="s">
        <v>3724</v>
      </c>
      <c r="J2622" s="919"/>
      <c r="K2622" s="920">
        <v>1</v>
      </c>
      <c r="L2622" s="920">
        <v>12</v>
      </c>
      <c r="M2622" s="920">
        <f t="shared" si="80"/>
        <v>22800</v>
      </c>
      <c r="N2622" s="919"/>
      <c r="O2622" s="919"/>
      <c r="P2622" s="921">
        <f t="shared" si="81"/>
        <v>0</v>
      </c>
    </row>
    <row r="2623" spans="1:16" ht="20.100000000000001" customHeight="1" x14ac:dyDescent="0.25">
      <c r="A2623" s="918" t="s">
        <v>488</v>
      </c>
      <c r="B2623" s="944" t="s">
        <v>3901</v>
      </c>
      <c r="C2623" s="919" t="s">
        <v>3902</v>
      </c>
      <c r="D2623" s="919" t="s">
        <v>8344</v>
      </c>
      <c r="E2623" s="920">
        <v>1900</v>
      </c>
      <c r="F2623" s="919" t="s">
        <v>8683</v>
      </c>
      <c r="G2623" s="919" t="s">
        <v>8684</v>
      </c>
      <c r="H2623" s="919" t="s">
        <v>8344</v>
      </c>
      <c r="I2623" s="919" t="s">
        <v>3686</v>
      </c>
      <c r="J2623" s="919"/>
      <c r="K2623" s="920">
        <v>1</v>
      </c>
      <c r="L2623" s="920">
        <v>12</v>
      </c>
      <c r="M2623" s="920">
        <f t="shared" si="80"/>
        <v>22800</v>
      </c>
      <c r="N2623" s="919"/>
      <c r="O2623" s="919"/>
      <c r="P2623" s="921">
        <f t="shared" si="81"/>
        <v>0</v>
      </c>
    </row>
    <row r="2624" spans="1:16" ht="20.100000000000001" customHeight="1" x14ac:dyDescent="0.25">
      <c r="A2624" s="918" t="s">
        <v>488</v>
      </c>
      <c r="B2624" s="944" t="s">
        <v>3901</v>
      </c>
      <c r="C2624" s="919" t="s">
        <v>3902</v>
      </c>
      <c r="D2624" s="919" t="s">
        <v>6203</v>
      </c>
      <c r="E2624" s="920">
        <v>2100</v>
      </c>
      <c r="F2624" s="919" t="s">
        <v>8685</v>
      </c>
      <c r="G2624" s="919" t="s">
        <v>8686</v>
      </c>
      <c r="H2624" s="919" t="s">
        <v>6203</v>
      </c>
      <c r="I2624" s="919" t="s">
        <v>3724</v>
      </c>
      <c r="J2624" s="919"/>
      <c r="K2624" s="920">
        <v>1</v>
      </c>
      <c r="L2624" s="920">
        <v>12</v>
      </c>
      <c r="M2624" s="920">
        <f t="shared" si="80"/>
        <v>25200</v>
      </c>
      <c r="N2624" s="919"/>
      <c r="O2624" s="919"/>
      <c r="P2624" s="921">
        <f t="shared" si="81"/>
        <v>0</v>
      </c>
    </row>
    <row r="2625" spans="1:16" ht="20.100000000000001" customHeight="1" x14ac:dyDescent="0.25">
      <c r="A2625" s="918" t="s">
        <v>488</v>
      </c>
      <c r="B2625" s="944" t="s">
        <v>3901</v>
      </c>
      <c r="C2625" s="919" t="s">
        <v>3902</v>
      </c>
      <c r="D2625" s="919" t="s">
        <v>6115</v>
      </c>
      <c r="E2625" s="920">
        <v>2200</v>
      </c>
      <c r="F2625" s="919" t="s">
        <v>4041</v>
      </c>
      <c r="G2625" s="919" t="s">
        <v>4042</v>
      </c>
      <c r="H2625" s="919" t="s">
        <v>6115</v>
      </c>
      <c r="I2625" s="919" t="s">
        <v>3679</v>
      </c>
      <c r="J2625" s="919"/>
      <c r="K2625" s="920">
        <v>1</v>
      </c>
      <c r="L2625" s="920">
        <v>12</v>
      </c>
      <c r="M2625" s="920">
        <f t="shared" si="80"/>
        <v>26400</v>
      </c>
      <c r="N2625" s="919"/>
      <c r="O2625" s="919"/>
      <c r="P2625" s="921">
        <f t="shared" si="81"/>
        <v>0</v>
      </c>
    </row>
    <row r="2626" spans="1:16" ht="20.100000000000001" customHeight="1" x14ac:dyDescent="0.25">
      <c r="A2626" s="918" t="s">
        <v>488</v>
      </c>
      <c r="B2626" s="944" t="s">
        <v>3901</v>
      </c>
      <c r="C2626" s="919" t="s">
        <v>3902</v>
      </c>
      <c r="D2626" s="919" t="s">
        <v>8687</v>
      </c>
      <c r="E2626" s="920">
        <v>4000</v>
      </c>
      <c r="F2626" s="919" t="s">
        <v>4041</v>
      </c>
      <c r="G2626" s="919" t="s">
        <v>4062</v>
      </c>
      <c r="H2626" s="919" t="s">
        <v>8687</v>
      </c>
      <c r="I2626" s="919" t="s">
        <v>3679</v>
      </c>
      <c r="J2626" s="919"/>
      <c r="K2626" s="920">
        <v>1</v>
      </c>
      <c r="L2626" s="920">
        <v>12</v>
      </c>
      <c r="M2626" s="920">
        <f t="shared" si="80"/>
        <v>48000</v>
      </c>
      <c r="N2626" s="919"/>
      <c r="O2626" s="919"/>
      <c r="P2626" s="921">
        <f t="shared" si="81"/>
        <v>0</v>
      </c>
    </row>
    <row r="2627" spans="1:16" ht="20.100000000000001" customHeight="1" x14ac:dyDescent="0.25">
      <c r="A2627" s="918" t="s">
        <v>488</v>
      </c>
      <c r="B2627" s="944" t="s">
        <v>3901</v>
      </c>
      <c r="C2627" s="919" t="s">
        <v>3902</v>
      </c>
      <c r="D2627" s="919" t="s">
        <v>6115</v>
      </c>
      <c r="E2627" s="920">
        <v>2400</v>
      </c>
      <c r="F2627" s="919" t="s">
        <v>8688</v>
      </c>
      <c r="G2627" s="919" t="s">
        <v>8689</v>
      </c>
      <c r="H2627" s="919" t="s">
        <v>6115</v>
      </c>
      <c r="I2627" s="919" t="s">
        <v>3679</v>
      </c>
      <c r="J2627" s="919"/>
      <c r="K2627" s="920">
        <v>1</v>
      </c>
      <c r="L2627" s="920">
        <v>12</v>
      </c>
      <c r="M2627" s="920">
        <f t="shared" si="80"/>
        <v>28800</v>
      </c>
      <c r="N2627" s="919"/>
      <c r="O2627" s="919"/>
      <c r="P2627" s="921">
        <f t="shared" si="81"/>
        <v>0</v>
      </c>
    </row>
    <row r="2628" spans="1:16" ht="20.100000000000001" customHeight="1" x14ac:dyDescent="0.25">
      <c r="A2628" s="918" t="s">
        <v>488</v>
      </c>
      <c r="B2628" s="944" t="s">
        <v>3901</v>
      </c>
      <c r="C2628" s="919" t="s">
        <v>3902</v>
      </c>
      <c r="D2628" s="919" t="s">
        <v>6115</v>
      </c>
      <c r="E2628" s="920">
        <v>2400</v>
      </c>
      <c r="F2628" s="919" t="s">
        <v>8690</v>
      </c>
      <c r="G2628" s="919" t="s">
        <v>8691</v>
      </c>
      <c r="H2628" s="919" t="s">
        <v>6115</v>
      </c>
      <c r="I2628" s="919" t="s">
        <v>3679</v>
      </c>
      <c r="J2628" s="919"/>
      <c r="K2628" s="920">
        <v>1</v>
      </c>
      <c r="L2628" s="920">
        <v>12</v>
      </c>
      <c r="M2628" s="920">
        <f t="shared" si="80"/>
        <v>28800</v>
      </c>
      <c r="N2628" s="919"/>
      <c r="O2628" s="919"/>
      <c r="P2628" s="921">
        <f t="shared" si="81"/>
        <v>0</v>
      </c>
    </row>
    <row r="2629" spans="1:16" ht="20.100000000000001" customHeight="1" x14ac:dyDescent="0.25">
      <c r="A2629" s="918" t="s">
        <v>488</v>
      </c>
      <c r="B2629" s="944" t="s">
        <v>3901</v>
      </c>
      <c r="C2629" s="919" t="s">
        <v>3902</v>
      </c>
      <c r="D2629" s="919" t="s">
        <v>4382</v>
      </c>
      <c r="E2629" s="920">
        <v>2500</v>
      </c>
      <c r="F2629" s="919" t="s">
        <v>8692</v>
      </c>
      <c r="G2629" s="919" t="s">
        <v>8693</v>
      </c>
      <c r="H2629" s="919" t="s">
        <v>4382</v>
      </c>
      <c r="I2629" s="919" t="s">
        <v>3724</v>
      </c>
      <c r="J2629" s="919"/>
      <c r="K2629" s="920"/>
      <c r="L2629" s="920"/>
      <c r="M2629" s="920">
        <f t="shared" si="80"/>
        <v>0</v>
      </c>
      <c r="N2629" s="919">
        <v>1</v>
      </c>
      <c r="O2629" s="919">
        <v>1</v>
      </c>
      <c r="P2629" s="921">
        <f t="shared" si="81"/>
        <v>2500</v>
      </c>
    </row>
    <row r="2630" spans="1:16" ht="20.100000000000001" customHeight="1" x14ac:dyDescent="0.25">
      <c r="A2630" s="918" t="s">
        <v>488</v>
      </c>
      <c r="B2630" s="944" t="s">
        <v>3901</v>
      </c>
      <c r="C2630" s="919" t="s">
        <v>3902</v>
      </c>
      <c r="D2630" s="919" t="s">
        <v>8694</v>
      </c>
      <c r="E2630" s="920">
        <v>3000</v>
      </c>
      <c r="F2630" s="919" t="s">
        <v>8695</v>
      </c>
      <c r="G2630" s="919" t="s">
        <v>8696</v>
      </c>
      <c r="H2630" s="919" t="s">
        <v>8694</v>
      </c>
      <c r="I2630" s="919" t="s">
        <v>3679</v>
      </c>
      <c r="J2630" s="919"/>
      <c r="K2630" s="920">
        <v>1</v>
      </c>
      <c r="L2630" s="920">
        <v>12</v>
      </c>
      <c r="M2630" s="920">
        <f t="shared" ref="M2630:M2693" si="82">E2630*L2630</f>
        <v>36000</v>
      </c>
      <c r="N2630" s="919"/>
      <c r="O2630" s="919"/>
      <c r="P2630" s="921">
        <f t="shared" ref="P2630:P2693" si="83">E2630*O2630</f>
        <v>0</v>
      </c>
    </row>
    <row r="2631" spans="1:16" ht="20.100000000000001" customHeight="1" x14ac:dyDescent="0.25">
      <c r="A2631" s="918" t="s">
        <v>488</v>
      </c>
      <c r="B2631" s="944" t="s">
        <v>3901</v>
      </c>
      <c r="C2631" s="919" t="s">
        <v>3902</v>
      </c>
      <c r="D2631" s="919" t="s">
        <v>8694</v>
      </c>
      <c r="E2631" s="920">
        <v>3000</v>
      </c>
      <c r="F2631" s="919" t="s">
        <v>4041</v>
      </c>
      <c r="G2631" s="919" t="s">
        <v>4062</v>
      </c>
      <c r="H2631" s="919" t="s">
        <v>8694</v>
      </c>
      <c r="I2631" s="919" t="s">
        <v>3679</v>
      </c>
      <c r="J2631" s="919"/>
      <c r="K2631" s="920">
        <v>1</v>
      </c>
      <c r="L2631" s="920">
        <v>12</v>
      </c>
      <c r="M2631" s="920">
        <f t="shared" si="82"/>
        <v>36000</v>
      </c>
      <c r="N2631" s="919"/>
      <c r="O2631" s="919"/>
      <c r="P2631" s="921">
        <f t="shared" si="83"/>
        <v>0</v>
      </c>
    </row>
    <row r="2632" spans="1:16" ht="20.100000000000001" customHeight="1" x14ac:dyDescent="0.25">
      <c r="A2632" s="918" t="s">
        <v>488</v>
      </c>
      <c r="B2632" s="944" t="s">
        <v>3901</v>
      </c>
      <c r="C2632" s="919" t="s">
        <v>3902</v>
      </c>
      <c r="D2632" s="919" t="s">
        <v>3999</v>
      </c>
      <c r="E2632" s="920">
        <v>2400</v>
      </c>
      <c r="F2632" s="919" t="s">
        <v>8697</v>
      </c>
      <c r="G2632" s="919" t="s">
        <v>8698</v>
      </c>
      <c r="H2632" s="919" t="s">
        <v>3999</v>
      </c>
      <c r="I2632" s="919" t="s">
        <v>3724</v>
      </c>
      <c r="J2632" s="919"/>
      <c r="K2632" s="920"/>
      <c r="L2632" s="920"/>
      <c r="M2632" s="920">
        <f t="shared" si="82"/>
        <v>0</v>
      </c>
      <c r="N2632" s="919">
        <v>1</v>
      </c>
      <c r="O2632" s="919">
        <v>1</v>
      </c>
      <c r="P2632" s="921">
        <f t="shared" si="83"/>
        <v>2400</v>
      </c>
    </row>
    <row r="2633" spans="1:16" ht="20.100000000000001" customHeight="1" x14ac:dyDescent="0.25">
      <c r="A2633" s="918" t="s">
        <v>488</v>
      </c>
      <c r="B2633" s="944" t="s">
        <v>3901</v>
      </c>
      <c r="C2633" s="919" t="s">
        <v>3902</v>
      </c>
      <c r="D2633" s="919" t="s">
        <v>6366</v>
      </c>
      <c r="E2633" s="920">
        <v>1200</v>
      </c>
      <c r="F2633" s="919" t="s">
        <v>8699</v>
      </c>
      <c r="G2633" s="919" t="s">
        <v>8700</v>
      </c>
      <c r="H2633" s="919" t="s">
        <v>6366</v>
      </c>
      <c r="I2633" s="919" t="s">
        <v>3693</v>
      </c>
      <c r="J2633" s="919"/>
      <c r="K2633" s="920">
        <v>1</v>
      </c>
      <c r="L2633" s="920">
        <v>12</v>
      </c>
      <c r="M2633" s="920">
        <f t="shared" si="82"/>
        <v>14400</v>
      </c>
      <c r="N2633" s="919"/>
      <c r="O2633" s="919"/>
      <c r="P2633" s="921">
        <f t="shared" si="83"/>
        <v>0</v>
      </c>
    </row>
    <row r="2634" spans="1:16" ht="20.100000000000001" customHeight="1" x14ac:dyDescent="0.25">
      <c r="A2634" s="918" t="s">
        <v>488</v>
      </c>
      <c r="B2634" s="944" t="s">
        <v>3901</v>
      </c>
      <c r="C2634" s="919" t="s">
        <v>3902</v>
      </c>
      <c r="D2634" s="919" t="s">
        <v>8701</v>
      </c>
      <c r="E2634" s="920">
        <v>1500</v>
      </c>
      <c r="F2634" s="919" t="s">
        <v>4041</v>
      </c>
      <c r="G2634" s="919" t="s">
        <v>4062</v>
      </c>
      <c r="H2634" s="919" t="s">
        <v>8701</v>
      </c>
      <c r="I2634" s="919" t="s">
        <v>3686</v>
      </c>
      <c r="J2634" s="919"/>
      <c r="K2634" s="920">
        <v>1</v>
      </c>
      <c r="L2634" s="920">
        <v>12</v>
      </c>
      <c r="M2634" s="920">
        <f t="shared" si="82"/>
        <v>18000</v>
      </c>
      <c r="N2634" s="919"/>
      <c r="O2634" s="919"/>
      <c r="P2634" s="921">
        <f t="shared" si="83"/>
        <v>0</v>
      </c>
    </row>
    <row r="2635" spans="1:16" ht="20.100000000000001" customHeight="1" x14ac:dyDescent="0.25">
      <c r="A2635" s="918" t="s">
        <v>488</v>
      </c>
      <c r="B2635" s="944" t="s">
        <v>3901</v>
      </c>
      <c r="C2635" s="919" t="s">
        <v>3902</v>
      </c>
      <c r="D2635" s="919" t="s">
        <v>6083</v>
      </c>
      <c r="E2635" s="920">
        <v>1500</v>
      </c>
      <c r="F2635" s="919" t="s">
        <v>8702</v>
      </c>
      <c r="G2635" s="919" t="s">
        <v>8703</v>
      </c>
      <c r="H2635" s="919" t="s">
        <v>6083</v>
      </c>
      <c r="I2635" s="919" t="s">
        <v>3686</v>
      </c>
      <c r="J2635" s="919"/>
      <c r="K2635" s="920">
        <v>1</v>
      </c>
      <c r="L2635" s="920">
        <v>12</v>
      </c>
      <c r="M2635" s="920">
        <f t="shared" si="82"/>
        <v>18000</v>
      </c>
      <c r="N2635" s="919"/>
      <c r="O2635" s="919"/>
      <c r="P2635" s="921">
        <f t="shared" si="83"/>
        <v>0</v>
      </c>
    </row>
    <row r="2636" spans="1:16" ht="20.100000000000001" customHeight="1" x14ac:dyDescent="0.25">
      <c r="A2636" s="918" t="s">
        <v>488</v>
      </c>
      <c r="B2636" s="944" t="s">
        <v>3901</v>
      </c>
      <c r="C2636" s="919" t="s">
        <v>3902</v>
      </c>
      <c r="D2636" s="919" t="s">
        <v>6120</v>
      </c>
      <c r="E2636" s="920">
        <v>3000</v>
      </c>
      <c r="F2636" s="919" t="s">
        <v>8704</v>
      </c>
      <c r="G2636" s="919" t="s">
        <v>8705</v>
      </c>
      <c r="H2636" s="919" t="s">
        <v>6120</v>
      </c>
      <c r="I2636" s="919" t="s">
        <v>3724</v>
      </c>
      <c r="J2636" s="919"/>
      <c r="K2636" s="920">
        <v>1</v>
      </c>
      <c r="L2636" s="920">
        <v>12</v>
      </c>
      <c r="M2636" s="920">
        <f t="shared" si="82"/>
        <v>36000</v>
      </c>
      <c r="N2636" s="919"/>
      <c r="O2636" s="919"/>
      <c r="P2636" s="921">
        <f t="shared" si="83"/>
        <v>0</v>
      </c>
    </row>
    <row r="2637" spans="1:16" ht="20.100000000000001" customHeight="1" x14ac:dyDescent="0.25">
      <c r="A2637" s="918" t="s">
        <v>488</v>
      </c>
      <c r="B2637" s="944" t="s">
        <v>3901</v>
      </c>
      <c r="C2637" s="919" t="s">
        <v>3902</v>
      </c>
      <c r="D2637" s="919" t="s">
        <v>8706</v>
      </c>
      <c r="E2637" s="920">
        <v>2400</v>
      </c>
      <c r="F2637" s="919" t="s">
        <v>4041</v>
      </c>
      <c r="G2637" s="919" t="s">
        <v>4042</v>
      </c>
      <c r="H2637" s="919" t="s">
        <v>8706</v>
      </c>
      <c r="I2637" s="919" t="s">
        <v>3679</v>
      </c>
      <c r="J2637" s="919"/>
      <c r="K2637" s="920">
        <v>1</v>
      </c>
      <c r="L2637" s="920">
        <v>12</v>
      </c>
      <c r="M2637" s="920">
        <f t="shared" si="82"/>
        <v>28800</v>
      </c>
      <c r="N2637" s="919"/>
      <c r="O2637" s="919"/>
      <c r="P2637" s="921">
        <f t="shared" si="83"/>
        <v>0</v>
      </c>
    </row>
    <row r="2638" spans="1:16" ht="20.100000000000001" customHeight="1" x14ac:dyDescent="0.25">
      <c r="A2638" s="918" t="s">
        <v>488</v>
      </c>
      <c r="B2638" s="944" t="s">
        <v>3901</v>
      </c>
      <c r="C2638" s="919" t="s">
        <v>3902</v>
      </c>
      <c r="D2638" s="919" t="s">
        <v>6366</v>
      </c>
      <c r="E2638" s="920">
        <v>1225</v>
      </c>
      <c r="F2638" s="919" t="s">
        <v>8707</v>
      </c>
      <c r="G2638" s="919" t="s">
        <v>8708</v>
      </c>
      <c r="H2638" s="919" t="s">
        <v>6366</v>
      </c>
      <c r="I2638" s="919" t="s">
        <v>3693</v>
      </c>
      <c r="J2638" s="919"/>
      <c r="K2638" s="920">
        <v>1</v>
      </c>
      <c r="L2638" s="920">
        <v>12</v>
      </c>
      <c r="M2638" s="920">
        <f t="shared" si="82"/>
        <v>14700</v>
      </c>
      <c r="N2638" s="919"/>
      <c r="O2638" s="919"/>
      <c r="P2638" s="921">
        <f t="shared" si="83"/>
        <v>0</v>
      </c>
    </row>
    <row r="2639" spans="1:16" ht="20.100000000000001" customHeight="1" x14ac:dyDescent="0.25">
      <c r="A2639" s="918" t="s">
        <v>488</v>
      </c>
      <c r="B2639" s="944" t="s">
        <v>3901</v>
      </c>
      <c r="C2639" s="919" t="s">
        <v>3902</v>
      </c>
      <c r="D2639" s="919" t="s">
        <v>6074</v>
      </c>
      <c r="E2639" s="920">
        <v>1300</v>
      </c>
      <c r="F2639" s="919" t="s">
        <v>8709</v>
      </c>
      <c r="G2639" s="919" t="s">
        <v>8710</v>
      </c>
      <c r="H2639" s="919" t="s">
        <v>6074</v>
      </c>
      <c r="I2639" s="919" t="s">
        <v>3686</v>
      </c>
      <c r="J2639" s="919"/>
      <c r="K2639" s="920">
        <v>1</v>
      </c>
      <c r="L2639" s="920">
        <v>12</v>
      </c>
      <c r="M2639" s="920">
        <f t="shared" si="82"/>
        <v>15600</v>
      </c>
      <c r="N2639" s="919"/>
      <c r="O2639" s="919"/>
      <c r="P2639" s="921">
        <f t="shared" si="83"/>
        <v>0</v>
      </c>
    </row>
    <row r="2640" spans="1:16" ht="20.100000000000001" customHeight="1" x14ac:dyDescent="0.25">
      <c r="A2640" s="918" t="s">
        <v>488</v>
      </c>
      <c r="B2640" s="944" t="s">
        <v>3901</v>
      </c>
      <c r="C2640" s="919" t="s">
        <v>3902</v>
      </c>
      <c r="D2640" s="919" t="s">
        <v>6074</v>
      </c>
      <c r="E2640" s="920">
        <v>1300</v>
      </c>
      <c r="F2640" s="919" t="s">
        <v>8711</v>
      </c>
      <c r="G2640" s="919" t="s">
        <v>8712</v>
      </c>
      <c r="H2640" s="919" t="s">
        <v>6074</v>
      </c>
      <c r="I2640" s="919" t="s">
        <v>3686</v>
      </c>
      <c r="J2640" s="919"/>
      <c r="K2640" s="920">
        <v>1</v>
      </c>
      <c r="L2640" s="920">
        <v>12</v>
      </c>
      <c r="M2640" s="920">
        <f t="shared" si="82"/>
        <v>15600</v>
      </c>
      <c r="N2640" s="919"/>
      <c r="O2640" s="919"/>
      <c r="P2640" s="921">
        <f t="shared" si="83"/>
        <v>0</v>
      </c>
    </row>
    <row r="2641" spans="1:16" ht="20.100000000000001" customHeight="1" x14ac:dyDescent="0.25">
      <c r="A2641" s="918" t="s">
        <v>488</v>
      </c>
      <c r="B2641" s="944" t="s">
        <v>3901</v>
      </c>
      <c r="C2641" s="919" t="s">
        <v>3902</v>
      </c>
      <c r="D2641" s="919" t="s">
        <v>6074</v>
      </c>
      <c r="E2641" s="920">
        <v>1300</v>
      </c>
      <c r="F2641" s="919" t="s">
        <v>8713</v>
      </c>
      <c r="G2641" s="919" t="s">
        <v>8714</v>
      </c>
      <c r="H2641" s="919" t="s">
        <v>6074</v>
      </c>
      <c r="I2641" s="919" t="s">
        <v>3686</v>
      </c>
      <c r="J2641" s="919"/>
      <c r="K2641" s="920">
        <v>1</v>
      </c>
      <c r="L2641" s="920">
        <v>12</v>
      </c>
      <c r="M2641" s="920">
        <f t="shared" si="82"/>
        <v>15600</v>
      </c>
      <c r="N2641" s="919"/>
      <c r="O2641" s="919"/>
      <c r="P2641" s="921">
        <f t="shared" si="83"/>
        <v>0</v>
      </c>
    </row>
    <row r="2642" spans="1:16" ht="20.100000000000001" customHeight="1" x14ac:dyDescent="0.25">
      <c r="A2642" s="918" t="s">
        <v>488</v>
      </c>
      <c r="B2642" s="944" t="s">
        <v>3901</v>
      </c>
      <c r="C2642" s="919" t="s">
        <v>3902</v>
      </c>
      <c r="D2642" s="919" t="s">
        <v>6074</v>
      </c>
      <c r="E2642" s="920">
        <v>1300</v>
      </c>
      <c r="F2642" s="919" t="s">
        <v>8715</v>
      </c>
      <c r="G2642" s="919" t="s">
        <v>8716</v>
      </c>
      <c r="H2642" s="919" t="s">
        <v>6074</v>
      </c>
      <c r="I2642" s="919" t="s">
        <v>3686</v>
      </c>
      <c r="J2642" s="919"/>
      <c r="K2642" s="920">
        <v>1</v>
      </c>
      <c r="L2642" s="920">
        <v>12</v>
      </c>
      <c r="M2642" s="920">
        <f t="shared" si="82"/>
        <v>15600</v>
      </c>
      <c r="N2642" s="919"/>
      <c r="O2642" s="919"/>
      <c r="P2642" s="921">
        <f t="shared" si="83"/>
        <v>0</v>
      </c>
    </row>
    <row r="2643" spans="1:16" ht="20.100000000000001" customHeight="1" x14ac:dyDescent="0.25">
      <c r="A2643" s="918" t="s">
        <v>488</v>
      </c>
      <c r="B2643" s="944" t="s">
        <v>3901</v>
      </c>
      <c r="C2643" s="919" t="s">
        <v>3902</v>
      </c>
      <c r="D2643" s="919" t="s">
        <v>6074</v>
      </c>
      <c r="E2643" s="920">
        <v>1300</v>
      </c>
      <c r="F2643" s="919" t="s">
        <v>8717</v>
      </c>
      <c r="G2643" s="919" t="s">
        <v>8718</v>
      </c>
      <c r="H2643" s="919" t="s">
        <v>6074</v>
      </c>
      <c r="I2643" s="919" t="s">
        <v>3686</v>
      </c>
      <c r="J2643" s="919"/>
      <c r="K2643" s="920">
        <v>1</v>
      </c>
      <c r="L2643" s="920">
        <v>12</v>
      </c>
      <c r="M2643" s="920">
        <f t="shared" si="82"/>
        <v>15600</v>
      </c>
      <c r="N2643" s="919"/>
      <c r="O2643" s="919"/>
      <c r="P2643" s="921">
        <f t="shared" si="83"/>
        <v>0</v>
      </c>
    </row>
    <row r="2644" spans="1:16" ht="20.100000000000001" customHeight="1" x14ac:dyDescent="0.25">
      <c r="A2644" s="918" t="s">
        <v>488</v>
      </c>
      <c r="B2644" s="944" t="s">
        <v>3901</v>
      </c>
      <c r="C2644" s="919" t="s">
        <v>3902</v>
      </c>
      <c r="D2644" s="919" t="s">
        <v>6074</v>
      </c>
      <c r="E2644" s="920">
        <v>1300</v>
      </c>
      <c r="F2644" s="919" t="s">
        <v>8719</v>
      </c>
      <c r="G2644" s="919" t="s">
        <v>8720</v>
      </c>
      <c r="H2644" s="919" t="s">
        <v>6074</v>
      </c>
      <c r="I2644" s="919" t="s">
        <v>3686</v>
      </c>
      <c r="J2644" s="919"/>
      <c r="K2644" s="920">
        <v>1</v>
      </c>
      <c r="L2644" s="920">
        <v>12</v>
      </c>
      <c r="M2644" s="920">
        <f t="shared" si="82"/>
        <v>15600</v>
      </c>
      <c r="N2644" s="919"/>
      <c r="O2644" s="919"/>
      <c r="P2644" s="921">
        <f t="shared" si="83"/>
        <v>0</v>
      </c>
    </row>
    <row r="2645" spans="1:16" ht="20.100000000000001" customHeight="1" x14ac:dyDescent="0.25">
      <c r="A2645" s="918" t="s">
        <v>488</v>
      </c>
      <c r="B2645" s="944" t="s">
        <v>3901</v>
      </c>
      <c r="C2645" s="919" t="s">
        <v>3902</v>
      </c>
      <c r="D2645" s="919" t="s">
        <v>6074</v>
      </c>
      <c r="E2645" s="920">
        <v>1300</v>
      </c>
      <c r="F2645" s="919" t="s">
        <v>8721</v>
      </c>
      <c r="G2645" s="919" t="s">
        <v>8722</v>
      </c>
      <c r="H2645" s="919" t="s">
        <v>6074</v>
      </c>
      <c r="I2645" s="919" t="s">
        <v>3686</v>
      </c>
      <c r="J2645" s="919"/>
      <c r="K2645" s="920">
        <v>1</v>
      </c>
      <c r="L2645" s="920">
        <v>12</v>
      </c>
      <c r="M2645" s="920">
        <f t="shared" si="82"/>
        <v>15600</v>
      </c>
      <c r="N2645" s="919"/>
      <c r="O2645" s="919"/>
      <c r="P2645" s="921">
        <f t="shared" si="83"/>
        <v>0</v>
      </c>
    </row>
    <row r="2646" spans="1:16" ht="20.100000000000001" customHeight="1" x14ac:dyDescent="0.25">
      <c r="A2646" s="918" t="s">
        <v>488</v>
      </c>
      <c r="B2646" s="944" t="s">
        <v>3901</v>
      </c>
      <c r="C2646" s="919" t="s">
        <v>3902</v>
      </c>
      <c r="D2646" s="919" t="s">
        <v>6074</v>
      </c>
      <c r="E2646" s="920">
        <v>1300</v>
      </c>
      <c r="F2646" s="919" t="s">
        <v>8723</v>
      </c>
      <c r="G2646" s="919" t="s">
        <v>8724</v>
      </c>
      <c r="H2646" s="919" t="s">
        <v>6074</v>
      </c>
      <c r="I2646" s="919" t="s">
        <v>3686</v>
      </c>
      <c r="J2646" s="919"/>
      <c r="K2646" s="920">
        <v>1</v>
      </c>
      <c r="L2646" s="920">
        <v>12</v>
      </c>
      <c r="M2646" s="920">
        <f t="shared" si="82"/>
        <v>15600</v>
      </c>
      <c r="N2646" s="919"/>
      <c r="O2646" s="919"/>
      <c r="P2646" s="921">
        <f t="shared" si="83"/>
        <v>0</v>
      </c>
    </row>
    <row r="2647" spans="1:16" ht="20.100000000000001" customHeight="1" x14ac:dyDescent="0.25">
      <c r="A2647" s="918" t="s">
        <v>488</v>
      </c>
      <c r="B2647" s="944" t="s">
        <v>3901</v>
      </c>
      <c r="C2647" s="919" t="s">
        <v>3902</v>
      </c>
      <c r="D2647" s="919" t="s">
        <v>6074</v>
      </c>
      <c r="E2647" s="920">
        <v>1300</v>
      </c>
      <c r="F2647" s="919" t="s">
        <v>8725</v>
      </c>
      <c r="G2647" s="919" t="s">
        <v>8726</v>
      </c>
      <c r="H2647" s="919" t="s">
        <v>6074</v>
      </c>
      <c r="I2647" s="919" t="s">
        <v>3686</v>
      </c>
      <c r="J2647" s="919"/>
      <c r="K2647" s="920">
        <v>1</v>
      </c>
      <c r="L2647" s="920">
        <v>12</v>
      </c>
      <c r="M2647" s="920">
        <f t="shared" si="82"/>
        <v>15600</v>
      </c>
      <c r="N2647" s="919"/>
      <c r="O2647" s="919"/>
      <c r="P2647" s="921">
        <f t="shared" si="83"/>
        <v>0</v>
      </c>
    </row>
    <row r="2648" spans="1:16" ht="20.100000000000001" customHeight="1" x14ac:dyDescent="0.25">
      <c r="A2648" s="918" t="s">
        <v>488</v>
      </c>
      <c r="B2648" s="944" t="s">
        <v>3901</v>
      </c>
      <c r="C2648" s="919" t="s">
        <v>3902</v>
      </c>
      <c r="D2648" s="919" t="s">
        <v>6074</v>
      </c>
      <c r="E2648" s="920">
        <v>1300</v>
      </c>
      <c r="F2648" s="919" t="s">
        <v>8727</v>
      </c>
      <c r="G2648" s="919" t="s">
        <v>8728</v>
      </c>
      <c r="H2648" s="919" t="s">
        <v>6074</v>
      </c>
      <c r="I2648" s="919" t="s">
        <v>3686</v>
      </c>
      <c r="J2648" s="919"/>
      <c r="K2648" s="920">
        <v>1</v>
      </c>
      <c r="L2648" s="920">
        <v>12</v>
      </c>
      <c r="M2648" s="920">
        <f t="shared" si="82"/>
        <v>15600</v>
      </c>
      <c r="N2648" s="919"/>
      <c r="O2648" s="919"/>
      <c r="P2648" s="921">
        <f t="shared" si="83"/>
        <v>0</v>
      </c>
    </row>
    <row r="2649" spans="1:16" ht="20.100000000000001" customHeight="1" x14ac:dyDescent="0.25">
      <c r="A2649" s="918" t="s">
        <v>488</v>
      </c>
      <c r="B2649" s="944" t="s">
        <v>3901</v>
      </c>
      <c r="C2649" s="919" t="s">
        <v>3902</v>
      </c>
      <c r="D2649" s="919" t="s">
        <v>6074</v>
      </c>
      <c r="E2649" s="920">
        <v>1300</v>
      </c>
      <c r="F2649" s="919" t="s">
        <v>8729</v>
      </c>
      <c r="G2649" s="919" t="s">
        <v>8730</v>
      </c>
      <c r="H2649" s="919" t="s">
        <v>6074</v>
      </c>
      <c r="I2649" s="919" t="s">
        <v>3686</v>
      </c>
      <c r="J2649" s="919"/>
      <c r="K2649" s="920">
        <v>1</v>
      </c>
      <c r="L2649" s="920">
        <v>12</v>
      </c>
      <c r="M2649" s="920">
        <f t="shared" si="82"/>
        <v>15600</v>
      </c>
      <c r="N2649" s="919"/>
      <c r="O2649" s="919"/>
      <c r="P2649" s="921">
        <f t="shared" si="83"/>
        <v>0</v>
      </c>
    </row>
    <row r="2650" spans="1:16" ht="20.100000000000001" customHeight="1" x14ac:dyDescent="0.25">
      <c r="A2650" s="918" t="s">
        <v>488</v>
      </c>
      <c r="B2650" s="944" t="s">
        <v>3901</v>
      </c>
      <c r="C2650" s="919" t="s">
        <v>3902</v>
      </c>
      <c r="D2650" s="919" t="s">
        <v>6074</v>
      </c>
      <c r="E2650" s="920">
        <v>1300</v>
      </c>
      <c r="F2650" s="919" t="s">
        <v>8731</v>
      </c>
      <c r="G2650" s="919" t="s">
        <v>8732</v>
      </c>
      <c r="H2650" s="919" t="s">
        <v>6074</v>
      </c>
      <c r="I2650" s="919" t="s">
        <v>3686</v>
      </c>
      <c r="J2650" s="919"/>
      <c r="K2650" s="920">
        <v>1</v>
      </c>
      <c r="L2650" s="920">
        <v>12</v>
      </c>
      <c r="M2650" s="920">
        <f t="shared" si="82"/>
        <v>15600</v>
      </c>
      <c r="N2650" s="919"/>
      <c r="O2650" s="919"/>
      <c r="P2650" s="921">
        <f t="shared" si="83"/>
        <v>0</v>
      </c>
    </row>
    <row r="2651" spans="1:16" ht="20.100000000000001" customHeight="1" x14ac:dyDescent="0.25">
      <c r="A2651" s="918" t="s">
        <v>488</v>
      </c>
      <c r="B2651" s="944" t="s">
        <v>3901</v>
      </c>
      <c r="C2651" s="919" t="s">
        <v>3902</v>
      </c>
      <c r="D2651" s="919" t="s">
        <v>6074</v>
      </c>
      <c r="E2651" s="920">
        <v>1300</v>
      </c>
      <c r="F2651" s="919" t="s">
        <v>8733</v>
      </c>
      <c r="G2651" s="919" t="s">
        <v>8734</v>
      </c>
      <c r="H2651" s="919" t="s">
        <v>6074</v>
      </c>
      <c r="I2651" s="919" t="s">
        <v>3686</v>
      </c>
      <c r="J2651" s="919"/>
      <c r="K2651" s="920">
        <v>1</v>
      </c>
      <c r="L2651" s="920">
        <v>12</v>
      </c>
      <c r="M2651" s="920">
        <f t="shared" si="82"/>
        <v>15600</v>
      </c>
      <c r="N2651" s="919"/>
      <c r="O2651" s="919"/>
      <c r="P2651" s="921">
        <f t="shared" si="83"/>
        <v>0</v>
      </c>
    </row>
    <row r="2652" spans="1:16" ht="20.100000000000001" customHeight="1" x14ac:dyDescent="0.25">
      <c r="A2652" s="918" t="s">
        <v>488</v>
      </c>
      <c r="B2652" s="944" t="s">
        <v>3901</v>
      </c>
      <c r="C2652" s="919" t="s">
        <v>3902</v>
      </c>
      <c r="D2652" s="919" t="s">
        <v>6074</v>
      </c>
      <c r="E2652" s="920">
        <v>1300</v>
      </c>
      <c r="F2652" s="919" t="s">
        <v>8735</v>
      </c>
      <c r="G2652" s="919" t="s">
        <v>8736</v>
      </c>
      <c r="H2652" s="919" t="s">
        <v>6074</v>
      </c>
      <c r="I2652" s="919" t="s">
        <v>3686</v>
      </c>
      <c r="J2652" s="919"/>
      <c r="K2652" s="920">
        <v>1</v>
      </c>
      <c r="L2652" s="920">
        <v>12</v>
      </c>
      <c r="M2652" s="920">
        <f t="shared" si="82"/>
        <v>15600</v>
      </c>
      <c r="N2652" s="919"/>
      <c r="O2652" s="919"/>
      <c r="P2652" s="921">
        <f t="shared" si="83"/>
        <v>0</v>
      </c>
    </row>
    <row r="2653" spans="1:16" ht="20.100000000000001" customHeight="1" x14ac:dyDescent="0.25">
      <c r="A2653" s="918" t="s">
        <v>488</v>
      </c>
      <c r="B2653" s="944" t="s">
        <v>3901</v>
      </c>
      <c r="C2653" s="919" t="s">
        <v>3902</v>
      </c>
      <c r="D2653" s="919" t="s">
        <v>6074</v>
      </c>
      <c r="E2653" s="920">
        <v>1300</v>
      </c>
      <c r="F2653" s="919" t="s">
        <v>8737</v>
      </c>
      <c r="G2653" s="919" t="s">
        <v>8738</v>
      </c>
      <c r="H2653" s="919" t="s">
        <v>6074</v>
      </c>
      <c r="I2653" s="919" t="s">
        <v>3686</v>
      </c>
      <c r="J2653" s="919"/>
      <c r="K2653" s="920">
        <v>1</v>
      </c>
      <c r="L2653" s="920">
        <v>12</v>
      </c>
      <c r="M2653" s="920">
        <f t="shared" si="82"/>
        <v>15600</v>
      </c>
      <c r="N2653" s="919"/>
      <c r="O2653" s="919"/>
      <c r="P2653" s="921">
        <f t="shared" si="83"/>
        <v>0</v>
      </c>
    </row>
    <row r="2654" spans="1:16" ht="20.100000000000001" customHeight="1" x14ac:dyDescent="0.25">
      <c r="A2654" s="918" t="s">
        <v>488</v>
      </c>
      <c r="B2654" s="944" t="s">
        <v>3901</v>
      </c>
      <c r="C2654" s="919" t="s">
        <v>3902</v>
      </c>
      <c r="D2654" s="919" t="s">
        <v>6074</v>
      </c>
      <c r="E2654" s="920">
        <v>1300</v>
      </c>
      <c r="F2654" s="919" t="s">
        <v>8739</v>
      </c>
      <c r="G2654" s="919" t="s">
        <v>8740</v>
      </c>
      <c r="H2654" s="919" t="s">
        <v>6074</v>
      </c>
      <c r="I2654" s="919" t="s">
        <v>3686</v>
      </c>
      <c r="J2654" s="919"/>
      <c r="K2654" s="920">
        <v>1</v>
      </c>
      <c r="L2654" s="920">
        <v>12</v>
      </c>
      <c r="M2654" s="920">
        <f t="shared" si="82"/>
        <v>15600</v>
      </c>
      <c r="N2654" s="919"/>
      <c r="O2654" s="919"/>
      <c r="P2654" s="921">
        <f t="shared" si="83"/>
        <v>0</v>
      </c>
    </row>
    <row r="2655" spans="1:16" ht="20.100000000000001" customHeight="1" x14ac:dyDescent="0.25">
      <c r="A2655" s="918" t="s">
        <v>488</v>
      </c>
      <c r="B2655" s="944" t="s">
        <v>3901</v>
      </c>
      <c r="C2655" s="919" t="s">
        <v>3902</v>
      </c>
      <c r="D2655" s="919" t="s">
        <v>6074</v>
      </c>
      <c r="E2655" s="920">
        <v>1300</v>
      </c>
      <c r="F2655" s="919" t="s">
        <v>8741</v>
      </c>
      <c r="G2655" s="919" t="s">
        <v>8742</v>
      </c>
      <c r="H2655" s="919" t="s">
        <v>6074</v>
      </c>
      <c r="I2655" s="919" t="s">
        <v>3686</v>
      </c>
      <c r="J2655" s="919"/>
      <c r="K2655" s="920">
        <v>1</v>
      </c>
      <c r="L2655" s="920">
        <v>12</v>
      </c>
      <c r="M2655" s="920">
        <f t="shared" si="82"/>
        <v>15600</v>
      </c>
      <c r="N2655" s="919"/>
      <c r="O2655" s="919"/>
      <c r="P2655" s="921">
        <f t="shared" si="83"/>
        <v>0</v>
      </c>
    </row>
    <row r="2656" spans="1:16" ht="20.100000000000001" customHeight="1" x14ac:dyDescent="0.25">
      <c r="A2656" s="918" t="s">
        <v>488</v>
      </c>
      <c r="B2656" s="944" t="s">
        <v>3901</v>
      </c>
      <c r="C2656" s="919" t="s">
        <v>3902</v>
      </c>
      <c r="D2656" s="919" t="s">
        <v>6074</v>
      </c>
      <c r="E2656" s="920">
        <v>1300</v>
      </c>
      <c r="F2656" s="919" t="s">
        <v>8743</v>
      </c>
      <c r="G2656" s="919" t="s">
        <v>8744</v>
      </c>
      <c r="H2656" s="919" t="s">
        <v>6074</v>
      </c>
      <c r="I2656" s="919" t="s">
        <v>3686</v>
      </c>
      <c r="J2656" s="919"/>
      <c r="K2656" s="920">
        <v>1</v>
      </c>
      <c r="L2656" s="920">
        <v>12</v>
      </c>
      <c r="M2656" s="920">
        <f t="shared" si="82"/>
        <v>15600</v>
      </c>
      <c r="N2656" s="919"/>
      <c r="O2656" s="919"/>
      <c r="P2656" s="921">
        <f t="shared" si="83"/>
        <v>0</v>
      </c>
    </row>
    <row r="2657" spans="1:16" ht="20.100000000000001" customHeight="1" x14ac:dyDescent="0.25">
      <c r="A2657" s="918" t="s">
        <v>488</v>
      </c>
      <c r="B2657" s="944" t="s">
        <v>3901</v>
      </c>
      <c r="C2657" s="919" t="s">
        <v>3902</v>
      </c>
      <c r="D2657" s="919" t="s">
        <v>6074</v>
      </c>
      <c r="E2657" s="920">
        <v>1300</v>
      </c>
      <c r="F2657" s="919" t="s">
        <v>8745</v>
      </c>
      <c r="G2657" s="919" t="s">
        <v>8746</v>
      </c>
      <c r="H2657" s="919" t="s">
        <v>6074</v>
      </c>
      <c r="I2657" s="919" t="s">
        <v>3686</v>
      </c>
      <c r="J2657" s="919"/>
      <c r="K2657" s="920">
        <v>1</v>
      </c>
      <c r="L2657" s="920">
        <v>12</v>
      </c>
      <c r="M2657" s="920">
        <f t="shared" si="82"/>
        <v>15600</v>
      </c>
      <c r="N2657" s="919"/>
      <c r="O2657" s="919"/>
      <c r="P2657" s="921">
        <f t="shared" si="83"/>
        <v>0</v>
      </c>
    </row>
    <row r="2658" spans="1:16" ht="20.100000000000001" customHeight="1" x14ac:dyDescent="0.25">
      <c r="A2658" s="918" t="s">
        <v>488</v>
      </c>
      <c r="B2658" s="944" t="s">
        <v>3901</v>
      </c>
      <c r="C2658" s="919" t="s">
        <v>3902</v>
      </c>
      <c r="D2658" s="919" t="s">
        <v>6074</v>
      </c>
      <c r="E2658" s="920">
        <v>1300</v>
      </c>
      <c r="F2658" s="919" t="s">
        <v>8747</v>
      </c>
      <c r="G2658" s="919" t="s">
        <v>8748</v>
      </c>
      <c r="H2658" s="919" t="s">
        <v>6074</v>
      </c>
      <c r="I2658" s="919" t="s">
        <v>3686</v>
      </c>
      <c r="J2658" s="919"/>
      <c r="K2658" s="920">
        <v>1</v>
      </c>
      <c r="L2658" s="920">
        <v>12</v>
      </c>
      <c r="M2658" s="920">
        <f t="shared" si="82"/>
        <v>15600</v>
      </c>
      <c r="N2658" s="919"/>
      <c r="O2658" s="919"/>
      <c r="P2658" s="921">
        <f t="shared" si="83"/>
        <v>0</v>
      </c>
    </row>
    <row r="2659" spans="1:16" ht="20.100000000000001" customHeight="1" x14ac:dyDescent="0.25">
      <c r="A2659" s="918" t="s">
        <v>488</v>
      </c>
      <c r="B2659" s="944" t="s">
        <v>3901</v>
      </c>
      <c r="C2659" s="919" t="s">
        <v>3902</v>
      </c>
      <c r="D2659" s="919" t="s">
        <v>6074</v>
      </c>
      <c r="E2659" s="920">
        <v>1300</v>
      </c>
      <c r="F2659" s="919" t="s">
        <v>8749</v>
      </c>
      <c r="G2659" s="919" t="s">
        <v>8750</v>
      </c>
      <c r="H2659" s="919" t="s">
        <v>6074</v>
      </c>
      <c r="I2659" s="919" t="s">
        <v>3686</v>
      </c>
      <c r="J2659" s="919"/>
      <c r="K2659" s="920">
        <v>1</v>
      </c>
      <c r="L2659" s="920">
        <v>12</v>
      </c>
      <c r="M2659" s="920">
        <f t="shared" si="82"/>
        <v>15600</v>
      </c>
      <c r="N2659" s="919"/>
      <c r="O2659" s="919"/>
      <c r="P2659" s="921">
        <f t="shared" si="83"/>
        <v>0</v>
      </c>
    </row>
    <row r="2660" spans="1:16" ht="20.100000000000001" customHeight="1" x14ac:dyDescent="0.25">
      <c r="A2660" s="918" t="s">
        <v>488</v>
      </c>
      <c r="B2660" s="944" t="s">
        <v>3901</v>
      </c>
      <c r="C2660" s="919" t="s">
        <v>3902</v>
      </c>
      <c r="D2660" s="919" t="s">
        <v>6074</v>
      </c>
      <c r="E2660" s="920">
        <v>1300</v>
      </c>
      <c r="F2660" s="919" t="s">
        <v>8751</v>
      </c>
      <c r="G2660" s="919" t="s">
        <v>8752</v>
      </c>
      <c r="H2660" s="919" t="s">
        <v>6074</v>
      </c>
      <c r="I2660" s="919" t="s">
        <v>3686</v>
      </c>
      <c r="J2660" s="919"/>
      <c r="K2660" s="920">
        <v>1</v>
      </c>
      <c r="L2660" s="920">
        <v>12</v>
      </c>
      <c r="M2660" s="920">
        <f t="shared" si="82"/>
        <v>15600</v>
      </c>
      <c r="N2660" s="919"/>
      <c r="O2660" s="919"/>
      <c r="P2660" s="921">
        <f t="shared" si="83"/>
        <v>0</v>
      </c>
    </row>
    <row r="2661" spans="1:16" ht="20.100000000000001" customHeight="1" x14ac:dyDescent="0.25">
      <c r="A2661" s="918" t="s">
        <v>488</v>
      </c>
      <c r="B2661" s="944" t="s">
        <v>3901</v>
      </c>
      <c r="C2661" s="919" t="s">
        <v>3902</v>
      </c>
      <c r="D2661" s="919" t="s">
        <v>6074</v>
      </c>
      <c r="E2661" s="920">
        <v>1300</v>
      </c>
      <c r="F2661" s="919" t="s">
        <v>8753</v>
      </c>
      <c r="G2661" s="919" t="s">
        <v>8754</v>
      </c>
      <c r="H2661" s="919" t="s">
        <v>6074</v>
      </c>
      <c r="I2661" s="919" t="s">
        <v>3686</v>
      </c>
      <c r="J2661" s="919"/>
      <c r="K2661" s="920">
        <v>1</v>
      </c>
      <c r="L2661" s="920">
        <v>12</v>
      </c>
      <c r="M2661" s="920">
        <f t="shared" si="82"/>
        <v>15600</v>
      </c>
      <c r="N2661" s="919"/>
      <c r="O2661" s="919"/>
      <c r="P2661" s="921">
        <f t="shared" si="83"/>
        <v>0</v>
      </c>
    </row>
    <row r="2662" spans="1:16" ht="20.100000000000001" customHeight="1" x14ac:dyDescent="0.25">
      <c r="A2662" s="918" t="s">
        <v>488</v>
      </c>
      <c r="B2662" s="944" t="s">
        <v>3901</v>
      </c>
      <c r="C2662" s="919" t="s">
        <v>3902</v>
      </c>
      <c r="D2662" s="919" t="s">
        <v>8755</v>
      </c>
      <c r="E2662" s="920">
        <v>1300</v>
      </c>
      <c r="F2662" s="919" t="s">
        <v>4041</v>
      </c>
      <c r="G2662" s="919" t="s">
        <v>4062</v>
      </c>
      <c r="H2662" s="919" t="s">
        <v>8755</v>
      </c>
      <c r="I2662" s="919" t="s">
        <v>3686</v>
      </c>
      <c r="J2662" s="919"/>
      <c r="K2662" s="920">
        <v>1</v>
      </c>
      <c r="L2662" s="920">
        <v>12</v>
      </c>
      <c r="M2662" s="920">
        <f t="shared" si="82"/>
        <v>15600</v>
      </c>
      <c r="N2662" s="919"/>
      <c r="O2662" s="919"/>
      <c r="P2662" s="921">
        <f t="shared" si="83"/>
        <v>0</v>
      </c>
    </row>
    <row r="2663" spans="1:16" ht="20.100000000000001" customHeight="1" x14ac:dyDescent="0.25">
      <c r="A2663" s="918" t="s">
        <v>488</v>
      </c>
      <c r="B2663" s="944" t="s">
        <v>3901</v>
      </c>
      <c r="C2663" s="919" t="s">
        <v>3902</v>
      </c>
      <c r="D2663" s="919" t="s">
        <v>8755</v>
      </c>
      <c r="E2663" s="920">
        <v>1300</v>
      </c>
      <c r="F2663" s="919" t="s">
        <v>4041</v>
      </c>
      <c r="G2663" s="919" t="s">
        <v>4062</v>
      </c>
      <c r="H2663" s="919" t="s">
        <v>8755</v>
      </c>
      <c r="I2663" s="919" t="s">
        <v>3686</v>
      </c>
      <c r="J2663" s="919"/>
      <c r="K2663" s="920">
        <v>1</v>
      </c>
      <c r="L2663" s="920">
        <v>12</v>
      </c>
      <c r="M2663" s="920">
        <f t="shared" si="82"/>
        <v>15600</v>
      </c>
      <c r="N2663" s="919"/>
      <c r="O2663" s="919"/>
      <c r="P2663" s="921">
        <f t="shared" si="83"/>
        <v>0</v>
      </c>
    </row>
    <row r="2664" spans="1:16" ht="20.100000000000001" customHeight="1" x14ac:dyDescent="0.25">
      <c r="A2664" s="918" t="s">
        <v>488</v>
      </c>
      <c r="B2664" s="944" t="s">
        <v>3901</v>
      </c>
      <c r="C2664" s="919" t="s">
        <v>3902</v>
      </c>
      <c r="D2664" s="919" t="s">
        <v>7145</v>
      </c>
      <c r="E2664" s="920">
        <v>1300</v>
      </c>
      <c r="F2664" s="919" t="s">
        <v>8756</v>
      </c>
      <c r="G2664" s="919" t="s">
        <v>8757</v>
      </c>
      <c r="H2664" s="919" t="s">
        <v>7145</v>
      </c>
      <c r="I2664" s="919" t="s">
        <v>3686</v>
      </c>
      <c r="J2664" s="919"/>
      <c r="K2664" s="920">
        <v>1</v>
      </c>
      <c r="L2664" s="920">
        <v>12</v>
      </c>
      <c r="M2664" s="920">
        <f t="shared" si="82"/>
        <v>15600</v>
      </c>
      <c r="N2664" s="919"/>
      <c r="O2664" s="919"/>
      <c r="P2664" s="921">
        <f t="shared" si="83"/>
        <v>0</v>
      </c>
    </row>
    <row r="2665" spans="1:16" ht="20.100000000000001" customHeight="1" x14ac:dyDescent="0.25">
      <c r="A2665" s="918" t="s">
        <v>488</v>
      </c>
      <c r="B2665" s="944" t="s">
        <v>3901</v>
      </c>
      <c r="C2665" s="919" t="s">
        <v>3902</v>
      </c>
      <c r="D2665" s="919" t="s">
        <v>7145</v>
      </c>
      <c r="E2665" s="920">
        <v>1300</v>
      </c>
      <c r="F2665" s="919" t="s">
        <v>8758</v>
      </c>
      <c r="G2665" s="919" t="s">
        <v>8759</v>
      </c>
      <c r="H2665" s="919" t="s">
        <v>7145</v>
      </c>
      <c r="I2665" s="919" t="s">
        <v>3686</v>
      </c>
      <c r="J2665" s="919"/>
      <c r="K2665" s="920">
        <v>1</v>
      </c>
      <c r="L2665" s="920">
        <v>12</v>
      </c>
      <c r="M2665" s="920">
        <f t="shared" si="82"/>
        <v>15600</v>
      </c>
      <c r="N2665" s="919"/>
      <c r="O2665" s="919"/>
      <c r="P2665" s="921">
        <f t="shared" si="83"/>
        <v>0</v>
      </c>
    </row>
    <row r="2666" spans="1:16" ht="20.100000000000001" customHeight="1" x14ac:dyDescent="0.25">
      <c r="A2666" s="918" t="s">
        <v>488</v>
      </c>
      <c r="B2666" s="944" t="s">
        <v>3901</v>
      </c>
      <c r="C2666" s="919" t="s">
        <v>3902</v>
      </c>
      <c r="D2666" s="919" t="s">
        <v>7145</v>
      </c>
      <c r="E2666" s="920">
        <v>1300</v>
      </c>
      <c r="F2666" s="919" t="s">
        <v>8760</v>
      </c>
      <c r="G2666" s="919" t="s">
        <v>8761</v>
      </c>
      <c r="H2666" s="919" t="s">
        <v>7145</v>
      </c>
      <c r="I2666" s="919" t="s">
        <v>3686</v>
      </c>
      <c r="J2666" s="919"/>
      <c r="K2666" s="920">
        <v>1</v>
      </c>
      <c r="L2666" s="920">
        <v>12</v>
      </c>
      <c r="M2666" s="920">
        <f t="shared" si="82"/>
        <v>15600</v>
      </c>
      <c r="N2666" s="919"/>
      <c r="O2666" s="919"/>
      <c r="P2666" s="921">
        <f t="shared" si="83"/>
        <v>0</v>
      </c>
    </row>
    <row r="2667" spans="1:16" ht="20.100000000000001" customHeight="1" x14ac:dyDescent="0.25">
      <c r="A2667" s="918" t="s">
        <v>488</v>
      </c>
      <c r="B2667" s="944" t="s">
        <v>3901</v>
      </c>
      <c r="C2667" s="919" t="s">
        <v>3902</v>
      </c>
      <c r="D2667" s="919" t="s">
        <v>6094</v>
      </c>
      <c r="E2667" s="920">
        <v>1300</v>
      </c>
      <c r="F2667" s="919" t="s">
        <v>8762</v>
      </c>
      <c r="G2667" s="919" t="s">
        <v>8763</v>
      </c>
      <c r="H2667" s="919" t="s">
        <v>6094</v>
      </c>
      <c r="I2667" s="919" t="s">
        <v>3686</v>
      </c>
      <c r="J2667" s="919"/>
      <c r="K2667" s="920">
        <v>1</v>
      </c>
      <c r="L2667" s="920">
        <v>12</v>
      </c>
      <c r="M2667" s="920">
        <f t="shared" si="82"/>
        <v>15600</v>
      </c>
      <c r="N2667" s="919"/>
      <c r="O2667" s="919"/>
      <c r="P2667" s="921">
        <f t="shared" si="83"/>
        <v>0</v>
      </c>
    </row>
    <row r="2668" spans="1:16" ht="20.100000000000001" customHeight="1" x14ac:dyDescent="0.25">
      <c r="A2668" s="918" t="s">
        <v>488</v>
      </c>
      <c r="B2668" s="944" t="s">
        <v>3901</v>
      </c>
      <c r="C2668" s="919" t="s">
        <v>3902</v>
      </c>
      <c r="D2668" s="919" t="s">
        <v>6094</v>
      </c>
      <c r="E2668" s="920">
        <v>1300</v>
      </c>
      <c r="F2668" s="919" t="s">
        <v>8764</v>
      </c>
      <c r="G2668" s="919" t="s">
        <v>8765</v>
      </c>
      <c r="H2668" s="919" t="s">
        <v>6094</v>
      </c>
      <c r="I2668" s="919" t="s">
        <v>3686</v>
      </c>
      <c r="J2668" s="919"/>
      <c r="K2668" s="920">
        <v>1</v>
      </c>
      <c r="L2668" s="920">
        <v>12</v>
      </c>
      <c r="M2668" s="920">
        <f t="shared" si="82"/>
        <v>15600</v>
      </c>
      <c r="N2668" s="919"/>
      <c r="O2668" s="919"/>
      <c r="P2668" s="921">
        <f t="shared" si="83"/>
        <v>0</v>
      </c>
    </row>
    <row r="2669" spans="1:16" ht="20.100000000000001" customHeight="1" x14ac:dyDescent="0.25">
      <c r="A2669" s="918" t="s">
        <v>488</v>
      </c>
      <c r="B2669" s="944" t="s">
        <v>3901</v>
      </c>
      <c r="C2669" s="919" t="s">
        <v>3902</v>
      </c>
      <c r="D2669" s="919" t="s">
        <v>6094</v>
      </c>
      <c r="E2669" s="920">
        <v>1300</v>
      </c>
      <c r="F2669" s="919" t="s">
        <v>8766</v>
      </c>
      <c r="G2669" s="919" t="s">
        <v>8767</v>
      </c>
      <c r="H2669" s="919" t="s">
        <v>6094</v>
      </c>
      <c r="I2669" s="919" t="s">
        <v>3686</v>
      </c>
      <c r="J2669" s="919"/>
      <c r="K2669" s="920">
        <v>1</v>
      </c>
      <c r="L2669" s="920">
        <v>12</v>
      </c>
      <c r="M2669" s="920">
        <f t="shared" si="82"/>
        <v>15600</v>
      </c>
      <c r="N2669" s="919"/>
      <c r="O2669" s="919"/>
      <c r="P2669" s="921">
        <f t="shared" si="83"/>
        <v>0</v>
      </c>
    </row>
    <row r="2670" spans="1:16" ht="20.100000000000001" customHeight="1" x14ac:dyDescent="0.25">
      <c r="A2670" s="918" t="s">
        <v>488</v>
      </c>
      <c r="B2670" s="944" t="s">
        <v>3901</v>
      </c>
      <c r="C2670" s="919" t="s">
        <v>3902</v>
      </c>
      <c r="D2670" s="919" t="s">
        <v>8768</v>
      </c>
      <c r="E2670" s="920">
        <v>1300</v>
      </c>
      <c r="F2670" s="919" t="s">
        <v>8769</v>
      </c>
      <c r="G2670" s="919" t="s">
        <v>8770</v>
      </c>
      <c r="H2670" s="919" t="s">
        <v>8768</v>
      </c>
      <c r="I2670" s="919" t="s">
        <v>3686</v>
      </c>
      <c r="J2670" s="919"/>
      <c r="K2670" s="920">
        <v>1</v>
      </c>
      <c r="L2670" s="920">
        <v>12</v>
      </c>
      <c r="M2670" s="920">
        <f t="shared" si="82"/>
        <v>15600</v>
      </c>
      <c r="N2670" s="919"/>
      <c r="O2670" s="919"/>
      <c r="P2670" s="921">
        <f t="shared" si="83"/>
        <v>0</v>
      </c>
    </row>
    <row r="2671" spans="1:16" ht="20.100000000000001" customHeight="1" x14ac:dyDescent="0.25">
      <c r="A2671" s="918" t="s">
        <v>488</v>
      </c>
      <c r="B2671" s="944" t="s">
        <v>3901</v>
      </c>
      <c r="C2671" s="919" t="s">
        <v>3902</v>
      </c>
      <c r="D2671" s="919" t="s">
        <v>7399</v>
      </c>
      <c r="E2671" s="920">
        <v>1300</v>
      </c>
      <c r="F2671" s="919" t="s">
        <v>8771</v>
      </c>
      <c r="G2671" s="919" t="s">
        <v>8772</v>
      </c>
      <c r="H2671" s="919" t="s">
        <v>7399</v>
      </c>
      <c r="I2671" s="919" t="s">
        <v>3686</v>
      </c>
      <c r="J2671" s="919"/>
      <c r="K2671" s="920">
        <v>1</v>
      </c>
      <c r="L2671" s="920">
        <v>12</v>
      </c>
      <c r="M2671" s="920">
        <f t="shared" si="82"/>
        <v>15600</v>
      </c>
      <c r="N2671" s="919"/>
      <c r="O2671" s="919"/>
      <c r="P2671" s="921">
        <f t="shared" si="83"/>
        <v>0</v>
      </c>
    </row>
    <row r="2672" spans="1:16" ht="20.100000000000001" customHeight="1" x14ac:dyDescent="0.25">
      <c r="A2672" s="918" t="s">
        <v>488</v>
      </c>
      <c r="B2672" s="944" t="s">
        <v>3901</v>
      </c>
      <c r="C2672" s="919" t="s">
        <v>3902</v>
      </c>
      <c r="D2672" s="919" t="s">
        <v>7399</v>
      </c>
      <c r="E2672" s="920">
        <v>1300</v>
      </c>
      <c r="F2672" s="919" t="s">
        <v>8773</v>
      </c>
      <c r="G2672" s="919" t="s">
        <v>8774</v>
      </c>
      <c r="H2672" s="919" t="s">
        <v>7399</v>
      </c>
      <c r="I2672" s="919" t="s">
        <v>3686</v>
      </c>
      <c r="J2672" s="919"/>
      <c r="K2672" s="920">
        <v>1</v>
      </c>
      <c r="L2672" s="920">
        <v>12</v>
      </c>
      <c r="M2672" s="920">
        <f t="shared" si="82"/>
        <v>15600</v>
      </c>
      <c r="N2672" s="919"/>
      <c r="O2672" s="919"/>
      <c r="P2672" s="921">
        <f t="shared" si="83"/>
        <v>0</v>
      </c>
    </row>
    <row r="2673" spans="1:16" ht="20.100000000000001" customHeight="1" x14ac:dyDescent="0.25">
      <c r="A2673" s="918" t="s">
        <v>488</v>
      </c>
      <c r="B2673" s="944" t="s">
        <v>3901</v>
      </c>
      <c r="C2673" s="919" t="s">
        <v>3902</v>
      </c>
      <c r="D2673" s="919" t="s">
        <v>7399</v>
      </c>
      <c r="E2673" s="920">
        <v>1300</v>
      </c>
      <c r="F2673" s="919" t="s">
        <v>8775</v>
      </c>
      <c r="G2673" s="919" t="s">
        <v>8776</v>
      </c>
      <c r="H2673" s="919" t="s">
        <v>7399</v>
      </c>
      <c r="I2673" s="919" t="s">
        <v>3686</v>
      </c>
      <c r="J2673" s="919"/>
      <c r="K2673" s="920">
        <v>1</v>
      </c>
      <c r="L2673" s="920">
        <v>12</v>
      </c>
      <c r="M2673" s="920">
        <f t="shared" si="82"/>
        <v>15600</v>
      </c>
      <c r="N2673" s="919"/>
      <c r="O2673" s="919"/>
      <c r="P2673" s="921">
        <f t="shared" si="83"/>
        <v>0</v>
      </c>
    </row>
    <row r="2674" spans="1:16" ht="20.100000000000001" customHeight="1" x14ac:dyDescent="0.25">
      <c r="A2674" s="918" t="s">
        <v>488</v>
      </c>
      <c r="B2674" s="944" t="s">
        <v>3901</v>
      </c>
      <c r="C2674" s="919" t="s">
        <v>3902</v>
      </c>
      <c r="D2674" s="919" t="s">
        <v>4483</v>
      </c>
      <c r="E2674" s="920">
        <v>1300</v>
      </c>
      <c r="F2674" s="919" t="s">
        <v>4041</v>
      </c>
      <c r="G2674" s="919" t="s">
        <v>4062</v>
      </c>
      <c r="H2674" s="919" t="s">
        <v>4483</v>
      </c>
      <c r="I2674" s="919" t="s">
        <v>3686</v>
      </c>
      <c r="J2674" s="919"/>
      <c r="K2674" s="920">
        <v>1</v>
      </c>
      <c r="L2674" s="920">
        <v>12</v>
      </c>
      <c r="M2674" s="920">
        <f t="shared" si="82"/>
        <v>15600</v>
      </c>
      <c r="N2674" s="919"/>
      <c r="O2674" s="919"/>
      <c r="P2674" s="921">
        <f t="shared" si="83"/>
        <v>0</v>
      </c>
    </row>
    <row r="2675" spans="1:16" ht="20.100000000000001" customHeight="1" x14ac:dyDescent="0.25">
      <c r="A2675" s="918" t="s">
        <v>488</v>
      </c>
      <c r="B2675" s="944" t="s">
        <v>3901</v>
      </c>
      <c r="C2675" s="919" t="s">
        <v>3902</v>
      </c>
      <c r="D2675" s="919" t="s">
        <v>6083</v>
      </c>
      <c r="E2675" s="920">
        <v>1300</v>
      </c>
      <c r="F2675" s="919" t="s">
        <v>8777</v>
      </c>
      <c r="G2675" s="919" t="s">
        <v>8778</v>
      </c>
      <c r="H2675" s="919" t="s">
        <v>6083</v>
      </c>
      <c r="I2675" s="919" t="s">
        <v>3686</v>
      </c>
      <c r="J2675" s="919"/>
      <c r="K2675" s="920">
        <v>1</v>
      </c>
      <c r="L2675" s="920">
        <v>12</v>
      </c>
      <c r="M2675" s="920">
        <f t="shared" si="82"/>
        <v>15600</v>
      </c>
      <c r="N2675" s="919"/>
      <c r="O2675" s="919"/>
      <c r="P2675" s="921">
        <f t="shared" si="83"/>
        <v>0</v>
      </c>
    </row>
    <row r="2676" spans="1:16" ht="20.100000000000001" customHeight="1" x14ac:dyDescent="0.25">
      <c r="A2676" s="918" t="s">
        <v>488</v>
      </c>
      <c r="B2676" s="944" t="s">
        <v>3901</v>
      </c>
      <c r="C2676" s="919" t="s">
        <v>3902</v>
      </c>
      <c r="D2676" s="919" t="s">
        <v>3999</v>
      </c>
      <c r="E2676" s="920">
        <v>2000</v>
      </c>
      <c r="F2676" s="919" t="s">
        <v>8779</v>
      </c>
      <c r="G2676" s="919" t="s">
        <v>8780</v>
      </c>
      <c r="H2676" s="919" t="s">
        <v>3999</v>
      </c>
      <c r="I2676" s="919" t="s">
        <v>3724</v>
      </c>
      <c r="J2676" s="919"/>
      <c r="K2676" s="920">
        <v>1</v>
      </c>
      <c r="L2676" s="920">
        <v>12</v>
      </c>
      <c r="M2676" s="920">
        <f t="shared" si="82"/>
        <v>24000</v>
      </c>
      <c r="N2676" s="919"/>
      <c r="O2676" s="919"/>
      <c r="P2676" s="921">
        <f t="shared" si="83"/>
        <v>0</v>
      </c>
    </row>
    <row r="2677" spans="1:16" ht="20.100000000000001" customHeight="1" x14ac:dyDescent="0.25">
      <c r="A2677" s="918" t="s">
        <v>488</v>
      </c>
      <c r="B2677" s="944" t="s">
        <v>3901</v>
      </c>
      <c r="C2677" s="919" t="s">
        <v>3902</v>
      </c>
      <c r="D2677" s="919" t="s">
        <v>3999</v>
      </c>
      <c r="E2677" s="920">
        <v>2000</v>
      </c>
      <c r="F2677" s="919" t="s">
        <v>8781</v>
      </c>
      <c r="G2677" s="919" t="s">
        <v>8782</v>
      </c>
      <c r="H2677" s="919" t="s">
        <v>3999</v>
      </c>
      <c r="I2677" s="919" t="s">
        <v>3724</v>
      </c>
      <c r="J2677" s="919"/>
      <c r="K2677" s="920">
        <v>1</v>
      </c>
      <c r="L2677" s="920">
        <v>12</v>
      </c>
      <c r="M2677" s="920">
        <f t="shared" si="82"/>
        <v>24000</v>
      </c>
      <c r="N2677" s="919"/>
      <c r="O2677" s="919"/>
      <c r="P2677" s="921">
        <f t="shared" si="83"/>
        <v>0</v>
      </c>
    </row>
    <row r="2678" spans="1:16" ht="20.100000000000001" customHeight="1" x14ac:dyDescent="0.25">
      <c r="A2678" s="918" t="s">
        <v>488</v>
      </c>
      <c r="B2678" s="944" t="s">
        <v>3901</v>
      </c>
      <c r="C2678" s="919" t="s">
        <v>3902</v>
      </c>
      <c r="D2678" s="919" t="s">
        <v>3999</v>
      </c>
      <c r="E2678" s="920">
        <v>2000</v>
      </c>
      <c r="F2678" s="919" t="s">
        <v>8783</v>
      </c>
      <c r="G2678" s="919" t="s">
        <v>8784</v>
      </c>
      <c r="H2678" s="919" t="s">
        <v>3999</v>
      </c>
      <c r="I2678" s="919" t="s">
        <v>3724</v>
      </c>
      <c r="J2678" s="919"/>
      <c r="K2678" s="920">
        <v>1</v>
      </c>
      <c r="L2678" s="920">
        <v>12</v>
      </c>
      <c r="M2678" s="920">
        <f t="shared" si="82"/>
        <v>24000</v>
      </c>
      <c r="N2678" s="919"/>
      <c r="O2678" s="919"/>
      <c r="P2678" s="921">
        <f t="shared" si="83"/>
        <v>0</v>
      </c>
    </row>
    <row r="2679" spans="1:16" ht="20.100000000000001" customHeight="1" x14ac:dyDescent="0.25">
      <c r="A2679" s="918" t="s">
        <v>488</v>
      </c>
      <c r="B2679" s="944" t="s">
        <v>3901</v>
      </c>
      <c r="C2679" s="919" t="s">
        <v>3902</v>
      </c>
      <c r="D2679" s="919" t="s">
        <v>3999</v>
      </c>
      <c r="E2679" s="920">
        <v>2000</v>
      </c>
      <c r="F2679" s="919" t="s">
        <v>8785</v>
      </c>
      <c r="G2679" s="919" t="s">
        <v>8786</v>
      </c>
      <c r="H2679" s="919" t="s">
        <v>3999</v>
      </c>
      <c r="I2679" s="919" t="s">
        <v>3724</v>
      </c>
      <c r="J2679" s="919"/>
      <c r="K2679" s="920">
        <v>1</v>
      </c>
      <c r="L2679" s="920">
        <v>12</v>
      </c>
      <c r="M2679" s="920">
        <f t="shared" si="82"/>
        <v>24000</v>
      </c>
      <c r="N2679" s="919"/>
      <c r="O2679" s="919"/>
      <c r="P2679" s="921">
        <f t="shared" si="83"/>
        <v>0</v>
      </c>
    </row>
    <row r="2680" spans="1:16" ht="20.100000000000001" customHeight="1" x14ac:dyDescent="0.25">
      <c r="A2680" s="918" t="s">
        <v>488</v>
      </c>
      <c r="B2680" s="944" t="s">
        <v>3901</v>
      </c>
      <c r="C2680" s="919" t="s">
        <v>3902</v>
      </c>
      <c r="D2680" s="919" t="s">
        <v>3999</v>
      </c>
      <c r="E2680" s="920">
        <v>2000</v>
      </c>
      <c r="F2680" s="919" t="s">
        <v>8787</v>
      </c>
      <c r="G2680" s="919" t="s">
        <v>8788</v>
      </c>
      <c r="H2680" s="919" t="s">
        <v>3999</v>
      </c>
      <c r="I2680" s="919" t="s">
        <v>3724</v>
      </c>
      <c r="J2680" s="919"/>
      <c r="K2680" s="920">
        <v>1</v>
      </c>
      <c r="L2680" s="920">
        <v>12</v>
      </c>
      <c r="M2680" s="920">
        <f t="shared" si="82"/>
        <v>24000</v>
      </c>
      <c r="N2680" s="919"/>
      <c r="O2680" s="919"/>
      <c r="P2680" s="921">
        <f t="shared" si="83"/>
        <v>0</v>
      </c>
    </row>
    <row r="2681" spans="1:16" ht="20.100000000000001" customHeight="1" x14ac:dyDescent="0.25">
      <c r="A2681" s="918" t="s">
        <v>488</v>
      </c>
      <c r="B2681" s="944" t="s">
        <v>3901</v>
      </c>
      <c r="C2681" s="919" t="s">
        <v>3902</v>
      </c>
      <c r="D2681" s="919" t="s">
        <v>3999</v>
      </c>
      <c r="E2681" s="920">
        <v>2000</v>
      </c>
      <c r="F2681" s="919" t="s">
        <v>4041</v>
      </c>
      <c r="G2681" s="919" t="s">
        <v>4042</v>
      </c>
      <c r="H2681" s="919" t="s">
        <v>3999</v>
      </c>
      <c r="I2681" s="919" t="s">
        <v>3724</v>
      </c>
      <c r="J2681" s="919"/>
      <c r="K2681" s="920">
        <v>1</v>
      </c>
      <c r="L2681" s="920">
        <v>12</v>
      </c>
      <c r="M2681" s="920">
        <f t="shared" si="82"/>
        <v>24000</v>
      </c>
      <c r="N2681" s="919"/>
      <c r="O2681" s="919"/>
      <c r="P2681" s="921">
        <f t="shared" si="83"/>
        <v>0</v>
      </c>
    </row>
    <row r="2682" spans="1:16" ht="20.100000000000001" customHeight="1" x14ac:dyDescent="0.25">
      <c r="A2682" s="918" t="s">
        <v>488</v>
      </c>
      <c r="B2682" s="944" t="s">
        <v>3901</v>
      </c>
      <c r="C2682" s="919" t="s">
        <v>3902</v>
      </c>
      <c r="D2682" s="919" t="s">
        <v>3999</v>
      </c>
      <c r="E2682" s="920">
        <v>2000</v>
      </c>
      <c r="F2682" s="919" t="s">
        <v>8789</v>
      </c>
      <c r="G2682" s="919" t="s">
        <v>8790</v>
      </c>
      <c r="H2682" s="919" t="s">
        <v>3999</v>
      </c>
      <c r="I2682" s="919" t="s">
        <v>3724</v>
      </c>
      <c r="J2682" s="919"/>
      <c r="K2682" s="920">
        <v>1</v>
      </c>
      <c r="L2682" s="920">
        <v>12</v>
      </c>
      <c r="M2682" s="920">
        <f t="shared" si="82"/>
        <v>24000</v>
      </c>
      <c r="N2682" s="919"/>
      <c r="O2682" s="919"/>
      <c r="P2682" s="921">
        <f t="shared" si="83"/>
        <v>0</v>
      </c>
    </row>
    <row r="2683" spans="1:16" ht="20.100000000000001" customHeight="1" x14ac:dyDescent="0.25">
      <c r="A2683" s="918" t="s">
        <v>488</v>
      </c>
      <c r="B2683" s="944" t="s">
        <v>3901</v>
      </c>
      <c r="C2683" s="919" t="s">
        <v>3902</v>
      </c>
      <c r="D2683" s="919" t="s">
        <v>3999</v>
      </c>
      <c r="E2683" s="920">
        <v>2000</v>
      </c>
      <c r="F2683" s="919" t="s">
        <v>8791</v>
      </c>
      <c r="G2683" s="919" t="s">
        <v>8792</v>
      </c>
      <c r="H2683" s="919" t="s">
        <v>3999</v>
      </c>
      <c r="I2683" s="919" t="s">
        <v>3724</v>
      </c>
      <c r="J2683" s="919"/>
      <c r="K2683" s="920">
        <v>1</v>
      </c>
      <c r="L2683" s="920">
        <v>12</v>
      </c>
      <c r="M2683" s="920">
        <f t="shared" si="82"/>
        <v>24000</v>
      </c>
      <c r="N2683" s="919"/>
      <c r="O2683" s="919"/>
      <c r="P2683" s="921">
        <f t="shared" si="83"/>
        <v>0</v>
      </c>
    </row>
    <row r="2684" spans="1:16" ht="20.100000000000001" customHeight="1" x14ac:dyDescent="0.25">
      <c r="A2684" s="918" t="s">
        <v>488</v>
      </c>
      <c r="B2684" s="944" t="s">
        <v>3901</v>
      </c>
      <c r="C2684" s="919" t="s">
        <v>3902</v>
      </c>
      <c r="D2684" s="919" t="s">
        <v>3999</v>
      </c>
      <c r="E2684" s="920">
        <v>2000</v>
      </c>
      <c r="F2684" s="919" t="s">
        <v>8793</v>
      </c>
      <c r="G2684" s="919" t="s">
        <v>8794</v>
      </c>
      <c r="H2684" s="919" t="s">
        <v>3999</v>
      </c>
      <c r="I2684" s="919" t="s">
        <v>3724</v>
      </c>
      <c r="J2684" s="919"/>
      <c r="K2684" s="920">
        <v>1</v>
      </c>
      <c r="L2684" s="920">
        <v>12</v>
      </c>
      <c r="M2684" s="920">
        <f t="shared" si="82"/>
        <v>24000</v>
      </c>
      <c r="N2684" s="919"/>
      <c r="O2684" s="919"/>
      <c r="P2684" s="921">
        <f t="shared" si="83"/>
        <v>0</v>
      </c>
    </row>
    <row r="2685" spans="1:16" ht="20.100000000000001" customHeight="1" x14ac:dyDescent="0.25">
      <c r="A2685" s="918" t="s">
        <v>488</v>
      </c>
      <c r="B2685" s="944" t="s">
        <v>3901</v>
      </c>
      <c r="C2685" s="919" t="s">
        <v>3902</v>
      </c>
      <c r="D2685" s="919" t="s">
        <v>3999</v>
      </c>
      <c r="E2685" s="920">
        <v>2000</v>
      </c>
      <c r="F2685" s="919" t="s">
        <v>8795</v>
      </c>
      <c r="G2685" s="919" t="s">
        <v>8796</v>
      </c>
      <c r="H2685" s="919" t="s">
        <v>3999</v>
      </c>
      <c r="I2685" s="919" t="s">
        <v>3724</v>
      </c>
      <c r="J2685" s="919"/>
      <c r="K2685" s="920">
        <v>1</v>
      </c>
      <c r="L2685" s="920">
        <v>12</v>
      </c>
      <c r="M2685" s="920">
        <f t="shared" si="82"/>
        <v>24000</v>
      </c>
      <c r="N2685" s="919"/>
      <c r="O2685" s="919"/>
      <c r="P2685" s="921">
        <f t="shared" si="83"/>
        <v>0</v>
      </c>
    </row>
    <row r="2686" spans="1:16" ht="20.100000000000001" customHeight="1" x14ac:dyDescent="0.25">
      <c r="A2686" s="918" t="s">
        <v>488</v>
      </c>
      <c r="B2686" s="944" t="s">
        <v>3901</v>
      </c>
      <c r="C2686" s="919" t="s">
        <v>3902</v>
      </c>
      <c r="D2686" s="919" t="s">
        <v>3999</v>
      </c>
      <c r="E2686" s="920">
        <v>2000</v>
      </c>
      <c r="F2686" s="919" t="s">
        <v>8797</v>
      </c>
      <c r="G2686" s="919" t="s">
        <v>8798</v>
      </c>
      <c r="H2686" s="919" t="s">
        <v>3999</v>
      </c>
      <c r="I2686" s="919" t="s">
        <v>3724</v>
      </c>
      <c r="J2686" s="919"/>
      <c r="K2686" s="920">
        <v>1</v>
      </c>
      <c r="L2686" s="920">
        <v>12</v>
      </c>
      <c r="M2686" s="920">
        <f t="shared" si="82"/>
        <v>24000</v>
      </c>
      <c r="N2686" s="919"/>
      <c r="O2686" s="919"/>
      <c r="P2686" s="921">
        <f t="shared" si="83"/>
        <v>0</v>
      </c>
    </row>
    <row r="2687" spans="1:16" ht="20.100000000000001" customHeight="1" x14ac:dyDescent="0.25">
      <c r="A2687" s="918" t="s">
        <v>488</v>
      </c>
      <c r="B2687" s="944" t="s">
        <v>3901</v>
      </c>
      <c r="C2687" s="919" t="s">
        <v>3902</v>
      </c>
      <c r="D2687" s="919" t="s">
        <v>3999</v>
      </c>
      <c r="E2687" s="920">
        <v>2000</v>
      </c>
      <c r="F2687" s="919" t="s">
        <v>8799</v>
      </c>
      <c r="G2687" s="919" t="s">
        <v>8800</v>
      </c>
      <c r="H2687" s="919" t="s">
        <v>3999</v>
      </c>
      <c r="I2687" s="919" t="s">
        <v>3724</v>
      </c>
      <c r="J2687" s="919"/>
      <c r="K2687" s="920">
        <v>1</v>
      </c>
      <c r="L2687" s="920">
        <v>12</v>
      </c>
      <c r="M2687" s="920">
        <f t="shared" si="82"/>
        <v>24000</v>
      </c>
      <c r="N2687" s="919"/>
      <c r="O2687" s="919"/>
      <c r="P2687" s="921">
        <f t="shared" si="83"/>
        <v>0</v>
      </c>
    </row>
    <row r="2688" spans="1:16" ht="20.100000000000001" customHeight="1" x14ac:dyDescent="0.25">
      <c r="A2688" s="918" t="s">
        <v>488</v>
      </c>
      <c r="B2688" s="944" t="s">
        <v>3901</v>
      </c>
      <c r="C2688" s="919" t="s">
        <v>3902</v>
      </c>
      <c r="D2688" s="919" t="s">
        <v>4382</v>
      </c>
      <c r="E2688" s="920">
        <v>2000</v>
      </c>
      <c r="F2688" s="919" t="s">
        <v>8801</v>
      </c>
      <c r="G2688" s="919" t="s">
        <v>8802</v>
      </c>
      <c r="H2688" s="919" t="s">
        <v>4382</v>
      </c>
      <c r="I2688" s="919" t="s">
        <v>3724</v>
      </c>
      <c r="J2688" s="919"/>
      <c r="K2688" s="920">
        <v>1</v>
      </c>
      <c r="L2688" s="920">
        <v>12</v>
      </c>
      <c r="M2688" s="920">
        <f t="shared" si="82"/>
        <v>24000</v>
      </c>
      <c r="N2688" s="919"/>
      <c r="O2688" s="919"/>
      <c r="P2688" s="921">
        <f t="shared" si="83"/>
        <v>0</v>
      </c>
    </row>
    <row r="2689" spans="1:16" ht="20.100000000000001" customHeight="1" x14ac:dyDescent="0.25">
      <c r="A2689" s="918" t="s">
        <v>488</v>
      </c>
      <c r="B2689" s="944" t="s">
        <v>3901</v>
      </c>
      <c r="C2689" s="919" t="s">
        <v>3902</v>
      </c>
      <c r="D2689" s="919" t="s">
        <v>4382</v>
      </c>
      <c r="E2689" s="920">
        <v>2000</v>
      </c>
      <c r="F2689" s="919" t="s">
        <v>8803</v>
      </c>
      <c r="G2689" s="919" t="s">
        <v>8804</v>
      </c>
      <c r="H2689" s="919" t="s">
        <v>4382</v>
      </c>
      <c r="I2689" s="919" t="s">
        <v>3724</v>
      </c>
      <c r="J2689" s="919"/>
      <c r="K2689" s="920">
        <v>1</v>
      </c>
      <c r="L2689" s="920">
        <v>12</v>
      </c>
      <c r="M2689" s="920">
        <f t="shared" si="82"/>
        <v>24000</v>
      </c>
      <c r="N2689" s="919"/>
      <c r="O2689" s="919"/>
      <c r="P2689" s="921">
        <f t="shared" si="83"/>
        <v>0</v>
      </c>
    </row>
    <row r="2690" spans="1:16" ht="20.100000000000001" customHeight="1" x14ac:dyDescent="0.25">
      <c r="A2690" s="918" t="s">
        <v>488</v>
      </c>
      <c r="B2690" s="944" t="s">
        <v>3901</v>
      </c>
      <c r="C2690" s="919" t="s">
        <v>3902</v>
      </c>
      <c r="D2690" s="919" t="s">
        <v>4352</v>
      </c>
      <c r="E2690" s="920">
        <v>2000</v>
      </c>
      <c r="F2690" s="919" t="s">
        <v>8805</v>
      </c>
      <c r="G2690" s="919" t="s">
        <v>8806</v>
      </c>
      <c r="H2690" s="919" t="s">
        <v>4352</v>
      </c>
      <c r="I2690" s="919" t="s">
        <v>3724</v>
      </c>
      <c r="J2690" s="919"/>
      <c r="K2690" s="920">
        <v>1</v>
      </c>
      <c r="L2690" s="920">
        <v>12</v>
      </c>
      <c r="M2690" s="920">
        <f t="shared" si="82"/>
        <v>24000</v>
      </c>
      <c r="N2690" s="919"/>
      <c r="O2690" s="919"/>
      <c r="P2690" s="921">
        <f t="shared" si="83"/>
        <v>0</v>
      </c>
    </row>
    <row r="2691" spans="1:16" ht="20.100000000000001" customHeight="1" x14ac:dyDescent="0.25">
      <c r="A2691" s="918" t="s">
        <v>488</v>
      </c>
      <c r="B2691" s="944" t="s">
        <v>3901</v>
      </c>
      <c r="C2691" s="919" t="s">
        <v>3902</v>
      </c>
      <c r="D2691" s="919" t="s">
        <v>4352</v>
      </c>
      <c r="E2691" s="920">
        <v>2000</v>
      </c>
      <c r="F2691" s="919" t="s">
        <v>8807</v>
      </c>
      <c r="G2691" s="919" t="s">
        <v>8808</v>
      </c>
      <c r="H2691" s="919" t="s">
        <v>4352</v>
      </c>
      <c r="I2691" s="919" t="s">
        <v>3724</v>
      </c>
      <c r="J2691" s="919"/>
      <c r="K2691" s="920">
        <v>1</v>
      </c>
      <c r="L2691" s="920">
        <v>12</v>
      </c>
      <c r="M2691" s="920">
        <f t="shared" si="82"/>
        <v>24000</v>
      </c>
      <c r="N2691" s="919"/>
      <c r="O2691" s="919"/>
      <c r="P2691" s="921">
        <f t="shared" si="83"/>
        <v>0</v>
      </c>
    </row>
    <row r="2692" spans="1:16" ht="20.100000000000001" customHeight="1" x14ac:dyDescent="0.25">
      <c r="A2692" s="918" t="s">
        <v>488</v>
      </c>
      <c r="B2692" s="944" t="s">
        <v>3901</v>
      </c>
      <c r="C2692" s="919" t="s">
        <v>3902</v>
      </c>
      <c r="D2692" s="919" t="s">
        <v>4352</v>
      </c>
      <c r="E2692" s="920">
        <v>2000</v>
      </c>
      <c r="F2692" s="919" t="s">
        <v>8809</v>
      </c>
      <c r="G2692" s="919" t="s">
        <v>8810</v>
      </c>
      <c r="H2692" s="919" t="s">
        <v>4352</v>
      </c>
      <c r="I2692" s="919" t="s">
        <v>3724</v>
      </c>
      <c r="J2692" s="919"/>
      <c r="K2692" s="920">
        <v>1</v>
      </c>
      <c r="L2692" s="920">
        <v>12</v>
      </c>
      <c r="M2692" s="920">
        <f t="shared" si="82"/>
        <v>24000</v>
      </c>
      <c r="N2692" s="919"/>
      <c r="O2692" s="919"/>
      <c r="P2692" s="921">
        <f t="shared" si="83"/>
        <v>0</v>
      </c>
    </row>
    <row r="2693" spans="1:16" ht="20.100000000000001" customHeight="1" x14ac:dyDescent="0.25">
      <c r="A2693" s="918" t="s">
        <v>488</v>
      </c>
      <c r="B2693" s="944" t="s">
        <v>3901</v>
      </c>
      <c r="C2693" s="919" t="s">
        <v>3902</v>
      </c>
      <c r="D2693" s="919" t="s">
        <v>4352</v>
      </c>
      <c r="E2693" s="920">
        <v>2000</v>
      </c>
      <c r="F2693" s="919" t="s">
        <v>8811</v>
      </c>
      <c r="G2693" s="919" t="s">
        <v>8812</v>
      </c>
      <c r="H2693" s="919" t="s">
        <v>4352</v>
      </c>
      <c r="I2693" s="919" t="s">
        <v>3724</v>
      </c>
      <c r="J2693" s="919"/>
      <c r="K2693" s="920">
        <v>1</v>
      </c>
      <c r="L2693" s="920">
        <v>12</v>
      </c>
      <c r="M2693" s="920">
        <f t="shared" si="82"/>
        <v>24000</v>
      </c>
      <c r="N2693" s="919"/>
      <c r="O2693" s="919"/>
      <c r="P2693" s="921">
        <f t="shared" si="83"/>
        <v>0</v>
      </c>
    </row>
    <row r="2694" spans="1:16" ht="20.100000000000001" customHeight="1" x14ac:dyDescent="0.25">
      <c r="A2694" s="918" t="s">
        <v>488</v>
      </c>
      <c r="B2694" s="944" t="s">
        <v>3901</v>
      </c>
      <c r="C2694" s="919" t="s">
        <v>3902</v>
      </c>
      <c r="D2694" s="919" t="s">
        <v>4352</v>
      </c>
      <c r="E2694" s="920">
        <v>2000</v>
      </c>
      <c r="F2694" s="919" t="s">
        <v>8813</v>
      </c>
      <c r="G2694" s="919" t="s">
        <v>8814</v>
      </c>
      <c r="H2694" s="919" t="s">
        <v>4352</v>
      </c>
      <c r="I2694" s="919" t="s">
        <v>3724</v>
      </c>
      <c r="J2694" s="919"/>
      <c r="K2694" s="920">
        <v>1</v>
      </c>
      <c r="L2694" s="920">
        <v>12</v>
      </c>
      <c r="M2694" s="920">
        <f t="shared" ref="M2694:M2757" si="84">E2694*L2694</f>
        <v>24000</v>
      </c>
      <c r="N2694" s="919"/>
      <c r="O2694" s="919"/>
      <c r="P2694" s="921">
        <f t="shared" ref="P2694:P2757" si="85">E2694*O2694</f>
        <v>0</v>
      </c>
    </row>
    <row r="2695" spans="1:16" ht="20.100000000000001" customHeight="1" x14ac:dyDescent="0.25">
      <c r="A2695" s="918" t="s">
        <v>488</v>
      </c>
      <c r="B2695" s="944" t="s">
        <v>3901</v>
      </c>
      <c r="C2695" s="919" t="s">
        <v>3902</v>
      </c>
      <c r="D2695" s="919" t="s">
        <v>4352</v>
      </c>
      <c r="E2695" s="920">
        <v>2000</v>
      </c>
      <c r="F2695" s="919" t="s">
        <v>8815</v>
      </c>
      <c r="G2695" s="919" t="s">
        <v>8816</v>
      </c>
      <c r="H2695" s="919" t="s">
        <v>4352</v>
      </c>
      <c r="I2695" s="919" t="s">
        <v>3724</v>
      </c>
      <c r="J2695" s="919"/>
      <c r="K2695" s="920">
        <v>1</v>
      </c>
      <c r="L2695" s="920">
        <v>12</v>
      </c>
      <c r="M2695" s="920">
        <f t="shared" si="84"/>
        <v>24000</v>
      </c>
      <c r="N2695" s="919"/>
      <c r="O2695" s="919"/>
      <c r="P2695" s="921">
        <f t="shared" si="85"/>
        <v>0</v>
      </c>
    </row>
    <row r="2696" spans="1:16" ht="20.100000000000001" customHeight="1" x14ac:dyDescent="0.25">
      <c r="A2696" s="918" t="s">
        <v>488</v>
      </c>
      <c r="B2696" s="944" t="s">
        <v>3901</v>
      </c>
      <c r="C2696" s="919" t="s">
        <v>3902</v>
      </c>
      <c r="D2696" s="919" t="s">
        <v>4352</v>
      </c>
      <c r="E2696" s="920">
        <v>2000</v>
      </c>
      <c r="F2696" s="919" t="s">
        <v>8817</v>
      </c>
      <c r="G2696" s="919" t="s">
        <v>8818</v>
      </c>
      <c r="H2696" s="919" t="s">
        <v>4352</v>
      </c>
      <c r="I2696" s="919" t="s">
        <v>3724</v>
      </c>
      <c r="J2696" s="919"/>
      <c r="K2696" s="920">
        <v>1</v>
      </c>
      <c r="L2696" s="920">
        <v>12</v>
      </c>
      <c r="M2696" s="920">
        <f t="shared" si="84"/>
        <v>24000</v>
      </c>
      <c r="N2696" s="919"/>
      <c r="O2696" s="919"/>
      <c r="P2696" s="921">
        <f t="shared" si="85"/>
        <v>0</v>
      </c>
    </row>
    <row r="2697" spans="1:16" ht="20.100000000000001" customHeight="1" x14ac:dyDescent="0.25">
      <c r="A2697" s="918" t="s">
        <v>488</v>
      </c>
      <c r="B2697" s="944" t="s">
        <v>3901</v>
      </c>
      <c r="C2697" s="919" t="s">
        <v>3902</v>
      </c>
      <c r="D2697" s="919" t="s">
        <v>4352</v>
      </c>
      <c r="E2697" s="920">
        <v>2000</v>
      </c>
      <c r="F2697" s="919" t="s">
        <v>8819</v>
      </c>
      <c r="G2697" s="919" t="s">
        <v>8820</v>
      </c>
      <c r="H2697" s="919" t="s">
        <v>4352</v>
      </c>
      <c r="I2697" s="919" t="s">
        <v>3724</v>
      </c>
      <c r="J2697" s="919"/>
      <c r="K2697" s="920"/>
      <c r="L2697" s="920"/>
      <c r="M2697" s="920">
        <f t="shared" si="84"/>
        <v>0</v>
      </c>
      <c r="N2697" s="919">
        <v>1</v>
      </c>
      <c r="O2697" s="919">
        <v>1</v>
      </c>
      <c r="P2697" s="921">
        <f t="shared" si="85"/>
        <v>2000</v>
      </c>
    </row>
    <row r="2698" spans="1:16" ht="20.100000000000001" customHeight="1" x14ac:dyDescent="0.25">
      <c r="A2698" s="918" t="s">
        <v>488</v>
      </c>
      <c r="B2698" s="944" t="s">
        <v>3901</v>
      </c>
      <c r="C2698" s="919" t="s">
        <v>3902</v>
      </c>
      <c r="D2698" s="919" t="s">
        <v>4352</v>
      </c>
      <c r="E2698" s="920">
        <v>2000</v>
      </c>
      <c r="F2698" s="919" t="s">
        <v>8821</v>
      </c>
      <c r="G2698" s="919" t="s">
        <v>8822</v>
      </c>
      <c r="H2698" s="919" t="s">
        <v>4352</v>
      </c>
      <c r="I2698" s="919" t="s">
        <v>3724</v>
      </c>
      <c r="J2698" s="919"/>
      <c r="K2698" s="920">
        <v>1</v>
      </c>
      <c r="L2698" s="920">
        <v>12</v>
      </c>
      <c r="M2698" s="920">
        <f t="shared" si="84"/>
        <v>24000</v>
      </c>
      <c r="N2698" s="919"/>
      <c r="O2698" s="919"/>
      <c r="P2698" s="921">
        <f t="shared" si="85"/>
        <v>0</v>
      </c>
    </row>
    <row r="2699" spans="1:16" ht="20.100000000000001" customHeight="1" x14ac:dyDescent="0.25">
      <c r="A2699" s="918" t="s">
        <v>488</v>
      </c>
      <c r="B2699" s="944" t="s">
        <v>3901</v>
      </c>
      <c r="C2699" s="919" t="s">
        <v>3902</v>
      </c>
      <c r="D2699" s="919" t="s">
        <v>4352</v>
      </c>
      <c r="E2699" s="920">
        <v>2000</v>
      </c>
      <c r="F2699" s="919" t="s">
        <v>8823</v>
      </c>
      <c r="G2699" s="919" t="s">
        <v>8824</v>
      </c>
      <c r="H2699" s="919" t="s">
        <v>4352</v>
      </c>
      <c r="I2699" s="919" t="s">
        <v>3724</v>
      </c>
      <c r="J2699" s="919"/>
      <c r="K2699" s="920">
        <v>1</v>
      </c>
      <c r="L2699" s="920">
        <v>12</v>
      </c>
      <c r="M2699" s="920">
        <f t="shared" si="84"/>
        <v>24000</v>
      </c>
      <c r="N2699" s="919"/>
      <c r="O2699" s="919"/>
      <c r="P2699" s="921">
        <f t="shared" si="85"/>
        <v>0</v>
      </c>
    </row>
    <row r="2700" spans="1:16" ht="20.100000000000001" customHeight="1" x14ac:dyDescent="0.25">
      <c r="A2700" s="918" t="s">
        <v>488</v>
      </c>
      <c r="B2700" s="944" t="s">
        <v>3901</v>
      </c>
      <c r="C2700" s="919" t="s">
        <v>3902</v>
      </c>
      <c r="D2700" s="919" t="s">
        <v>6203</v>
      </c>
      <c r="E2700" s="920">
        <v>2000</v>
      </c>
      <c r="F2700" s="919" t="s">
        <v>8825</v>
      </c>
      <c r="G2700" s="919" t="s">
        <v>8826</v>
      </c>
      <c r="H2700" s="919" t="s">
        <v>6203</v>
      </c>
      <c r="I2700" s="919" t="s">
        <v>3724</v>
      </c>
      <c r="J2700" s="919"/>
      <c r="K2700" s="920">
        <v>1</v>
      </c>
      <c r="L2700" s="920">
        <v>12</v>
      </c>
      <c r="M2700" s="920">
        <f t="shared" si="84"/>
        <v>24000</v>
      </c>
      <c r="N2700" s="919"/>
      <c r="O2700" s="919"/>
      <c r="P2700" s="921">
        <f t="shared" si="85"/>
        <v>0</v>
      </c>
    </row>
    <row r="2701" spans="1:16" ht="20.100000000000001" customHeight="1" x14ac:dyDescent="0.25">
      <c r="A2701" s="918" t="s">
        <v>488</v>
      </c>
      <c r="B2701" s="944" t="s">
        <v>3901</v>
      </c>
      <c r="C2701" s="919" t="s">
        <v>3902</v>
      </c>
      <c r="D2701" s="919" t="s">
        <v>6203</v>
      </c>
      <c r="E2701" s="920">
        <v>2000</v>
      </c>
      <c r="F2701" s="919" t="s">
        <v>8827</v>
      </c>
      <c r="G2701" s="919" t="s">
        <v>8828</v>
      </c>
      <c r="H2701" s="919" t="s">
        <v>6203</v>
      </c>
      <c r="I2701" s="919" t="s">
        <v>3724</v>
      </c>
      <c r="J2701" s="919"/>
      <c r="K2701" s="920">
        <v>1</v>
      </c>
      <c r="L2701" s="920">
        <v>12</v>
      </c>
      <c r="M2701" s="920">
        <f t="shared" si="84"/>
        <v>24000</v>
      </c>
      <c r="N2701" s="919"/>
      <c r="O2701" s="919"/>
      <c r="P2701" s="921">
        <f t="shared" si="85"/>
        <v>0</v>
      </c>
    </row>
    <row r="2702" spans="1:16" ht="20.100000000000001" customHeight="1" x14ac:dyDescent="0.25">
      <c r="A2702" s="918" t="s">
        <v>488</v>
      </c>
      <c r="B2702" s="944" t="s">
        <v>3901</v>
      </c>
      <c r="C2702" s="919" t="s">
        <v>3902</v>
      </c>
      <c r="D2702" s="919" t="s">
        <v>6315</v>
      </c>
      <c r="E2702" s="920">
        <v>2000</v>
      </c>
      <c r="F2702" s="919" t="s">
        <v>4041</v>
      </c>
      <c r="G2702" s="919" t="s">
        <v>4062</v>
      </c>
      <c r="H2702" s="919" t="s">
        <v>6315</v>
      </c>
      <c r="I2702" s="919" t="s">
        <v>3724</v>
      </c>
      <c r="J2702" s="919"/>
      <c r="K2702" s="920">
        <v>1</v>
      </c>
      <c r="L2702" s="920">
        <v>12</v>
      </c>
      <c r="M2702" s="920">
        <f t="shared" si="84"/>
        <v>24000</v>
      </c>
      <c r="N2702" s="919"/>
      <c r="O2702" s="919"/>
      <c r="P2702" s="921">
        <f t="shared" si="85"/>
        <v>0</v>
      </c>
    </row>
    <row r="2703" spans="1:16" ht="20.100000000000001" customHeight="1" x14ac:dyDescent="0.25">
      <c r="A2703" s="918" t="s">
        <v>488</v>
      </c>
      <c r="B2703" s="944" t="s">
        <v>3901</v>
      </c>
      <c r="C2703" s="919" t="s">
        <v>3902</v>
      </c>
      <c r="D2703" s="919" t="s">
        <v>6315</v>
      </c>
      <c r="E2703" s="920">
        <v>2000</v>
      </c>
      <c r="F2703" s="919" t="s">
        <v>4041</v>
      </c>
      <c r="G2703" s="919" t="s">
        <v>4062</v>
      </c>
      <c r="H2703" s="919" t="s">
        <v>6315</v>
      </c>
      <c r="I2703" s="919" t="s">
        <v>3724</v>
      </c>
      <c r="J2703" s="919"/>
      <c r="K2703" s="920">
        <v>1</v>
      </c>
      <c r="L2703" s="920">
        <v>12</v>
      </c>
      <c r="M2703" s="920">
        <f t="shared" si="84"/>
        <v>24000</v>
      </c>
      <c r="N2703" s="919"/>
      <c r="O2703" s="919"/>
      <c r="P2703" s="921">
        <f t="shared" si="85"/>
        <v>0</v>
      </c>
    </row>
    <row r="2704" spans="1:16" ht="20.100000000000001" customHeight="1" x14ac:dyDescent="0.25">
      <c r="A2704" s="918" t="s">
        <v>488</v>
      </c>
      <c r="B2704" s="944" t="s">
        <v>3901</v>
      </c>
      <c r="C2704" s="919" t="s">
        <v>3902</v>
      </c>
      <c r="D2704" s="919" t="s">
        <v>4383</v>
      </c>
      <c r="E2704" s="920">
        <v>2000</v>
      </c>
      <c r="F2704" s="919" t="s">
        <v>8829</v>
      </c>
      <c r="G2704" s="919" t="s">
        <v>8830</v>
      </c>
      <c r="H2704" s="919" t="s">
        <v>4383</v>
      </c>
      <c r="I2704" s="919" t="s">
        <v>3724</v>
      </c>
      <c r="J2704" s="919"/>
      <c r="K2704" s="920">
        <v>1</v>
      </c>
      <c r="L2704" s="920">
        <v>12</v>
      </c>
      <c r="M2704" s="920">
        <f t="shared" si="84"/>
        <v>24000</v>
      </c>
      <c r="N2704" s="919"/>
      <c r="O2704" s="919"/>
      <c r="P2704" s="921">
        <f t="shared" si="85"/>
        <v>0</v>
      </c>
    </row>
    <row r="2705" spans="1:16" ht="20.100000000000001" customHeight="1" x14ac:dyDescent="0.25">
      <c r="A2705" s="918" t="s">
        <v>488</v>
      </c>
      <c r="B2705" s="944" t="s">
        <v>3901</v>
      </c>
      <c r="C2705" s="919" t="s">
        <v>3902</v>
      </c>
      <c r="D2705" s="919" t="s">
        <v>4383</v>
      </c>
      <c r="E2705" s="920">
        <v>2000</v>
      </c>
      <c r="F2705" s="919" t="s">
        <v>8831</v>
      </c>
      <c r="G2705" s="919" t="s">
        <v>8832</v>
      </c>
      <c r="H2705" s="919" t="s">
        <v>4383</v>
      </c>
      <c r="I2705" s="919" t="s">
        <v>3724</v>
      </c>
      <c r="J2705" s="919"/>
      <c r="K2705" s="920">
        <v>1</v>
      </c>
      <c r="L2705" s="920">
        <v>12</v>
      </c>
      <c r="M2705" s="920">
        <f t="shared" si="84"/>
        <v>24000</v>
      </c>
      <c r="N2705" s="919"/>
      <c r="O2705" s="919"/>
      <c r="P2705" s="921">
        <f t="shared" si="85"/>
        <v>0</v>
      </c>
    </row>
    <row r="2706" spans="1:16" ht="20.100000000000001" customHeight="1" x14ac:dyDescent="0.25">
      <c r="A2706" s="918" t="s">
        <v>488</v>
      </c>
      <c r="B2706" s="944" t="s">
        <v>3901</v>
      </c>
      <c r="C2706" s="919" t="s">
        <v>3902</v>
      </c>
      <c r="D2706" s="919" t="s">
        <v>4383</v>
      </c>
      <c r="E2706" s="920">
        <v>2000</v>
      </c>
      <c r="F2706" s="919" t="s">
        <v>8833</v>
      </c>
      <c r="G2706" s="919" t="s">
        <v>8834</v>
      </c>
      <c r="H2706" s="919" t="s">
        <v>4383</v>
      </c>
      <c r="I2706" s="919" t="s">
        <v>3724</v>
      </c>
      <c r="J2706" s="919"/>
      <c r="K2706" s="920">
        <v>1</v>
      </c>
      <c r="L2706" s="920">
        <v>12</v>
      </c>
      <c r="M2706" s="920">
        <f t="shared" si="84"/>
        <v>24000</v>
      </c>
      <c r="N2706" s="919"/>
      <c r="O2706" s="919"/>
      <c r="P2706" s="921">
        <f t="shared" si="85"/>
        <v>0</v>
      </c>
    </row>
    <row r="2707" spans="1:16" ht="20.100000000000001" customHeight="1" x14ac:dyDescent="0.25">
      <c r="A2707" s="918" t="s">
        <v>488</v>
      </c>
      <c r="B2707" s="944" t="s">
        <v>3901</v>
      </c>
      <c r="C2707" s="919" t="s">
        <v>3902</v>
      </c>
      <c r="D2707" s="919" t="s">
        <v>6120</v>
      </c>
      <c r="E2707" s="920">
        <v>3500</v>
      </c>
      <c r="F2707" s="919" t="s">
        <v>8835</v>
      </c>
      <c r="G2707" s="919" t="s">
        <v>8836</v>
      </c>
      <c r="H2707" s="919" t="s">
        <v>6120</v>
      </c>
      <c r="I2707" s="919" t="s">
        <v>3724</v>
      </c>
      <c r="J2707" s="919"/>
      <c r="K2707" s="920">
        <v>1</v>
      </c>
      <c r="L2707" s="920">
        <v>12</v>
      </c>
      <c r="M2707" s="920">
        <f t="shared" si="84"/>
        <v>42000</v>
      </c>
      <c r="N2707" s="919"/>
      <c r="O2707" s="919"/>
      <c r="P2707" s="921">
        <f t="shared" si="85"/>
        <v>0</v>
      </c>
    </row>
    <row r="2708" spans="1:16" ht="20.100000000000001" customHeight="1" x14ac:dyDescent="0.25">
      <c r="A2708" s="918" t="s">
        <v>488</v>
      </c>
      <c r="B2708" s="944" t="s">
        <v>3901</v>
      </c>
      <c r="C2708" s="919" t="s">
        <v>3902</v>
      </c>
      <c r="D2708" s="919" t="s">
        <v>6120</v>
      </c>
      <c r="E2708" s="920">
        <v>3500</v>
      </c>
      <c r="F2708" s="919" t="s">
        <v>8837</v>
      </c>
      <c r="G2708" s="919" t="s">
        <v>8838</v>
      </c>
      <c r="H2708" s="919" t="s">
        <v>6120</v>
      </c>
      <c r="I2708" s="919" t="s">
        <v>3724</v>
      </c>
      <c r="J2708" s="919"/>
      <c r="K2708" s="920">
        <v>1</v>
      </c>
      <c r="L2708" s="920">
        <v>12</v>
      </c>
      <c r="M2708" s="920">
        <f t="shared" si="84"/>
        <v>42000</v>
      </c>
      <c r="N2708" s="919"/>
      <c r="O2708" s="919"/>
      <c r="P2708" s="921">
        <f t="shared" si="85"/>
        <v>0</v>
      </c>
    </row>
    <row r="2709" spans="1:16" ht="20.100000000000001" customHeight="1" x14ac:dyDescent="0.25">
      <c r="A2709" s="918" t="s">
        <v>488</v>
      </c>
      <c r="B2709" s="944" t="s">
        <v>3901</v>
      </c>
      <c r="C2709" s="919" t="s">
        <v>3902</v>
      </c>
      <c r="D2709" s="919" t="s">
        <v>6120</v>
      </c>
      <c r="E2709" s="920">
        <v>3500</v>
      </c>
      <c r="F2709" s="919" t="s">
        <v>8839</v>
      </c>
      <c r="G2709" s="919" t="s">
        <v>8840</v>
      </c>
      <c r="H2709" s="919" t="s">
        <v>6120</v>
      </c>
      <c r="I2709" s="919" t="s">
        <v>3724</v>
      </c>
      <c r="J2709" s="919"/>
      <c r="K2709" s="920">
        <v>1</v>
      </c>
      <c r="L2709" s="920">
        <v>12</v>
      </c>
      <c r="M2709" s="920">
        <f t="shared" si="84"/>
        <v>42000</v>
      </c>
      <c r="N2709" s="919"/>
      <c r="O2709" s="919"/>
      <c r="P2709" s="921">
        <f t="shared" si="85"/>
        <v>0</v>
      </c>
    </row>
    <row r="2710" spans="1:16" ht="20.100000000000001" customHeight="1" x14ac:dyDescent="0.25">
      <c r="A2710" s="918" t="s">
        <v>488</v>
      </c>
      <c r="B2710" s="944" t="s">
        <v>3901</v>
      </c>
      <c r="C2710" s="919" t="s">
        <v>3902</v>
      </c>
      <c r="D2710" s="919" t="s">
        <v>6120</v>
      </c>
      <c r="E2710" s="920">
        <v>3500</v>
      </c>
      <c r="F2710" s="919" t="s">
        <v>8841</v>
      </c>
      <c r="G2710" s="919" t="s">
        <v>8842</v>
      </c>
      <c r="H2710" s="919" t="s">
        <v>6120</v>
      </c>
      <c r="I2710" s="919" t="s">
        <v>3724</v>
      </c>
      <c r="J2710" s="919"/>
      <c r="K2710" s="920">
        <v>1</v>
      </c>
      <c r="L2710" s="920">
        <v>12</v>
      </c>
      <c r="M2710" s="920">
        <f t="shared" si="84"/>
        <v>42000</v>
      </c>
      <c r="N2710" s="919"/>
      <c r="O2710" s="919"/>
      <c r="P2710" s="921">
        <f t="shared" si="85"/>
        <v>0</v>
      </c>
    </row>
    <row r="2711" spans="1:16" ht="20.100000000000001" customHeight="1" x14ac:dyDescent="0.25">
      <c r="A2711" s="918" t="s">
        <v>488</v>
      </c>
      <c r="B2711" s="944" t="s">
        <v>3901</v>
      </c>
      <c r="C2711" s="919" t="s">
        <v>3902</v>
      </c>
      <c r="D2711" s="919" t="s">
        <v>6120</v>
      </c>
      <c r="E2711" s="920">
        <v>5000</v>
      </c>
      <c r="F2711" s="919" t="s">
        <v>8843</v>
      </c>
      <c r="G2711" s="919" t="s">
        <v>8844</v>
      </c>
      <c r="H2711" s="919" t="s">
        <v>6120</v>
      </c>
      <c r="I2711" s="919" t="s">
        <v>3724</v>
      </c>
      <c r="J2711" s="919"/>
      <c r="K2711" s="920">
        <v>1</v>
      </c>
      <c r="L2711" s="920">
        <v>12</v>
      </c>
      <c r="M2711" s="920">
        <f t="shared" si="84"/>
        <v>60000</v>
      </c>
      <c r="N2711" s="919"/>
      <c r="O2711" s="919"/>
      <c r="P2711" s="921">
        <f t="shared" si="85"/>
        <v>0</v>
      </c>
    </row>
    <row r="2712" spans="1:16" ht="20.100000000000001" customHeight="1" x14ac:dyDescent="0.25">
      <c r="A2712" s="918" t="s">
        <v>488</v>
      </c>
      <c r="B2712" s="944" t="s">
        <v>3901</v>
      </c>
      <c r="C2712" s="919" t="s">
        <v>3902</v>
      </c>
      <c r="D2712" s="919" t="s">
        <v>6120</v>
      </c>
      <c r="E2712" s="920">
        <v>5000</v>
      </c>
      <c r="F2712" s="919" t="s">
        <v>8845</v>
      </c>
      <c r="G2712" s="919" t="s">
        <v>8846</v>
      </c>
      <c r="H2712" s="919" t="s">
        <v>6120</v>
      </c>
      <c r="I2712" s="919" t="s">
        <v>3724</v>
      </c>
      <c r="J2712" s="919"/>
      <c r="K2712" s="920">
        <v>1</v>
      </c>
      <c r="L2712" s="920">
        <v>12</v>
      </c>
      <c r="M2712" s="920">
        <f t="shared" si="84"/>
        <v>60000</v>
      </c>
      <c r="N2712" s="919"/>
      <c r="O2712" s="919"/>
      <c r="P2712" s="921">
        <f t="shared" si="85"/>
        <v>0</v>
      </c>
    </row>
    <row r="2713" spans="1:16" ht="20.100000000000001" customHeight="1" x14ac:dyDescent="0.25">
      <c r="A2713" s="918" t="s">
        <v>488</v>
      </c>
      <c r="B2713" s="944" t="s">
        <v>3901</v>
      </c>
      <c r="C2713" s="919" t="s">
        <v>3902</v>
      </c>
      <c r="D2713" s="919" t="s">
        <v>6274</v>
      </c>
      <c r="E2713" s="920">
        <v>5000</v>
      </c>
      <c r="F2713" s="919" t="s">
        <v>8847</v>
      </c>
      <c r="G2713" s="919" t="s">
        <v>8848</v>
      </c>
      <c r="H2713" s="919" t="s">
        <v>6274</v>
      </c>
      <c r="I2713" s="919" t="s">
        <v>3724</v>
      </c>
      <c r="J2713" s="919"/>
      <c r="K2713" s="920">
        <v>1</v>
      </c>
      <c r="L2713" s="920">
        <v>12</v>
      </c>
      <c r="M2713" s="920">
        <f t="shared" si="84"/>
        <v>60000</v>
      </c>
      <c r="N2713" s="919"/>
      <c r="O2713" s="919"/>
      <c r="P2713" s="921">
        <f t="shared" si="85"/>
        <v>0</v>
      </c>
    </row>
    <row r="2714" spans="1:16" ht="20.100000000000001" customHeight="1" x14ac:dyDescent="0.25">
      <c r="A2714" s="918" t="s">
        <v>488</v>
      </c>
      <c r="B2714" s="944" t="s">
        <v>3901</v>
      </c>
      <c r="C2714" s="919" t="s">
        <v>3902</v>
      </c>
      <c r="D2714" s="919" t="s">
        <v>6274</v>
      </c>
      <c r="E2714" s="920">
        <v>5000</v>
      </c>
      <c r="F2714" s="919" t="s">
        <v>8849</v>
      </c>
      <c r="G2714" s="919" t="s">
        <v>8850</v>
      </c>
      <c r="H2714" s="919" t="s">
        <v>6274</v>
      </c>
      <c r="I2714" s="919" t="s">
        <v>3724</v>
      </c>
      <c r="J2714" s="919"/>
      <c r="K2714" s="920"/>
      <c r="L2714" s="920"/>
      <c r="M2714" s="920">
        <f t="shared" si="84"/>
        <v>0</v>
      </c>
      <c r="N2714" s="919">
        <v>1</v>
      </c>
      <c r="O2714" s="919">
        <v>1</v>
      </c>
      <c r="P2714" s="921">
        <f t="shared" si="85"/>
        <v>5000</v>
      </c>
    </row>
    <row r="2715" spans="1:16" ht="20.100000000000001" customHeight="1" x14ac:dyDescent="0.25">
      <c r="A2715" s="918" t="s">
        <v>488</v>
      </c>
      <c r="B2715" s="944" t="s">
        <v>3901</v>
      </c>
      <c r="C2715" s="919" t="s">
        <v>3902</v>
      </c>
      <c r="D2715" s="919" t="s">
        <v>6274</v>
      </c>
      <c r="E2715" s="920">
        <v>5000</v>
      </c>
      <c r="F2715" s="919" t="s">
        <v>4041</v>
      </c>
      <c r="G2715" s="919" t="s">
        <v>4062</v>
      </c>
      <c r="H2715" s="919" t="s">
        <v>6274</v>
      </c>
      <c r="I2715" s="919" t="s">
        <v>3724</v>
      </c>
      <c r="J2715" s="919"/>
      <c r="K2715" s="920">
        <v>1</v>
      </c>
      <c r="L2715" s="920">
        <v>12</v>
      </c>
      <c r="M2715" s="920">
        <f t="shared" si="84"/>
        <v>60000</v>
      </c>
      <c r="N2715" s="919"/>
      <c r="O2715" s="919"/>
      <c r="P2715" s="921">
        <f t="shared" si="85"/>
        <v>0</v>
      </c>
    </row>
    <row r="2716" spans="1:16" ht="20.100000000000001" customHeight="1" x14ac:dyDescent="0.25">
      <c r="A2716" s="918" t="s">
        <v>488</v>
      </c>
      <c r="B2716" s="944" t="s">
        <v>3901</v>
      </c>
      <c r="C2716" s="919" t="s">
        <v>3902</v>
      </c>
      <c r="D2716" s="919" t="s">
        <v>6274</v>
      </c>
      <c r="E2716" s="920">
        <v>5000</v>
      </c>
      <c r="F2716" s="919" t="s">
        <v>8851</v>
      </c>
      <c r="G2716" s="919" t="s">
        <v>8852</v>
      </c>
      <c r="H2716" s="919" t="s">
        <v>6274</v>
      </c>
      <c r="I2716" s="919" t="s">
        <v>3724</v>
      </c>
      <c r="J2716" s="919"/>
      <c r="K2716" s="920"/>
      <c r="L2716" s="920"/>
      <c r="M2716" s="920">
        <f t="shared" si="84"/>
        <v>0</v>
      </c>
      <c r="N2716" s="919">
        <v>1</v>
      </c>
      <c r="O2716" s="919">
        <v>1</v>
      </c>
      <c r="P2716" s="921">
        <f t="shared" si="85"/>
        <v>5000</v>
      </c>
    </row>
    <row r="2717" spans="1:16" ht="20.100000000000001" customHeight="1" x14ac:dyDescent="0.25">
      <c r="A2717" s="918" t="s">
        <v>488</v>
      </c>
      <c r="B2717" s="944" t="s">
        <v>3901</v>
      </c>
      <c r="C2717" s="919" t="s">
        <v>3902</v>
      </c>
      <c r="D2717" s="919" t="s">
        <v>8701</v>
      </c>
      <c r="E2717" s="920">
        <v>1300</v>
      </c>
      <c r="F2717" s="919" t="s">
        <v>8853</v>
      </c>
      <c r="G2717" s="919" t="s">
        <v>8854</v>
      </c>
      <c r="H2717" s="919" t="s">
        <v>8701</v>
      </c>
      <c r="I2717" s="919" t="s">
        <v>3686</v>
      </c>
      <c r="J2717" s="919"/>
      <c r="K2717" s="920">
        <v>1</v>
      </c>
      <c r="L2717" s="920">
        <v>12</v>
      </c>
      <c r="M2717" s="920">
        <f t="shared" si="84"/>
        <v>15600</v>
      </c>
      <c r="N2717" s="919"/>
      <c r="O2717" s="919"/>
      <c r="P2717" s="921">
        <f t="shared" si="85"/>
        <v>0</v>
      </c>
    </row>
    <row r="2718" spans="1:16" ht="20.100000000000001" customHeight="1" x14ac:dyDescent="0.25">
      <c r="A2718" s="918" t="s">
        <v>488</v>
      </c>
      <c r="B2718" s="944" t="s">
        <v>3901</v>
      </c>
      <c r="C2718" s="919" t="s">
        <v>3902</v>
      </c>
      <c r="D2718" s="919" t="s">
        <v>8701</v>
      </c>
      <c r="E2718" s="920">
        <v>1300</v>
      </c>
      <c r="F2718" s="919" t="s">
        <v>8855</v>
      </c>
      <c r="G2718" s="919" t="s">
        <v>8856</v>
      </c>
      <c r="H2718" s="919" t="s">
        <v>8701</v>
      </c>
      <c r="I2718" s="919" t="s">
        <v>3686</v>
      </c>
      <c r="J2718" s="919"/>
      <c r="K2718" s="920">
        <v>1</v>
      </c>
      <c r="L2718" s="920">
        <v>12</v>
      </c>
      <c r="M2718" s="920">
        <f t="shared" si="84"/>
        <v>15600</v>
      </c>
      <c r="N2718" s="919"/>
      <c r="O2718" s="919"/>
      <c r="P2718" s="921">
        <f t="shared" si="85"/>
        <v>0</v>
      </c>
    </row>
    <row r="2719" spans="1:16" ht="20.100000000000001" customHeight="1" x14ac:dyDescent="0.25">
      <c r="A2719" s="918" t="s">
        <v>488</v>
      </c>
      <c r="B2719" s="944" t="s">
        <v>3901</v>
      </c>
      <c r="C2719" s="919" t="s">
        <v>3902</v>
      </c>
      <c r="D2719" s="919" t="s">
        <v>3999</v>
      </c>
      <c r="E2719" s="920">
        <v>2400</v>
      </c>
      <c r="F2719" s="919" t="s">
        <v>8857</v>
      </c>
      <c r="G2719" s="919" t="s">
        <v>8858</v>
      </c>
      <c r="H2719" s="919" t="s">
        <v>3999</v>
      </c>
      <c r="I2719" s="919" t="s">
        <v>3724</v>
      </c>
      <c r="J2719" s="919"/>
      <c r="K2719" s="920">
        <v>1</v>
      </c>
      <c r="L2719" s="920">
        <v>12</v>
      </c>
      <c r="M2719" s="920">
        <f t="shared" si="84"/>
        <v>28800</v>
      </c>
      <c r="N2719" s="919"/>
      <c r="O2719" s="919"/>
      <c r="P2719" s="921">
        <f t="shared" si="85"/>
        <v>0</v>
      </c>
    </row>
    <row r="2720" spans="1:16" ht="20.100000000000001" customHeight="1" x14ac:dyDescent="0.25">
      <c r="A2720" s="918" t="s">
        <v>488</v>
      </c>
      <c r="B2720" s="944" t="s">
        <v>3901</v>
      </c>
      <c r="C2720" s="919" t="s">
        <v>3902</v>
      </c>
      <c r="D2720" s="919" t="s">
        <v>6120</v>
      </c>
      <c r="E2720" s="920">
        <v>3900</v>
      </c>
      <c r="F2720" s="919" t="s">
        <v>8859</v>
      </c>
      <c r="G2720" s="919" t="s">
        <v>8860</v>
      </c>
      <c r="H2720" s="919" t="s">
        <v>6120</v>
      </c>
      <c r="I2720" s="919" t="s">
        <v>3724</v>
      </c>
      <c r="J2720" s="919"/>
      <c r="K2720" s="920">
        <v>1</v>
      </c>
      <c r="L2720" s="920">
        <v>12</v>
      </c>
      <c r="M2720" s="920">
        <f t="shared" si="84"/>
        <v>46800</v>
      </c>
      <c r="N2720" s="919"/>
      <c r="O2720" s="919"/>
      <c r="P2720" s="921">
        <f t="shared" si="85"/>
        <v>0</v>
      </c>
    </row>
    <row r="2721" spans="1:16" ht="20.100000000000001" customHeight="1" x14ac:dyDescent="0.25">
      <c r="A2721" s="918" t="s">
        <v>488</v>
      </c>
      <c r="B2721" s="944" t="s">
        <v>3901</v>
      </c>
      <c r="C2721" s="919" t="s">
        <v>3902</v>
      </c>
      <c r="D2721" s="919" t="s">
        <v>4352</v>
      </c>
      <c r="E2721" s="920">
        <v>2400</v>
      </c>
      <c r="F2721" s="919" t="s">
        <v>4041</v>
      </c>
      <c r="G2721" s="919" t="s">
        <v>4042</v>
      </c>
      <c r="H2721" s="919" t="s">
        <v>4352</v>
      </c>
      <c r="I2721" s="919" t="s">
        <v>3724</v>
      </c>
      <c r="J2721" s="919"/>
      <c r="K2721" s="920">
        <v>1</v>
      </c>
      <c r="L2721" s="920">
        <v>12</v>
      </c>
      <c r="M2721" s="920">
        <f t="shared" si="84"/>
        <v>28800</v>
      </c>
      <c r="N2721" s="919"/>
      <c r="O2721" s="919"/>
      <c r="P2721" s="921">
        <f t="shared" si="85"/>
        <v>0</v>
      </c>
    </row>
    <row r="2722" spans="1:16" ht="20.100000000000001" customHeight="1" x14ac:dyDescent="0.25">
      <c r="A2722" s="918" t="s">
        <v>488</v>
      </c>
      <c r="B2722" s="944" t="s">
        <v>3901</v>
      </c>
      <c r="C2722" s="919" t="s">
        <v>3902</v>
      </c>
      <c r="D2722" s="919" t="s">
        <v>8338</v>
      </c>
      <c r="E2722" s="920">
        <v>1525</v>
      </c>
      <c r="F2722" s="919" t="s">
        <v>8861</v>
      </c>
      <c r="G2722" s="919" t="s">
        <v>8862</v>
      </c>
      <c r="H2722" s="919" t="s">
        <v>8338</v>
      </c>
      <c r="I2722" s="919" t="s">
        <v>3686</v>
      </c>
      <c r="J2722" s="919"/>
      <c r="K2722" s="920"/>
      <c r="L2722" s="920"/>
      <c r="M2722" s="920">
        <f t="shared" si="84"/>
        <v>0</v>
      </c>
      <c r="N2722" s="919">
        <v>1</v>
      </c>
      <c r="O2722" s="919">
        <v>1</v>
      </c>
      <c r="P2722" s="921">
        <f t="shared" si="85"/>
        <v>1525</v>
      </c>
    </row>
    <row r="2723" spans="1:16" ht="20.100000000000001" customHeight="1" x14ac:dyDescent="0.25">
      <c r="A2723" s="918" t="s">
        <v>488</v>
      </c>
      <c r="B2723" s="944" t="s">
        <v>3901</v>
      </c>
      <c r="C2723" s="919" t="s">
        <v>3902</v>
      </c>
      <c r="D2723" s="919" t="s">
        <v>4352</v>
      </c>
      <c r="E2723" s="920">
        <v>2400</v>
      </c>
      <c r="F2723" s="919" t="s">
        <v>8863</v>
      </c>
      <c r="G2723" s="919" t="s">
        <v>8864</v>
      </c>
      <c r="H2723" s="919" t="s">
        <v>4352</v>
      </c>
      <c r="I2723" s="919" t="s">
        <v>3724</v>
      </c>
      <c r="J2723" s="919"/>
      <c r="K2723" s="920">
        <v>1</v>
      </c>
      <c r="L2723" s="920">
        <v>12</v>
      </c>
      <c r="M2723" s="920">
        <f t="shared" si="84"/>
        <v>28800</v>
      </c>
      <c r="N2723" s="919"/>
      <c r="O2723" s="919"/>
      <c r="P2723" s="921">
        <f t="shared" si="85"/>
        <v>0</v>
      </c>
    </row>
    <row r="2724" spans="1:16" ht="20.100000000000001" customHeight="1" x14ac:dyDescent="0.25">
      <c r="A2724" s="918" t="s">
        <v>488</v>
      </c>
      <c r="B2724" s="944" t="s">
        <v>3901</v>
      </c>
      <c r="C2724" s="919" t="s">
        <v>3902</v>
      </c>
      <c r="D2724" s="919" t="s">
        <v>3999</v>
      </c>
      <c r="E2724" s="920">
        <v>2400</v>
      </c>
      <c r="F2724" s="919" t="s">
        <v>4041</v>
      </c>
      <c r="G2724" s="919" t="s">
        <v>4042</v>
      </c>
      <c r="H2724" s="919" t="s">
        <v>3999</v>
      </c>
      <c r="I2724" s="919" t="s">
        <v>3724</v>
      </c>
      <c r="J2724" s="919"/>
      <c r="K2724" s="920">
        <v>1</v>
      </c>
      <c r="L2724" s="920">
        <v>12</v>
      </c>
      <c r="M2724" s="920">
        <f t="shared" si="84"/>
        <v>28800</v>
      </c>
      <c r="N2724" s="919"/>
      <c r="O2724" s="919"/>
      <c r="P2724" s="921">
        <f t="shared" si="85"/>
        <v>0</v>
      </c>
    </row>
    <row r="2725" spans="1:16" ht="20.100000000000001" customHeight="1" x14ac:dyDescent="0.25">
      <c r="A2725" s="918" t="s">
        <v>488</v>
      </c>
      <c r="B2725" s="944" t="s">
        <v>3901</v>
      </c>
      <c r="C2725" s="919" t="s">
        <v>3902</v>
      </c>
      <c r="D2725" s="919" t="s">
        <v>8338</v>
      </c>
      <c r="E2725" s="920">
        <v>1525</v>
      </c>
      <c r="F2725" s="919" t="s">
        <v>8865</v>
      </c>
      <c r="G2725" s="919" t="s">
        <v>8866</v>
      </c>
      <c r="H2725" s="919" t="s">
        <v>8338</v>
      </c>
      <c r="I2725" s="919" t="s">
        <v>3686</v>
      </c>
      <c r="J2725" s="919"/>
      <c r="K2725" s="920"/>
      <c r="L2725" s="920"/>
      <c r="M2725" s="920">
        <f t="shared" si="84"/>
        <v>0</v>
      </c>
      <c r="N2725" s="919">
        <v>1</v>
      </c>
      <c r="O2725" s="919">
        <v>1</v>
      </c>
      <c r="P2725" s="921">
        <f t="shared" si="85"/>
        <v>1525</v>
      </c>
    </row>
    <row r="2726" spans="1:16" ht="20.100000000000001" customHeight="1" x14ac:dyDescent="0.25">
      <c r="A2726" s="918" t="s">
        <v>488</v>
      </c>
      <c r="B2726" s="944" t="s">
        <v>3901</v>
      </c>
      <c r="C2726" s="919" t="s">
        <v>3902</v>
      </c>
      <c r="D2726" s="919" t="s">
        <v>6074</v>
      </c>
      <c r="E2726" s="920">
        <v>1525</v>
      </c>
      <c r="F2726" s="919" t="s">
        <v>8867</v>
      </c>
      <c r="G2726" s="919" t="s">
        <v>8868</v>
      </c>
      <c r="H2726" s="919" t="s">
        <v>6074</v>
      </c>
      <c r="I2726" s="919" t="s">
        <v>3686</v>
      </c>
      <c r="J2726" s="919"/>
      <c r="K2726" s="920">
        <v>1</v>
      </c>
      <c r="L2726" s="920">
        <v>12</v>
      </c>
      <c r="M2726" s="920">
        <f t="shared" si="84"/>
        <v>18300</v>
      </c>
      <c r="N2726" s="919"/>
      <c r="O2726" s="919"/>
      <c r="P2726" s="921">
        <f t="shared" si="85"/>
        <v>0</v>
      </c>
    </row>
    <row r="2727" spans="1:16" ht="20.100000000000001" customHeight="1" x14ac:dyDescent="0.25">
      <c r="A2727" s="918" t="s">
        <v>488</v>
      </c>
      <c r="B2727" s="944" t="s">
        <v>3901</v>
      </c>
      <c r="C2727" s="919" t="s">
        <v>3902</v>
      </c>
      <c r="D2727" s="919" t="s">
        <v>4352</v>
      </c>
      <c r="E2727" s="920">
        <v>2400</v>
      </c>
      <c r="F2727" s="919" t="s">
        <v>8869</v>
      </c>
      <c r="G2727" s="919" t="s">
        <v>8870</v>
      </c>
      <c r="H2727" s="919" t="s">
        <v>4352</v>
      </c>
      <c r="I2727" s="919" t="s">
        <v>3724</v>
      </c>
      <c r="J2727" s="919"/>
      <c r="K2727" s="920">
        <v>1</v>
      </c>
      <c r="L2727" s="920">
        <v>12</v>
      </c>
      <c r="M2727" s="920">
        <f t="shared" si="84"/>
        <v>28800</v>
      </c>
      <c r="N2727" s="919"/>
      <c r="O2727" s="919"/>
      <c r="P2727" s="921">
        <f t="shared" si="85"/>
        <v>0</v>
      </c>
    </row>
    <row r="2728" spans="1:16" ht="20.100000000000001" customHeight="1" x14ac:dyDescent="0.25">
      <c r="A2728" s="918" t="s">
        <v>488</v>
      </c>
      <c r="B2728" s="944" t="s">
        <v>3901</v>
      </c>
      <c r="C2728" s="919" t="s">
        <v>3902</v>
      </c>
      <c r="D2728" s="919" t="s">
        <v>8541</v>
      </c>
      <c r="E2728" s="920">
        <v>2400</v>
      </c>
      <c r="F2728" s="919" t="s">
        <v>8871</v>
      </c>
      <c r="G2728" s="919" t="s">
        <v>8872</v>
      </c>
      <c r="H2728" s="919" t="s">
        <v>8541</v>
      </c>
      <c r="I2728" s="919" t="s">
        <v>3724</v>
      </c>
      <c r="J2728" s="919"/>
      <c r="K2728" s="920">
        <v>1</v>
      </c>
      <c r="L2728" s="920">
        <v>12</v>
      </c>
      <c r="M2728" s="920">
        <f t="shared" si="84"/>
        <v>28800</v>
      </c>
      <c r="N2728" s="919"/>
      <c r="O2728" s="919"/>
      <c r="P2728" s="921">
        <f t="shared" si="85"/>
        <v>0</v>
      </c>
    </row>
    <row r="2729" spans="1:16" ht="20.100000000000001" customHeight="1" x14ac:dyDescent="0.25">
      <c r="A2729" s="918" t="s">
        <v>488</v>
      </c>
      <c r="B2729" s="944" t="s">
        <v>3901</v>
      </c>
      <c r="C2729" s="919" t="s">
        <v>3902</v>
      </c>
      <c r="D2729" s="919" t="s">
        <v>3999</v>
      </c>
      <c r="E2729" s="920">
        <v>2400</v>
      </c>
      <c r="F2729" s="919" t="s">
        <v>8873</v>
      </c>
      <c r="G2729" s="919" t="s">
        <v>8874</v>
      </c>
      <c r="H2729" s="919" t="s">
        <v>3999</v>
      </c>
      <c r="I2729" s="919" t="s">
        <v>3724</v>
      </c>
      <c r="J2729" s="919"/>
      <c r="K2729" s="920">
        <v>1</v>
      </c>
      <c r="L2729" s="920">
        <v>12</v>
      </c>
      <c r="M2729" s="920">
        <f t="shared" si="84"/>
        <v>28800</v>
      </c>
      <c r="N2729" s="919"/>
      <c r="O2729" s="919"/>
      <c r="P2729" s="921">
        <f t="shared" si="85"/>
        <v>0</v>
      </c>
    </row>
    <row r="2730" spans="1:16" ht="20.100000000000001" customHeight="1" x14ac:dyDescent="0.25">
      <c r="A2730" s="918" t="s">
        <v>488</v>
      </c>
      <c r="B2730" s="944" t="s">
        <v>3901</v>
      </c>
      <c r="C2730" s="919" t="s">
        <v>3902</v>
      </c>
      <c r="D2730" s="919" t="s">
        <v>6120</v>
      </c>
      <c r="E2730" s="920">
        <v>3900</v>
      </c>
      <c r="F2730" s="919" t="s">
        <v>8875</v>
      </c>
      <c r="G2730" s="919" t="s">
        <v>8876</v>
      </c>
      <c r="H2730" s="919" t="s">
        <v>6120</v>
      </c>
      <c r="I2730" s="919" t="s">
        <v>3724</v>
      </c>
      <c r="J2730" s="919"/>
      <c r="K2730" s="920">
        <v>1</v>
      </c>
      <c r="L2730" s="920">
        <v>12</v>
      </c>
      <c r="M2730" s="920">
        <f t="shared" si="84"/>
        <v>46800</v>
      </c>
      <c r="N2730" s="919"/>
      <c r="O2730" s="919"/>
      <c r="P2730" s="921">
        <f t="shared" si="85"/>
        <v>0</v>
      </c>
    </row>
    <row r="2731" spans="1:16" ht="20.100000000000001" customHeight="1" x14ac:dyDescent="0.25">
      <c r="A2731" s="918" t="s">
        <v>488</v>
      </c>
      <c r="B2731" s="944" t="s">
        <v>3901</v>
      </c>
      <c r="C2731" s="919" t="s">
        <v>3902</v>
      </c>
      <c r="D2731" s="919" t="s">
        <v>6120</v>
      </c>
      <c r="E2731" s="920">
        <v>3900</v>
      </c>
      <c r="F2731" s="919" t="s">
        <v>8877</v>
      </c>
      <c r="G2731" s="919" t="s">
        <v>8878</v>
      </c>
      <c r="H2731" s="919" t="s">
        <v>6120</v>
      </c>
      <c r="I2731" s="919" t="s">
        <v>3724</v>
      </c>
      <c r="J2731" s="919"/>
      <c r="K2731" s="920">
        <v>1</v>
      </c>
      <c r="L2731" s="920">
        <v>12</v>
      </c>
      <c r="M2731" s="920">
        <f t="shared" si="84"/>
        <v>46800</v>
      </c>
      <c r="N2731" s="919"/>
      <c r="O2731" s="919"/>
      <c r="P2731" s="921">
        <f t="shared" si="85"/>
        <v>0</v>
      </c>
    </row>
    <row r="2732" spans="1:16" ht="20.100000000000001" customHeight="1" x14ac:dyDescent="0.25">
      <c r="A2732" s="918" t="s">
        <v>488</v>
      </c>
      <c r="B2732" s="944" t="s">
        <v>3901</v>
      </c>
      <c r="C2732" s="919" t="s">
        <v>3902</v>
      </c>
      <c r="D2732" s="919" t="s">
        <v>3999</v>
      </c>
      <c r="E2732" s="920">
        <v>3000</v>
      </c>
      <c r="F2732" s="919" t="s">
        <v>8879</v>
      </c>
      <c r="G2732" s="919" t="s">
        <v>8880</v>
      </c>
      <c r="H2732" s="919" t="s">
        <v>3999</v>
      </c>
      <c r="I2732" s="919" t="s">
        <v>3724</v>
      </c>
      <c r="J2732" s="919"/>
      <c r="K2732" s="920">
        <v>1</v>
      </c>
      <c r="L2732" s="920">
        <v>12</v>
      </c>
      <c r="M2732" s="920">
        <f t="shared" si="84"/>
        <v>36000</v>
      </c>
      <c r="N2732" s="919"/>
      <c r="O2732" s="919"/>
      <c r="P2732" s="921">
        <f t="shared" si="85"/>
        <v>0</v>
      </c>
    </row>
    <row r="2733" spans="1:16" ht="20.100000000000001" customHeight="1" x14ac:dyDescent="0.25">
      <c r="A2733" s="918" t="s">
        <v>488</v>
      </c>
      <c r="B2733" s="944" t="s">
        <v>3901</v>
      </c>
      <c r="C2733" s="919" t="s">
        <v>3902</v>
      </c>
      <c r="D2733" s="919" t="s">
        <v>6120</v>
      </c>
      <c r="E2733" s="920">
        <v>3700</v>
      </c>
      <c r="F2733" s="919" t="s">
        <v>8881</v>
      </c>
      <c r="G2733" s="919" t="s">
        <v>8882</v>
      </c>
      <c r="H2733" s="919" t="s">
        <v>6120</v>
      </c>
      <c r="I2733" s="919" t="s">
        <v>3724</v>
      </c>
      <c r="J2733" s="919"/>
      <c r="K2733" s="920"/>
      <c r="L2733" s="920"/>
      <c r="M2733" s="920">
        <f t="shared" si="84"/>
        <v>0</v>
      </c>
      <c r="N2733" s="919">
        <v>1</v>
      </c>
      <c r="O2733" s="919">
        <v>1</v>
      </c>
      <c r="P2733" s="921">
        <f t="shared" si="85"/>
        <v>3700</v>
      </c>
    </row>
    <row r="2734" spans="1:16" ht="20.100000000000001" customHeight="1" x14ac:dyDescent="0.25">
      <c r="A2734" s="918" t="s">
        <v>488</v>
      </c>
      <c r="B2734" s="944" t="s">
        <v>3901</v>
      </c>
      <c r="C2734" s="919" t="s">
        <v>3902</v>
      </c>
      <c r="D2734" s="919" t="s">
        <v>8701</v>
      </c>
      <c r="E2734" s="920">
        <v>1525</v>
      </c>
      <c r="F2734" s="919" t="s">
        <v>8883</v>
      </c>
      <c r="G2734" s="919" t="s">
        <v>8884</v>
      </c>
      <c r="H2734" s="919" t="s">
        <v>8701</v>
      </c>
      <c r="I2734" s="919" t="s">
        <v>3686</v>
      </c>
      <c r="J2734" s="919"/>
      <c r="K2734" s="920">
        <v>1</v>
      </c>
      <c r="L2734" s="920">
        <v>12</v>
      </c>
      <c r="M2734" s="920">
        <f t="shared" si="84"/>
        <v>18300</v>
      </c>
      <c r="N2734" s="919"/>
      <c r="O2734" s="919"/>
      <c r="P2734" s="921">
        <f t="shared" si="85"/>
        <v>0</v>
      </c>
    </row>
    <row r="2735" spans="1:16" ht="20.100000000000001" customHeight="1" x14ac:dyDescent="0.25">
      <c r="A2735" s="918" t="s">
        <v>488</v>
      </c>
      <c r="B2735" s="944" t="s">
        <v>3901</v>
      </c>
      <c r="C2735" s="919" t="s">
        <v>3902</v>
      </c>
      <c r="D2735" s="919" t="s">
        <v>8701</v>
      </c>
      <c r="E2735" s="920">
        <v>1525</v>
      </c>
      <c r="F2735" s="919" t="s">
        <v>4041</v>
      </c>
      <c r="G2735" s="919" t="s">
        <v>4062</v>
      </c>
      <c r="H2735" s="919" t="s">
        <v>8701</v>
      </c>
      <c r="I2735" s="919" t="s">
        <v>3686</v>
      </c>
      <c r="J2735" s="919"/>
      <c r="K2735" s="920">
        <v>1</v>
      </c>
      <c r="L2735" s="920">
        <v>12</v>
      </c>
      <c r="M2735" s="920">
        <f t="shared" si="84"/>
        <v>18300</v>
      </c>
      <c r="N2735" s="919"/>
      <c r="O2735" s="919"/>
      <c r="P2735" s="921">
        <f t="shared" si="85"/>
        <v>0</v>
      </c>
    </row>
    <row r="2736" spans="1:16" ht="20.100000000000001" customHeight="1" x14ac:dyDescent="0.25">
      <c r="A2736" s="918" t="s">
        <v>488</v>
      </c>
      <c r="B2736" s="944" t="s">
        <v>3901</v>
      </c>
      <c r="C2736" s="919" t="s">
        <v>3902</v>
      </c>
      <c r="D2736" s="919" t="s">
        <v>8701</v>
      </c>
      <c r="E2736" s="920">
        <v>1450</v>
      </c>
      <c r="F2736" s="919" t="s">
        <v>8885</v>
      </c>
      <c r="G2736" s="919" t="s">
        <v>8886</v>
      </c>
      <c r="H2736" s="919" t="s">
        <v>8701</v>
      </c>
      <c r="I2736" s="919" t="s">
        <v>3686</v>
      </c>
      <c r="J2736" s="919"/>
      <c r="K2736" s="920">
        <v>1</v>
      </c>
      <c r="L2736" s="920">
        <v>12</v>
      </c>
      <c r="M2736" s="920">
        <f t="shared" si="84"/>
        <v>17400</v>
      </c>
      <c r="N2736" s="919"/>
      <c r="O2736" s="919"/>
      <c r="P2736" s="921">
        <f t="shared" si="85"/>
        <v>0</v>
      </c>
    </row>
    <row r="2737" spans="1:16" ht="20.100000000000001" customHeight="1" x14ac:dyDescent="0.25">
      <c r="A2737" s="918" t="s">
        <v>488</v>
      </c>
      <c r="B2737" s="944" t="s">
        <v>3901</v>
      </c>
      <c r="C2737" s="919" t="s">
        <v>3902</v>
      </c>
      <c r="D2737" s="919" t="s">
        <v>6130</v>
      </c>
      <c r="E2737" s="920">
        <v>1450</v>
      </c>
      <c r="F2737" s="919" t="s">
        <v>8887</v>
      </c>
      <c r="G2737" s="919" t="s">
        <v>8888</v>
      </c>
      <c r="H2737" s="919" t="s">
        <v>6130</v>
      </c>
      <c r="I2737" s="919" t="s">
        <v>3686</v>
      </c>
      <c r="J2737" s="919"/>
      <c r="K2737" s="920"/>
      <c r="L2737" s="920"/>
      <c r="M2737" s="920">
        <f t="shared" si="84"/>
        <v>0</v>
      </c>
      <c r="N2737" s="919">
        <v>1</v>
      </c>
      <c r="O2737" s="919">
        <v>1</v>
      </c>
      <c r="P2737" s="921">
        <f t="shared" si="85"/>
        <v>1450</v>
      </c>
    </row>
    <row r="2738" spans="1:16" ht="20.100000000000001" customHeight="1" x14ac:dyDescent="0.25">
      <c r="A2738" s="918" t="s">
        <v>488</v>
      </c>
      <c r="B2738" s="944" t="s">
        <v>3901</v>
      </c>
      <c r="C2738" s="919" t="s">
        <v>3902</v>
      </c>
      <c r="D2738" s="919" t="s">
        <v>4382</v>
      </c>
      <c r="E2738" s="920">
        <v>2300</v>
      </c>
      <c r="F2738" s="919" t="s">
        <v>8889</v>
      </c>
      <c r="G2738" s="919" t="s">
        <v>8890</v>
      </c>
      <c r="H2738" s="919" t="s">
        <v>4382</v>
      </c>
      <c r="I2738" s="919" t="s">
        <v>3724</v>
      </c>
      <c r="J2738" s="919"/>
      <c r="K2738" s="920">
        <v>1</v>
      </c>
      <c r="L2738" s="920">
        <v>12</v>
      </c>
      <c r="M2738" s="920">
        <f t="shared" si="84"/>
        <v>27600</v>
      </c>
      <c r="N2738" s="919"/>
      <c r="O2738" s="919"/>
      <c r="P2738" s="921">
        <f t="shared" si="85"/>
        <v>0</v>
      </c>
    </row>
    <row r="2739" spans="1:16" ht="20.100000000000001" customHeight="1" x14ac:dyDescent="0.25">
      <c r="A2739" s="918" t="s">
        <v>488</v>
      </c>
      <c r="B2739" s="944" t="s">
        <v>3901</v>
      </c>
      <c r="C2739" s="919" t="s">
        <v>3902</v>
      </c>
      <c r="D2739" s="919" t="s">
        <v>8701</v>
      </c>
      <c r="E2739" s="920">
        <v>1675</v>
      </c>
      <c r="F2739" s="919" t="s">
        <v>4041</v>
      </c>
      <c r="G2739" s="919" t="s">
        <v>4062</v>
      </c>
      <c r="H2739" s="919" t="s">
        <v>8701</v>
      </c>
      <c r="I2739" s="919" t="s">
        <v>3686</v>
      </c>
      <c r="J2739" s="919"/>
      <c r="K2739" s="920">
        <v>1</v>
      </c>
      <c r="L2739" s="920">
        <v>12</v>
      </c>
      <c r="M2739" s="920">
        <f t="shared" si="84"/>
        <v>20100</v>
      </c>
      <c r="N2739" s="919"/>
      <c r="O2739" s="919"/>
      <c r="P2739" s="921">
        <f t="shared" si="85"/>
        <v>0</v>
      </c>
    </row>
    <row r="2740" spans="1:16" ht="20.100000000000001" customHeight="1" x14ac:dyDescent="0.25">
      <c r="A2740" s="918" t="s">
        <v>488</v>
      </c>
      <c r="B2740" s="944" t="s">
        <v>3901</v>
      </c>
      <c r="C2740" s="919" t="s">
        <v>3902</v>
      </c>
      <c r="D2740" s="919" t="s">
        <v>8701</v>
      </c>
      <c r="E2740" s="920">
        <v>1675</v>
      </c>
      <c r="F2740" s="919" t="s">
        <v>4041</v>
      </c>
      <c r="G2740" s="919" t="s">
        <v>4062</v>
      </c>
      <c r="H2740" s="919" t="s">
        <v>8701</v>
      </c>
      <c r="I2740" s="919" t="s">
        <v>3686</v>
      </c>
      <c r="J2740" s="919"/>
      <c r="K2740" s="920">
        <v>1</v>
      </c>
      <c r="L2740" s="920">
        <v>12</v>
      </c>
      <c r="M2740" s="920">
        <f t="shared" si="84"/>
        <v>20100</v>
      </c>
      <c r="N2740" s="919"/>
      <c r="O2740" s="919"/>
      <c r="P2740" s="921">
        <f t="shared" si="85"/>
        <v>0</v>
      </c>
    </row>
    <row r="2741" spans="1:16" ht="20.100000000000001" customHeight="1" x14ac:dyDescent="0.25">
      <c r="A2741" s="918" t="s">
        <v>488</v>
      </c>
      <c r="B2741" s="944" t="s">
        <v>3901</v>
      </c>
      <c r="C2741" s="919" t="s">
        <v>3902</v>
      </c>
      <c r="D2741" s="919" t="s">
        <v>8541</v>
      </c>
      <c r="E2741" s="920">
        <v>2550</v>
      </c>
      <c r="F2741" s="919" t="s">
        <v>8891</v>
      </c>
      <c r="G2741" s="919" t="s">
        <v>8892</v>
      </c>
      <c r="H2741" s="919" t="s">
        <v>8541</v>
      </c>
      <c r="I2741" s="919" t="s">
        <v>3724</v>
      </c>
      <c r="J2741" s="919"/>
      <c r="K2741" s="920">
        <v>1</v>
      </c>
      <c r="L2741" s="920">
        <v>12</v>
      </c>
      <c r="M2741" s="920">
        <f t="shared" si="84"/>
        <v>30600</v>
      </c>
      <c r="N2741" s="919"/>
      <c r="O2741" s="919"/>
      <c r="P2741" s="921">
        <f t="shared" si="85"/>
        <v>0</v>
      </c>
    </row>
    <row r="2742" spans="1:16" ht="20.100000000000001" customHeight="1" x14ac:dyDescent="0.25">
      <c r="A2742" s="918" t="s">
        <v>488</v>
      </c>
      <c r="B2742" s="944" t="s">
        <v>3901</v>
      </c>
      <c r="C2742" s="919" t="s">
        <v>3902</v>
      </c>
      <c r="D2742" s="919" t="s">
        <v>6120</v>
      </c>
      <c r="E2742" s="920">
        <v>4425</v>
      </c>
      <c r="F2742" s="919" t="s">
        <v>4041</v>
      </c>
      <c r="G2742" s="919" t="s">
        <v>4042</v>
      </c>
      <c r="H2742" s="919" t="s">
        <v>6120</v>
      </c>
      <c r="I2742" s="919" t="s">
        <v>3724</v>
      </c>
      <c r="J2742" s="919"/>
      <c r="K2742" s="920">
        <v>1</v>
      </c>
      <c r="L2742" s="920">
        <v>12</v>
      </c>
      <c r="M2742" s="920">
        <f t="shared" si="84"/>
        <v>53100</v>
      </c>
      <c r="N2742" s="919"/>
      <c r="O2742" s="919"/>
      <c r="P2742" s="921">
        <f t="shared" si="85"/>
        <v>0</v>
      </c>
    </row>
    <row r="2743" spans="1:16" ht="20.100000000000001" customHeight="1" x14ac:dyDescent="0.25">
      <c r="A2743" s="918" t="s">
        <v>488</v>
      </c>
      <c r="B2743" s="944" t="s">
        <v>3901</v>
      </c>
      <c r="C2743" s="919" t="s">
        <v>3902</v>
      </c>
      <c r="D2743" s="919" t="s">
        <v>4352</v>
      </c>
      <c r="E2743" s="920">
        <v>3000</v>
      </c>
      <c r="F2743" s="919" t="s">
        <v>8893</v>
      </c>
      <c r="G2743" s="919" t="s">
        <v>8894</v>
      </c>
      <c r="H2743" s="919" t="s">
        <v>4352</v>
      </c>
      <c r="I2743" s="919" t="s">
        <v>3724</v>
      </c>
      <c r="J2743" s="919"/>
      <c r="K2743" s="920"/>
      <c r="L2743" s="920"/>
      <c r="M2743" s="920">
        <f t="shared" si="84"/>
        <v>0</v>
      </c>
      <c r="N2743" s="919">
        <v>1</v>
      </c>
      <c r="O2743" s="919">
        <v>1</v>
      </c>
      <c r="P2743" s="921">
        <f t="shared" si="85"/>
        <v>3000</v>
      </c>
    </row>
    <row r="2744" spans="1:16" ht="20.100000000000001" customHeight="1" x14ac:dyDescent="0.25">
      <c r="A2744" s="918" t="s">
        <v>488</v>
      </c>
      <c r="B2744" s="944" t="s">
        <v>3901</v>
      </c>
      <c r="C2744" s="919" t="s">
        <v>3902</v>
      </c>
      <c r="D2744" s="919" t="s">
        <v>6120</v>
      </c>
      <c r="E2744" s="920">
        <v>3700</v>
      </c>
      <c r="F2744" s="919" t="s">
        <v>8895</v>
      </c>
      <c r="G2744" s="919" t="s">
        <v>8896</v>
      </c>
      <c r="H2744" s="919" t="s">
        <v>6120</v>
      </c>
      <c r="I2744" s="919" t="s">
        <v>3724</v>
      </c>
      <c r="J2744" s="919"/>
      <c r="K2744" s="920">
        <v>1</v>
      </c>
      <c r="L2744" s="920">
        <v>12</v>
      </c>
      <c r="M2744" s="920">
        <f t="shared" si="84"/>
        <v>44400</v>
      </c>
      <c r="N2744" s="919"/>
      <c r="O2744" s="919"/>
      <c r="P2744" s="921">
        <f t="shared" si="85"/>
        <v>0</v>
      </c>
    </row>
    <row r="2745" spans="1:16" ht="20.100000000000001" customHeight="1" x14ac:dyDescent="0.25">
      <c r="A2745" s="918" t="s">
        <v>488</v>
      </c>
      <c r="B2745" s="944" t="s">
        <v>3901</v>
      </c>
      <c r="C2745" s="919" t="s">
        <v>3902</v>
      </c>
      <c r="D2745" s="919" t="s">
        <v>8541</v>
      </c>
      <c r="E2745" s="920">
        <v>2700</v>
      </c>
      <c r="F2745" s="919" t="s">
        <v>8897</v>
      </c>
      <c r="G2745" s="919" t="s">
        <v>8898</v>
      </c>
      <c r="H2745" s="919" t="s">
        <v>8541</v>
      </c>
      <c r="I2745" s="919" t="s">
        <v>3724</v>
      </c>
      <c r="J2745" s="919"/>
      <c r="K2745" s="920">
        <v>1</v>
      </c>
      <c r="L2745" s="920">
        <v>12</v>
      </c>
      <c r="M2745" s="920">
        <f t="shared" si="84"/>
        <v>32400</v>
      </c>
      <c r="N2745" s="919"/>
      <c r="O2745" s="919"/>
      <c r="P2745" s="921">
        <f t="shared" si="85"/>
        <v>0</v>
      </c>
    </row>
    <row r="2746" spans="1:16" ht="20.100000000000001" customHeight="1" x14ac:dyDescent="0.25">
      <c r="A2746" s="918" t="s">
        <v>488</v>
      </c>
      <c r="B2746" s="944" t="s">
        <v>3901</v>
      </c>
      <c r="C2746" s="919" t="s">
        <v>3902</v>
      </c>
      <c r="D2746" s="919" t="s">
        <v>8541</v>
      </c>
      <c r="E2746" s="920">
        <v>2700</v>
      </c>
      <c r="F2746" s="919" t="s">
        <v>4041</v>
      </c>
      <c r="G2746" s="919" t="s">
        <v>4042</v>
      </c>
      <c r="H2746" s="919" t="s">
        <v>8541</v>
      </c>
      <c r="I2746" s="919" t="s">
        <v>3724</v>
      </c>
      <c r="J2746" s="919"/>
      <c r="K2746" s="920">
        <v>1</v>
      </c>
      <c r="L2746" s="920">
        <v>12</v>
      </c>
      <c r="M2746" s="920">
        <f t="shared" si="84"/>
        <v>32400</v>
      </c>
      <c r="N2746" s="919"/>
      <c r="O2746" s="919"/>
      <c r="P2746" s="921">
        <f t="shared" si="85"/>
        <v>0</v>
      </c>
    </row>
    <row r="2747" spans="1:16" ht="20.100000000000001" customHeight="1" x14ac:dyDescent="0.25">
      <c r="A2747" s="918" t="s">
        <v>488</v>
      </c>
      <c r="B2747" s="944" t="s">
        <v>3901</v>
      </c>
      <c r="C2747" s="919" t="s">
        <v>3902</v>
      </c>
      <c r="D2747" s="919" t="s">
        <v>4352</v>
      </c>
      <c r="E2747" s="920">
        <v>2550</v>
      </c>
      <c r="F2747" s="919" t="s">
        <v>8899</v>
      </c>
      <c r="G2747" s="919" t="s">
        <v>8900</v>
      </c>
      <c r="H2747" s="919" t="s">
        <v>4352</v>
      </c>
      <c r="I2747" s="919" t="s">
        <v>3724</v>
      </c>
      <c r="J2747" s="919"/>
      <c r="K2747" s="920"/>
      <c r="L2747" s="920"/>
      <c r="M2747" s="920">
        <f t="shared" si="84"/>
        <v>0</v>
      </c>
      <c r="N2747" s="919">
        <v>1</v>
      </c>
      <c r="O2747" s="919">
        <v>1</v>
      </c>
      <c r="P2747" s="921">
        <f t="shared" si="85"/>
        <v>2550</v>
      </c>
    </row>
    <row r="2748" spans="1:16" ht="20.100000000000001" customHeight="1" x14ac:dyDescent="0.25">
      <c r="A2748" s="918" t="s">
        <v>488</v>
      </c>
      <c r="B2748" s="944" t="s">
        <v>3901</v>
      </c>
      <c r="C2748" s="919" t="s">
        <v>3902</v>
      </c>
      <c r="D2748" s="919" t="s">
        <v>6074</v>
      </c>
      <c r="E2748" s="920">
        <v>1450</v>
      </c>
      <c r="F2748" s="919" t="s">
        <v>4041</v>
      </c>
      <c r="G2748" s="919" t="s">
        <v>4042</v>
      </c>
      <c r="H2748" s="919" t="s">
        <v>6074</v>
      </c>
      <c r="I2748" s="919" t="s">
        <v>3686</v>
      </c>
      <c r="J2748" s="919"/>
      <c r="K2748" s="920">
        <v>1</v>
      </c>
      <c r="L2748" s="920">
        <v>12</v>
      </c>
      <c r="M2748" s="920">
        <f t="shared" si="84"/>
        <v>17400</v>
      </c>
      <c r="N2748" s="919"/>
      <c r="O2748" s="919"/>
      <c r="P2748" s="921">
        <f t="shared" si="85"/>
        <v>0</v>
      </c>
    </row>
    <row r="2749" spans="1:16" ht="20.100000000000001" customHeight="1" x14ac:dyDescent="0.25">
      <c r="A2749" s="918" t="s">
        <v>488</v>
      </c>
      <c r="B2749" s="944" t="s">
        <v>3901</v>
      </c>
      <c r="C2749" s="919" t="s">
        <v>3902</v>
      </c>
      <c r="D2749" s="919" t="s">
        <v>8701</v>
      </c>
      <c r="E2749" s="920">
        <v>1450</v>
      </c>
      <c r="F2749" s="919" t="s">
        <v>8901</v>
      </c>
      <c r="G2749" s="919" t="s">
        <v>8902</v>
      </c>
      <c r="H2749" s="919" t="s">
        <v>8701</v>
      </c>
      <c r="I2749" s="919" t="s">
        <v>3686</v>
      </c>
      <c r="J2749" s="919"/>
      <c r="K2749" s="920">
        <v>1</v>
      </c>
      <c r="L2749" s="920">
        <v>12</v>
      </c>
      <c r="M2749" s="920">
        <f t="shared" si="84"/>
        <v>17400</v>
      </c>
      <c r="N2749" s="919"/>
      <c r="O2749" s="919"/>
      <c r="P2749" s="921">
        <f t="shared" si="85"/>
        <v>0</v>
      </c>
    </row>
    <row r="2750" spans="1:16" ht="20.100000000000001" customHeight="1" x14ac:dyDescent="0.25">
      <c r="A2750" s="918" t="s">
        <v>488</v>
      </c>
      <c r="B2750" s="944" t="s">
        <v>3901</v>
      </c>
      <c r="C2750" s="919" t="s">
        <v>3902</v>
      </c>
      <c r="D2750" s="919" t="s">
        <v>7145</v>
      </c>
      <c r="E2750" s="920">
        <v>1450</v>
      </c>
      <c r="F2750" s="919" t="s">
        <v>8903</v>
      </c>
      <c r="G2750" s="919" t="s">
        <v>8904</v>
      </c>
      <c r="H2750" s="919" t="s">
        <v>7145</v>
      </c>
      <c r="I2750" s="919" t="s">
        <v>3686</v>
      </c>
      <c r="J2750" s="919"/>
      <c r="K2750" s="920">
        <v>1</v>
      </c>
      <c r="L2750" s="920">
        <v>12</v>
      </c>
      <c r="M2750" s="920">
        <f t="shared" si="84"/>
        <v>17400</v>
      </c>
      <c r="N2750" s="919"/>
      <c r="O2750" s="919"/>
      <c r="P2750" s="921">
        <f t="shared" si="85"/>
        <v>0</v>
      </c>
    </row>
    <row r="2751" spans="1:16" ht="20.100000000000001" customHeight="1" x14ac:dyDescent="0.25">
      <c r="A2751" s="918" t="s">
        <v>488</v>
      </c>
      <c r="B2751" s="944" t="s">
        <v>3901</v>
      </c>
      <c r="C2751" s="919" t="s">
        <v>3902</v>
      </c>
      <c r="D2751" s="919" t="s">
        <v>6203</v>
      </c>
      <c r="E2751" s="920">
        <v>2300</v>
      </c>
      <c r="F2751" s="919" t="s">
        <v>4041</v>
      </c>
      <c r="G2751" s="919" t="s">
        <v>4062</v>
      </c>
      <c r="H2751" s="919" t="s">
        <v>6203</v>
      </c>
      <c r="I2751" s="919" t="s">
        <v>3724</v>
      </c>
      <c r="J2751" s="919"/>
      <c r="K2751" s="920">
        <v>1</v>
      </c>
      <c r="L2751" s="920">
        <v>12</v>
      </c>
      <c r="M2751" s="920">
        <f t="shared" si="84"/>
        <v>27600</v>
      </c>
      <c r="N2751" s="919"/>
      <c r="O2751" s="919"/>
      <c r="P2751" s="921">
        <f t="shared" si="85"/>
        <v>0</v>
      </c>
    </row>
    <row r="2752" spans="1:16" ht="20.100000000000001" customHeight="1" x14ac:dyDescent="0.25">
      <c r="A2752" s="918" t="s">
        <v>488</v>
      </c>
      <c r="B2752" s="944" t="s">
        <v>3901</v>
      </c>
      <c r="C2752" s="919" t="s">
        <v>3902</v>
      </c>
      <c r="D2752" s="919" t="s">
        <v>6130</v>
      </c>
      <c r="E2752" s="920">
        <v>1525</v>
      </c>
      <c r="F2752" s="919" t="s">
        <v>8905</v>
      </c>
      <c r="G2752" s="919" t="s">
        <v>8906</v>
      </c>
      <c r="H2752" s="919" t="s">
        <v>6130</v>
      </c>
      <c r="I2752" s="919" t="s">
        <v>3686</v>
      </c>
      <c r="J2752" s="919"/>
      <c r="K2752" s="920"/>
      <c r="L2752" s="920"/>
      <c r="M2752" s="920">
        <f t="shared" si="84"/>
        <v>0</v>
      </c>
      <c r="N2752" s="919">
        <v>1</v>
      </c>
      <c r="O2752" s="919">
        <v>1</v>
      </c>
      <c r="P2752" s="921">
        <f t="shared" si="85"/>
        <v>1525</v>
      </c>
    </row>
    <row r="2753" spans="1:16" ht="20.100000000000001" customHeight="1" x14ac:dyDescent="0.25">
      <c r="A2753" s="918" t="s">
        <v>488</v>
      </c>
      <c r="B2753" s="944" t="s">
        <v>3901</v>
      </c>
      <c r="C2753" s="919" t="s">
        <v>3902</v>
      </c>
      <c r="D2753" s="919" t="s">
        <v>8701</v>
      </c>
      <c r="E2753" s="920">
        <v>1525</v>
      </c>
      <c r="F2753" s="919" t="s">
        <v>8907</v>
      </c>
      <c r="G2753" s="919" t="s">
        <v>8908</v>
      </c>
      <c r="H2753" s="919" t="s">
        <v>8701</v>
      </c>
      <c r="I2753" s="919" t="s">
        <v>3686</v>
      </c>
      <c r="J2753" s="919"/>
      <c r="K2753" s="920">
        <v>1</v>
      </c>
      <c r="L2753" s="920">
        <v>12</v>
      </c>
      <c r="M2753" s="920">
        <f t="shared" si="84"/>
        <v>18300</v>
      </c>
      <c r="N2753" s="919"/>
      <c r="O2753" s="919"/>
      <c r="P2753" s="921">
        <f t="shared" si="85"/>
        <v>0</v>
      </c>
    </row>
    <row r="2754" spans="1:16" ht="20.100000000000001" customHeight="1" x14ac:dyDescent="0.25">
      <c r="A2754" s="918" t="s">
        <v>488</v>
      </c>
      <c r="B2754" s="944" t="s">
        <v>3901</v>
      </c>
      <c r="C2754" s="919" t="s">
        <v>3902</v>
      </c>
      <c r="D2754" s="919" t="s">
        <v>6203</v>
      </c>
      <c r="E2754" s="920">
        <v>2400</v>
      </c>
      <c r="F2754" s="919" t="s">
        <v>4041</v>
      </c>
      <c r="G2754" s="919" t="s">
        <v>4062</v>
      </c>
      <c r="H2754" s="919" t="s">
        <v>6203</v>
      </c>
      <c r="I2754" s="919" t="s">
        <v>3724</v>
      </c>
      <c r="J2754" s="919"/>
      <c r="K2754" s="920">
        <v>1</v>
      </c>
      <c r="L2754" s="920">
        <v>12</v>
      </c>
      <c r="M2754" s="920">
        <f t="shared" si="84"/>
        <v>28800</v>
      </c>
      <c r="N2754" s="919"/>
      <c r="O2754" s="919"/>
      <c r="P2754" s="921">
        <f t="shared" si="85"/>
        <v>0</v>
      </c>
    </row>
    <row r="2755" spans="1:16" ht="20.100000000000001" customHeight="1" x14ac:dyDescent="0.25">
      <c r="A2755" s="918" t="s">
        <v>488</v>
      </c>
      <c r="B2755" s="944" t="s">
        <v>3901</v>
      </c>
      <c r="C2755" s="919" t="s">
        <v>3902</v>
      </c>
      <c r="D2755" s="919" t="s">
        <v>4352</v>
      </c>
      <c r="E2755" s="920">
        <v>2400</v>
      </c>
      <c r="F2755" s="919" t="s">
        <v>8909</v>
      </c>
      <c r="G2755" s="919" t="s">
        <v>8910</v>
      </c>
      <c r="H2755" s="919" t="s">
        <v>4352</v>
      </c>
      <c r="I2755" s="919" t="s">
        <v>3724</v>
      </c>
      <c r="J2755" s="919"/>
      <c r="K2755" s="920">
        <v>1</v>
      </c>
      <c r="L2755" s="920">
        <v>12</v>
      </c>
      <c r="M2755" s="920">
        <f t="shared" si="84"/>
        <v>28800</v>
      </c>
      <c r="N2755" s="919"/>
      <c r="O2755" s="919"/>
      <c r="P2755" s="921">
        <f t="shared" si="85"/>
        <v>0</v>
      </c>
    </row>
    <row r="2756" spans="1:16" ht="20.100000000000001" customHeight="1" x14ac:dyDescent="0.25">
      <c r="A2756" s="918" t="s">
        <v>488</v>
      </c>
      <c r="B2756" s="944" t="s">
        <v>3901</v>
      </c>
      <c r="C2756" s="919" t="s">
        <v>3902</v>
      </c>
      <c r="D2756" s="919" t="s">
        <v>6120</v>
      </c>
      <c r="E2756" s="920">
        <v>3900</v>
      </c>
      <c r="F2756" s="919" t="s">
        <v>4041</v>
      </c>
      <c r="G2756" s="919" t="s">
        <v>4042</v>
      </c>
      <c r="H2756" s="919" t="s">
        <v>6120</v>
      </c>
      <c r="I2756" s="919" t="s">
        <v>3724</v>
      </c>
      <c r="J2756" s="919"/>
      <c r="K2756" s="920">
        <v>1</v>
      </c>
      <c r="L2756" s="920">
        <v>12</v>
      </c>
      <c r="M2756" s="920">
        <f t="shared" si="84"/>
        <v>46800</v>
      </c>
      <c r="N2756" s="919"/>
      <c r="O2756" s="919"/>
      <c r="P2756" s="921">
        <f t="shared" si="85"/>
        <v>0</v>
      </c>
    </row>
    <row r="2757" spans="1:16" ht="20.100000000000001" customHeight="1" x14ac:dyDescent="0.25">
      <c r="A2757" s="918" t="s">
        <v>488</v>
      </c>
      <c r="B2757" s="944" t="s">
        <v>3901</v>
      </c>
      <c r="C2757" s="919" t="s">
        <v>3902</v>
      </c>
      <c r="D2757" s="919" t="s">
        <v>6120</v>
      </c>
      <c r="E2757" s="920">
        <v>3900</v>
      </c>
      <c r="F2757" s="919" t="s">
        <v>8911</v>
      </c>
      <c r="G2757" s="919" t="s">
        <v>8912</v>
      </c>
      <c r="H2757" s="919" t="s">
        <v>6120</v>
      </c>
      <c r="I2757" s="919" t="s">
        <v>3724</v>
      </c>
      <c r="J2757" s="919"/>
      <c r="K2757" s="920"/>
      <c r="L2757" s="920"/>
      <c r="M2757" s="920">
        <f t="shared" si="84"/>
        <v>0</v>
      </c>
      <c r="N2757" s="919">
        <v>1</v>
      </c>
      <c r="O2757" s="919">
        <v>1</v>
      </c>
      <c r="P2757" s="921">
        <f t="shared" si="85"/>
        <v>3900</v>
      </c>
    </row>
    <row r="2758" spans="1:16" ht="20.100000000000001" customHeight="1" x14ac:dyDescent="0.25">
      <c r="A2758" s="918" t="s">
        <v>488</v>
      </c>
      <c r="B2758" s="944" t="s">
        <v>3901</v>
      </c>
      <c r="C2758" s="919" t="s">
        <v>3902</v>
      </c>
      <c r="D2758" s="919" t="s">
        <v>6120</v>
      </c>
      <c r="E2758" s="920">
        <v>3900</v>
      </c>
      <c r="F2758" s="919" t="s">
        <v>8913</v>
      </c>
      <c r="G2758" s="919" t="s">
        <v>8914</v>
      </c>
      <c r="H2758" s="919" t="s">
        <v>6120</v>
      </c>
      <c r="I2758" s="919" t="s">
        <v>3724</v>
      </c>
      <c r="J2758" s="919"/>
      <c r="K2758" s="920"/>
      <c r="L2758" s="920"/>
      <c r="M2758" s="920">
        <f t="shared" ref="M2758:M2821" si="86">E2758*L2758</f>
        <v>0</v>
      </c>
      <c r="N2758" s="919">
        <v>1</v>
      </c>
      <c r="O2758" s="919">
        <v>1</v>
      </c>
      <c r="P2758" s="921">
        <f t="shared" ref="P2758:P2821" si="87">E2758*O2758</f>
        <v>3900</v>
      </c>
    </row>
    <row r="2759" spans="1:16" ht="20.100000000000001" customHeight="1" x14ac:dyDescent="0.25">
      <c r="A2759" s="918" t="s">
        <v>488</v>
      </c>
      <c r="B2759" s="944" t="s">
        <v>3901</v>
      </c>
      <c r="C2759" s="919" t="s">
        <v>3902</v>
      </c>
      <c r="D2759" s="919" t="s">
        <v>3999</v>
      </c>
      <c r="E2759" s="920">
        <v>2400</v>
      </c>
      <c r="F2759" s="919" t="s">
        <v>8915</v>
      </c>
      <c r="G2759" s="919" t="s">
        <v>8916</v>
      </c>
      <c r="H2759" s="919" t="s">
        <v>3999</v>
      </c>
      <c r="I2759" s="919" t="s">
        <v>3724</v>
      </c>
      <c r="J2759" s="919"/>
      <c r="K2759" s="920"/>
      <c r="L2759" s="920"/>
      <c r="M2759" s="920">
        <f t="shared" si="86"/>
        <v>0</v>
      </c>
      <c r="N2759" s="919">
        <v>1</v>
      </c>
      <c r="O2759" s="919">
        <v>1</v>
      </c>
      <c r="P2759" s="921">
        <f t="shared" si="87"/>
        <v>2400</v>
      </c>
    </row>
    <row r="2760" spans="1:16" ht="20.100000000000001" customHeight="1" x14ac:dyDescent="0.25">
      <c r="A2760" s="918" t="s">
        <v>488</v>
      </c>
      <c r="B2760" s="944" t="s">
        <v>3901</v>
      </c>
      <c r="C2760" s="919" t="s">
        <v>3902</v>
      </c>
      <c r="D2760" s="919" t="s">
        <v>4352</v>
      </c>
      <c r="E2760" s="920">
        <v>2400</v>
      </c>
      <c r="F2760" s="919" t="s">
        <v>8917</v>
      </c>
      <c r="G2760" s="919" t="s">
        <v>8918</v>
      </c>
      <c r="H2760" s="919" t="s">
        <v>4352</v>
      </c>
      <c r="I2760" s="919" t="s">
        <v>3724</v>
      </c>
      <c r="J2760" s="919"/>
      <c r="K2760" s="920"/>
      <c r="L2760" s="920"/>
      <c r="M2760" s="920">
        <f t="shared" si="86"/>
        <v>0</v>
      </c>
      <c r="N2760" s="919">
        <v>1</v>
      </c>
      <c r="O2760" s="919">
        <v>1</v>
      </c>
      <c r="P2760" s="921">
        <f t="shared" si="87"/>
        <v>2400</v>
      </c>
    </row>
    <row r="2761" spans="1:16" ht="20.100000000000001" customHeight="1" x14ac:dyDescent="0.25">
      <c r="A2761" s="918" t="s">
        <v>488</v>
      </c>
      <c r="B2761" s="944" t="s">
        <v>3901</v>
      </c>
      <c r="C2761" s="919" t="s">
        <v>3902</v>
      </c>
      <c r="D2761" s="919" t="s">
        <v>6074</v>
      </c>
      <c r="E2761" s="920">
        <v>1675</v>
      </c>
      <c r="F2761" s="919" t="s">
        <v>8919</v>
      </c>
      <c r="G2761" s="919" t="s">
        <v>8920</v>
      </c>
      <c r="H2761" s="919" t="s">
        <v>6074</v>
      </c>
      <c r="I2761" s="919" t="s">
        <v>3686</v>
      </c>
      <c r="J2761" s="919"/>
      <c r="K2761" s="920">
        <v>1</v>
      </c>
      <c r="L2761" s="920">
        <v>12</v>
      </c>
      <c r="M2761" s="920">
        <f t="shared" si="86"/>
        <v>20100</v>
      </c>
      <c r="N2761" s="919"/>
      <c r="O2761" s="919"/>
      <c r="P2761" s="921">
        <f t="shared" si="87"/>
        <v>0</v>
      </c>
    </row>
    <row r="2762" spans="1:16" ht="20.100000000000001" customHeight="1" x14ac:dyDescent="0.25">
      <c r="A2762" s="918" t="s">
        <v>488</v>
      </c>
      <c r="B2762" s="944" t="s">
        <v>3901</v>
      </c>
      <c r="C2762" s="919" t="s">
        <v>3902</v>
      </c>
      <c r="D2762" s="919" t="s">
        <v>4352</v>
      </c>
      <c r="E2762" s="920">
        <v>2550</v>
      </c>
      <c r="F2762" s="919" t="s">
        <v>4041</v>
      </c>
      <c r="G2762" s="919" t="s">
        <v>4062</v>
      </c>
      <c r="H2762" s="919" t="s">
        <v>4352</v>
      </c>
      <c r="I2762" s="919" t="s">
        <v>3724</v>
      </c>
      <c r="J2762" s="919"/>
      <c r="K2762" s="920">
        <v>1</v>
      </c>
      <c r="L2762" s="920">
        <v>12</v>
      </c>
      <c r="M2762" s="920">
        <f t="shared" si="86"/>
        <v>30600</v>
      </c>
      <c r="N2762" s="919"/>
      <c r="O2762" s="919"/>
      <c r="P2762" s="921">
        <f t="shared" si="87"/>
        <v>0</v>
      </c>
    </row>
    <row r="2763" spans="1:16" ht="20.100000000000001" customHeight="1" x14ac:dyDescent="0.25">
      <c r="A2763" s="918" t="s">
        <v>488</v>
      </c>
      <c r="B2763" s="944" t="s">
        <v>3901</v>
      </c>
      <c r="C2763" s="919" t="s">
        <v>3902</v>
      </c>
      <c r="D2763" s="919" t="s">
        <v>3999</v>
      </c>
      <c r="E2763" s="920">
        <v>2400</v>
      </c>
      <c r="F2763" s="919" t="s">
        <v>4041</v>
      </c>
      <c r="G2763" s="919" t="s">
        <v>4062</v>
      </c>
      <c r="H2763" s="919" t="s">
        <v>3999</v>
      </c>
      <c r="I2763" s="919" t="s">
        <v>3724</v>
      </c>
      <c r="J2763" s="919"/>
      <c r="K2763" s="920">
        <v>1</v>
      </c>
      <c r="L2763" s="920">
        <v>12</v>
      </c>
      <c r="M2763" s="920">
        <f t="shared" si="86"/>
        <v>28800</v>
      </c>
      <c r="N2763" s="919"/>
      <c r="O2763" s="919"/>
      <c r="P2763" s="921">
        <f t="shared" si="87"/>
        <v>0</v>
      </c>
    </row>
    <row r="2764" spans="1:16" ht="20.100000000000001" customHeight="1" x14ac:dyDescent="0.25">
      <c r="A2764" s="918" t="s">
        <v>488</v>
      </c>
      <c r="B2764" s="944" t="s">
        <v>3901</v>
      </c>
      <c r="C2764" s="919" t="s">
        <v>3902</v>
      </c>
      <c r="D2764" s="919" t="s">
        <v>6120</v>
      </c>
      <c r="E2764" s="920">
        <v>3900</v>
      </c>
      <c r="F2764" s="919" t="s">
        <v>8921</v>
      </c>
      <c r="G2764" s="919" t="s">
        <v>8922</v>
      </c>
      <c r="H2764" s="919" t="s">
        <v>6120</v>
      </c>
      <c r="I2764" s="919" t="s">
        <v>3724</v>
      </c>
      <c r="J2764" s="919"/>
      <c r="K2764" s="920"/>
      <c r="L2764" s="920"/>
      <c r="M2764" s="920">
        <f t="shared" si="86"/>
        <v>0</v>
      </c>
      <c r="N2764" s="919">
        <v>1</v>
      </c>
      <c r="O2764" s="919">
        <v>1</v>
      </c>
      <c r="P2764" s="921">
        <f t="shared" si="87"/>
        <v>3900</v>
      </c>
    </row>
    <row r="2765" spans="1:16" ht="20.100000000000001" customHeight="1" x14ac:dyDescent="0.25">
      <c r="A2765" s="918" t="s">
        <v>488</v>
      </c>
      <c r="B2765" s="944" t="s">
        <v>3901</v>
      </c>
      <c r="C2765" s="919" t="s">
        <v>3902</v>
      </c>
      <c r="D2765" s="919" t="s">
        <v>6120</v>
      </c>
      <c r="E2765" s="920">
        <v>3900</v>
      </c>
      <c r="F2765" s="919" t="s">
        <v>4041</v>
      </c>
      <c r="G2765" s="919" t="s">
        <v>4062</v>
      </c>
      <c r="H2765" s="919" t="s">
        <v>6120</v>
      </c>
      <c r="I2765" s="919" t="s">
        <v>3724</v>
      </c>
      <c r="J2765" s="919"/>
      <c r="K2765" s="920">
        <v>1</v>
      </c>
      <c r="L2765" s="920">
        <v>12</v>
      </c>
      <c r="M2765" s="920">
        <f t="shared" si="86"/>
        <v>46800</v>
      </c>
      <c r="N2765" s="919"/>
      <c r="O2765" s="919"/>
      <c r="P2765" s="921">
        <f t="shared" si="87"/>
        <v>0</v>
      </c>
    </row>
    <row r="2766" spans="1:16" ht="20.100000000000001" customHeight="1" x14ac:dyDescent="0.25">
      <c r="A2766" s="918" t="s">
        <v>488</v>
      </c>
      <c r="B2766" s="944" t="s">
        <v>3901</v>
      </c>
      <c r="C2766" s="919" t="s">
        <v>3902</v>
      </c>
      <c r="D2766" s="919" t="s">
        <v>6074</v>
      </c>
      <c r="E2766" s="920">
        <v>1675</v>
      </c>
      <c r="F2766" s="919" t="s">
        <v>8923</v>
      </c>
      <c r="G2766" s="919" t="s">
        <v>8924</v>
      </c>
      <c r="H2766" s="919" t="s">
        <v>6074</v>
      </c>
      <c r="I2766" s="919" t="s">
        <v>3686</v>
      </c>
      <c r="J2766" s="919"/>
      <c r="K2766" s="920">
        <v>1</v>
      </c>
      <c r="L2766" s="920">
        <v>12</v>
      </c>
      <c r="M2766" s="920">
        <f t="shared" si="86"/>
        <v>20100</v>
      </c>
      <c r="N2766" s="919"/>
      <c r="O2766" s="919"/>
      <c r="P2766" s="921">
        <f t="shared" si="87"/>
        <v>0</v>
      </c>
    </row>
    <row r="2767" spans="1:16" ht="20.100000000000001" customHeight="1" x14ac:dyDescent="0.25">
      <c r="A2767" s="918" t="s">
        <v>488</v>
      </c>
      <c r="B2767" s="944" t="s">
        <v>3901</v>
      </c>
      <c r="C2767" s="919" t="s">
        <v>3902</v>
      </c>
      <c r="D2767" s="919" t="s">
        <v>3999</v>
      </c>
      <c r="E2767" s="920">
        <v>2300</v>
      </c>
      <c r="F2767" s="919" t="s">
        <v>8925</v>
      </c>
      <c r="G2767" s="919" t="s">
        <v>8926</v>
      </c>
      <c r="H2767" s="919" t="s">
        <v>3999</v>
      </c>
      <c r="I2767" s="919" t="s">
        <v>3724</v>
      </c>
      <c r="J2767" s="919"/>
      <c r="K2767" s="920">
        <v>1</v>
      </c>
      <c r="L2767" s="920">
        <v>12</v>
      </c>
      <c r="M2767" s="920">
        <f t="shared" si="86"/>
        <v>27600</v>
      </c>
      <c r="N2767" s="919"/>
      <c r="O2767" s="919"/>
      <c r="P2767" s="921">
        <f t="shared" si="87"/>
        <v>0</v>
      </c>
    </row>
    <row r="2768" spans="1:16" ht="20.100000000000001" customHeight="1" x14ac:dyDescent="0.25">
      <c r="A2768" s="918" t="s">
        <v>488</v>
      </c>
      <c r="B2768" s="944" t="s">
        <v>3901</v>
      </c>
      <c r="C2768" s="919" t="s">
        <v>3902</v>
      </c>
      <c r="D2768" s="919" t="s">
        <v>8338</v>
      </c>
      <c r="E2768" s="920">
        <v>1375</v>
      </c>
      <c r="F2768" s="919" t="s">
        <v>8927</v>
      </c>
      <c r="G2768" s="919" t="s">
        <v>8928</v>
      </c>
      <c r="H2768" s="919" t="s">
        <v>8338</v>
      </c>
      <c r="I2768" s="919" t="s">
        <v>3686</v>
      </c>
      <c r="J2768" s="919"/>
      <c r="K2768" s="920">
        <v>1</v>
      </c>
      <c r="L2768" s="920">
        <v>12</v>
      </c>
      <c r="M2768" s="920">
        <f t="shared" si="86"/>
        <v>16500</v>
      </c>
      <c r="N2768" s="919"/>
      <c r="O2768" s="919"/>
      <c r="P2768" s="921">
        <f t="shared" si="87"/>
        <v>0</v>
      </c>
    </row>
    <row r="2769" spans="1:16" ht="20.100000000000001" customHeight="1" x14ac:dyDescent="0.25">
      <c r="A2769" s="918" t="s">
        <v>488</v>
      </c>
      <c r="B2769" s="944" t="s">
        <v>3901</v>
      </c>
      <c r="C2769" s="919" t="s">
        <v>3902</v>
      </c>
      <c r="D2769" s="919" t="s">
        <v>3999</v>
      </c>
      <c r="E2769" s="920">
        <v>2110</v>
      </c>
      <c r="F2769" s="919" t="s">
        <v>8929</v>
      </c>
      <c r="G2769" s="919" t="s">
        <v>8930</v>
      </c>
      <c r="H2769" s="919" t="s">
        <v>3999</v>
      </c>
      <c r="I2769" s="919" t="s">
        <v>3724</v>
      </c>
      <c r="J2769" s="919"/>
      <c r="K2769" s="920">
        <v>1</v>
      </c>
      <c r="L2769" s="920">
        <v>12</v>
      </c>
      <c r="M2769" s="920">
        <f t="shared" si="86"/>
        <v>25320</v>
      </c>
      <c r="N2769" s="919"/>
      <c r="O2769" s="919"/>
      <c r="P2769" s="921">
        <f t="shared" si="87"/>
        <v>0</v>
      </c>
    </row>
    <row r="2770" spans="1:16" ht="20.100000000000001" customHeight="1" x14ac:dyDescent="0.25">
      <c r="A2770" s="918" t="s">
        <v>488</v>
      </c>
      <c r="B2770" s="944" t="s">
        <v>3901</v>
      </c>
      <c r="C2770" s="919" t="s">
        <v>3902</v>
      </c>
      <c r="D2770" s="919" t="s">
        <v>4382</v>
      </c>
      <c r="E2770" s="920">
        <v>2110</v>
      </c>
      <c r="F2770" s="919" t="s">
        <v>8931</v>
      </c>
      <c r="G2770" s="919" t="s">
        <v>8932</v>
      </c>
      <c r="H2770" s="919" t="s">
        <v>4382</v>
      </c>
      <c r="I2770" s="919" t="s">
        <v>3724</v>
      </c>
      <c r="J2770" s="919"/>
      <c r="K2770" s="920"/>
      <c r="L2770" s="920"/>
      <c r="M2770" s="920">
        <f t="shared" si="86"/>
        <v>0</v>
      </c>
      <c r="N2770" s="919">
        <v>1</v>
      </c>
      <c r="O2770" s="919">
        <v>1</v>
      </c>
      <c r="P2770" s="921">
        <f t="shared" si="87"/>
        <v>2110</v>
      </c>
    </row>
    <row r="2771" spans="1:16" ht="20.100000000000001" customHeight="1" x14ac:dyDescent="0.25">
      <c r="A2771" s="918" t="s">
        <v>488</v>
      </c>
      <c r="B2771" s="944" t="s">
        <v>3901</v>
      </c>
      <c r="C2771" s="919" t="s">
        <v>3902</v>
      </c>
      <c r="D2771" s="919" t="s">
        <v>6120</v>
      </c>
      <c r="E2771" s="920">
        <v>3685</v>
      </c>
      <c r="F2771" s="919" t="s">
        <v>8933</v>
      </c>
      <c r="G2771" s="919" t="s">
        <v>8934</v>
      </c>
      <c r="H2771" s="919" t="s">
        <v>6120</v>
      </c>
      <c r="I2771" s="919" t="s">
        <v>3724</v>
      </c>
      <c r="J2771" s="919"/>
      <c r="K2771" s="920">
        <v>1</v>
      </c>
      <c r="L2771" s="920">
        <v>12</v>
      </c>
      <c r="M2771" s="920">
        <f t="shared" si="86"/>
        <v>44220</v>
      </c>
      <c r="N2771" s="919"/>
      <c r="O2771" s="919"/>
      <c r="P2771" s="921">
        <f t="shared" si="87"/>
        <v>0</v>
      </c>
    </row>
    <row r="2772" spans="1:16" ht="20.100000000000001" customHeight="1" x14ac:dyDescent="0.25">
      <c r="A2772" s="918" t="s">
        <v>488</v>
      </c>
      <c r="B2772" s="944" t="s">
        <v>3901</v>
      </c>
      <c r="C2772" s="919" t="s">
        <v>3902</v>
      </c>
      <c r="D2772" s="919" t="s">
        <v>6120</v>
      </c>
      <c r="E2772" s="920">
        <v>3685</v>
      </c>
      <c r="F2772" s="919" t="s">
        <v>8935</v>
      </c>
      <c r="G2772" s="919" t="s">
        <v>8936</v>
      </c>
      <c r="H2772" s="919" t="s">
        <v>6120</v>
      </c>
      <c r="I2772" s="919" t="s">
        <v>3724</v>
      </c>
      <c r="J2772" s="919"/>
      <c r="K2772" s="920"/>
      <c r="L2772" s="920"/>
      <c r="M2772" s="920">
        <f t="shared" si="86"/>
        <v>0</v>
      </c>
      <c r="N2772" s="919">
        <v>1</v>
      </c>
      <c r="O2772" s="919">
        <v>1</v>
      </c>
      <c r="P2772" s="921">
        <f t="shared" si="87"/>
        <v>3685</v>
      </c>
    </row>
    <row r="2773" spans="1:16" ht="20.100000000000001" customHeight="1" x14ac:dyDescent="0.25">
      <c r="A2773" s="918" t="s">
        <v>488</v>
      </c>
      <c r="B2773" s="944" t="s">
        <v>3901</v>
      </c>
      <c r="C2773" s="919" t="s">
        <v>3902</v>
      </c>
      <c r="D2773" s="919" t="s">
        <v>6120</v>
      </c>
      <c r="E2773" s="920">
        <v>3685</v>
      </c>
      <c r="F2773" s="919" t="s">
        <v>4041</v>
      </c>
      <c r="G2773" s="919" t="s">
        <v>4042</v>
      </c>
      <c r="H2773" s="919" t="s">
        <v>6120</v>
      </c>
      <c r="I2773" s="919" t="s">
        <v>3724</v>
      </c>
      <c r="J2773" s="919"/>
      <c r="K2773" s="920">
        <v>1</v>
      </c>
      <c r="L2773" s="920">
        <v>12</v>
      </c>
      <c r="M2773" s="920">
        <f t="shared" si="86"/>
        <v>44220</v>
      </c>
      <c r="N2773" s="919"/>
      <c r="O2773" s="919"/>
      <c r="P2773" s="921">
        <f t="shared" si="87"/>
        <v>0</v>
      </c>
    </row>
    <row r="2774" spans="1:16" ht="20.100000000000001" customHeight="1" x14ac:dyDescent="0.25">
      <c r="A2774" s="918" t="s">
        <v>488</v>
      </c>
      <c r="B2774" s="944" t="s">
        <v>3901</v>
      </c>
      <c r="C2774" s="919" t="s">
        <v>3902</v>
      </c>
      <c r="D2774" s="919" t="s">
        <v>6366</v>
      </c>
      <c r="E2774" s="920">
        <v>1225</v>
      </c>
      <c r="F2774" s="919" t="s">
        <v>4041</v>
      </c>
      <c r="G2774" s="919" t="s">
        <v>4062</v>
      </c>
      <c r="H2774" s="919" t="s">
        <v>6366</v>
      </c>
      <c r="I2774" s="919" t="s">
        <v>3693</v>
      </c>
      <c r="J2774" s="919"/>
      <c r="K2774" s="920">
        <v>1</v>
      </c>
      <c r="L2774" s="920">
        <v>12</v>
      </c>
      <c r="M2774" s="920">
        <f t="shared" si="86"/>
        <v>14700</v>
      </c>
      <c r="N2774" s="919"/>
      <c r="O2774" s="919"/>
      <c r="P2774" s="921">
        <f t="shared" si="87"/>
        <v>0</v>
      </c>
    </row>
    <row r="2775" spans="1:16" ht="20.100000000000001" customHeight="1" x14ac:dyDescent="0.25">
      <c r="A2775" s="918" t="s">
        <v>488</v>
      </c>
      <c r="B2775" s="944" t="s">
        <v>3901</v>
      </c>
      <c r="C2775" s="919" t="s">
        <v>3902</v>
      </c>
      <c r="D2775" s="919" t="s">
        <v>6074</v>
      </c>
      <c r="E2775" s="920">
        <v>1900</v>
      </c>
      <c r="F2775" s="919" t="s">
        <v>8937</v>
      </c>
      <c r="G2775" s="919" t="s">
        <v>8938</v>
      </c>
      <c r="H2775" s="919" t="s">
        <v>6074</v>
      </c>
      <c r="I2775" s="919" t="s">
        <v>3686</v>
      </c>
      <c r="J2775" s="919"/>
      <c r="K2775" s="920">
        <v>1</v>
      </c>
      <c r="L2775" s="920">
        <v>12</v>
      </c>
      <c r="M2775" s="920">
        <f t="shared" si="86"/>
        <v>22800</v>
      </c>
      <c r="N2775" s="919"/>
      <c r="O2775" s="919"/>
      <c r="P2775" s="921">
        <f t="shared" si="87"/>
        <v>0</v>
      </c>
    </row>
    <row r="2776" spans="1:16" ht="20.100000000000001" customHeight="1" x14ac:dyDescent="0.25">
      <c r="A2776" s="918" t="s">
        <v>488</v>
      </c>
      <c r="B2776" s="944" t="s">
        <v>3901</v>
      </c>
      <c r="C2776" s="919" t="s">
        <v>3902</v>
      </c>
      <c r="D2776" s="919" t="s">
        <v>6074</v>
      </c>
      <c r="E2776" s="920">
        <v>1375</v>
      </c>
      <c r="F2776" s="919" t="s">
        <v>8939</v>
      </c>
      <c r="G2776" s="919" t="s">
        <v>8940</v>
      </c>
      <c r="H2776" s="919" t="s">
        <v>6074</v>
      </c>
      <c r="I2776" s="919" t="s">
        <v>3686</v>
      </c>
      <c r="J2776" s="919"/>
      <c r="K2776" s="920">
        <v>1</v>
      </c>
      <c r="L2776" s="920">
        <v>12</v>
      </c>
      <c r="M2776" s="920">
        <f t="shared" si="86"/>
        <v>16500</v>
      </c>
      <c r="N2776" s="919"/>
      <c r="O2776" s="919"/>
      <c r="P2776" s="921">
        <f t="shared" si="87"/>
        <v>0</v>
      </c>
    </row>
    <row r="2777" spans="1:16" ht="20.100000000000001" customHeight="1" x14ac:dyDescent="0.25">
      <c r="A2777" s="918" t="s">
        <v>488</v>
      </c>
      <c r="B2777" s="944" t="s">
        <v>3901</v>
      </c>
      <c r="C2777" s="919" t="s">
        <v>3902</v>
      </c>
      <c r="D2777" s="919" t="s">
        <v>8541</v>
      </c>
      <c r="E2777" s="920">
        <v>2110</v>
      </c>
      <c r="F2777" s="919" t="s">
        <v>4041</v>
      </c>
      <c r="G2777" s="919" t="s">
        <v>4062</v>
      </c>
      <c r="H2777" s="919" t="s">
        <v>8541</v>
      </c>
      <c r="I2777" s="919" t="s">
        <v>3724</v>
      </c>
      <c r="J2777" s="919"/>
      <c r="K2777" s="920">
        <v>1</v>
      </c>
      <c r="L2777" s="920">
        <v>12</v>
      </c>
      <c r="M2777" s="920">
        <f t="shared" si="86"/>
        <v>25320</v>
      </c>
      <c r="N2777" s="919"/>
      <c r="O2777" s="919"/>
      <c r="P2777" s="921">
        <f t="shared" si="87"/>
        <v>0</v>
      </c>
    </row>
    <row r="2778" spans="1:16" ht="20.100000000000001" customHeight="1" x14ac:dyDescent="0.25">
      <c r="A2778" s="918" t="s">
        <v>488</v>
      </c>
      <c r="B2778" s="944" t="s">
        <v>3901</v>
      </c>
      <c r="C2778" s="919" t="s">
        <v>3902</v>
      </c>
      <c r="D2778" s="919" t="s">
        <v>6203</v>
      </c>
      <c r="E2778" s="920">
        <v>2110</v>
      </c>
      <c r="F2778" s="919" t="s">
        <v>8941</v>
      </c>
      <c r="G2778" s="919" t="s">
        <v>8942</v>
      </c>
      <c r="H2778" s="919" t="s">
        <v>6203</v>
      </c>
      <c r="I2778" s="919" t="s">
        <v>3724</v>
      </c>
      <c r="J2778" s="919"/>
      <c r="K2778" s="920">
        <v>1</v>
      </c>
      <c r="L2778" s="920">
        <v>12</v>
      </c>
      <c r="M2778" s="920">
        <f t="shared" si="86"/>
        <v>25320</v>
      </c>
      <c r="N2778" s="919"/>
      <c r="O2778" s="919"/>
      <c r="P2778" s="921">
        <f t="shared" si="87"/>
        <v>0</v>
      </c>
    </row>
    <row r="2779" spans="1:16" ht="20.100000000000001" customHeight="1" x14ac:dyDescent="0.25">
      <c r="A2779" s="918" t="s">
        <v>488</v>
      </c>
      <c r="B2779" s="944" t="s">
        <v>3901</v>
      </c>
      <c r="C2779" s="919" t="s">
        <v>3902</v>
      </c>
      <c r="D2779" s="919" t="s">
        <v>3999</v>
      </c>
      <c r="E2779" s="920">
        <v>2110</v>
      </c>
      <c r="F2779" s="919" t="s">
        <v>8943</v>
      </c>
      <c r="G2779" s="919" t="s">
        <v>8944</v>
      </c>
      <c r="H2779" s="919" t="s">
        <v>3999</v>
      </c>
      <c r="I2779" s="919" t="s">
        <v>3724</v>
      </c>
      <c r="J2779" s="919"/>
      <c r="K2779" s="920"/>
      <c r="L2779" s="920"/>
      <c r="M2779" s="920">
        <f t="shared" si="86"/>
        <v>0</v>
      </c>
      <c r="N2779" s="919">
        <v>1</v>
      </c>
      <c r="O2779" s="919">
        <v>1</v>
      </c>
      <c r="P2779" s="921">
        <f t="shared" si="87"/>
        <v>2110</v>
      </c>
    </row>
    <row r="2780" spans="1:16" ht="20.100000000000001" customHeight="1" x14ac:dyDescent="0.25">
      <c r="A2780" s="918" t="s">
        <v>488</v>
      </c>
      <c r="B2780" s="944" t="s">
        <v>3901</v>
      </c>
      <c r="C2780" s="919" t="s">
        <v>3902</v>
      </c>
      <c r="D2780" s="919" t="s">
        <v>4352</v>
      </c>
      <c r="E2780" s="920">
        <v>2110</v>
      </c>
      <c r="F2780" s="919" t="s">
        <v>8945</v>
      </c>
      <c r="G2780" s="919" t="s">
        <v>8946</v>
      </c>
      <c r="H2780" s="919" t="s">
        <v>4352</v>
      </c>
      <c r="I2780" s="919" t="s">
        <v>3724</v>
      </c>
      <c r="J2780" s="919"/>
      <c r="K2780" s="920">
        <v>1</v>
      </c>
      <c r="L2780" s="920">
        <v>12</v>
      </c>
      <c r="M2780" s="920">
        <f t="shared" si="86"/>
        <v>25320</v>
      </c>
      <c r="N2780" s="919"/>
      <c r="O2780" s="919"/>
      <c r="P2780" s="921">
        <f t="shared" si="87"/>
        <v>0</v>
      </c>
    </row>
    <row r="2781" spans="1:16" ht="20.100000000000001" customHeight="1" x14ac:dyDescent="0.25">
      <c r="A2781" s="918" t="s">
        <v>488</v>
      </c>
      <c r="B2781" s="944" t="s">
        <v>3901</v>
      </c>
      <c r="C2781" s="919" t="s">
        <v>3902</v>
      </c>
      <c r="D2781" s="919" t="s">
        <v>6120</v>
      </c>
      <c r="E2781" s="920">
        <v>3685</v>
      </c>
      <c r="F2781" s="919" t="s">
        <v>8947</v>
      </c>
      <c r="G2781" s="919" t="s">
        <v>8948</v>
      </c>
      <c r="H2781" s="919" t="s">
        <v>6120</v>
      </c>
      <c r="I2781" s="919" t="s">
        <v>3724</v>
      </c>
      <c r="J2781" s="919"/>
      <c r="K2781" s="920">
        <v>1</v>
      </c>
      <c r="L2781" s="920">
        <v>12</v>
      </c>
      <c r="M2781" s="920">
        <f t="shared" si="86"/>
        <v>44220</v>
      </c>
      <c r="N2781" s="919"/>
      <c r="O2781" s="919"/>
      <c r="P2781" s="921">
        <f t="shared" si="87"/>
        <v>0</v>
      </c>
    </row>
    <row r="2782" spans="1:16" ht="20.100000000000001" customHeight="1" x14ac:dyDescent="0.25">
      <c r="A2782" s="918" t="s">
        <v>488</v>
      </c>
      <c r="B2782" s="944" t="s">
        <v>3901</v>
      </c>
      <c r="C2782" s="919" t="s">
        <v>3902</v>
      </c>
      <c r="D2782" s="919" t="s">
        <v>6120</v>
      </c>
      <c r="E2782" s="920">
        <v>3685</v>
      </c>
      <c r="F2782" s="919" t="s">
        <v>4041</v>
      </c>
      <c r="G2782" s="919" t="s">
        <v>4042</v>
      </c>
      <c r="H2782" s="919" t="s">
        <v>6120</v>
      </c>
      <c r="I2782" s="919" t="s">
        <v>3724</v>
      </c>
      <c r="J2782" s="919"/>
      <c r="K2782" s="920">
        <v>1</v>
      </c>
      <c r="L2782" s="920">
        <v>12</v>
      </c>
      <c r="M2782" s="920">
        <f t="shared" si="86"/>
        <v>44220</v>
      </c>
      <c r="N2782" s="919"/>
      <c r="O2782" s="919"/>
      <c r="P2782" s="921">
        <f t="shared" si="87"/>
        <v>0</v>
      </c>
    </row>
    <row r="2783" spans="1:16" ht="20.100000000000001" customHeight="1" x14ac:dyDescent="0.25">
      <c r="A2783" s="918" t="s">
        <v>488</v>
      </c>
      <c r="B2783" s="944" t="s">
        <v>3901</v>
      </c>
      <c r="C2783" s="919" t="s">
        <v>3902</v>
      </c>
      <c r="D2783" s="919" t="s">
        <v>8701</v>
      </c>
      <c r="E2783" s="920">
        <v>1375</v>
      </c>
      <c r="F2783" s="919" t="s">
        <v>8949</v>
      </c>
      <c r="G2783" s="919" t="s">
        <v>8950</v>
      </c>
      <c r="H2783" s="919" t="s">
        <v>8701</v>
      </c>
      <c r="I2783" s="919" t="s">
        <v>3686</v>
      </c>
      <c r="J2783" s="919"/>
      <c r="K2783" s="920">
        <v>1</v>
      </c>
      <c r="L2783" s="920">
        <v>12</v>
      </c>
      <c r="M2783" s="920">
        <f t="shared" si="86"/>
        <v>16500</v>
      </c>
      <c r="N2783" s="919"/>
      <c r="O2783" s="919"/>
      <c r="P2783" s="921">
        <f t="shared" si="87"/>
        <v>0</v>
      </c>
    </row>
    <row r="2784" spans="1:16" ht="20.100000000000001" customHeight="1" x14ac:dyDescent="0.25">
      <c r="A2784" s="918" t="s">
        <v>488</v>
      </c>
      <c r="B2784" s="944" t="s">
        <v>3901</v>
      </c>
      <c r="C2784" s="919" t="s">
        <v>3902</v>
      </c>
      <c r="D2784" s="919" t="s">
        <v>8701</v>
      </c>
      <c r="E2784" s="920">
        <v>1375</v>
      </c>
      <c r="F2784" s="919" t="s">
        <v>8951</v>
      </c>
      <c r="G2784" s="919" t="s">
        <v>8952</v>
      </c>
      <c r="H2784" s="919" t="s">
        <v>8701</v>
      </c>
      <c r="I2784" s="919" t="s">
        <v>3686</v>
      </c>
      <c r="J2784" s="919"/>
      <c r="K2784" s="920">
        <v>1</v>
      </c>
      <c r="L2784" s="920">
        <v>12</v>
      </c>
      <c r="M2784" s="920">
        <f t="shared" si="86"/>
        <v>16500</v>
      </c>
      <c r="N2784" s="919"/>
      <c r="O2784" s="919"/>
      <c r="P2784" s="921">
        <f t="shared" si="87"/>
        <v>0</v>
      </c>
    </row>
    <row r="2785" spans="1:16" ht="20.100000000000001" customHeight="1" x14ac:dyDescent="0.25">
      <c r="A2785" s="918" t="s">
        <v>488</v>
      </c>
      <c r="B2785" s="944" t="s">
        <v>3901</v>
      </c>
      <c r="C2785" s="919" t="s">
        <v>3902</v>
      </c>
      <c r="D2785" s="919" t="s">
        <v>8701</v>
      </c>
      <c r="E2785" s="920">
        <v>1375</v>
      </c>
      <c r="F2785" s="919" t="s">
        <v>8953</v>
      </c>
      <c r="G2785" s="919" t="s">
        <v>8954</v>
      </c>
      <c r="H2785" s="919" t="s">
        <v>8701</v>
      </c>
      <c r="I2785" s="919" t="s">
        <v>3686</v>
      </c>
      <c r="J2785" s="919"/>
      <c r="K2785" s="920">
        <v>1</v>
      </c>
      <c r="L2785" s="920">
        <v>12</v>
      </c>
      <c r="M2785" s="920">
        <f t="shared" si="86"/>
        <v>16500</v>
      </c>
      <c r="N2785" s="919"/>
      <c r="O2785" s="919"/>
      <c r="P2785" s="921">
        <f t="shared" si="87"/>
        <v>0</v>
      </c>
    </row>
    <row r="2786" spans="1:16" ht="20.100000000000001" customHeight="1" x14ac:dyDescent="0.25">
      <c r="A2786" s="918" t="s">
        <v>488</v>
      </c>
      <c r="B2786" s="944" t="s">
        <v>3901</v>
      </c>
      <c r="C2786" s="919" t="s">
        <v>3902</v>
      </c>
      <c r="D2786" s="919" t="s">
        <v>3999</v>
      </c>
      <c r="E2786" s="920">
        <v>2110</v>
      </c>
      <c r="F2786" s="919" t="s">
        <v>8955</v>
      </c>
      <c r="G2786" s="919" t="s">
        <v>8956</v>
      </c>
      <c r="H2786" s="919" t="s">
        <v>3999</v>
      </c>
      <c r="I2786" s="919" t="s">
        <v>3724</v>
      </c>
      <c r="J2786" s="919"/>
      <c r="K2786" s="920"/>
      <c r="L2786" s="920"/>
      <c r="M2786" s="920">
        <f t="shared" si="86"/>
        <v>0</v>
      </c>
      <c r="N2786" s="919">
        <v>1</v>
      </c>
      <c r="O2786" s="919">
        <v>1</v>
      </c>
      <c r="P2786" s="921">
        <f t="shared" si="87"/>
        <v>2110</v>
      </c>
    </row>
    <row r="2787" spans="1:16" ht="20.100000000000001" customHeight="1" x14ac:dyDescent="0.25">
      <c r="A2787" s="918" t="s">
        <v>488</v>
      </c>
      <c r="B2787" s="944" t="s">
        <v>3901</v>
      </c>
      <c r="C2787" s="919" t="s">
        <v>3902</v>
      </c>
      <c r="D2787" s="919" t="s">
        <v>6074</v>
      </c>
      <c r="E2787" s="920">
        <v>1800</v>
      </c>
      <c r="F2787" s="919" t="s">
        <v>8957</v>
      </c>
      <c r="G2787" s="919" t="s">
        <v>8958</v>
      </c>
      <c r="H2787" s="919" t="s">
        <v>6074</v>
      </c>
      <c r="I2787" s="919" t="s">
        <v>3686</v>
      </c>
      <c r="J2787" s="919"/>
      <c r="K2787" s="920">
        <v>1</v>
      </c>
      <c r="L2787" s="920">
        <v>12</v>
      </c>
      <c r="M2787" s="920">
        <f t="shared" si="86"/>
        <v>21600</v>
      </c>
      <c r="N2787" s="919"/>
      <c r="O2787" s="919"/>
      <c r="P2787" s="921">
        <f t="shared" si="87"/>
        <v>0</v>
      </c>
    </row>
    <row r="2788" spans="1:16" ht="20.100000000000001" customHeight="1" x14ac:dyDescent="0.25">
      <c r="A2788" s="918" t="s">
        <v>488</v>
      </c>
      <c r="B2788" s="944" t="s">
        <v>3901</v>
      </c>
      <c r="C2788" s="919" t="s">
        <v>3902</v>
      </c>
      <c r="D2788" s="919" t="s">
        <v>6203</v>
      </c>
      <c r="E2788" s="920">
        <v>2700</v>
      </c>
      <c r="F2788" s="919" t="s">
        <v>8959</v>
      </c>
      <c r="G2788" s="919" t="s">
        <v>8960</v>
      </c>
      <c r="H2788" s="919" t="s">
        <v>6203</v>
      </c>
      <c r="I2788" s="919" t="s">
        <v>3724</v>
      </c>
      <c r="J2788" s="919"/>
      <c r="K2788" s="920">
        <v>1</v>
      </c>
      <c r="L2788" s="920">
        <v>12</v>
      </c>
      <c r="M2788" s="920">
        <f t="shared" si="86"/>
        <v>32400</v>
      </c>
      <c r="N2788" s="919"/>
      <c r="O2788" s="919"/>
      <c r="P2788" s="921">
        <f t="shared" si="87"/>
        <v>0</v>
      </c>
    </row>
    <row r="2789" spans="1:16" ht="20.100000000000001" customHeight="1" x14ac:dyDescent="0.25">
      <c r="A2789" s="918" t="s">
        <v>488</v>
      </c>
      <c r="B2789" s="944" t="s">
        <v>3901</v>
      </c>
      <c r="C2789" s="919" t="s">
        <v>3902</v>
      </c>
      <c r="D2789" s="919" t="s">
        <v>6120</v>
      </c>
      <c r="E2789" s="920">
        <v>4610</v>
      </c>
      <c r="F2789" s="919" t="s">
        <v>4041</v>
      </c>
      <c r="G2789" s="919" t="s">
        <v>4062</v>
      </c>
      <c r="H2789" s="919" t="s">
        <v>6120</v>
      </c>
      <c r="I2789" s="919" t="s">
        <v>3724</v>
      </c>
      <c r="J2789" s="919"/>
      <c r="K2789" s="920">
        <v>1</v>
      </c>
      <c r="L2789" s="920">
        <v>12</v>
      </c>
      <c r="M2789" s="920">
        <f t="shared" si="86"/>
        <v>55320</v>
      </c>
      <c r="N2789" s="919"/>
      <c r="O2789" s="919"/>
      <c r="P2789" s="921">
        <f t="shared" si="87"/>
        <v>0</v>
      </c>
    </row>
    <row r="2790" spans="1:16" ht="20.100000000000001" customHeight="1" x14ac:dyDescent="0.25">
      <c r="A2790" s="918" t="s">
        <v>488</v>
      </c>
      <c r="B2790" s="944" t="s">
        <v>3901</v>
      </c>
      <c r="C2790" s="919" t="s">
        <v>3902</v>
      </c>
      <c r="D2790" s="919" t="s">
        <v>6074</v>
      </c>
      <c r="E2790" s="920">
        <v>1525</v>
      </c>
      <c r="F2790" s="919" t="s">
        <v>8961</v>
      </c>
      <c r="G2790" s="919" t="s">
        <v>8962</v>
      </c>
      <c r="H2790" s="919" t="s">
        <v>6074</v>
      </c>
      <c r="I2790" s="919" t="s">
        <v>3686</v>
      </c>
      <c r="J2790" s="919"/>
      <c r="K2790" s="920"/>
      <c r="L2790" s="920"/>
      <c r="M2790" s="920">
        <f t="shared" si="86"/>
        <v>0</v>
      </c>
      <c r="N2790" s="919">
        <v>1</v>
      </c>
      <c r="O2790" s="919">
        <v>1</v>
      </c>
      <c r="P2790" s="921">
        <f t="shared" si="87"/>
        <v>1525</v>
      </c>
    </row>
    <row r="2791" spans="1:16" ht="20.100000000000001" customHeight="1" x14ac:dyDescent="0.25">
      <c r="A2791" s="918" t="s">
        <v>488</v>
      </c>
      <c r="B2791" s="944" t="s">
        <v>3901</v>
      </c>
      <c r="C2791" s="919" t="s">
        <v>3902</v>
      </c>
      <c r="D2791" s="919" t="s">
        <v>4352</v>
      </c>
      <c r="E2791" s="920">
        <v>2400</v>
      </c>
      <c r="F2791" s="919" t="s">
        <v>4041</v>
      </c>
      <c r="G2791" s="919" t="s">
        <v>4062</v>
      </c>
      <c r="H2791" s="919" t="s">
        <v>4352</v>
      </c>
      <c r="I2791" s="919" t="s">
        <v>3724</v>
      </c>
      <c r="J2791" s="919"/>
      <c r="K2791" s="920">
        <v>1</v>
      </c>
      <c r="L2791" s="920">
        <v>12</v>
      </c>
      <c r="M2791" s="920">
        <f t="shared" si="86"/>
        <v>28800</v>
      </c>
      <c r="N2791" s="919"/>
      <c r="O2791" s="919"/>
      <c r="P2791" s="921">
        <f t="shared" si="87"/>
        <v>0</v>
      </c>
    </row>
    <row r="2792" spans="1:16" ht="20.100000000000001" customHeight="1" x14ac:dyDescent="0.25">
      <c r="A2792" s="918" t="s">
        <v>488</v>
      </c>
      <c r="B2792" s="944" t="s">
        <v>3901</v>
      </c>
      <c r="C2792" s="919" t="s">
        <v>3902</v>
      </c>
      <c r="D2792" s="919" t="s">
        <v>6366</v>
      </c>
      <c r="E2792" s="920">
        <v>1225</v>
      </c>
      <c r="F2792" s="919" t="s">
        <v>4041</v>
      </c>
      <c r="G2792" s="919" t="s">
        <v>4062</v>
      </c>
      <c r="H2792" s="919" t="s">
        <v>6366</v>
      </c>
      <c r="I2792" s="919" t="s">
        <v>3693</v>
      </c>
      <c r="J2792" s="919"/>
      <c r="K2792" s="920">
        <v>1</v>
      </c>
      <c r="L2792" s="920">
        <v>12</v>
      </c>
      <c r="M2792" s="920">
        <f t="shared" si="86"/>
        <v>14700</v>
      </c>
      <c r="N2792" s="919"/>
      <c r="O2792" s="919"/>
      <c r="P2792" s="921">
        <f t="shared" si="87"/>
        <v>0</v>
      </c>
    </row>
    <row r="2793" spans="1:16" ht="20.100000000000001" customHeight="1" x14ac:dyDescent="0.25">
      <c r="A2793" s="918" t="s">
        <v>488</v>
      </c>
      <c r="B2793" s="944" t="s">
        <v>3901</v>
      </c>
      <c r="C2793" s="919" t="s">
        <v>3902</v>
      </c>
      <c r="D2793" s="919" t="s">
        <v>6074</v>
      </c>
      <c r="E2793" s="920">
        <v>1525</v>
      </c>
      <c r="F2793" s="919" t="s">
        <v>8963</v>
      </c>
      <c r="G2793" s="919" t="s">
        <v>8964</v>
      </c>
      <c r="H2793" s="919" t="s">
        <v>6074</v>
      </c>
      <c r="I2793" s="919" t="s">
        <v>3686</v>
      </c>
      <c r="J2793" s="919"/>
      <c r="K2793" s="920">
        <v>1</v>
      </c>
      <c r="L2793" s="920">
        <v>12</v>
      </c>
      <c r="M2793" s="920">
        <f t="shared" si="86"/>
        <v>18300</v>
      </c>
      <c r="N2793" s="919"/>
      <c r="O2793" s="919"/>
      <c r="P2793" s="921">
        <f t="shared" si="87"/>
        <v>0</v>
      </c>
    </row>
    <row r="2794" spans="1:16" ht="20.100000000000001" customHeight="1" x14ac:dyDescent="0.25">
      <c r="A2794" s="918" t="s">
        <v>488</v>
      </c>
      <c r="B2794" s="944" t="s">
        <v>3901</v>
      </c>
      <c r="C2794" s="919" t="s">
        <v>3902</v>
      </c>
      <c r="D2794" s="919" t="s">
        <v>8541</v>
      </c>
      <c r="E2794" s="920">
        <v>2400</v>
      </c>
      <c r="F2794" s="919" t="s">
        <v>8965</v>
      </c>
      <c r="G2794" s="919" t="s">
        <v>8966</v>
      </c>
      <c r="H2794" s="919" t="s">
        <v>8541</v>
      </c>
      <c r="I2794" s="919" t="s">
        <v>3724</v>
      </c>
      <c r="J2794" s="919"/>
      <c r="K2794" s="920">
        <v>1</v>
      </c>
      <c r="L2794" s="920">
        <v>12</v>
      </c>
      <c r="M2794" s="920">
        <f t="shared" si="86"/>
        <v>28800</v>
      </c>
      <c r="N2794" s="919"/>
      <c r="O2794" s="919"/>
      <c r="P2794" s="921">
        <f t="shared" si="87"/>
        <v>0</v>
      </c>
    </row>
    <row r="2795" spans="1:16" ht="20.100000000000001" customHeight="1" x14ac:dyDescent="0.25">
      <c r="A2795" s="918" t="s">
        <v>488</v>
      </c>
      <c r="B2795" s="944" t="s">
        <v>3901</v>
      </c>
      <c r="C2795" s="919" t="s">
        <v>3902</v>
      </c>
      <c r="D2795" s="919" t="s">
        <v>3999</v>
      </c>
      <c r="E2795" s="920">
        <v>2400</v>
      </c>
      <c r="F2795" s="919" t="s">
        <v>8967</v>
      </c>
      <c r="G2795" s="919" t="s">
        <v>8968</v>
      </c>
      <c r="H2795" s="919" t="s">
        <v>3999</v>
      </c>
      <c r="I2795" s="919" t="s">
        <v>3724</v>
      </c>
      <c r="J2795" s="919"/>
      <c r="K2795" s="920">
        <v>1</v>
      </c>
      <c r="L2795" s="920">
        <v>12</v>
      </c>
      <c r="M2795" s="920">
        <f t="shared" si="86"/>
        <v>28800</v>
      </c>
      <c r="N2795" s="919"/>
      <c r="O2795" s="919"/>
      <c r="P2795" s="921">
        <f t="shared" si="87"/>
        <v>0</v>
      </c>
    </row>
    <row r="2796" spans="1:16" ht="20.100000000000001" customHeight="1" x14ac:dyDescent="0.25">
      <c r="A2796" s="918" t="s">
        <v>488</v>
      </c>
      <c r="B2796" s="944" t="s">
        <v>3901</v>
      </c>
      <c r="C2796" s="919" t="s">
        <v>3902</v>
      </c>
      <c r="D2796" s="919" t="s">
        <v>4352</v>
      </c>
      <c r="E2796" s="920">
        <v>2400</v>
      </c>
      <c r="F2796" s="919" t="s">
        <v>4041</v>
      </c>
      <c r="G2796" s="919" t="s">
        <v>4062</v>
      </c>
      <c r="H2796" s="919" t="s">
        <v>4352</v>
      </c>
      <c r="I2796" s="919" t="s">
        <v>3724</v>
      </c>
      <c r="J2796" s="919"/>
      <c r="K2796" s="920">
        <v>1</v>
      </c>
      <c r="L2796" s="920">
        <v>12</v>
      </c>
      <c r="M2796" s="920">
        <f t="shared" si="86"/>
        <v>28800</v>
      </c>
      <c r="N2796" s="919"/>
      <c r="O2796" s="919"/>
      <c r="P2796" s="921">
        <f t="shared" si="87"/>
        <v>0</v>
      </c>
    </row>
    <row r="2797" spans="1:16" ht="20.100000000000001" customHeight="1" x14ac:dyDescent="0.25">
      <c r="A2797" s="918" t="s">
        <v>488</v>
      </c>
      <c r="B2797" s="944" t="s">
        <v>3901</v>
      </c>
      <c r="C2797" s="919" t="s">
        <v>3902</v>
      </c>
      <c r="D2797" s="919" t="s">
        <v>3999</v>
      </c>
      <c r="E2797" s="920">
        <v>2400</v>
      </c>
      <c r="F2797" s="919" t="s">
        <v>8969</v>
      </c>
      <c r="G2797" s="919" t="s">
        <v>8970</v>
      </c>
      <c r="H2797" s="919" t="s">
        <v>3999</v>
      </c>
      <c r="I2797" s="919" t="s">
        <v>3724</v>
      </c>
      <c r="J2797" s="919"/>
      <c r="K2797" s="920">
        <v>1</v>
      </c>
      <c r="L2797" s="920">
        <v>12</v>
      </c>
      <c r="M2797" s="920">
        <f t="shared" si="86"/>
        <v>28800</v>
      </c>
      <c r="N2797" s="919"/>
      <c r="O2797" s="919"/>
      <c r="P2797" s="921">
        <f t="shared" si="87"/>
        <v>0</v>
      </c>
    </row>
    <row r="2798" spans="1:16" ht="20.100000000000001" customHeight="1" x14ac:dyDescent="0.25">
      <c r="A2798" s="918" t="s">
        <v>488</v>
      </c>
      <c r="B2798" s="944" t="s">
        <v>3901</v>
      </c>
      <c r="C2798" s="919" t="s">
        <v>3902</v>
      </c>
      <c r="D2798" s="919" t="s">
        <v>4352</v>
      </c>
      <c r="E2798" s="920">
        <v>2400</v>
      </c>
      <c r="F2798" s="919" t="s">
        <v>8971</v>
      </c>
      <c r="G2798" s="919" t="s">
        <v>8972</v>
      </c>
      <c r="H2798" s="919" t="s">
        <v>4352</v>
      </c>
      <c r="I2798" s="919" t="s">
        <v>3724</v>
      </c>
      <c r="J2798" s="919"/>
      <c r="K2798" s="920">
        <v>1</v>
      </c>
      <c r="L2798" s="920">
        <v>12</v>
      </c>
      <c r="M2798" s="920">
        <f t="shared" si="86"/>
        <v>28800</v>
      </c>
      <c r="N2798" s="919"/>
      <c r="O2798" s="919"/>
      <c r="P2798" s="921">
        <f t="shared" si="87"/>
        <v>0</v>
      </c>
    </row>
    <row r="2799" spans="1:16" ht="20.100000000000001" customHeight="1" x14ac:dyDescent="0.25">
      <c r="A2799" s="918" t="s">
        <v>488</v>
      </c>
      <c r="B2799" s="944" t="s">
        <v>3901</v>
      </c>
      <c r="C2799" s="919" t="s">
        <v>3902</v>
      </c>
      <c r="D2799" s="919" t="s">
        <v>6120</v>
      </c>
      <c r="E2799" s="920">
        <v>3900</v>
      </c>
      <c r="F2799" s="919" t="s">
        <v>8973</v>
      </c>
      <c r="G2799" s="919" t="s">
        <v>8974</v>
      </c>
      <c r="H2799" s="919" t="s">
        <v>6120</v>
      </c>
      <c r="I2799" s="919" t="s">
        <v>3724</v>
      </c>
      <c r="J2799" s="919"/>
      <c r="K2799" s="920">
        <v>1</v>
      </c>
      <c r="L2799" s="920">
        <v>12</v>
      </c>
      <c r="M2799" s="920">
        <f t="shared" si="86"/>
        <v>46800</v>
      </c>
      <c r="N2799" s="919"/>
      <c r="O2799" s="919"/>
      <c r="P2799" s="921">
        <f t="shared" si="87"/>
        <v>0</v>
      </c>
    </row>
    <row r="2800" spans="1:16" ht="20.100000000000001" customHeight="1" x14ac:dyDescent="0.25">
      <c r="A2800" s="918" t="s">
        <v>488</v>
      </c>
      <c r="B2800" s="944" t="s">
        <v>3901</v>
      </c>
      <c r="C2800" s="919" t="s">
        <v>3902</v>
      </c>
      <c r="D2800" s="919" t="s">
        <v>6120</v>
      </c>
      <c r="E2800" s="920">
        <v>3900</v>
      </c>
      <c r="F2800" s="919" t="s">
        <v>4041</v>
      </c>
      <c r="G2800" s="919" t="s">
        <v>4062</v>
      </c>
      <c r="H2800" s="919" t="s">
        <v>6120</v>
      </c>
      <c r="I2800" s="919" t="s">
        <v>3724</v>
      </c>
      <c r="J2800" s="919"/>
      <c r="K2800" s="920">
        <v>1</v>
      </c>
      <c r="L2800" s="920">
        <v>12</v>
      </c>
      <c r="M2800" s="920">
        <f t="shared" si="86"/>
        <v>46800</v>
      </c>
      <c r="N2800" s="919"/>
      <c r="O2800" s="919"/>
      <c r="P2800" s="921">
        <f t="shared" si="87"/>
        <v>0</v>
      </c>
    </row>
    <row r="2801" spans="1:16" ht="20.100000000000001" customHeight="1" x14ac:dyDescent="0.25">
      <c r="A2801" s="918" t="s">
        <v>488</v>
      </c>
      <c r="B2801" s="944" t="s">
        <v>3901</v>
      </c>
      <c r="C2801" s="919" t="s">
        <v>3902</v>
      </c>
      <c r="D2801" s="919" t="s">
        <v>4352</v>
      </c>
      <c r="E2801" s="920">
        <v>2400</v>
      </c>
      <c r="F2801" s="919" t="s">
        <v>4041</v>
      </c>
      <c r="G2801" s="919" t="s">
        <v>4062</v>
      </c>
      <c r="H2801" s="919" t="s">
        <v>4352</v>
      </c>
      <c r="I2801" s="919" t="s">
        <v>3724</v>
      </c>
      <c r="J2801" s="919"/>
      <c r="K2801" s="920">
        <v>1</v>
      </c>
      <c r="L2801" s="920">
        <v>12</v>
      </c>
      <c r="M2801" s="920">
        <f t="shared" si="86"/>
        <v>28800</v>
      </c>
      <c r="N2801" s="919"/>
      <c r="O2801" s="919"/>
      <c r="P2801" s="921">
        <f t="shared" si="87"/>
        <v>0</v>
      </c>
    </row>
    <row r="2802" spans="1:16" ht="20.100000000000001" customHeight="1" x14ac:dyDescent="0.25">
      <c r="A2802" s="918" t="s">
        <v>488</v>
      </c>
      <c r="B2802" s="944" t="s">
        <v>3901</v>
      </c>
      <c r="C2802" s="919" t="s">
        <v>3902</v>
      </c>
      <c r="D2802" s="919" t="s">
        <v>4352</v>
      </c>
      <c r="E2802" s="920">
        <v>2550</v>
      </c>
      <c r="F2802" s="919" t="s">
        <v>8975</v>
      </c>
      <c r="G2802" s="919" t="s">
        <v>8976</v>
      </c>
      <c r="H2802" s="919" t="s">
        <v>4352</v>
      </c>
      <c r="I2802" s="919" t="s">
        <v>3724</v>
      </c>
      <c r="J2802" s="919"/>
      <c r="K2802" s="920">
        <v>1</v>
      </c>
      <c r="L2802" s="920">
        <v>12</v>
      </c>
      <c r="M2802" s="920">
        <f t="shared" si="86"/>
        <v>30600</v>
      </c>
      <c r="N2802" s="919"/>
      <c r="O2802" s="919"/>
      <c r="P2802" s="921">
        <f t="shared" si="87"/>
        <v>0</v>
      </c>
    </row>
    <row r="2803" spans="1:16" ht="20.100000000000001" customHeight="1" x14ac:dyDescent="0.25">
      <c r="A2803" s="918" t="s">
        <v>488</v>
      </c>
      <c r="B2803" s="944" t="s">
        <v>3901</v>
      </c>
      <c r="C2803" s="919" t="s">
        <v>3902</v>
      </c>
      <c r="D2803" s="919" t="s">
        <v>8701</v>
      </c>
      <c r="E2803" s="920">
        <v>1450</v>
      </c>
      <c r="F2803" s="919" t="s">
        <v>8977</v>
      </c>
      <c r="G2803" s="919" t="s">
        <v>8978</v>
      </c>
      <c r="H2803" s="919" t="s">
        <v>8701</v>
      </c>
      <c r="I2803" s="919" t="s">
        <v>3686</v>
      </c>
      <c r="J2803" s="919"/>
      <c r="K2803" s="920">
        <v>1</v>
      </c>
      <c r="L2803" s="920">
        <v>12</v>
      </c>
      <c r="M2803" s="920">
        <f t="shared" si="86"/>
        <v>17400</v>
      </c>
      <c r="N2803" s="919"/>
      <c r="O2803" s="919"/>
      <c r="P2803" s="921">
        <f t="shared" si="87"/>
        <v>0</v>
      </c>
    </row>
    <row r="2804" spans="1:16" ht="20.100000000000001" customHeight="1" x14ac:dyDescent="0.25">
      <c r="A2804" s="918" t="s">
        <v>488</v>
      </c>
      <c r="B2804" s="944" t="s">
        <v>3901</v>
      </c>
      <c r="C2804" s="919" t="s">
        <v>3902</v>
      </c>
      <c r="D2804" s="919" t="s">
        <v>3999</v>
      </c>
      <c r="E2804" s="920">
        <v>2300</v>
      </c>
      <c r="F2804" s="919" t="s">
        <v>8979</v>
      </c>
      <c r="G2804" s="919" t="s">
        <v>8980</v>
      </c>
      <c r="H2804" s="919" t="s">
        <v>3999</v>
      </c>
      <c r="I2804" s="919" t="s">
        <v>3724</v>
      </c>
      <c r="J2804" s="919"/>
      <c r="K2804" s="920">
        <v>1</v>
      </c>
      <c r="L2804" s="920">
        <v>12</v>
      </c>
      <c r="M2804" s="920">
        <f t="shared" si="86"/>
        <v>27600</v>
      </c>
      <c r="N2804" s="919"/>
      <c r="O2804" s="919"/>
      <c r="P2804" s="921">
        <f t="shared" si="87"/>
        <v>0</v>
      </c>
    </row>
    <row r="2805" spans="1:16" ht="20.100000000000001" customHeight="1" x14ac:dyDescent="0.25">
      <c r="A2805" s="918" t="s">
        <v>488</v>
      </c>
      <c r="B2805" s="944" t="s">
        <v>3901</v>
      </c>
      <c r="C2805" s="919" t="s">
        <v>3902</v>
      </c>
      <c r="D2805" s="919" t="s">
        <v>7145</v>
      </c>
      <c r="E2805" s="920">
        <v>1800</v>
      </c>
      <c r="F2805" s="919" t="s">
        <v>8981</v>
      </c>
      <c r="G2805" s="919" t="s">
        <v>8982</v>
      </c>
      <c r="H2805" s="919" t="s">
        <v>7145</v>
      </c>
      <c r="I2805" s="919" t="s">
        <v>3686</v>
      </c>
      <c r="J2805" s="919"/>
      <c r="K2805" s="920">
        <v>1</v>
      </c>
      <c r="L2805" s="920">
        <v>12</v>
      </c>
      <c r="M2805" s="920">
        <f t="shared" si="86"/>
        <v>21600</v>
      </c>
      <c r="N2805" s="919"/>
      <c r="O2805" s="919"/>
      <c r="P2805" s="921">
        <f t="shared" si="87"/>
        <v>0</v>
      </c>
    </row>
    <row r="2806" spans="1:16" ht="20.100000000000001" customHeight="1" x14ac:dyDescent="0.25">
      <c r="A2806" s="918" t="s">
        <v>488</v>
      </c>
      <c r="B2806" s="944" t="s">
        <v>3901</v>
      </c>
      <c r="C2806" s="919" t="s">
        <v>3902</v>
      </c>
      <c r="D2806" s="919" t="s">
        <v>3999</v>
      </c>
      <c r="E2806" s="920">
        <v>2700</v>
      </c>
      <c r="F2806" s="919" t="s">
        <v>8983</v>
      </c>
      <c r="G2806" s="919" t="s">
        <v>8984</v>
      </c>
      <c r="H2806" s="919" t="s">
        <v>3999</v>
      </c>
      <c r="I2806" s="919" t="s">
        <v>3724</v>
      </c>
      <c r="J2806" s="919"/>
      <c r="K2806" s="920">
        <v>1</v>
      </c>
      <c r="L2806" s="920">
        <v>12</v>
      </c>
      <c r="M2806" s="920">
        <f t="shared" si="86"/>
        <v>32400</v>
      </c>
      <c r="N2806" s="919"/>
      <c r="O2806" s="919"/>
      <c r="P2806" s="921">
        <f t="shared" si="87"/>
        <v>0</v>
      </c>
    </row>
    <row r="2807" spans="1:16" ht="20.100000000000001" customHeight="1" x14ac:dyDescent="0.25">
      <c r="A2807" s="918" t="s">
        <v>488</v>
      </c>
      <c r="B2807" s="944" t="s">
        <v>3901</v>
      </c>
      <c r="C2807" s="919" t="s">
        <v>3902</v>
      </c>
      <c r="D2807" s="919" t="s">
        <v>4352</v>
      </c>
      <c r="E2807" s="920">
        <v>2700</v>
      </c>
      <c r="F2807" s="919" t="s">
        <v>8985</v>
      </c>
      <c r="G2807" s="919" t="s">
        <v>8986</v>
      </c>
      <c r="H2807" s="919" t="s">
        <v>4352</v>
      </c>
      <c r="I2807" s="919" t="s">
        <v>3724</v>
      </c>
      <c r="J2807" s="919"/>
      <c r="K2807" s="920">
        <v>1</v>
      </c>
      <c r="L2807" s="920">
        <v>12</v>
      </c>
      <c r="M2807" s="920">
        <f t="shared" si="86"/>
        <v>32400</v>
      </c>
      <c r="N2807" s="919"/>
      <c r="O2807" s="919"/>
      <c r="P2807" s="921">
        <f t="shared" si="87"/>
        <v>0</v>
      </c>
    </row>
    <row r="2808" spans="1:16" ht="20.100000000000001" customHeight="1" x14ac:dyDescent="0.25">
      <c r="A2808" s="918" t="s">
        <v>488</v>
      </c>
      <c r="B2808" s="944" t="s">
        <v>3901</v>
      </c>
      <c r="C2808" s="919" t="s">
        <v>3902</v>
      </c>
      <c r="D2808" s="919" t="s">
        <v>3999</v>
      </c>
      <c r="E2808" s="920">
        <v>3500</v>
      </c>
      <c r="F2808" s="919" t="s">
        <v>8987</v>
      </c>
      <c r="G2808" s="919" t="s">
        <v>8988</v>
      </c>
      <c r="H2808" s="919" t="s">
        <v>3999</v>
      </c>
      <c r="I2808" s="919" t="s">
        <v>3724</v>
      </c>
      <c r="J2808" s="919"/>
      <c r="K2808" s="920"/>
      <c r="L2808" s="920"/>
      <c r="M2808" s="920">
        <f t="shared" si="86"/>
        <v>0</v>
      </c>
      <c r="N2808" s="919">
        <v>1</v>
      </c>
      <c r="O2808" s="919">
        <v>1</v>
      </c>
      <c r="P2808" s="921">
        <f t="shared" si="87"/>
        <v>3500</v>
      </c>
    </row>
    <row r="2809" spans="1:16" ht="20.100000000000001" customHeight="1" x14ac:dyDescent="0.25">
      <c r="A2809" s="918" t="s">
        <v>488</v>
      </c>
      <c r="B2809" s="944" t="s">
        <v>3901</v>
      </c>
      <c r="C2809" s="919" t="s">
        <v>3902</v>
      </c>
      <c r="D2809" s="919" t="s">
        <v>7145</v>
      </c>
      <c r="E2809" s="920">
        <v>1525</v>
      </c>
      <c r="F2809" s="919" t="s">
        <v>8989</v>
      </c>
      <c r="G2809" s="919" t="s">
        <v>8990</v>
      </c>
      <c r="H2809" s="919" t="s">
        <v>7145</v>
      </c>
      <c r="I2809" s="919" t="s">
        <v>3686</v>
      </c>
      <c r="J2809" s="919"/>
      <c r="K2809" s="920"/>
      <c r="L2809" s="920"/>
      <c r="M2809" s="920">
        <f t="shared" si="86"/>
        <v>0</v>
      </c>
      <c r="N2809" s="919">
        <v>1</v>
      </c>
      <c r="O2809" s="919">
        <v>1</v>
      </c>
      <c r="P2809" s="921">
        <f t="shared" si="87"/>
        <v>1525</v>
      </c>
    </row>
    <row r="2810" spans="1:16" ht="20.100000000000001" customHeight="1" x14ac:dyDescent="0.25">
      <c r="A2810" s="918" t="s">
        <v>488</v>
      </c>
      <c r="B2810" s="944" t="s">
        <v>3901</v>
      </c>
      <c r="C2810" s="919" t="s">
        <v>3902</v>
      </c>
      <c r="D2810" s="919" t="s">
        <v>6130</v>
      </c>
      <c r="E2810" s="920">
        <v>1525</v>
      </c>
      <c r="F2810" s="919" t="s">
        <v>8991</v>
      </c>
      <c r="G2810" s="919" t="s">
        <v>8992</v>
      </c>
      <c r="H2810" s="919" t="s">
        <v>6130</v>
      </c>
      <c r="I2810" s="919" t="s">
        <v>3686</v>
      </c>
      <c r="J2810" s="919"/>
      <c r="K2810" s="920"/>
      <c r="L2810" s="920"/>
      <c r="M2810" s="920">
        <f t="shared" si="86"/>
        <v>0</v>
      </c>
      <c r="N2810" s="919">
        <v>1</v>
      </c>
      <c r="O2810" s="919">
        <v>1</v>
      </c>
      <c r="P2810" s="921">
        <f t="shared" si="87"/>
        <v>1525</v>
      </c>
    </row>
    <row r="2811" spans="1:16" ht="20.100000000000001" customHeight="1" x14ac:dyDescent="0.25">
      <c r="A2811" s="918" t="s">
        <v>488</v>
      </c>
      <c r="B2811" s="944" t="s">
        <v>3901</v>
      </c>
      <c r="C2811" s="919" t="s">
        <v>3902</v>
      </c>
      <c r="D2811" s="919" t="s">
        <v>6074</v>
      </c>
      <c r="E2811" s="920">
        <v>1525</v>
      </c>
      <c r="F2811" s="919" t="s">
        <v>8993</v>
      </c>
      <c r="G2811" s="919" t="s">
        <v>8994</v>
      </c>
      <c r="H2811" s="919" t="s">
        <v>6074</v>
      </c>
      <c r="I2811" s="919" t="s">
        <v>3686</v>
      </c>
      <c r="J2811" s="919"/>
      <c r="K2811" s="920"/>
      <c r="L2811" s="920"/>
      <c r="M2811" s="920">
        <f t="shared" si="86"/>
        <v>0</v>
      </c>
      <c r="N2811" s="919">
        <v>1</v>
      </c>
      <c r="O2811" s="919">
        <v>1</v>
      </c>
      <c r="P2811" s="921">
        <f t="shared" si="87"/>
        <v>1525</v>
      </c>
    </row>
    <row r="2812" spans="1:16" ht="20.100000000000001" customHeight="1" x14ac:dyDescent="0.25">
      <c r="A2812" s="918" t="s">
        <v>488</v>
      </c>
      <c r="B2812" s="944" t="s">
        <v>3901</v>
      </c>
      <c r="C2812" s="919" t="s">
        <v>3902</v>
      </c>
      <c r="D2812" s="919" t="s">
        <v>8701</v>
      </c>
      <c r="E2812" s="920">
        <v>1525</v>
      </c>
      <c r="F2812" s="919" t="s">
        <v>8995</v>
      </c>
      <c r="G2812" s="919" t="s">
        <v>8996</v>
      </c>
      <c r="H2812" s="919" t="s">
        <v>8701</v>
      </c>
      <c r="I2812" s="919" t="s">
        <v>3686</v>
      </c>
      <c r="J2812" s="919"/>
      <c r="K2812" s="920">
        <v>1</v>
      </c>
      <c r="L2812" s="920">
        <v>12</v>
      </c>
      <c r="M2812" s="920">
        <f t="shared" si="86"/>
        <v>18300</v>
      </c>
      <c r="N2812" s="919"/>
      <c r="O2812" s="919"/>
      <c r="P2812" s="921">
        <f t="shared" si="87"/>
        <v>0</v>
      </c>
    </row>
    <row r="2813" spans="1:16" ht="20.100000000000001" customHeight="1" x14ac:dyDescent="0.25">
      <c r="A2813" s="918" t="s">
        <v>488</v>
      </c>
      <c r="B2813" s="944" t="s">
        <v>3901</v>
      </c>
      <c r="C2813" s="919" t="s">
        <v>3902</v>
      </c>
      <c r="D2813" s="919" t="s">
        <v>3999</v>
      </c>
      <c r="E2813" s="920">
        <v>2400</v>
      </c>
      <c r="F2813" s="919" t="s">
        <v>8997</v>
      </c>
      <c r="G2813" s="919" t="s">
        <v>8998</v>
      </c>
      <c r="H2813" s="919" t="s">
        <v>3999</v>
      </c>
      <c r="I2813" s="919" t="s">
        <v>3724</v>
      </c>
      <c r="J2813" s="919"/>
      <c r="K2813" s="920">
        <v>1</v>
      </c>
      <c r="L2813" s="920">
        <v>12</v>
      </c>
      <c r="M2813" s="920">
        <f t="shared" si="86"/>
        <v>28800</v>
      </c>
      <c r="N2813" s="919"/>
      <c r="O2813" s="919"/>
      <c r="P2813" s="921">
        <f t="shared" si="87"/>
        <v>0</v>
      </c>
    </row>
    <row r="2814" spans="1:16" ht="20.100000000000001" customHeight="1" x14ac:dyDescent="0.25">
      <c r="A2814" s="918" t="s">
        <v>488</v>
      </c>
      <c r="B2814" s="944" t="s">
        <v>3901</v>
      </c>
      <c r="C2814" s="919" t="s">
        <v>3902</v>
      </c>
      <c r="D2814" s="919" t="s">
        <v>4352</v>
      </c>
      <c r="E2814" s="920">
        <v>2400</v>
      </c>
      <c r="F2814" s="919" t="s">
        <v>8999</v>
      </c>
      <c r="G2814" s="919" t="s">
        <v>9000</v>
      </c>
      <c r="H2814" s="919" t="s">
        <v>4352</v>
      </c>
      <c r="I2814" s="919" t="s">
        <v>3724</v>
      </c>
      <c r="J2814" s="919"/>
      <c r="K2814" s="920">
        <v>1</v>
      </c>
      <c r="L2814" s="920">
        <v>12</v>
      </c>
      <c r="M2814" s="920">
        <f t="shared" si="86"/>
        <v>28800</v>
      </c>
      <c r="N2814" s="919"/>
      <c r="O2814" s="919"/>
      <c r="P2814" s="921">
        <f t="shared" si="87"/>
        <v>0</v>
      </c>
    </row>
    <row r="2815" spans="1:16" ht="20.100000000000001" customHeight="1" x14ac:dyDescent="0.25">
      <c r="A2815" s="918" t="s">
        <v>488</v>
      </c>
      <c r="B2815" s="944" t="s">
        <v>3901</v>
      </c>
      <c r="C2815" s="919" t="s">
        <v>3902</v>
      </c>
      <c r="D2815" s="919" t="s">
        <v>4352</v>
      </c>
      <c r="E2815" s="920">
        <v>2400</v>
      </c>
      <c r="F2815" s="919" t="s">
        <v>4041</v>
      </c>
      <c r="G2815" s="919" t="s">
        <v>4062</v>
      </c>
      <c r="H2815" s="919" t="s">
        <v>4352</v>
      </c>
      <c r="I2815" s="919" t="s">
        <v>3724</v>
      </c>
      <c r="J2815" s="919"/>
      <c r="K2815" s="920">
        <v>1</v>
      </c>
      <c r="L2815" s="920">
        <v>12</v>
      </c>
      <c r="M2815" s="920">
        <f t="shared" si="86"/>
        <v>28800</v>
      </c>
      <c r="N2815" s="919"/>
      <c r="O2815" s="919"/>
      <c r="P2815" s="921">
        <f t="shared" si="87"/>
        <v>0</v>
      </c>
    </row>
    <row r="2816" spans="1:16" ht="20.100000000000001" customHeight="1" x14ac:dyDescent="0.25">
      <c r="A2816" s="918" t="s">
        <v>488</v>
      </c>
      <c r="B2816" s="944" t="s">
        <v>3901</v>
      </c>
      <c r="C2816" s="919" t="s">
        <v>3902</v>
      </c>
      <c r="D2816" s="919" t="s">
        <v>3999</v>
      </c>
      <c r="E2816" s="920">
        <v>2400</v>
      </c>
      <c r="F2816" s="919" t="s">
        <v>9001</v>
      </c>
      <c r="G2816" s="919" t="s">
        <v>9002</v>
      </c>
      <c r="H2816" s="919" t="s">
        <v>3999</v>
      </c>
      <c r="I2816" s="919" t="s">
        <v>3724</v>
      </c>
      <c r="J2816" s="919"/>
      <c r="K2816" s="920">
        <v>1</v>
      </c>
      <c r="L2816" s="920">
        <v>12</v>
      </c>
      <c r="M2816" s="920">
        <f t="shared" si="86"/>
        <v>28800</v>
      </c>
      <c r="N2816" s="919"/>
      <c r="O2816" s="919"/>
      <c r="P2816" s="921">
        <f t="shared" si="87"/>
        <v>0</v>
      </c>
    </row>
    <row r="2817" spans="1:16" ht="20.100000000000001" customHeight="1" x14ac:dyDescent="0.25">
      <c r="A2817" s="918" t="s">
        <v>488</v>
      </c>
      <c r="B2817" s="944" t="s">
        <v>3901</v>
      </c>
      <c r="C2817" s="919" t="s">
        <v>3902</v>
      </c>
      <c r="D2817" s="919" t="s">
        <v>8541</v>
      </c>
      <c r="E2817" s="920">
        <v>2400</v>
      </c>
      <c r="F2817" s="919" t="s">
        <v>9003</v>
      </c>
      <c r="G2817" s="919" t="s">
        <v>9004</v>
      </c>
      <c r="H2817" s="919" t="s">
        <v>8541</v>
      </c>
      <c r="I2817" s="919" t="s">
        <v>3724</v>
      </c>
      <c r="J2817" s="919"/>
      <c r="K2817" s="920">
        <v>1</v>
      </c>
      <c r="L2817" s="920">
        <v>12</v>
      </c>
      <c r="M2817" s="920">
        <f t="shared" si="86"/>
        <v>28800</v>
      </c>
      <c r="N2817" s="919"/>
      <c r="O2817" s="919"/>
      <c r="P2817" s="921">
        <f t="shared" si="87"/>
        <v>0</v>
      </c>
    </row>
    <row r="2818" spans="1:16" ht="20.100000000000001" customHeight="1" x14ac:dyDescent="0.25">
      <c r="A2818" s="918" t="s">
        <v>488</v>
      </c>
      <c r="B2818" s="944" t="s">
        <v>3901</v>
      </c>
      <c r="C2818" s="919" t="s">
        <v>3902</v>
      </c>
      <c r="D2818" s="919" t="s">
        <v>3999</v>
      </c>
      <c r="E2818" s="920">
        <v>2400</v>
      </c>
      <c r="F2818" s="919" t="s">
        <v>9005</v>
      </c>
      <c r="G2818" s="919" t="s">
        <v>9006</v>
      </c>
      <c r="H2818" s="919" t="s">
        <v>3999</v>
      </c>
      <c r="I2818" s="919" t="s">
        <v>3724</v>
      </c>
      <c r="J2818" s="919"/>
      <c r="K2818" s="920"/>
      <c r="L2818" s="920"/>
      <c r="M2818" s="920">
        <f t="shared" si="86"/>
        <v>0</v>
      </c>
      <c r="N2818" s="919">
        <v>1</v>
      </c>
      <c r="O2818" s="919">
        <v>1</v>
      </c>
      <c r="P2818" s="921">
        <f t="shared" si="87"/>
        <v>2400</v>
      </c>
    </row>
    <row r="2819" spans="1:16" ht="20.100000000000001" customHeight="1" x14ac:dyDescent="0.25">
      <c r="A2819" s="918" t="s">
        <v>488</v>
      </c>
      <c r="B2819" s="944" t="s">
        <v>3901</v>
      </c>
      <c r="C2819" s="919" t="s">
        <v>3902</v>
      </c>
      <c r="D2819" s="919" t="s">
        <v>3999</v>
      </c>
      <c r="E2819" s="920">
        <v>2400</v>
      </c>
      <c r="F2819" s="919" t="s">
        <v>9007</v>
      </c>
      <c r="G2819" s="919" t="s">
        <v>9008</v>
      </c>
      <c r="H2819" s="919" t="s">
        <v>3999</v>
      </c>
      <c r="I2819" s="919" t="s">
        <v>3724</v>
      </c>
      <c r="J2819" s="919"/>
      <c r="K2819" s="920">
        <v>1</v>
      </c>
      <c r="L2819" s="920">
        <v>12</v>
      </c>
      <c r="M2819" s="920">
        <f t="shared" si="86"/>
        <v>28800</v>
      </c>
      <c r="N2819" s="919"/>
      <c r="O2819" s="919"/>
      <c r="P2819" s="921">
        <f t="shared" si="87"/>
        <v>0</v>
      </c>
    </row>
    <row r="2820" spans="1:16" ht="20.100000000000001" customHeight="1" x14ac:dyDescent="0.25">
      <c r="A2820" s="918" t="s">
        <v>488</v>
      </c>
      <c r="B2820" s="944" t="s">
        <v>3901</v>
      </c>
      <c r="C2820" s="919" t="s">
        <v>3902</v>
      </c>
      <c r="D2820" s="919" t="s">
        <v>6120</v>
      </c>
      <c r="E2820" s="920">
        <v>3900</v>
      </c>
      <c r="F2820" s="919" t="s">
        <v>4041</v>
      </c>
      <c r="G2820" s="919" t="s">
        <v>4062</v>
      </c>
      <c r="H2820" s="919" t="s">
        <v>6120</v>
      </c>
      <c r="I2820" s="919" t="s">
        <v>3724</v>
      </c>
      <c r="J2820" s="919"/>
      <c r="K2820" s="920">
        <v>1</v>
      </c>
      <c r="L2820" s="920">
        <v>12</v>
      </c>
      <c r="M2820" s="920">
        <f t="shared" si="86"/>
        <v>46800</v>
      </c>
      <c r="N2820" s="919"/>
      <c r="O2820" s="919"/>
      <c r="P2820" s="921">
        <f t="shared" si="87"/>
        <v>0</v>
      </c>
    </row>
    <row r="2821" spans="1:16" ht="20.100000000000001" customHeight="1" x14ac:dyDescent="0.25">
      <c r="A2821" s="918" t="s">
        <v>488</v>
      </c>
      <c r="B2821" s="944" t="s">
        <v>3901</v>
      </c>
      <c r="C2821" s="919" t="s">
        <v>3902</v>
      </c>
      <c r="D2821" s="919" t="s">
        <v>6120</v>
      </c>
      <c r="E2821" s="920">
        <v>3900</v>
      </c>
      <c r="F2821" s="919" t="s">
        <v>4041</v>
      </c>
      <c r="G2821" s="919" t="s">
        <v>4062</v>
      </c>
      <c r="H2821" s="919" t="s">
        <v>6120</v>
      </c>
      <c r="I2821" s="919" t="s">
        <v>3724</v>
      </c>
      <c r="J2821" s="919"/>
      <c r="K2821" s="920">
        <v>1</v>
      </c>
      <c r="L2821" s="920">
        <v>12</v>
      </c>
      <c r="M2821" s="920">
        <f t="shared" si="86"/>
        <v>46800</v>
      </c>
      <c r="N2821" s="919"/>
      <c r="O2821" s="919"/>
      <c r="P2821" s="921">
        <f t="shared" si="87"/>
        <v>0</v>
      </c>
    </row>
    <row r="2822" spans="1:16" ht="20.100000000000001" customHeight="1" x14ac:dyDescent="0.25">
      <c r="A2822" s="918" t="s">
        <v>488</v>
      </c>
      <c r="B2822" s="944" t="s">
        <v>3901</v>
      </c>
      <c r="C2822" s="919" t="s">
        <v>3902</v>
      </c>
      <c r="D2822" s="919" t="s">
        <v>6120</v>
      </c>
      <c r="E2822" s="920">
        <v>3900</v>
      </c>
      <c r="F2822" s="919" t="s">
        <v>4041</v>
      </c>
      <c r="G2822" s="919" t="s">
        <v>4062</v>
      </c>
      <c r="H2822" s="919" t="s">
        <v>6120</v>
      </c>
      <c r="I2822" s="919" t="s">
        <v>3724</v>
      </c>
      <c r="J2822" s="919"/>
      <c r="K2822" s="920">
        <v>1</v>
      </c>
      <c r="L2822" s="920">
        <v>12</v>
      </c>
      <c r="M2822" s="920">
        <f t="shared" ref="M2822:M2885" si="88">E2822*L2822</f>
        <v>46800</v>
      </c>
      <c r="N2822" s="919"/>
      <c r="O2822" s="919"/>
      <c r="P2822" s="921">
        <f t="shared" ref="P2822:P2885" si="89">E2822*O2822</f>
        <v>0</v>
      </c>
    </row>
    <row r="2823" spans="1:16" ht="20.100000000000001" customHeight="1" x14ac:dyDescent="0.25">
      <c r="A2823" s="918" t="s">
        <v>488</v>
      </c>
      <c r="B2823" s="944" t="s">
        <v>3901</v>
      </c>
      <c r="C2823" s="919" t="s">
        <v>3902</v>
      </c>
      <c r="D2823" s="919" t="s">
        <v>8701</v>
      </c>
      <c r="E2823" s="920">
        <v>1525</v>
      </c>
      <c r="F2823" s="919" t="s">
        <v>9009</v>
      </c>
      <c r="G2823" s="919" t="s">
        <v>9010</v>
      </c>
      <c r="H2823" s="919" t="s">
        <v>8701</v>
      </c>
      <c r="I2823" s="919" t="s">
        <v>3686</v>
      </c>
      <c r="J2823" s="919"/>
      <c r="K2823" s="920">
        <v>1</v>
      </c>
      <c r="L2823" s="920">
        <v>12</v>
      </c>
      <c r="M2823" s="920">
        <f t="shared" si="88"/>
        <v>18300</v>
      </c>
      <c r="N2823" s="919"/>
      <c r="O2823" s="919"/>
      <c r="P2823" s="921">
        <f t="shared" si="89"/>
        <v>0</v>
      </c>
    </row>
    <row r="2824" spans="1:16" ht="20.100000000000001" customHeight="1" x14ac:dyDescent="0.25">
      <c r="A2824" s="918" t="s">
        <v>488</v>
      </c>
      <c r="B2824" s="944" t="s">
        <v>3901</v>
      </c>
      <c r="C2824" s="919" t="s">
        <v>3902</v>
      </c>
      <c r="D2824" s="919" t="s">
        <v>8338</v>
      </c>
      <c r="E2824" s="920">
        <v>1525</v>
      </c>
      <c r="F2824" s="919" t="s">
        <v>9011</v>
      </c>
      <c r="G2824" s="919" t="s">
        <v>9012</v>
      </c>
      <c r="H2824" s="919" t="s">
        <v>8338</v>
      </c>
      <c r="I2824" s="919" t="s">
        <v>3686</v>
      </c>
      <c r="J2824" s="919"/>
      <c r="K2824" s="920">
        <v>1</v>
      </c>
      <c r="L2824" s="920">
        <v>12</v>
      </c>
      <c r="M2824" s="920">
        <f t="shared" si="88"/>
        <v>18300</v>
      </c>
      <c r="N2824" s="919"/>
      <c r="O2824" s="919"/>
      <c r="P2824" s="921">
        <f t="shared" si="89"/>
        <v>0</v>
      </c>
    </row>
    <row r="2825" spans="1:16" ht="20.100000000000001" customHeight="1" x14ac:dyDescent="0.25">
      <c r="A2825" s="918" t="s">
        <v>488</v>
      </c>
      <c r="B2825" s="944" t="s">
        <v>3901</v>
      </c>
      <c r="C2825" s="919" t="s">
        <v>3902</v>
      </c>
      <c r="D2825" s="919" t="s">
        <v>6120</v>
      </c>
      <c r="E2825" s="920">
        <v>3900</v>
      </c>
      <c r="F2825" s="919" t="s">
        <v>9013</v>
      </c>
      <c r="G2825" s="919" t="s">
        <v>9014</v>
      </c>
      <c r="H2825" s="919" t="s">
        <v>6120</v>
      </c>
      <c r="I2825" s="919" t="s">
        <v>3724</v>
      </c>
      <c r="J2825" s="919"/>
      <c r="K2825" s="920">
        <v>1</v>
      </c>
      <c r="L2825" s="920">
        <v>12</v>
      </c>
      <c r="M2825" s="920">
        <f t="shared" si="88"/>
        <v>46800</v>
      </c>
      <c r="N2825" s="919"/>
      <c r="O2825" s="919"/>
      <c r="P2825" s="921">
        <f t="shared" si="89"/>
        <v>0</v>
      </c>
    </row>
    <row r="2826" spans="1:16" ht="20.100000000000001" customHeight="1" x14ac:dyDescent="0.25">
      <c r="A2826" s="918" t="s">
        <v>488</v>
      </c>
      <c r="B2826" s="944" t="s">
        <v>3901</v>
      </c>
      <c r="C2826" s="919" t="s">
        <v>3902</v>
      </c>
      <c r="D2826" s="919" t="s">
        <v>8701</v>
      </c>
      <c r="E2826" s="920">
        <v>1525</v>
      </c>
      <c r="F2826" s="919" t="s">
        <v>9015</v>
      </c>
      <c r="G2826" s="919" t="s">
        <v>9016</v>
      </c>
      <c r="H2826" s="919" t="s">
        <v>8701</v>
      </c>
      <c r="I2826" s="919" t="s">
        <v>3686</v>
      </c>
      <c r="J2826" s="919"/>
      <c r="K2826" s="920">
        <v>1</v>
      </c>
      <c r="L2826" s="920">
        <v>12</v>
      </c>
      <c r="M2826" s="920">
        <f t="shared" si="88"/>
        <v>18300</v>
      </c>
      <c r="N2826" s="919"/>
      <c r="O2826" s="919"/>
      <c r="P2826" s="921">
        <f t="shared" si="89"/>
        <v>0</v>
      </c>
    </row>
    <row r="2827" spans="1:16" ht="20.100000000000001" customHeight="1" x14ac:dyDescent="0.25">
      <c r="A2827" s="918" t="s">
        <v>488</v>
      </c>
      <c r="B2827" s="944" t="s">
        <v>3901</v>
      </c>
      <c r="C2827" s="919" t="s">
        <v>3902</v>
      </c>
      <c r="D2827" s="919" t="s">
        <v>6120</v>
      </c>
      <c r="E2827" s="920">
        <v>3900</v>
      </c>
      <c r="F2827" s="919" t="s">
        <v>4041</v>
      </c>
      <c r="G2827" s="919" t="s">
        <v>4042</v>
      </c>
      <c r="H2827" s="919" t="s">
        <v>6120</v>
      </c>
      <c r="I2827" s="919" t="s">
        <v>3724</v>
      </c>
      <c r="J2827" s="919"/>
      <c r="K2827" s="920">
        <v>1</v>
      </c>
      <c r="L2827" s="920">
        <v>12</v>
      </c>
      <c r="M2827" s="920">
        <f t="shared" si="88"/>
        <v>46800</v>
      </c>
      <c r="N2827" s="919"/>
      <c r="O2827" s="919"/>
      <c r="P2827" s="921">
        <f t="shared" si="89"/>
        <v>0</v>
      </c>
    </row>
    <row r="2828" spans="1:16" ht="20.100000000000001" customHeight="1" x14ac:dyDescent="0.25">
      <c r="A2828" s="918" t="s">
        <v>488</v>
      </c>
      <c r="B2828" s="944" t="s">
        <v>3901</v>
      </c>
      <c r="C2828" s="919" t="s">
        <v>3902</v>
      </c>
      <c r="D2828" s="919" t="s">
        <v>8541</v>
      </c>
      <c r="E2828" s="920">
        <v>2000</v>
      </c>
      <c r="F2828" s="919" t="s">
        <v>9017</v>
      </c>
      <c r="G2828" s="919" t="s">
        <v>9018</v>
      </c>
      <c r="H2828" s="919" t="s">
        <v>8541</v>
      </c>
      <c r="I2828" s="919" t="s">
        <v>3724</v>
      </c>
      <c r="J2828" s="919"/>
      <c r="K2828" s="920">
        <v>1</v>
      </c>
      <c r="L2828" s="920">
        <v>12</v>
      </c>
      <c r="M2828" s="920">
        <f t="shared" si="88"/>
        <v>24000</v>
      </c>
      <c r="N2828" s="919"/>
      <c r="O2828" s="919"/>
      <c r="P2828" s="921">
        <f t="shared" si="89"/>
        <v>0</v>
      </c>
    </row>
    <row r="2829" spans="1:16" ht="20.100000000000001" customHeight="1" x14ac:dyDescent="0.25">
      <c r="A2829" s="918" t="s">
        <v>488</v>
      </c>
      <c r="B2829" s="944" t="s">
        <v>3901</v>
      </c>
      <c r="C2829" s="919" t="s">
        <v>3902</v>
      </c>
      <c r="D2829" s="919" t="s">
        <v>6120</v>
      </c>
      <c r="E2829" s="920">
        <v>3500</v>
      </c>
      <c r="F2829" s="919" t="s">
        <v>9019</v>
      </c>
      <c r="G2829" s="919" t="s">
        <v>9020</v>
      </c>
      <c r="H2829" s="919" t="s">
        <v>6120</v>
      </c>
      <c r="I2829" s="919" t="s">
        <v>3724</v>
      </c>
      <c r="J2829" s="919"/>
      <c r="K2829" s="920">
        <v>1</v>
      </c>
      <c r="L2829" s="920">
        <v>12</v>
      </c>
      <c r="M2829" s="920">
        <f t="shared" si="88"/>
        <v>42000</v>
      </c>
      <c r="N2829" s="919"/>
      <c r="O2829" s="919"/>
      <c r="P2829" s="921">
        <f t="shared" si="89"/>
        <v>0</v>
      </c>
    </row>
    <row r="2830" spans="1:16" ht="20.100000000000001" customHeight="1" x14ac:dyDescent="0.25">
      <c r="A2830" s="918" t="s">
        <v>488</v>
      </c>
      <c r="B2830" s="944" t="s">
        <v>3901</v>
      </c>
      <c r="C2830" s="919" t="s">
        <v>3902</v>
      </c>
      <c r="D2830" s="919" t="s">
        <v>8701</v>
      </c>
      <c r="E2830" s="920">
        <v>1375</v>
      </c>
      <c r="F2830" s="919" t="s">
        <v>4041</v>
      </c>
      <c r="G2830" s="919" t="s">
        <v>4062</v>
      </c>
      <c r="H2830" s="919" t="s">
        <v>8701</v>
      </c>
      <c r="I2830" s="919" t="s">
        <v>3686</v>
      </c>
      <c r="J2830" s="919"/>
      <c r="K2830" s="920">
        <v>1</v>
      </c>
      <c r="L2830" s="920">
        <v>12</v>
      </c>
      <c r="M2830" s="920">
        <f t="shared" si="88"/>
        <v>16500</v>
      </c>
      <c r="N2830" s="919"/>
      <c r="O2830" s="919"/>
      <c r="P2830" s="921">
        <f t="shared" si="89"/>
        <v>0</v>
      </c>
    </row>
    <row r="2831" spans="1:16" ht="20.100000000000001" customHeight="1" x14ac:dyDescent="0.25">
      <c r="A2831" s="918" t="s">
        <v>488</v>
      </c>
      <c r="B2831" s="944" t="s">
        <v>3901</v>
      </c>
      <c r="C2831" s="919" t="s">
        <v>3902</v>
      </c>
      <c r="D2831" s="919" t="s">
        <v>4352</v>
      </c>
      <c r="E2831" s="920">
        <v>2110</v>
      </c>
      <c r="F2831" s="919" t="s">
        <v>9021</v>
      </c>
      <c r="G2831" s="919" t="s">
        <v>9022</v>
      </c>
      <c r="H2831" s="919" t="s">
        <v>4352</v>
      </c>
      <c r="I2831" s="919" t="s">
        <v>3724</v>
      </c>
      <c r="J2831" s="919"/>
      <c r="K2831" s="920">
        <v>1</v>
      </c>
      <c r="L2831" s="920">
        <v>12</v>
      </c>
      <c r="M2831" s="920">
        <f t="shared" si="88"/>
        <v>25320</v>
      </c>
      <c r="N2831" s="919"/>
      <c r="O2831" s="919"/>
      <c r="P2831" s="921">
        <f t="shared" si="89"/>
        <v>0</v>
      </c>
    </row>
    <row r="2832" spans="1:16" ht="20.100000000000001" customHeight="1" x14ac:dyDescent="0.25">
      <c r="A2832" s="918" t="s">
        <v>488</v>
      </c>
      <c r="B2832" s="944" t="s">
        <v>3901</v>
      </c>
      <c r="C2832" s="919" t="s">
        <v>3902</v>
      </c>
      <c r="D2832" s="919" t="s">
        <v>6120</v>
      </c>
      <c r="E2832" s="920">
        <v>3685</v>
      </c>
      <c r="F2832" s="919" t="s">
        <v>9023</v>
      </c>
      <c r="G2832" s="919" t="s">
        <v>9024</v>
      </c>
      <c r="H2832" s="919" t="s">
        <v>6120</v>
      </c>
      <c r="I2832" s="919" t="s">
        <v>3724</v>
      </c>
      <c r="J2832" s="919"/>
      <c r="K2832" s="920">
        <v>1</v>
      </c>
      <c r="L2832" s="920">
        <v>12</v>
      </c>
      <c r="M2832" s="920">
        <f t="shared" si="88"/>
        <v>44220</v>
      </c>
      <c r="N2832" s="919"/>
      <c r="O2832" s="919"/>
      <c r="P2832" s="921">
        <f t="shared" si="89"/>
        <v>0</v>
      </c>
    </row>
    <row r="2833" spans="1:16" ht="20.100000000000001" customHeight="1" x14ac:dyDescent="0.25">
      <c r="A2833" s="918" t="s">
        <v>488</v>
      </c>
      <c r="B2833" s="944" t="s">
        <v>3901</v>
      </c>
      <c r="C2833" s="919" t="s">
        <v>3902</v>
      </c>
      <c r="D2833" s="919" t="s">
        <v>6120</v>
      </c>
      <c r="E2833" s="920">
        <v>3000</v>
      </c>
      <c r="F2833" s="919" t="s">
        <v>4041</v>
      </c>
      <c r="G2833" s="919" t="s">
        <v>4062</v>
      </c>
      <c r="H2833" s="919" t="s">
        <v>6120</v>
      </c>
      <c r="I2833" s="919" t="s">
        <v>3724</v>
      </c>
      <c r="J2833" s="919"/>
      <c r="K2833" s="920">
        <v>1</v>
      </c>
      <c r="L2833" s="920">
        <v>12</v>
      </c>
      <c r="M2833" s="920">
        <f t="shared" si="88"/>
        <v>36000</v>
      </c>
      <c r="N2833" s="919"/>
      <c r="O2833" s="919"/>
      <c r="P2833" s="921">
        <f t="shared" si="89"/>
        <v>0</v>
      </c>
    </row>
    <row r="2834" spans="1:16" ht="20.100000000000001" customHeight="1" x14ac:dyDescent="0.25">
      <c r="A2834" s="918" t="s">
        <v>488</v>
      </c>
      <c r="B2834" s="944" t="s">
        <v>3901</v>
      </c>
      <c r="C2834" s="919" t="s">
        <v>3902</v>
      </c>
      <c r="D2834" s="919" t="s">
        <v>6120</v>
      </c>
      <c r="E2834" s="920">
        <v>3000</v>
      </c>
      <c r="F2834" s="919" t="s">
        <v>9025</v>
      </c>
      <c r="G2834" s="919" t="s">
        <v>9026</v>
      </c>
      <c r="H2834" s="919" t="s">
        <v>6120</v>
      </c>
      <c r="I2834" s="919" t="s">
        <v>3724</v>
      </c>
      <c r="J2834" s="919"/>
      <c r="K2834" s="920">
        <v>1</v>
      </c>
      <c r="L2834" s="920">
        <v>12</v>
      </c>
      <c r="M2834" s="920">
        <f t="shared" si="88"/>
        <v>36000</v>
      </c>
      <c r="N2834" s="919"/>
      <c r="O2834" s="919"/>
      <c r="P2834" s="921">
        <f t="shared" si="89"/>
        <v>0</v>
      </c>
    </row>
    <row r="2835" spans="1:16" ht="20.100000000000001" customHeight="1" x14ac:dyDescent="0.25">
      <c r="A2835" s="918" t="s">
        <v>488</v>
      </c>
      <c r="B2835" s="944" t="s">
        <v>3901</v>
      </c>
      <c r="C2835" s="919" t="s">
        <v>3902</v>
      </c>
      <c r="D2835" s="919" t="s">
        <v>4382</v>
      </c>
      <c r="E2835" s="920">
        <v>2300</v>
      </c>
      <c r="F2835" s="919" t="s">
        <v>9027</v>
      </c>
      <c r="G2835" s="919" t="s">
        <v>9028</v>
      </c>
      <c r="H2835" s="919" t="s">
        <v>4382</v>
      </c>
      <c r="I2835" s="919" t="s">
        <v>3724</v>
      </c>
      <c r="J2835" s="919"/>
      <c r="K2835" s="920">
        <v>1</v>
      </c>
      <c r="L2835" s="920">
        <v>12</v>
      </c>
      <c r="M2835" s="920">
        <f t="shared" si="88"/>
        <v>27600</v>
      </c>
      <c r="N2835" s="919"/>
      <c r="O2835" s="919"/>
      <c r="P2835" s="921">
        <f t="shared" si="89"/>
        <v>0</v>
      </c>
    </row>
    <row r="2836" spans="1:16" ht="20.100000000000001" customHeight="1" x14ac:dyDescent="0.25">
      <c r="A2836" s="918" t="s">
        <v>488</v>
      </c>
      <c r="B2836" s="944" t="s">
        <v>3901</v>
      </c>
      <c r="C2836" s="919" t="s">
        <v>3902</v>
      </c>
      <c r="D2836" s="919" t="s">
        <v>4449</v>
      </c>
      <c r="E2836" s="920">
        <v>2000</v>
      </c>
      <c r="F2836" s="919" t="s">
        <v>9029</v>
      </c>
      <c r="G2836" s="919" t="s">
        <v>9030</v>
      </c>
      <c r="H2836" s="919" t="s">
        <v>4449</v>
      </c>
      <c r="I2836" s="919" t="s">
        <v>3724</v>
      </c>
      <c r="J2836" s="919"/>
      <c r="K2836" s="920">
        <v>1</v>
      </c>
      <c r="L2836" s="920">
        <v>12</v>
      </c>
      <c r="M2836" s="920">
        <f t="shared" si="88"/>
        <v>24000</v>
      </c>
      <c r="N2836" s="919"/>
      <c r="O2836" s="919"/>
      <c r="P2836" s="921">
        <f t="shared" si="89"/>
        <v>0</v>
      </c>
    </row>
    <row r="2837" spans="1:16" ht="20.100000000000001" customHeight="1" x14ac:dyDescent="0.25">
      <c r="A2837" s="918" t="s">
        <v>488</v>
      </c>
      <c r="B2837" s="944" t="s">
        <v>3901</v>
      </c>
      <c r="C2837" s="919" t="s">
        <v>3902</v>
      </c>
      <c r="D2837" s="919" t="s">
        <v>4449</v>
      </c>
      <c r="E2837" s="920">
        <v>2100</v>
      </c>
      <c r="F2837" s="919" t="s">
        <v>9031</v>
      </c>
      <c r="G2837" s="919" t="s">
        <v>9032</v>
      </c>
      <c r="H2837" s="919" t="s">
        <v>4449</v>
      </c>
      <c r="I2837" s="919" t="s">
        <v>3724</v>
      </c>
      <c r="J2837" s="919"/>
      <c r="K2837" s="920">
        <v>1</v>
      </c>
      <c r="L2837" s="920">
        <v>12</v>
      </c>
      <c r="M2837" s="920">
        <f t="shared" si="88"/>
        <v>25200</v>
      </c>
      <c r="N2837" s="919"/>
      <c r="O2837" s="919"/>
      <c r="P2837" s="921">
        <f t="shared" si="89"/>
        <v>0</v>
      </c>
    </row>
    <row r="2838" spans="1:16" ht="20.100000000000001" customHeight="1" x14ac:dyDescent="0.25">
      <c r="A2838" s="918" t="s">
        <v>488</v>
      </c>
      <c r="B2838" s="944" t="s">
        <v>3901</v>
      </c>
      <c r="C2838" s="919" t="s">
        <v>3902</v>
      </c>
      <c r="D2838" s="919" t="s">
        <v>3999</v>
      </c>
      <c r="E2838" s="920">
        <v>3500</v>
      </c>
      <c r="F2838" s="919" t="s">
        <v>9033</v>
      </c>
      <c r="G2838" s="919" t="s">
        <v>9034</v>
      </c>
      <c r="H2838" s="919" t="s">
        <v>3999</v>
      </c>
      <c r="I2838" s="919" t="s">
        <v>3724</v>
      </c>
      <c r="J2838" s="919"/>
      <c r="K2838" s="920">
        <v>1</v>
      </c>
      <c r="L2838" s="920">
        <v>12</v>
      </c>
      <c r="M2838" s="920">
        <f t="shared" si="88"/>
        <v>42000</v>
      </c>
      <c r="N2838" s="919"/>
      <c r="O2838" s="919"/>
      <c r="P2838" s="921">
        <f t="shared" si="89"/>
        <v>0</v>
      </c>
    </row>
    <row r="2839" spans="1:16" ht="20.100000000000001" customHeight="1" x14ac:dyDescent="0.25">
      <c r="A2839" s="918" t="s">
        <v>488</v>
      </c>
      <c r="B2839" s="944" t="s">
        <v>3901</v>
      </c>
      <c r="C2839" s="919" t="s">
        <v>3902</v>
      </c>
      <c r="D2839" s="919" t="s">
        <v>6120</v>
      </c>
      <c r="E2839" s="920">
        <v>3000</v>
      </c>
      <c r="F2839" s="919" t="s">
        <v>9035</v>
      </c>
      <c r="G2839" s="919" t="s">
        <v>9036</v>
      </c>
      <c r="H2839" s="919" t="s">
        <v>6120</v>
      </c>
      <c r="I2839" s="919" t="s">
        <v>3724</v>
      </c>
      <c r="J2839" s="919"/>
      <c r="K2839" s="920">
        <v>1</v>
      </c>
      <c r="L2839" s="920">
        <v>12</v>
      </c>
      <c r="M2839" s="920">
        <f t="shared" si="88"/>
        <v>36000</v>
      </c>
      <c r="N2839" s="919"/>
      <c r="O2839" s="919"/>
      <c r="P2839" s="921">
        <f t="shared" si="89"/>
        <v>0</v>
      </c>
    </row>
    <row r="2840" spans="1:16" ht="20.100000000000001" customHeight="1" x14ac:dyDescent="0.25">
      <c r="A2840" s="918" t="s">
        <v>488</v>
      </c>
      <c r="B2840" s="944" t="s">
        <v>3901</v>
      </c>
      <c r="C2840" s="919" t="s">
        <v>3902</v>
      </c>
      <c r="D2840" s="919" t="s">
        <v>3999</v>
      </c>
      <c r="E2840" s="920">
        <v>2500</v>
      </c>
      <c r="F2840" s="919" t="s">
        <v>9037</v>
      </c>
      <c r="G2840" s="919" t="s">
        <v>9038</v>
      </c>
      <c r="H2840" s="919" t="s">
        <v>3999</v>
      </c>
      <c r="I2840" s="919" t="s">
        <v>3724</v>
      </c>
      <c r="J2840" s="919"/>
      <c r="K2840" s="920"/>
      <c r="L2840" s="920"/>
      <c r="M2840" s="920">
        <f t="shared" si="88"/>
        <v>0</v>
      </c>
      <c r="N2840" s="919">
        <v>1</v>
      </c>
      <c r="O2840" s="919">
        <v>1</v>
      </c>
      <c r="P2840" s="921">
        <f t="shared" si="89"/>
        <v>2500</v>
      </c>
    </row>
    <row r="2841" spans="1:16" ht="20.100000000000001" customHeight="1" x14ac:dyDescent="0.25">
      <c r="A2841" s="918" t="s">
        <v>488</v>
      </c>
      <c r="B2841" s="944" t="s">
        <v>3901</v>
      </c>
      <c r="C2841" s="919" t="s">
        <v>3902</v>
      </c>
      <c r="D2841" s="919" t="s">
        <v>3999</v>
      </c>
      <c r="E2841" s="920">
        <v>2100</v>
      </c>
      <c r="F2841" s="919" t="s">
        <v>9039</v>
      </c>
      <c r="G2841" s="919" t="s">
        <v>9040</v>
      </c>
      <c r="H2841" s="919" t="s">
        <v>3999</v>
      </c>
      <c r="I2841" s="919" t="s">
        <v>3724</v>
      </c>
      <c r="J2841" s="919"/>
      <c r="K2841" s="920">
        <v>1</v>
      </c>
      <c r="L2841" s="920">
        <v>12</v>
      </c>
      <c r="M2841" s="920">
        <f t="shared" si="88"/>
        <v>25200</v>
      </c>
      <c r="N2841" s="919"/>
      <c r="O2841" s="919"/>
      <c r="P2841" s="921">
        <f t="shared" si="89"/>
        <v>0</v>
      </c>
    </row>
    <row r="2842" spans="1:16" ht="20.100000000000001" customHeight="1" x14ac:dyDescent="0.25">
      <c r="A2842" s="918" t="s">
        <v>488</v>
      </c>
      <c r="B2842" s="944" t="s">
        <v>3901</v>
      </c>
      <c r="C2842" s="919" t="s">
        <v>3902</v>
      </c>
      <c r="D2842" s="919" t="s">
        <v>4449</v>
      </c>
      <c r="E2842" s="920">
        <v>2000</v>
      </c>
      <c r="F2842" s="919" t="s">
        <v>9041</v>
      </c>
      <c r="G2842" s="919" t="s">
        <v>9042</v>
      </c>
      <c r="H2842" s="919" t="s">
        <v>4449</v>
      </c>
      <c r="I2842" s="919" t="s">
        <v>3724</v>
      </c>
      <c r="J2842" s="919"/>
      <c r="K2842" s="920">
        <v>1</v>
      </c>
      <c r="L2842" s="920">
        <v>12</v>
      </c>
      <c r="M2842" s="920">
        <f t="shared" si="88"/>
        <v>24000</v>
      </c>
      <c r="N2842" s="919"/>
      <c r="O2842" s="919"/>
      <c r="P2842" s="921">
        <f t="shared" si="89"/>
        <v>0</v>
      </c>
    </row>
    <row r="2843" spans="1:16" ht="20.100000000000001" customHeight="1" x14ac:dyDescent="0.25">
      <c r="A2843" s="918" t="s">
        <v>488</v>
      </c>
      <c r="B2843" s="944" t="s">
        <v>3901</v>
      </c>
      <c r="C2843" s="919" t="s">
        <v>3902</v>
      </c>
      <c r="D2843" s="919" t="s">
        <v>6120</v>
      </c>
      <c r="E2843" s="920">
        <v>3000</v>
      </c>
      <c r="F2843" s="919" t="s">
        <v>9043</v>
      </c>
      <c r="G2843" s="919" t="s">
        <v>9044</v>
      </c>
      <c r="H2843" s="919" t="s">
        <v>6120</v>
      </c>
      <c r="I2843" s="919" t="s">
        <v>3724</v>
      </c>
      <c r="J2843" s="919"/>
      <c r="K2843" s="920">
        <v>1</v>
      </c>
      <c r="L2843" s="920">
        <v>12</v>
      </c>
      <c r="M2843" s="920">
        <f t="shared" si="88"/>
        <v>36000</v>
      </c>
      <c r="N2843" s="919"/>
      <c r="O2843" s="919"/>
      <c r="P2843" s="921">
        <f t="shared" si="89"/>
        <v>0</v>
      </c>
    </row>
    <row r="2844" spans="1:16" ht="20.100000000000001" customHeight="1" x14ac:dyDescent="0.25">
      <c r="A2844" s="918" t="s">
        <v>488</v>
      </c>
      <c r="B2844" s="944" t="s">
        <v>3901</v>
      </c>
      <c r="C2844" s="919" t="s">
        <v>3902</v>
      </c>
      <c r="D2844" s="919" t="s">
        <v>3999</v>
      </c>
      <c r="E2844" s="920">
        <v>2500</v>
      </c>
      <c r="F2844" s="919" t="s">
        <v>4041</v>
      </c>
      <c r="G2844" s="919" t="s">
        <v>4042</v>
      </c>
      <c r="H2844" s="919" t="s">
        <v>3999</v>
      </c>
      <c r="I2844" s="919" t="s">
        <v>3724</v>
      </c>
      <c r="J2844" s="919"/>
      <c r="K2844" s="920">
        <v>1</v>
      </c>
      <c r="L2844" s="920">
        <v>12</v>
      </c>
      <c r="M2844" s="920">
        <f t="shared" si="88"/>
        <v>30000</v>
      </c>
      <c r="N2844" s="919"/>
      <c r="O2844" s="919"/>
      <c r="P2844" s="921">
        <f t="shared" si="89"/>
        <v>0</v>
      </c>
    </row>
    <row r="2845" spans="1:16" ht="20.100000000000001" customHeight="1" x14ac:dyDescent="0.25">
      <c r="A2845" s="918" t="s">
        <v>488</v>
      </c>
      <c r="B2845" s="944" t="s">
        <v>3901</v>
      </c>
      <c r="C2845" s="919" t="s">
        <v>3902</v>
      </c>
      <c r="D2845" s="919" t="s">
        <v>3999</v>
      </c>
      <c r="E2845" s="920">
        <v>2100</v>
      </c>
      <c r="F2845" s="919" t="s">
        <v>4041</v>
      </c>
      <c r="G2845" s="919" t="s">
        <v>4062</v>
      </c>
      <c r="H2845" s="919" t="s">
        <v>3999</v>
      </c>
      <c r="I2845" s="919" t="s">
        <v>3724</v>
      </c>
      <c r="J2845" s="919"/>
      <c r="K2845" s="920">
        <v>1</v>
      </c>
      <c r="L2845" s="920">
        <v>12</v>
      </c>
      <c r="M2845" s="920">
        <f t="shared" si="88"/>
        <v>25200</v>
      </c>
      <c r="N2845" s="919"/>
      <c r="O2845" s="919"/>
      <c r="P2845" s="921">
        <f t="shared" si="89"/>
        <v>0</v>
      </c>
    </row>
    <row r="2846" spans="1:16" ht="20.100000000000001" customHeight="1" x14ac:dyDescent="0.25">
      <c r="A2846" s="918" t="s">
        <v>488</v>
      </c>
      <c r="B2846" s="944" t="s">
        <v>3901</v>
      </c>
      <c r="C2846" s="919" t="s">
        <v>3902</v>
      </c>
      <c r="D2846" s="919" t="s">
        <v>4352</v>
      </c>
      <c r="E2846" s="920">
        <v>2100</v>
      </c>
      <c r="F2846" s="919" t="s">
        <v>9045</v>
      </c>
      <c r="G2846" s="919" t="s">
        <v>9046</v>
      </c>
      <c r="H2846" s="919" t="s">
        <v>4352</v>
      </c>
      <c r="I2846" s="919" t="s">
        <v>3724</v>
      </c>
      <c r="J2846" s="919"/>
      <c r="K2846" s="920">
        <v>1</v>
      </c>
      <c r="L2846" s="920">
        <v>12</v>
      </c>
      <c r="M2846" s="920">
        <f t="shared" si="88"/>
        <v>25200</v>
      </c>
      <c r="N2846" s="919"/>
      <c r="O2846" s="919"/>
      <c r="P2846" s="921">
        <f t="shared" si="89"/>
        <v>0</v>
      </c>
    </row>
    <row r="2847" spans="1:16" ht="20.100000000000001" customHeight="1" x14ac:dyDescent="0.25">
      <c r="A2847" s="918" t="s">
        <v>488</v>
      </c>
      <c r="B2847" s="944" t="s">
        <v>3901</v>
      </c>
      <c r="C2847" s="919" t="s">
        <v>3902</v>
      </c>
      <c r="D2847" s="919" t="s">
        <v>3999</v>
      </c>
      <c r="E2847" s="920">
        <v>2000</v>
      </c>
      <c r="F2847" s="919" t="s">
        <v>9047</v>
      </c>
      <c r="G2847" s="919" t="s">
        <v>9048</v>
      </c>
      <c r="H2847" s="919" t="s">
        <v>3999</v>
      </c>
      <c r="I2847" s="919" t="s">
        <v>3724</v>
      </c>
      <c r="J2847" s="919"/>
      <c r="K2847" s="920">
        <v>1</v>
      </c>
      <c r="L2847" s="920">
        <v>12</v>
      </c>
      <c r="M2847" s="920">
        <f t="shared" si="88"/>
        <v>24000</v>
      </c>
      <c r="N2847" s="919"/>
      <c r="O2847" s="919"/>
      <c r="P2847" s="921">
        <f t="shared" si="89"/>
        <v>0</v>
      </c>
    </row>
    <row r="2848" spans="1:16" ht="20.100000000000001" customHeight="1" x14ac:dyDescent="0.25">
      <c r="A2848" s="918" t="s">
        <v>488</v>
      </c>
      <c r="B2848" s="944" t="s">
        <v>3901</v>
      </c>
      <c r="C2848" s="919" t="s">
        <v>3902</v>
      </c>
      <c r="D2848" s="919" t="s">
        <v>4382</v>
      </c>
      <c r="E2848" s="920">
        <v>2500</v>
      </c>
      <c r="F2848" s="919" t="s">
        <v>4041</v>
      </c>
      <c r="G2848" s="919" t="s">
        <v>4062</v>
      </c>
      <c r="H2848" s="919" t="s">
        <v>4382</v>
      </c>
      <c r="I2848" s="919" t="s">
        <v>3724</v>
      </c>
      <c r="J2848" s="919"/>
      <c r="K2848" s="920">
        <v>1</v>
      </c>
      <c r="L2848" s="920">
        <v>12</v>
      </c>
      <c r="M2848" s="920">
        <f t="shared" si="88"/>
        <v>30000</v>
      </c>
      <c r="N2848" s="919"/>
      <c r="O2848" s="919"/>
      <c r="P2848" s="921">
        <f t="shared" si="89"/>
        <v>0</v>
      </c>
    </row>
    <row r="2849" spans="1:16" ht="20.100000000000001" customHeight="1" x14ac:dyDescent="0.25">
      <c r="A2849" s="918" t="s">
        <v>488</v>
      </c>
      <c r="B2849" s="944" t="s">
        <v>3901</v>
      </c>
      <c r="C2849" s="919" t="s">
        <v>3902</v>
      </c>
      <c r="D2849" s="919" t="s">
        <v>4449</v>
      </c>
      <c r="E2849" s="920">
        <v>2400</v>
      </c>
      <c r="F2849" s="919" t="s">
        <v>9049</v>
      </c>
      <c r="G2849" s="919" t="s">
        <v>9050</v>
      </c>
      <c r="H2849" s="919" t="s">
        <v>4449</v>
      </c>
      <c r="I2849" s="919" t="s">
        <v>3724</v>
      </c>
      <c r="J2849" s="919"/>
      <c r="K2849" s="920">
        <v>1</v>
      </c>
      <c r="L2849" s="920">
        <v>12</v>
      </c>
      <c r="M2849" s="920">
        <f t="shared" si="88"/>
        <v>28800</v>
      </c>
      <c r="N2849" s="919"/>
      <c r="O2849" s="919"/>
      <c r="P2849" s="921">
        <f t="shared" si="89"/>
        <v>0</v>
      </c>
    </row>
    <row r="2850" spans="1:16" ht="20.100000000000001" customHeight="1" x14ac:dyDescent="0.25">
      <c r="A2850" s="918" t="s">
        <v>488</v>
      </c>
      <c r="B2850" s="944" t="s">
        <v>3901</v>
      </c>
      <c r="C2850" s="919" t="s">
        <v>3902</v>
      </c>
      <c r="D2850" s="919" t="s">
        <v>6120</v>
      </c>
      <c r="E2850" s="920">
        <v>3000</v>
      </c>
      <c r="F2850" s="919" t="s">
        <v>9051</v>
      </c>
      <c r="G2850" s="919" t="s">
        <v>9052</v>
      </c>
      <c r="H2850" s="919" t="s">
        <v>6120</v>
      </c>
      <c r="I2850" s="919" t="s">
        <v>3724</v>
      </c>
      <c r="J2850" s="919"/>
      <c r="K2850" s="920">
        <v>1</v>
      </c>
      <c r="L2850" s="920">
        <v>12</v>
      </c>
      <c r="M2850" s="920">
        <f t="shared" si="88"/>
        <v>36000</v>
      </c>
      <c r="N2850" s="919"/>
      <c r="O2850" s="919"/>
      <c r="P2850" s="921">
        <f t="shared" si="89"/>
        <v>0</v>
      </c>
    </row>
    <row r="2851" spans="1:16" ht="20.100000000000001" customHeight="1" x14ac:dyDescent="0.25">
      <c r="A2851" s="918" t="s">
        <v>488</v>
      </c>
      <c r="B2851" s="944" t="s">
        <v>3901</v>
      </c>
      <c r="C2851" s="919" t="s">
        <v>3902</v>
      </c>
      <c r="D2851" s="919" t="s">
        <v>6120</v>
      </c>
      <c r="E2851" s="920">
        <v>6500</v>
      </c>
      <c r="F2851" s="919" t="s">
        <v>4041</v>
      </c>
      <c r="G2851" s="919" t="s">
        <v>4062</v>
      </c>
      <c r="H2851" s="919" t="s">
        <v>6120</v>
      </c>
      <c r="I2851" s="919" t="s">
        <v>3724</v>
      </c>
      <c r="J2851" s="919"/>
      <c r="K2851" s="920">
        <v>1</v>
      </c>
      <c r="L2851" s="920">
        <v>12</v>
      </c>
      <c r="M2851" s="920">
        <f t="shared" si="88"/>
        <v>78000</v>
      </c>
      <c r="N2851" s="919"/>
      <c r="O2851" s="919"/>
      <c r="P2851" s="921">
        <f t="shared" si="89"/>
        <v>0</v>
      </c>
    </row>
    <row r="2852" spans="1:16" ht="20.100000000000001" customHeight="1" x14ac:dyDescent="0.25">
      <c r="A2852" s="918" t="s">
        <v>488</v>
      </c>
      <c r="B2852" s="944" t="s">
        <v>3901</v>
      </c>
      <c r="C2852" s="919" t="s">
        <v>3902</v>
      </c>
      <c r="D2852" s="919" t="s">
        <v>6120</v>
      </c>
      <c r="E2852" s="920">
        <v>3000</v>
      </c>
      <c r="F2852" s="919" t="s">
        <v>9053</v>
      </c>
      <c r="G2852" s="919" t="s">
        <v>9054</v>
      </c>
      <c r="H2852" s="919" t="s">
        <v>6120</v>
      </c>
      <c r="I2852" s="919" t="s">
        <v>3724</v>
      </c>
      <c r="J2852" s="919"/>
      <c r="K2852" s="920">
        <v>1</v>
      </c>
      <c r="L2852" s="920">
        <v>12</v>
      </c>
      <c r="M2852" s="920">
        <f t="shared" si="88"/>
        <v>36000</v>
      </c>
      <c r="N2852" s="919"/>
      <c r="O2852" s="919"/>
      <c r="P2852" s="921">
        <f t="shared" si="89"/>
        <v>0</v>
      </c>
    </row>
    <row r="2853" spans="1:16" ht="20.100000000000001" customHeight="1" x14ac:dyDescent="0.25">
      <c r="A2853" s="918" t="s">
        <v>488</v>
      </c>
      <c r="B2853" s="944" t="s">
        <v>3901</v>
      </c>
      <c r="C2853" s="919" t="s">
        <v>3902</v>
      </c>
      <c r="D2853" s="919" t="s">
        <v>3999</v>
      </c>
      <c r="E2853" s="920">
        <v>2500</v>
      </c>
      <c r="F2853" s="919" t="s">
        <v>9055</v>
      </c>
      <c r="G2853" s="919" t="s">
        <v>9056</v>
      </c>
      <c r="H2853" s="919" t="s">
        <v>3999</v>
      </c>
      <c r="I2853" s="919" t="s">
        <v>3724</v>
      </c>
      <c r="J2853" s="919"/>
      <c r="K2853" s="920"/>
      <c r="L2853" s="920"/>
      <c r="M2853" s="920">
        <f t="shared" si="88"/>
        <v>0</v>
      </c>
      <c r="N2853" s="919">
        <v>1</v>
      </c>
      <c r="O2853" s="919">
        <v>1</v>
      </c>
      <c r="P2853" s="921">
        <f t="shared" si="89"/>
        <v>2500</v>
      </c>
    </row>
    <row r="2854" spans="1:16" ht="20.100000000000001" customHeight="1" x14ac:dyDescent="0.25">
      <c r="A2854" s="918" t="s">
        <v>488</v>
      </c>
      <c r="B2854" s="944" t="s">
        <v>3901</v>
      </c>
      <c r="C2854" s="919" t="s">
        <v>3902</v>
      </c>
      <c r="D2854" s="919" t="s">
        <v>6120</v>
      </c>
      <c r="E2854" s="920">
        <v>3000</v>
      </c>
      <c r="F2854" s="919" t="s">
        <v>9057</v>
      </c>
      <c r="G2854" s="919" t="s">
        <v>9058</v>
      </c>
      <c r="H2854" s="919" t="s">
        <v>6120</v>
      </c>
      <c r="I2854" s="919" t="s">
        <v>3724</v>
      </c>
      <c r="J2854" s="919"/>
      <c r="K2854" s="920">
        <v>1</v>
      </c>
      <c r="L2854" s="920">
        <v>12</v>
      </c>
      <c r="M2854" s="920">
        <f t="shared" si="88"/>
        <v>36000</v>
      </c>
      <c r="N2854" s="919"/>
      <c r="O2854" s="919"/>
      <c r="P2854" s="921">
        <f t="shared" si="89"/>
        <v>0</v>
      </c>
    </row>
    <row r="2855" spans="1:16" ht="20.100000000000001" customHeight="1" x14ac:dyDescent="0.25">
      <c r="A2855" s="918" t="s">
        <v>488</v>
      </c>
      <c r="B2855" s="944" t="s">
        <v>3901</v>
      </c>
      <c r="C2855" s="919" t="s">
        <v>3902</v>
      </c>
      <c r="D2855" s="919" t="s">
        <v>6120</v>
      </c>
      <c r="E2855" s="920">
        <v>3000</v>
      </c>
      <c r="F2855" s="919" t="s">
        <v>9059</v>
      </c>
      <c r="G2855" s="919" t="s">
        <v>9060</v>
      </c>
      <c r="H2855" s="919" t="s">
        <v>6120</v>
      </c>
      <c r="I2855" s="919" t="s">
        <v>3724</v>
      </c>
      <c r="J2855" s="919"/>
      <c r="K2855" s="920">
        <v>1</v>
      </c>
      <c r="L2855" s="920">
        <v>12</v>
      </c>
      <c r="M2855" s="920">
        <f t="shared" si="88"/>
        <v>36000</v>
      </c>
      <c r="N2855" s="919"/>
      <c r="O2855" s="919"/>
      <c r="P2855" s="921">
        <f t="shared" si="89"/>
        <v>0</v>
      </c>
    </row>
    <row r="2856" spans="1:16" ht="20.100000000000001" customHeight="1" x14ac:dyDescent="0.25">
      <c r="A2856" s="918" t="s">
        <v>488</v>
      </c>
      <c r="B2856" s="944" t="s">
        <v>3901</v>
      </c>
      <c r="C2856" s="919" t="s">
        <v>3902</v>
      </c>
      <c r="D2856" s="919" t="s">
        <v>3999</v>
      </c>
      <c r="E2856" s="920">
        <v>2700</v>
      </c>
      <c r="F2856" s="919" t="s">
        <v>9061</v>
      </c>
      <c r="G2856" s="919" t="s">
        <v>9062</v>
      </c>
      <c r="H2856" s="919" t="s">
        <v>3999</v>
      </c>
      <c r="I2856" s="919" t="s">
        <v>3724</v>
      </c>
      <c r="J2856" s="919"/>
      <c r="K2856" s="920">
        <v>1</v>
      </c>
      <c r="L2856" s="920">
        <v>12</v>
      </c>
      <c r="M2856" s="920">
        <f t="shared" si="88"/>
        <v>32400</v>
      </c>
      <c r="N2856" s="919"/>
      <c r="O2856" s="919"/>
      <c r="P2856" s="921">
        <f t="shared" si="89"/>
        <v>0</v>
      </c>
    </row>
    <row r="2857" spans="1:16" ht="20.100000000000001" customHeight="1" x14ac:dyDescent="0.25">
      <c r="A2857" s="918" t="s">
        <v>488</v>
      </c>
      <c r="B2857" s="944" t="s">
        <v>3901</v>
      </c>
      <c r="C2857" s="919" t="s">
        <v>3902</v>
      </c>
      <c r="D2857" s="919" t="s">
        <v>4352</v>
      </c>
      <c r="E2857" s="920">
        <v>2100</v>
      </c>
      <c r="F2857" s="919" t="s">
        <v>4041</v>
      </c>
      <c r="G2857" s="919" t="s">
        <v>4042</v>
      </c>
      <c r="H2857" s="919" t="s">
        <v>4352</v>
      </c>
      <c r="I2857" s="919" t="s">
        <v>3724</v>
      </c>
      <c r="J2857" s="919"/>
      <c r="K2857" s="920">
        <v>1</v>
      </c>
      <c r="L2857" s="920">
        <v>12</v>
      </c>
      <c r="M2857" s="920">
        <f t="shared" si="88"/>
        <v>25200</v>
      </c>
      <c r="N2857" s="919"/>
      <c r="O2857" s="919"/>
      <c r="P2857" s="921">
        <f t="shared" si="89"/>
        <v>0</v>
      </c>
    </row>
    <row r="2858" spans="1:16" ht="20.100000000000001" customHeight="1" x14ac:dyDescent="0.25">
      <c r="A2858" s="918" t="s">
        <v>488</v>
      </c>
      <c r="B2858" s="944" t="s">
        <v>3901</v>
      </c>
      <c r="C2858" s="919" t="s">
        <v>3902</v>
      </c>
      <c r="D2858" s="919" t="s">
        <v>3999</v>
      </c>
      <c r="E2858" s="920">
        <v>2673</v>
      </c>
      <c r="F2858" s="919" t="s">
        <v>9063</v>
      </c>
      <c r="G2858" s="919" t="s">
        <v>9064</v>
      </c>
      <c r="H2858" s="919" t="s">
        <v>3999</v>
      </c>
      <c r="I2858" s="919" t="s">
        <v>3724</v>
      </c>
      <c r="J2858" s="919"/>
      <c r="K2858" s="920">
        <v>1</v>
      </c>
      <c r="L2858" s="920">
        <v>12</v>
      </c>
      <c r="M2858" s="920">
        <f t="shared" si="88"/>
        <v>32076</v>
      </c>
      <c r="N2858" s="919"/>
      <c r="O2858" s="919"/>
      <c r="P2858" s="921">
        <f t="shared" si="89"/>
        <v>0</v>
      </c>
    </row>
    <row r="2859" spans="1:16" ht="20.100000000000001" customHeight="1" x14ac:dyDescent="0.25">
      <c r="A2859" s="918" t="s">
        <v>488</v>
      </c>
      <c r="B2859" s="944" t="s">
        <v>3901</v>
      </c>
      <c r="C2859" s="919" t="s">
        <v>3902</v>
      </c>
      <c r="D2859" s="919" t="s">
        <v>3999</v>
      </c>
      <c r="E2859" s="920">
        <v>2100</v>
      </c>
      <c r="F2859" s="919" t="s">
        <v>9065</v>
      </c>
      <c r="G2859" s="919" t="s">
        <v>9066</v>
      </c>
      <c r="H2859" s="919" t="s">
        <v>3999</v>
      </c>
      <c r="I2859" s="919" t="s">
        <v>3724</v>
      </c>
      <c r="J2859" s="919"/>
      <c r="K2859" s="920">
        <v>1</v>
      </c>
      <c r="L2859" s="920">
        <v>12</v>
      </c>
      <c r="M2859" s="920">
        <f t="shared" si="88"/>
        <v>25200</v>
      </c>
      <c r="N2859" s="919"/>
      <c r="O2859" s="919"/>
      <c r="P2859" s="921">
        <f t="shared" si="89"/>
        <v>0</v>
      </c>
    </row>
    <row r="2860" spans="1:16" ht="20.100000000000001" customHeight="1" x14ac:dyDescent="0.25">
      <c r="A2860" s="918" t="s">
        <v>488</v>
      </c>
      <c r="B2860" s="944" t="s">
        <v>3901</v>
      </c>
      <c r="C2860" s="919" t="s">
        <v>3902</v>
      </c>
      <c r="D2860" s="919" t="s">
        <v>4382</v>
      </c>
      <c r="E2860" s="920">
        <v>2500</v>
      </c>
      <c r="F2860" s="919" t="s">
        <v>4041</v>
      </c>
      <c r="G2860" s="919" t="s">
        <v>4062</v>
      </c>
      <c r="H2860" s="919" t="s">
        <v>4382</v>
      </c>
      <c r="I2860" s="919" t="s">
        <v>3724</v>
      </c>
      <c r="J2860" s="919"/>
      <c r="K2860" s="920">
        <v>1</v>
      </c>
      <c r="L2860" s="920">
        <v>12</v>
      </c>
      <c r="M2860" s="920">
        <f t="shared" si="88"/>
        <v>30000</v>
      </c>
      <c r="N2860" s="919"/>
      <c r="O2860" s="919"/>
      <c r="P2860" s="921">
        <f t="shared" si="89"/>
        <v>0</v>
      </c>
    </row>
    <row r="2861" spans="1:16" ht="20.100000000000001" customHeight="1" x14ac:dyDescent="0.25">
      <c r="A2861" s="918" t="s">
        <v>488</v>
      </c>
      <c r="B2861" s="944" t="s">
        <v>3901</v>
      </c>
      <c r="C2861" s="919" t="s">
        <v>3902</v>
      </c>
      <c r="D2861" s="919" t="s">
        <v>6120</v>
      </c>
      <c r="E2861" s="920">
        <v>8000</v>
      </c>
      <c r="F2861" s="919" t="s">
        <v>4041</v>
      </c>
      <c r="G2861" s="919" t="s">
        <v>4062</v>
      </c>
      <c r="H2861" s="919" t="s">
        <v>6120</v>
      </c>
      <c r="I2861" s="919" t="s">
        <v>3724</v>
      </c>
      <c r="J2861" s="919"/>
      <c r="K2861" s="920">
        <v>1</v>
      </c>
      <c r="L2861" s="920">
        <v>12</v>
      </c>
      <c r="M2861" s="920">
        <f t="shared" si="88"/>
        <v>96000</v>
      </c>
      <c r="N2861" s="919"/>
      <c r="O2861" s="919"/>
      <c r="P2861" s="921">
        <f t="shared" si="89"/>
        <v>0</v>
      </c>
    </row>
    <row r="2862" spans="1:16" ht="20.100000000000001" customHeight="1" x14ac:dyDescent="0.25">
      <c r="A2862" s="918" t="s">
        <v>488</v>
      </c>
      <c r="B2862" s="944" t="s">
        <v>3901</v>
      </c>
      <c r="C2862" s="919" t="s">
        <v>3902</v>
      </c>
      <c r="D2862" s="919" t="s">
        <v>3999</v>
      </c>
      <c r="E2862" s="920">
        <v>2000</v>
      </c>
      <c r="F2862" s="919" t="s">
        <v>9067</v>
      </c>
      <c r="G2862" s="919" t="s">
        <v>9068</v>
      </c>
      <c r="H2862" s="919" t="s">
        <v>3999</v>
      </c>
      <c r="I2862" s="919" t="s">
        <v>3724</v>
      </c>
      <c r="J2862" s="919"/>
      <c r="K2862" s="920">
        <v>1</v>
      </c>
      <c r="L2862" s="920">
        <v>12</v>
      </c>
      <c r="M2862" s="920">
        <f t="shared" si="88"/>
        <v>24000</v>
      </c>
      <c r="N2862" s="919"/>
      <c r="O2862" s="919"/>
      <c r="P2862" s="921">
        <f t="shared" si="89"/>
        <v>0</v>
      </c>
    </row>
    <row r="2863" spans="1:16" ht="20.100000000000001" customHeight="1" x14ac:dyDescent="0.25">
      <c r="A2863" s="918" t="s">
        <v>488</v>
      </c>
      <c r="B2863" s="944" t="s">
        <v>3901</v>
      </c>
      <c r="C2863" s="919" t="s">
        <v>3902</v>
      </c>
      <c r="D2863" s="919" t="s">
        <v>4382</v>
      </c>
      <c r="E2863" s="920">
        <v>2500</v>
      </c>
      <c r="F2863" s="919" t="s">
        <v>4041</v>
      </c>
      <c r="G2863" s="919" t="s">
        <v>4062</v>
      </c>
      <c r="H2863" s="919" t="s">
        <v>4382</v>
      </c>
      <c r="I2863" s="919" t="s">
        <v>3724</v>
      </c>
      <c r="J2863" s="919"/>
      <c r="K2863" s="920">
        <v>1</v>
      </c>
      <c r="L2863" s="920">
        <v>12</v>
      </c>
      <c r="M2863" s="920">
        <f t="shared" si="88"/>
        <v>30000</v>
      </c>
      <c r="N2863" s="919"/>
      <c r="O2863" s="919"/>
      <c r="P2863" s="921">
        <f t="shared" si="89"/>
        <v>0</v>
      </c>
    </row>
    <row r="2864" spans="1:16" ht="20.100000000000001" customHeight="1" x14ac:dyDescent="0.25">
      <c r="A2864" s="918" t="s">
        <v>488</v>
      </c>
      <c r="B2864" s="944" t="s">
        <v>3901</v>
      </c>
      <c r="C2864" s="919" t="s">
        <v>3902</v>
      </c>
      <c r="D2864" s="919" t="s">
        <v>3999</v>
      </c>
      <c r="E2864" s="920">
        <v>2100</v>
      </c>
      <c r="F2864" s="919" t="s">
        <v>4041</v>
      </c>
      <c r="G2864" s="919" t="s">
        <v>4042</v>
      </c>
      <c r="H2864" s="919" t="s">
        <v>3999</v>
      </c>
      <c r="I2864" s="919" t="s">
        <v>3724</v>
      </c>
      <c r="J2864" s="919"/>
      <c r="K2864" s="920">
        <v>1</v>
      </c>
      <c r="L2864" s="920">
        <v>12</v>
      </c>
      <c r="M2864" s="920">
        <f t="shared" si="88"/>
        <v>25200</v>
      </c>
      <c r="N2864" s="919"/>
      <c r="O2864" s="919"/>
      <c r="P2864" s="921">
        <f t="shared" si="89"/>
        <v>0</v>
      </c>
    </row>
    <row r="2865" spans="1:16" ht="20.100000000000001" customHeight="1" x14ac:dyDescent="0.25">
      <c r="A2865" s="918" t="s">
        <v>488</v>
      </c>
      <c r="B2865" s="944" t="s">
        <v>3901</v>
      </c>
      <c r="C2865" s="919" t="s">
        <v>3902</v>
      </c>
      <c r="D2865" s="919" t="s">
        <v>3999</v>
      </c>
      <c r="E2865" s="920">
        <v>2100</v>
      </c>
      <c r="F2865" s="919" t="s">
        <v>9069</v>
      </c>
      <c r="G2865" s="919" t="s">
        <v>9070</v>
      </c>
      <c r="H2865" s="919" t="s">
        <v>3999</v>
      </c>
      <c r="I2865" s="919" t="s">
        <v>3724</v>
      </c>
      <c r="J2865" s="919"/>
      <c r="K2865" s="920">
        <v>1</v>
      </c>
      <c r="L2865" s="920">
        <v>12</v>
      </c>
      <c r="M2865" s="920">
        <f t="shared" si="88"/>
        <v>25200</v>
      </c>
      <c r="N2865" s="919"/>
      <c r="O2865" s="919"/>
      <c r="P2865" s="921">
        <f t="shared" si="89"/>
        <v>0</v>
      </c>
    </row>
    <row r="2866" spans="1:16" ht="20.100000000000001" customHeight="1" x14ac:dyDescent="0.25">
      <c r="A2866" s="918" t="s">
        <v>488</v>
      </c>
      <c r="B2866" s="944" t="s">
        <v>3901</v>
      </c>
      <c r="C2866" s="919" t="s">
        <v>3902</v>
      </c>
      <c r="D2866" s="919" t="s">
        <v>6120</v>
      </c>
      <c r="E2866" s="920">
        <v>3000</v>
      </c>
      <c r="F2866" s="919" t="s">
        <v>4041</v>
      </c>
      <c r="G2866" s="919" t="s">
        <v>4042</v>
      </c>
      <c r="H2866" s="919" t="s">
        <v>6120</v>
      </c>
      <c r="I2866" s="919" t="s">
        <v>3724</v>
      </c>
      <c r="J2866" s="919"/>
      <c r="K2866" s="920">
        <v>1</v>
      </c>
      <c r="L2866" s="920">
        <v>12</v>
      </c>
      <c r="M2866" s="920">
        <f t="shared" si="88"/>
        <v>36000</v>
      </c>
      <c r="N2866" s="919"/>
      <c r="O2866" s="919"/>
      <c r="P2866" s="921">
        <f t="shared" si="89"/>
        <v>0</v>
      </c>
    </row>
    <row r="2867" spans="1:16" ht="20.100000000000001" customHeight="1" x14ac:dyDescent="0.25">
      <c r="A2867" s="918" t="s">
        <v>488</v>
      </c>
      <c r="B2867" s="944" t="s">
        <v>3901</v>
      </c>
      <c r="C2867" s="919" t="s">
        <v>3902</v>
      </c>
      <c r="D2867" s="919" t="s">
        <v>3999</v>
      </c>
      <c r="E2867" s="920">
        <v>2400</v>
      </c>
      <c r="F2867" s="919" t="s">
        <v>9071</v>
      </c>
      <c r="G2867" s="919" t="s">
        <v>9072</v>
      </c>
      <c r="H2867" s="919" t="s">
        <v>3999</v>
      </c>
      <c r="I2867" s="919" t="s">
        <v>3724</v>
      </c>
      <c r="J2867" s="919"/>
      <c r="K2867" s="920">
        <v>1</v>
      </c>
      <c r="L2867" s="920">
        <v>12</v>
      </c>
      <c r="M2867" s="920">
        <f t="shared" si="88"/>
        <v>28800</v>
      </c>
      <c r="N2867" s="919"/>
      <c r="O2867" s="919"/>
      <c r="P2867" s="921">
        <f t="shared" si="89"/>
        <v>0</v>
      </c>
    </row>
    <row r="2868" spans="1:16" ht="20.100000000000001" customHeight="1" x14ac:dyDescent="0.25">
      <c r="A2868" s="918" t="s">
        <v>488</v>
      </c>
      <c r="B2868" s="944" t="s">
        <v>3901</v>
      </c>
      <c r="C2868" s="919" t="s">
        <v>3902</v>
      </c>
      <c r="D2868" s="919" t="s">
        <v>6120</v>
      </c>
      <c r="E2868" s="920">
        <v>3000</v>
      </c>
      <c r="F2868" s="919" t="s">
        <v>9073</v>
      </c>
      <c r="G2868" s="919" t="s">
        <v>9074</v>
      </c>
      <c r="H2868" s="919" t="s">
        <v>6120</v>
      </c>
      <c r="I2868" s="919" t="s">
        <v>3724</v>
      </c>
      <c r="J2868" s="919"/>
      <c r="K2868" s="920">
        <v>1</v>
      </c>
      <c r="L2868" s="920">
        <v>12</v>
      </c>
      <c r="M2868" s="920">
        <f t="shared" si="88"/>
        <v>36000</v>
      </c>
      <c r="N2868" s="919"/>
      <c r="O2868" s="919"/>
      <c r="P2868" s="921">
        <f t="shared" si="89"/>
        <v>0</v>
      </c>
    </row>
    <row r="2869" spans="1:16" ht="20.100000000000001" customHeight="1" x14ac:dyDescent="0.25">
      <c r="A2869" s="918" t="s">
        <v>488</v>
      </c>
      <c r="B2869" s="944" t="s">
        <v>3901</v>
      </c>
      <c r="C2869" s="919" t="s">
        <v>3902</v>
      </c>
      <c r="D2869" s="919" t="s">
        <v>6120</v>
      </c>
      <c r="E2869" s="920">
        <v>3000</v>
      </c>
      <c r="F2869" s="919" t="s">
        <v>9075</v>
      </c>
      <c r="G2869" s="919" t="s">
        <v>9076</v>
      </c>
      <c r="H2869" s="919" t="s">
        <v>6120</v>
      </c>
      <c r="I2869" s="919" t="s">
        <v>3724</v>
      </c>
      <c r="J2869" s="919"/>
      <c r="K2869" s="920">
        <v>1</v>
      </c>
      <c r="L2869" s="920">
        <v>12</v>
      </c>
      <c r="M2869" s="920">
        <f t="shared" si="88"/>
        <v>36000</v>
      </c>
      <c r="N2869" s="919"/>
      <c r="O2869" s="919"/>
      <c r="P2869" s="921">
        <f t="shared" si="89"/>
        <v>0</v>
      </c>
    </row>
    <row r="2870" spans="1:16" ht="20.100000000000001" customHeight="1" x14ac:dyDescent="0.25">
      <c r="A2870" s="918" t="s">
        <v>488</v>
      </c>
      <c r="B2870" s="944" t="s">
        <v>3901</v>
      </c>
      <c r="C2870" s="919" t="s">
        <v>3902</v>
      </c>
      <c r="D2870" s="919" t="s">
        <v>4352</v>
      </c>
      <c r="E2870" s="920">
        <v>2100</v>
      </c>
      <c r="F2870" s="919" t="s">
        <v>9077</v>
      </c>
      <c r="G2870" s="919" t="s">
        <v>9078</v>
      </c>
      <c r="H2870" s="919" t="s">
        <v>4352</v>
      </c>
      <c r="I2870" s="919" t="s">
        <v>3724</v>
      </c>
      <c r="J2870" s="919"/>
      <c r="K2870" s="920">
        <v>1</v>
      </c>
      <c r="L2870" s="920">
        <v>12</v>
      </c>
      <c r="M2870" s="920">
        <f t="shared" si="88"/>
        <v>25200</v>
      </c>
      <c r="N2870" s="919"/>
      <c r="O2870" s="919"/>
      <c r="P2870" s="921">
        <f t="shared" si="89"/>
        <v>0</v>
      </c>
    </row>
    <row r="2871" spans="1:16" ht="20.100000000000001" customHeight="1" x14ac:dyDescent="0.25">
      <c r="A2871" s="918" t="s">
        <v>488</v>
      </c>
      <c r="B2871" s="944" t="s">
        <v>3901</v>
      </c>
      <c r="C2871" s="919" t="s">
        <v>3902</v>
      </c>
      <c r="D2871" s="919" t="s">
        <v>4383</v>
      </c>
      <c r="E2871" s="920">
        <v>2500</v>
      </c>
      <c r="F2871" s="919" t="s">
        <v>9079</v>
      </c>
      <c r="G2871" s="919" t="s">
        <v>9080</v>
      </c>
      <c r="H2871" s="919" t="s">
        <v>4383</v>
      </c>
      <c r="I2871" s="919" t="s">
        <v>3724</v>
      </c>
      <c r="J2871" s="919"/>
      <c r="K2871" s="920"/>
      <c r="L2871" s="920"/>
      <c r="M2871" s="920">
        <f t="shared" si="88"/>
        <v>0</v>
      </c>
      <c r="N2871" s="919">
        <v>1</v>
      </c>
      <c r="O2871" s="919">
        <v>1</v>
      </c>
      <c r="P2871" s="921">
        <f t="shared" si="89"/>
        <v>2500</v>
      </c>
    </row>
    <row r="2872" spans="1:16" ht="20.100000000000001" customHeight="1" x14ac:dyDescent="0.25">
      <c r="A2872" s="918" t="s">
        <v>488</v>
      </c>
      <c r="B2872" s="944" t="s">
        <v>3901</v>
      </c>
      <c r="C2872" s="919" t="s">
        <v>3902</v>
      </c>
      <c r="D2872" s="919" t="s">
        <v>6120</v>
      </c>
      <c r="E2872" s="920">
        <v>3000</v>
      </c>
      <c r="F2872" s="919" t="s">
        <v>9081</v>
      </c>
      <c r="G2872" s="919" t="s">
        <v>9082</v>
      </c>
      <c r="H2872" s="919" t="s">
        <v>6120</v>
      </c>
      <c r="I2872" s="919" t="s">
        <v>3724</v>
      </c>
      <c r="J2872" s="919"/>
      <c r="K2872" s="920">
        <v>1</v>
      </c>
      <c r="L2872" s="920">
        <v>12</v>
      </c>
      <c r="M2872" s="920">
        <f t="shared" si="88"/>
        <v>36000</v>
      </c>
      <c r="N2872" s="919"/>
      <c r="O2872" s="919"/>
      <c r="P2872" s="921">
        <f t="shared" si="89"/>
        <v>0</v>
      </c>
    </row>
    <row r="2873" spans="1:16" ht="20.100000000000001" customHeight="1" x14ac:dyDescent="0.25">
      <c r="A2873" s="918" t="s">
        <v>488</v>
      </c>
      <c r="B2873" s="944" t="s">
        <v>3901</v>
      </c>
      <c r="C2873" s="919" t="s">
        <v>3902</v>
      </c>
      <c r="D2873" s="919" t="s">
        <v>3999</v>
      </c>
      <c r="E2873" s="920">
        <v>2100</v>
      </c>
      <c r="F2873" s="919" t="s">
        <v>9083</v>
      </c>
      <c r="G2873" s="919" t="s">
        <v>9084</v>
      </c>
      <c r="H2873" s="919" t="s">
        <v>3999</v>
      </c>
      <c r="I2873" s="919" t="s">
        <v>3724</v>
      </c>
      <c r="J2873" s="919"/>
      <c r="K2873" s="920">
        <v>1</v>
      </c>
      <c r="L2873" s="920">
        <v>12</v>
      </c>
      <c r="M2873" s="920">
        <f t="shared" si="88"/>
        <v>25200</v>
      </c>
      <c r="N2873" s="919"/>
      <c r="O2873" s="919"/>
      <c r="P2873" s="921">
        <f t="shared" si="89"/>
        <v>0</v>
      </c>
    </row>
    <row r="2874" spans="1:16" ht="20.100000000000001" customHeight="1" x14ac:dyDescent="0.25">
      <c r="A2874" s="918" t="s">
        <v>488</v>
      </c>
      <c r="B2874" s="944" t="s">
        <v>3901</v>
      </c>
      <c r="C2874" s="919" t="s">
        <v>3902</v>
      </c>
      <c r="D2874" s="919" t="s">
        <v>4352</v>
      </c>
      <c r="E2874" s="920">
        <v>2100</v>
      </c>
      <c r="F2874" s="919" t="s">
        <v>4041</v>
      </c>
      <c r="G2874" s="919" t="s">
        <v>4062</v>
      </c>
      <c r="H2874" s="919" t="s">
        <v>4352</v>
      </c>
      <c r="I2874" s="919" t="s">
        <v>3724</v>
      </c>
      <c r="J2874" s="919"/>
      <c r="K2874" s="920">
        <v>1</v>
      </c>
      <c r="L2874" s="920">
        <v>12</v>
      </c>
      <c r="M2874" s="920">
        <f t="shared" si="88"/>
        <v>25200</v>
      </c>
      <c r="N2874" s="919"/>
      <c r="O2874" s="919"/>
      <c r="P2874" s="921">
        <f t="shared" si="89"/>
        <v>0</v>
      </c>
    </row>
    <row r="2875" spans="1:16" ht="20.100000000000001" customHeight="1" x14ac:dyDescent="0.25">
      <c r="A2875" s="918" t="s">
        <v>488</v>
      </c>
      <c r="B2875" s="944" t="s">
        <v>3901</v>
      </c>
      <c r="C2875" s="919" t="s">
        <v>3902</v>
      </c>
      <c r="D2875" s="919" t="s">
        <v>3999</v>
      </c>
      <c r="E2875" s="920">
        <v>2700</v>
      </c>
      <c r="F2875" s="919" t="s">
        <v>9085</v>
      </c>
      <c r="G2875" s="919" t="s">
        <v>9086</v>
      </c>
      <c r="H2875" s="919" t="s">
        <v>3999</v>
      </c>
      <c r="I2875" s="919" t="s">
        <v>3724</v>
      </c>
      <c r="J2875" s="919"/>
      <c r="K2875" s="920">
        <v>1</v>
      </c>
      <c r="L2875" s="920">
        <v>12</v>
      </c>
      <c r="M2875" s="920">
        <f t="shared" si="88"/>
        <v>32400</v>
      </c>
      <c r="N2875" s="919"/>
      <c r="O2875" s="919"/>
      <c r="P2875" s="921">
        <f t="shared" si="89"/>
        <v>0</v>
      </c>
    </row>
    <row r="2876" spans="1:16" ht="20.100000000000001" customHeight="1" x14ac:dyDescent="0.25">
      <c r="A2876" s="918" t="s">
        <v>488</v>
      </c>
      <c r="B2876" s="944" t="s">
        <v>3901</v>
      </c>
      <c r="C2876" s="919" t="s">
        <v>3902</v>
      </c>
      <c r="D2876" s="919" t="s">
        <v>4352</v>
      </c>
      <c r="E2876" s="920">
        <v>2100</v>
      </c>
      <c r="F2876" s="919" t="s">
        <v>9087</v>
      </c>
      <c r="G2876" s="919" t="s">
        <v>9088</v>
      </c>
      <c r="H2876" s="919" t="s">
        <v>4352</v>
      </c>
      <c r="I2876" s="919" t="s">
        <v>3724</v>
      </c>
      <c r="J2876" s="919"/>
      <c r="K2876" s="920">
        <v>1</v>
      </c>
      <c r="L2876" s="920">
        <v>12</v>
      </c>
      <c r="M2876" s="920">
        <f t="shared" si="88"/>
        <v>25200</v>
      </c>
      <c r="N2876" s="919"/>
      <c r="O2876" s="919"/>
      <c r="P2876" s="921">
        <f t="shared" si="89"/>
        <v>0</v>
      </c>
    </row>
    <row r="2877" spans="1:16" ht="20.100000000000001" customHeight="1" x14ac:dyDescent="0.25">
      <c r="A2877" s="918" t="s">
        <v>488</v>
      </c>
      <c r="B2877" s="944" t="s">
        <v>3901</v>
      </c>
      <c r="C2877" s="919" t="s">
        <v>3902</v>
      </c>
      <c r="D2877" s="919" t="s">
        <v>4449</v>
      </c>
      <c r="E2877" s="920">
        <v>2100</v>
      </c>
      <c r="F2877" s="919" t="s">
        <v>9089</v>
      </c>
      <c r="G2877" s="919" t="s">
        <v>9090</v>
      </c>
      <c r="H2877" s="919" t="s">
        <v>4449</v>
      </c>
      <c r="I2877" s="919" t="s">
        <v>3724</v>
      </c>
      <c r="J2877" s="919"/>
      <c r="K2877" s="920">
        <v>1</v>
      </c>
      <c r="L2877" s="920">
        <v>12</v>
      </c>
      <c r="M2877" s="920">
        <f t="shared" si="88"/>
        <v>25200</v>
      </c>
      <c r="N2877" s="919"/>
      <c r="O2877" s="919"/>
      <c r="P2877" s="921">
        <f t="shared" si="89"/>
        <v>0</v>
      </c>
    </row>
    <row r="2878" spans="1:16" ht="20.100000000000001" customHeight="1" x14ac:dyDescent="0.25">
      <c r="A2878" s="918" t="s">
        <v>488</v>
      </c>
      <c r="B2878" s="944" t="s">
        <v>3901</v>
      </c>
      <c r="C2878" s="919" t="s">
        <v>3902</v>
      </c>
      <c r="D2878" s="919" t="s">
        <v>6120</v>
      </c>
      <c r="E2878" s="920">
        <v>6418</v>
      </c>
      <c r="F2878" s="919" t="s">
        <v>9091</v>
      </c>
      <c r="G2878" s="919" t="s">
        <v>9092</v>
      </c>
      <c r="H2878" s="919" t="s">
        <v>6120</v>
      </c>
      <c r="I2878" s="919" t="s">
        <v>3724</v>
      </c>
      <c r="J2878" s="919"/>
      <c r="K2878" s="920">
        <v>1</v>
      </c>
      <c r="L2878" s="920">
        <v>12</v>
      </c>
      <c r="M2878" s="920">
        <f t="shared" si="88"/>
        <v>77016</v>
      </c>
      <c r="N2878" s="919"/>
      <c r="O2878" s="919"/>
      <c r="P2878" s="921">
        <f t="shared" si="89"/>
        <v>0</v>
      </c>
    </row>
    <row r="2879" spans="1:16" ht="20.100000000000001" customHeight="1" x14ac:dyDescent="0.25">
      <c r="A2879" s="918" t="s">
        <v>488</v>
      </c>
      <c r="B2879" s="944" t="s">
        <v>3901</v>
      </c>
      <c r="C2879" s="919" t="s">
        <v>3902</v>
      </c>
      <c r="D2879" s="919" t="s">
        <v>6120</v>
      </c>
      <c r="E2879" s="920">
        <v>3000</v>
      </c>
      <c r="F2879" s="919" t="s">
        <v>9093</v>
      </c>
      <c r="G2879" s="919" t="s">
        <v>9094</v>
      </c>
      <c r="H2879" s="919" t="s">
        <v>6120</v>
      </c>
      <c r="I2879" s="919" t="s">
        <v>3724</v>
      </c>
      <c r="J2879" s="919"/>
      <c r="K2879" s="920">
        <v>1</v>
      </c>
      <c r="L2879" s="920">
        <v>12</v>
      </c>
      <c r="M2879" s="920">
        <f t="shared" si="88"/>
        <v>36000</v>
      </c>
      <c r="N2879" s="919"/>
      <c r="O2879" s="919"/>
      <c r="P2879" s="921">
        <f t="shared" si="89"/>
        <v>0</v>
      </c>
    </row>
    <row r="2880" spans="1:16" ht="20.100000000000001" customHeight="1" x14ac:dyDescent="0.25">
      <c r="A2880" s="918" t="s">
        <v>488</v>
      </c>
      <c r="B2880" s="944" t="s">
        <v>3901</v>
      </c>
      <c r="C2880" s="919" t="s">
        <v>3902</v>
      </c>
      <c r="D2880" s="919" t="s">
        <v>3999</v>
      </c>
      <c r="E2880" s="920">
        <v>2000</v>
      </c>
      <c r="F2880" s="919" t="s">
        <v>9095</v>
      </c>
      <c r="G2880" s="919" t="s">
        <v>9096</v>
      </c>
      <c r="H2880" s="919" t="s">
        <v>3999</v>
      </c>
      <c r="I2880" s="919" t="s">
        <v>3724</v>
      </c>
      <c r="J2880" s="919"/>
      <c r="K2880" s="920">
        <v>1</v>
      </c>
      <c r="L2880" s="920">
        <v>12</v>
      </c>
      <c r="M2880" s="920">
        <f t="shared" si="88"/>
        <v>24000</v>
      </c>
      <c r="N2880" s="919"/>
      <c r="O2880" s="919"/>
      <c r="P2880" s="921">
        <f t="shared" si="89"/>
        <v>0</v>
      </c>
    </row>
    <row r="2881" spans="1:16" ht="20.100000000000001" customHeight="1" x14ac:dyDescent="0.25">
      <c r="A2881" s="918" t="s">
        <v>488</v>
      </c>
      <c r="B2881" s="944" t="s">
        <v>3901</v>
      </c>
      <c r="C2881" s="919" t="s">
        <v>3902</v>
      </c>
      <c r="D2881" s="919" t="s">
        <v>3999</v>
      </c>
      <c r="E2881" s="920">
        <v>2100</v>
      </c>
      <c r="F2881" s="919" t="s">
        <v>9097</v>
      </c>
      <c r="G2881" s="919" t="s">
        <v>9098</v>
      </c>
      <c r="H2881" s="919" t="s">
        <v>3999</v>
      </c>
      <c r="I2881" s="919" t="s">
        <v>3724</v>
      </c>
      <c r="J2881" s="919"/>
      <c r="K2881" s="920">
        <v>1</v>
      </c>
      <c r="L2881" s="920">
        <v>12</v>
      </c>
      <c r="M2881" s="920">
        <f t="shared" si="88"/>
        <v>25200</v>
      </c>
      <c r="N2881" s="919"/>
      <c r="O2881" s="919"/>
      <c r="P2881" s="921">
        <f t="shared" si="89"/>
        <v>0</v>
      </c>
    </row>
    <row r="2882" spans="1:16" ht="20.100000000000001" customHeight="1" x14ac:dyDescent="0.25">
      <c r="A2882" s="918" t="s">
        <v>488</v>
      </c>
      <c r="B2882" s="944" t="s">
        <v>3901</v>
      </c>
      <c r="C2882" s="919" t="s">
        <v>3902</v>
      </c>
      <c r="D2882" s="919" t="s">
        <v>4352</v>
      </c>
      <c r="E2882" s="920">
        <v>2000</v>
      </c>
      <c r="F2882" s="919" t="s">
        <v>9099</v>
      </c>
      <c r="G2882" s="919" t="s">
        <v>9100</v>
      </c>
      <c r="H2882" s="919" t="s">
        <v>4352</v>
      </c>
      <c r="I2882" s="919" t="s">
        <v>3724</v>
      </c>
      <c r="J2882" s="919"/>
      <c r="K2882" s="920">
        <v>1</v>
      </c>
      <c r="L2882" s="920">
        <v>12</v>
      </c>
      <c r="M2882" s="920">
        <f t="shared" si="88"/>
        <v>24000</v>
      </c>
      <c r="N2882" s="919"/>
      <c r="O2882" s="919"/>
      <c r="P2882" s="921">
        <f t="shared" si="89"/>
        <v>0</v>
      </c>
    </row>
    <row r="2883" spans="1:16" ht="20.100000000000001" customHeight="1" x14ac:dyDescent="0.25">
      <c r="A2883" s="918" t="s">
        <v>488</v>
      </c>
      <c r="B2883" s="944" t="s">
        <v>3901</v>
      </c>
      <c r="C2883" s="919" t="s">
        <v>3902</v>
      </c>
      <c r="D2883" s="919" t="s">
        <v>4352</v>
      </c>
      <c r="E2883" s="920">
        <v>2100</v>
      </c>
      <c r="F2883" s="919" t="s">
        <v>9101</v>
      </c>
      <c r="G2883" s="919" t="s">
        <v>9102</v>
      </c>
      <c r="H2883" s="919" t="s">
        <v>4352</v>
      </c>
      <c r="I2883" s="919" t="s">
        <v>3724</v>
      </c>
      <c r="J2883" s="919"/>
      <c r="K2883" s="920">
        <v>1</v>
      </c>
      <c r="L2883" s="920">
        <v>12</v>
      </c>
      <c r="M2883" s="920">
        <f t="shared" si="88"/>
        <v>25200</v>
      </c>
      <c r="N2883" s="919"/>
      <c r="O2883" s="919"/>
      <c r="P2883" s="921">
        <f t="shared" si="89"/>
        <v>0</v>
      </c>
    </row>
    <row r="2884" spans="1:16" ht="20.100000000000001" customHeight="1" x14ac:dyDescent="0.25">
      <c r="A2884" s="918" t="s">
        <v>488</v>
      </c>
      <c r="B2884" s="944" t="s">
        <v>3901</v>
      </c>
      <c r="C2884" s="919" t="s">
        <v>3902</v>
      </c>
      <c r="D2884" s="919" t="s">
        <v>3999</v>
      </c>
      <c r="E2884" s="920">
        <v>2500</v>
      </c>
      <c r="F2884" s="919" t="s">
        <v>9103</v>
      </c>
      <c r="G2884" s="919" t="s">
        <v>9104</v>
      </c>
      <c r="H2884" s="919" t="s">
        <v>3999</v>
      </c>
      <c r="I2884" s="919" t="s">
        <v>3724</v>
      </c>
      <c r="J2884" s="919"/>
      <c r="K2884" s="920"/>
      <c r="L2884" s="920"/>
      <c r="M2884" s="920">
        <f t="shared" si="88"/>
        <v>0</v>
      </c>
      <c r="N2884" s="919">
        <v>1</v>
      </c>
      <c r="O2884" s="919">
        <v>1</v>
      </c>
      <c r="P2884" s="921">
        <f t="shared" si="89"/>
        <v>2500</v>
      </c>
    </row>
    <row r="2885" spans="1:16" ht="20.100000000000001" customHeight="1" x14ac:dyDescent="0.25">
      <c r="A2885" s="918" t="s">
        <v>488</v>
      </c>
      <c r="B2885" s="944" t="s">
        <v>3901</v>
      </c>
      <c r="C2885" s="919" t="s">
        <v>3902</v>
      </c>
      <c r="D2885" s="919" t="s">
        <v>6120</v>
      </c>
      <c r="E2885" s="920">
        <v>3000</v>
      </c>
      <c r="F2885" s="919" t="s">
        <v>9105</v>
      </c>
      <c r="G2885" s="919" t="s">
        <v>9106</v>
      </c>
      <c r="H2885" s="919" t="s">
        <v>6120</v>
      </c>
      <c r="I2885" s="919" t="s">
        <v>3724</v>
      </c>
      <c r="J2885" s="919"/>
      <c r="K2885" s="920">
        <v>1</v>
      </c>
      <c r="L2885" s="920">
        <v>12</v>
      </c>
      <c r="M2885" s="920">
        <f t="shared" si="88"/>
        <v>36000</v>
      </c>
      <c r="N2885" s="919"/>
      <c r="O2885" s="919"/>
      <c r="P2885" s="921">
        <f t="shared" si="89"/>
        <v>0</v>
      </c>
    </row>
    <row r="2886" spans="1:16" ht="20.100000000000001" customHeight="1" x14ac:dyDescent="0.25">
      <c r="A2886" s="918" t="s">
        <v>488</v>
      </c>
      <c r="B2886" s="944" t="s">
        <v>3901</v>
      </c>
      <c r="C2886" s="919" t="s">
        <v>3902</v>
      </c>
      <c r="D2886" s="919" t="s">
        <v>4352</v>
      </c>
      <c r="E2886" s="920">
        <v>2100</v>
      </c>
      <c r="F2886" s="919" t="s">
        <v>9107</v>
      </c>
      <c r="G2886" s="919" t="s">
        <v>9108</v>
      </c>
      <c r="H2886" s="919" t="s">
        <v>4352</v>
      </c>
      <c r="I2886" s="919" t="s">
        <v>3724</v>
      </c>
      <c r="J2886" s="919"/>
      <c r="K2886" s="920">
        <v>1</v>
      </c>
      <c r="L2886" s="920">
        <v>12</v>
      </c>
      <c r="M2886" s="920">
        <f t="shared" ref="M2886:M2949" si="90">E2886*L2886</f>
        <v>25200</v>
      </c>
      <c r="N2886" s="919"/>
      <c r="O2886" s="919"/>
      <c r="P2886" s="921">
        <f t="shared" ref="P2886:P2949" si="91">E2886*O2886</f>
        <v>0</v>
      </c>
    </row>
    <row r="2887" spans="1:16" ht="20.100000000000001" customHeight="1" x14ac:dyDescent="0.25">
      <c r="A2887" s="918" t="s">
        <v>488</v>
      </c>
      <c r="B2887" s="944" t="s">
        <v>3901</v>
      </c>
      <c r="C2887" s="919" t="s">
        <v>3902</v>
      </c>
      <c r="D2887" s="919" t="s">
        <v>6120</v>
      </c>
      <c r="E2887" s="920">
        <v>3000</v>
      </c>
      <c r="F2887" s="919" t="s">
        <v>4041</v>
      </c>
      <c r="G2887" s="919" t="s">
        <v>4062</v>
      </c>
      <c r="H2887" s="919" t="s">
        <v>6120</v>
      </c>
      <c r="I2887" s="919" t="s">
        <v>3724</v>
      </c>
      <c r="J2887" s="919"/>
      <c r="K2887" s="920">
        <v>1</v>
      </c>
      <c r="L2887" s="920">
        <v>12</v>
      </c>
      <c r="M2887" s="920">
        <f t="shared" si="90"/>
        <v>36000</v>
      </c>
      <c r="N2887" s="919"/>
      <c r="O2887" s="919"/>
      <c r="P2887" s="921">
        <f t="shared" si="91"/>
        <v>0</v>
      </c>
    </row>
    <row r="2888" spans="1:16" ht="20.100000000000001" customHeight="1" x14ac:dyDescent="0.25">
      <c r="A2888" s="918" t="s">
        <v>488</v>
      </c>
      <c r="B2888" s="944" t="s">
        <v>3901</v>
      </c>
      <c r="C2888" s="919" t="s">
        <v>3902</v>
      </c>
      <c r="D2888" s="919" t="s">
        <v>4352</v>
      </c>
      <c r="E2888" s="920">
        <v>3000</v>
      </c>
      <c r="F2888" s="919" t="s">
        <v>9109</v>
      </c>
      <c r="G2888" s="919" t="s">
        <v>9110</v>
      </c>
      <c r="H2888" s="919" t="s">
        <v>4352</v>
      </c>
      <c r="I2888" s="919" t="s">
        <v>3724</v>
      </c>
      <c r="J2888" s="919"/>
      <c r="K2888" s="920">
        <v>1</v>
      </c>
      <c r="L2888" s="920">
        <v>12</v>
      </c>
      <c r="M2888" s="920">
        <f t="shared" si="90"/>
        <v>36000</v>
      </c>
      <c r="N2888" s="919"/>
      <c r="O2888" s="919"/>
      <c r="P2888" s="921">
        <f t="shared" si="91"/>
        <v>0</v>
      </c>
    </row>
    <row r="2889" spans="1:16" ht="20.100000000000001" customHeight="1" x14ac:dyDescent="0.25">
      <c r="A2889" s="918" t="s">
        <v>488</v>
      </c>
      <c r="B2889" s="944" t="s">
        <v>3901</v>
      </c>
      <c r="C2889" s="919" t="s">
        <v>3902</v>
      </c>
      <c r="D2889" s="919" t="s">
        <v>4382</v>
      </c>
      <c r="E2889" s="920">
        <v>2000</v>
      </c>
      <c r="F2889" s="919" t="s">
        <v>9111</v>
      </c>
      <c r="G2889" s="919" t="s">
        <v>9112</v>
      </c>
      <c r="H2889" s="919" t="s">
        <v>4382</v>
      </c>
      <c r="I2889" s="919" t="s">
        <v>3724</v>
      </c>
      <c r="J2889" s="919"/>
      <c r="K2889" s="920">
        <v>1</v>
      </c>
      <c r="L2889" s="920">
        <v>12</v>
      </c>
      <c r="M2889" s="920">
        <f t="shared" si="90"/>
        <v>24000</v>
      </c>
      <c r="N2889" s="919"/>
      <c r="O2889" s="919"/>
      <c r="P2889" s="921">
        <f t="shared" si="91"/>
        <v>0</v>
      </c>
    </row>
    <row r="2890" spans="1:16" ht="20.100000000000001" customHeight="1" x14ac:dyDescent="0.25">
      <c r="A2890" s="918" t="s">
        <v>488</v>
      </c>
      <c r="B2890" s="944" t="s">
        <v>3901</v>
      </c>
      <c r="C2890" s="919" t="s">
        <v>3902</v>
      </c>
      <c r="D2890" s="919" t="s">
        <v>3999</v>
      </c>
      <c r="E2890" s="920">
        <v>2100</v>
      </c>
      <c r="F2890" s="919" t="s">
        <v>9113</v>
      </c>
      <c r="G2890" s="919" t="s">
        <v>9114</v>
      </c>
      <c r="H2890" s="919" t="s">
        <v>3999</v>
      </c>
      <c r="I2890" s="919" t="s">
        <v>3724</v>
      </c>
      <c r="J2890" s="919"/>
      <c r="K2890" s="920">
        <v>1</v>
      </c>
      <c r="L2890" s="920">
        <v>12</v>
      </c>
      <c r="M2890" s="920">
        <f t="shared" si="90"/>
        <v>25200</v>
      </c>
      <c r="N2890" s="919"/>
      <c r="O2890" s="919"/>
      <c r="P2890" s="921">
        <f t="shared" si="91"/>
        <v>0</v>
      </c>
    </row>
    <row r="2891" spans="1:16" ht="20.100000000000001" customHeight="1" x14ac:dyDescent="0.25">
      <c r="A2891" s="918" t="s">
        <v>488</v>
      </c>
      <c r="B2891" s="944" t="s">
        <v>3901</v>
      </c>
      <c r="C2891" s="919" t="s">
        <v>3902</v>
      </c>
      <c r="D2891" s="919" t="s">
        <v>4352</v>
      </c>
      <c r="E2891" s="920">
        <v>2100</v>
      </c>
      <c r="F2891" s="919" t="s">
        <v>4041</v>
      </c>
      <c r="G2891" s="919" t="s">
        <v>4062</v>
      </c>
      <c r="H2891" s="919" t="s">
        <v>4352</v>
      </c>
      <c r="I2891" s="919" t="s">
        <v>3724</v>
      </c>
      <c r="J2891" s="919"/>
      <c r="K2891" s="920">
        <v>1</v>
      </c>
      <c r="L2891" s="920">
        <v>12</v>
      </c>
      <c r="M2891" s="920">
        <f t="shared" si="90"/>
        <v>25200</v>
      </c>
      <c r="N2891" s="919"/>
      <c r="O2891" s="919"/>
      <c r="P2891" s="921">
        <f t="shared" si="91"/>
        <v>0</v>
      </c>
    </row>
    <row r="2892" spans="1:16" ht="20.100000000000001" customHeight="1" x14ac:dyDescent="0.25">
      <c r="A2892" s="918" t="s">
        <v>488</v>
      </c>
      <c r="B2892" s="944" t="s">
        <v>3901</v>
      </c>
      <c r="C2892" s="919" t="s">
        <v>3902</v>
      </c>
      <c r="D2892" s="919" t="s">
        <v>4352</v>
      </c>
      <c r="E2892" s="920">
        <v>2400</v>
      </c>
      <c r="F2892" s="919" t="s">
        <v>9115</v>
      </c>
      <c r="G2892" s="919" t="s">
        <v>9116</v>
      </c>
      <c r="H2892" s="919" t="s">
        <v>4352</v>
      </c>
      <c r="I2892" s="919" t="s">
        <v>3724</v>
      </c>
      <c r="J2892" s="919"/>
      <c r="K2892" s="920">
        <v>1</v>
      </c>
      <c r="L2892" s="920">
        <v>12</v>
      </c>
      <c r="M2892" s="920">
        <f t="shared" si="90"/>
        <v>28800</v>
      </c>
      <c r="N2892" s="919"/>
      <c r="O2892" s="919"/>
      <c r="P2892" s="921">
        <f t="shared" si="91"/>
        <v>0</v>
      </c>
    </row>
    <row r="2893" spans="1:16" ht="20.100000000000001" customHeight="1" x14ac:dyDescent="0.25">
      <c r="A2893" s="918" t="s">
        <v>488</v>
      </c>
      <c r="B2893" s="944" t="s">
        <v>3901</v>
      </c>
      <c r="C2893" s="919" t="s">
        <v>3902</v>
      </c>
      <c r="D2893" s="919" t="s">
        <v>4352</v>
      </c>
      <c r="E2893" s="920">
        <v>2700</v>
      </c>
      <c r="F2893" s="919" t="s">
        <v>4041</v>
      </c>
      <c r="G2893" s="919" t="s">
        <v>4062</v>
      </c>
      <c r="H2893" s="919" t="s">
        <v>4352</v>
      </c>
      <c r="I2893" s="919" t="s">
        <v>3724</v>
      </c>
      <c r="J2893" s="919"/>
      <c r="K2893" s="920">
        <v>1</v>
      </c>
      <c r="L2893" s="920">
        <v>12</v>
      </c>
      <c r="M2893" s="920">
        <f t="shared" si="90"/>
        <v>32400</v>
      </c>
      <c r="N2893" s="919"/>
      <c r="O2893" s="919"/>
      <c r="P2893" s="921">
        <f t="shared" si="91"/>
        <v>0</v>
      </c>
    </row>
    <row r="2894" spans="1:16" ht="20.100000000000001" customHeight="1" x14ac:dyDescent="0.25">
      <c r="A2894" s="918" t="s">
        <v>488</v>
      </c>
      <c r="B2894" s="944" t="s">
        <v>3901</v>
      </c>
      <c r="C2894" s="919" t="s">
        <v>3902</v>
      </c>
      <c r="D2894" s="919" t="s">
        <v>4352</v>
      </c>
      <c r="E2894" s="920">
        <v>2400</v>
      </c>
      <c r="F2894" s="919" t="s">
        <v>9117</v>
      </c>
      <c r="G2894" s="919" t="s">
        <v>9118</v>
      </c>
      <c r="H2894" s="919" t="s">
        <v>4352</v>
      </c>
      <c r="I2894" s="919" t="s">
        <v>3724</v>
      </c>
      <c r="J2894" s="919"/>
      <c r="K2894" s="920"/>
      <c r="L2894" s="920"/>
      <c r="M2894" s="920">
        <f t="shared" si="90"/>
        <v>0</v>
      </c>
      <c r="N2894" s="919">
        <v>1</v>
      </c>
      <c r="O2894" s="919">
        <v>1</v>
      </c>
      <c r="P2894" s="921">
        <f t="shared" si="91"/>
        <v>2400</v>
      </c>
    </row>
    <row r="2895" spans="1:16" ht="20.100000000000001" customHeight="1" x14ac:dyDescent="0.25">
      <c r="A2895" s="918" t="s">
        <v>488</v>
      </c>
      <c r="B2895" s="944" t="s">
        <v>3901</v>
      </c>
      <c r="C2895" s="919" t="s">
        <v>3902</v>
      </c>
      <c r="D2895" s="919" t="s">
        <v>4382</v>
      </c>
      <c r="E2895" s="920">
        <v>2000</v>
      </c>
      <c r="F2895" s="919" t="s">
        <v>4041</v>
      </c>
      <c r="G2895" s="919" t="s">
        <v>4062</v>
      </c>
      <c r="H2895" s="919" t="s">
        <v>4382</v>
      </c>
      <c r="I2895" s="919" t="s">
        <v>3724</v>
      </c>
      <c r="J2895" s="919"/>
      <c r="K2895" s="920">
        <v>1</v>
      </c>
      <c r="L2895" s="920">
        <v>12</v>
      </c>
      <c r="M2895" s="920">
        <f t="shared" si="90"/>
        <v>24000</v>
      </c>
      <c r="N2895" s="919"/>
      <c r="O2895" s="919"/>
      <c r="P2895" s="921">
        <f t="shared" si="91"/>
        <v>0</v>
      </c>
    </row>
    <row r="2896" spans="1:16" ht="20.100000000000001" customHeight="1" x14ac:dyDescent="0.25">
      <c r="A2896" s="918" t="s">
        <v>488</v>
      </c>
      <c r="B2896" s="944" t="s">
        <v>3901</v>
      </c>
      <c r="C2896" s="919" t="s">
        <v>3902</v>
      </c>
      <c r="D2896" s="919" t="s">
        <v>4352</v>
      </c>
      <c r="E2896" s="920">
        <v>2700</v>
      </c>
      <c r="F2896" s="919" t="s">
        <v>9119</v>
      </c>
      <c r="G2896" s="919" t="s">
        <v>9120</v>
      </c>
      <c r="H2896" s="919" t="s">
        <v>4352</v>
      </c>
      <c r="I2896" s="919" t="s">
        <v>3724</v>
      </c>
      <c r="J2896" s="919"/>
      <c r="K2896" s="920">
        <v>1</v>
      </c>
      <c r="L2896" s="920">
        <v>12</v>
      </c>
      <c r="M2896" s="920">
        <f t="shared" si="90"/>
        <v>32400</v>
      </c>
      <c r="N2896" s="919"/>
      <c r="O2896" s="919"/>
      <c r="P2896" s="921">
        <f t="shared" si="91"/>
        <v>0</v>
      </c>
    </row>
    <row r="2897" spans="1:16" ht="20.100000000000001" customHeight="1" x14ac:dyDescent="0.25">
      <c r="A2897" s="918" t="s">
        <v>488</v>
      </c>
      <c r="B2897" s="944" t="s">
        <v>3901</v>
      </c>
      <c r="C2897" s="919" t="s">
        <v>3902</v>
      </c>
      <c r="D2897" s="919" t="s">
        <v>4382</v>
      </c>
      <c r="E2897" s="920">
        <v>2500</v>
      </c>
      <c r="F2897" s="919" t="s">
        <v>4041</v>
      </c>
      <c r="G2897" s="919" t="s">
        <v>4062</v>
      </c>
      <c r="H2897" s="919" t="s">
        <v>4382</v>
      </c>
      <c r="I2897" s="919" t="s">
        <v>3724</v>
      </c>
      <c r="J2897" s="919"/>
      <c r="K2897" s="920">
        <v>1</v>
      </c>
      <c r="L2897" s="920">
        <v>12</v>
      </c>
      <c r="M2897" s="920">
        <f t="shared" si="90"/>
        <v>30000</v>
      </c>
      <c r="N2897" s="919"/>
      <c r="O2897" s="919"/>
      <c r="P2897" s="921">
        <f t="shared" si="91"/>
        <v>0</v>
      </c>
    </row>
    <row r="2898" spans="1:16" ht="20.100000000000001" customHeight="1" x14ac:dyDescent="0.25">
      <c r="A2898" s="918" t="s">
        <v>488</v>
      </c>
      <c r="B2898" s="944" t="s">
        <v>3901</v>
      </c>
      <c r="C2898" s="919" t="s">
        <v>3902</v>
      </c>
      <c r="D2898" s="919" t="s">
        <v>3999</v>
      </c>
      <c r="E2898" s="920">
        <v>2000</v>
      </c>
      <c r="F2898" s="919" t="s">
        <v>9121</v>
      </c>
      <c r="G2898" s="919" t="s">
        <v>9122</v>
      </c>
      <c r="H2898" s="919" t="s">
        <v>3999</v>
      </c>
      <c r="I2898" s="919" t="s">
        <v>3724</v>
      </c>
      <c r="J2898" s="919"/>
      <c r="K2898" s="920">
        <v>1</v>
      </c>
      <c r="L2898" s="920">
        <v>12</v>
      </c>
      <c r="M2898" s="920">
        <f t="shared" si="90"/>
        <v>24000</v>
      </c>
      <c r="N2898" s="919"/>
      <c r="O2898" s="919"/>
      <c r="P2898" s="921">
        <f t="shared" si="91"/>
        <v>0</v>
      </c>
    </row>
    <row r="2899" spans="1:16" ht="20.100000000000001" customHeight="1" x14ac:dyDescent="0.25">
      <c r="A2899" s="918" t="s">
        <v>488</v>
      </c>
      <c r="B2899" s="944" t="s">
        <v>3901</v>
      </c>
      <c r="C2899" s="919" t="s">
        <v>3902</v>
      </c>
      <c r="D2899" s="919" t="s">
        <v>4352</v>
      </c>
      <c r="E2899" s="920">
        <v>2100</v>
      </c>
      <c r="F2899" s="919" t="s">
        <v>9123</v>
      </c>
      <c r="G2899" s="919" t="s">
        <v>9124</v>
      </c>
      <c r="H2899" s="919" t="s">
        <v>4352</v>
      </c>
      <c r="I2899" s="919" t="s">
        <v>3724</v>
      </c>
      <c r="J2899" s="919"/>
      <c r="K2899" s="920"/>
      <c r="L2899" s="920"/>
      <c r="M2899" s="920">
        <f t="shared" si="90"/>
        <v>0</v>
      </c>
      <c r="N2899" s="919">
        <v>1</v>
      </c>
      <c r="O2899" s="919">
        <v>1</v>
      </c>
      <c r="P2899" s="921">
        <f t="shared" si="91"/>
        <v>2100</v>
      </c>
    </row>
    <row r="2900" spans="1:16" ht="20.100000000000001" customHeight="1" x14ac:dyDescent="0.25">
      <c r="A2900" s="918" t="s">
        <v>488</v>
      </c>
      <c r="B2900" s="944" t="s">
        <v>3901</v>
      </c>
      <c r="C2900" s="919" t="s">
        <v>3902</v>
      </c>
      <c r="D2900" s="919" t="s">
        <v>6074</v>
      </c>
      <c r="E2900" s="920">
        <v>1800</v>
      </c>
      <c r="F2900" s="919" t="s">
        <v>4041</v>
      </c>
      <c r="G2900" s="919" t="s">
        <v>4042</v>
      </c>
      <c r="H2900" s="919" t="s">
        <v>6074</v>
      </c>
      <c r="I2900" s="919" t="s">
        <v>3686</v>
      </c>
      <c r="J2900" s="919"/>
      <c r="K2900" s="920">
        <v>1</v>
      </c>
      <c r="L2900" s="920">
        <v>12</v>
      </c>
      <c r="M2900" s="920">
        <f t="shared" si="90"/>
        <v>21600</v>
      </c>
      <c r="N2900" s="919"/>
      <c r="O2900" s="919"/>
      <c r="P2900" s="921">
        <f t="shared" si="91"/>
        <v>0</v>
      </c>
    </row>
    <row r="2901" spans="1:16" ht="20.100000000000001" customHeight="1" x14ac:dyDescent="0.25">
      <c r="A2901" s="918" t="s">
        <v>488</v>
      </c>
      <c r="B2901" s="944" t="s">
        <v>3901</v>
      </c>
      <c r="C2901" s="919" t="s">
        <v>3902</v>
      </c>
      <c r="D2901" s="919" t="s">
        <v>6115</v>
      </c>
      <c r="E2901" s="920">
        <v>3000</v>
      </c>
      <c r="F2901" s="919" t="s">
        <v>4041</v>
      </c>
      <c r="G2901" s="919" t="s">
        <v>4062</v>
      </c>
      <c r="H2901" s="919" t="s">
        <v>6115</v>
      </c>
      <c r="I2901" s="919" t="s">
        <v>3679</v>
      </c>
      <c r="J2901" s="919"/>
      <c r="K2901" s="920">
        <v>1</v>
      </c>
      <c r="L2901" s="920">
        <v>12</v>
      </c>
      <c r="M2901" s="920">
        <f t="shared" si="90"/>
        <v>36000</v>
      </c>
      <c r="N2901" s="919"/>
      <c r="O2901" s="919"/>
      <c r="P2901" s="921">
        <f t="shared" si="91"/>
        <v>0</v>
      </c>
    </row>
    <row r="2902" spans="1:16" ht="20.100000000000001" customHeight="1" x14ac:dyDescent="0.25">
      <c r="A2902" s="918" t="s">
        <v>488</v>
      </c>
      <c r="B2902" s="944" t="s">
        <v>3901</v>
      </c>
      <c r="C2902" s="919" t="s">
        <v>3902</v>
      </c>
      <c r="D2902" s="919" t="s">
        <v>6203</v>
      </c>
      <c r="E2902" s="920">
        <v>2700</v>
      </c>
      <c r="F2902" s="919" t="s">
        <v>9125</v>
      </c>
      <c r="G2902" s="919" t="s">
        <v>9126</v>
      </c>
      <c r="H2902" s="919" t="s">
        <v>6203</v>
      </c>
      <c r="I2902" s="919" t="s">
        <v>3724</v>
      </c>
      <c r="J2902" s="919"/>
      <c r="K2902" s="920">
        <v>1</v>
      </c>
      <c r="L2902" s="920">
        <v>12</v>
      </c>
      <c r="M2902" s="920">
        <f t="shared" si="90"/>
        <v>32400</v>
      </c>
      <c r="N2902" s="919"/>
      <c r="O2902" s="919"/>
      <c r="P2902" s="921">
        <f t="shared" si="91"/>
        <v>0</v>
      </c>
    </row>
    <row r="2903" spans="1:16" ht="20.100000000000001" customHeight="1" x14ac:dyDescent="0.25">
      <c r="A2903" s="918" t="s">
        <v>488</v>
      </c>
      <c r="B2903" s="944" t="s">
        <v>3901</v>
      </c>
      <c r="C2903" s="919" t="s">
        <v>3902</v>
      </c>
      <c r="D2903" s="919" t="s">
        <v>6074</v>
      </c>
      <c r="E2903" s="920">
        <v>1400</v>
      </c>
      <c r="F2903" s="919" t="s">
        <v>9127</v>
      </c>
      <c r="G2903" s="919" t="s">
        <v>9128</v>
      </c>
      <c r="H2903" s="919" t="s">
        <v>6074</v>
      </c>
      <c r="I2903" s="919" t="s">
        <v>3686</v>
      </c>
      <c r="J2903" s="919"/>
      <c r="K2903" s="920">
        <v>1</v>
      </c>
      <c r="L2903" s="920">
        <v>12</v>
      </c>
      <c r="M2903" s="920">
        <f t="shared" si="90"/>
        <v>16800</v>
      </c>
      <c r="N2903" s="919"/>
      <c r="O2903" s="919"/>
      <c r="P2903" s="921">
        <f t="shared" si="91"/>
        <v>0</v>
      </c>
    </row>
    <row r="2904" spans="1:16" ht="20.100000000000001" customHeight="1" x14ac:dyDescent="0.25">
      <c r="A2904" s="918" t="s">
        <v>488</v>
      </c>
      <c r="B2904" s="944" t="s">
        <v>3901</v>
      </c>
      <c r="C2904" s="919" t="s">
        <v>3902</v>
      </c>
      <c r="D2904" s="919" t="s">
        <v>3955</v>
      </c>
      <c r="E2904" s="920">
        <v>3000</v>
      </c>
      <c r="F2904" s="919" t="s">
        <v>9129</v>
      </c>
      <c r="G2904" s="919" t="s">
        <v>9130</v>
      </c>
      <c r="H2904" s="919" t="s">
        <v>3955</v>
      </c>
      <c r="I2904" s="919" t="s">
        <v>3679</v>
      </c>
      <c r="J2904" s="919"/>
      <c r="K2904" s="920">
        <v>1</v>
      </c>
      <c r="L2904" s="920">
        <v>12</v>
      </c>
      <c r="M2904" s="920">
        <f t="shared" si="90"/>
        <v>36000</v>
      </c>
      <c r="N2904" s="919"/>
      <c r="O2904" s="919"/>
      <c r="P2904" s="921">
        <f t="shared" si="91"/>
        <v>0</v>
      </c>
    </row>
    <row r="2905" spans="1:16" ht="20.100000000000001" customHeight="1" x14ac:dyDescent="0.25">
      <c r="A2905" s="918" t="s">
        <v>488</v>
      </c>
      <c r="B2905" s="944" t="s">
        <v>3901</v>
      </c>
      <c r="C2905" s="919" t="s">
        <v>3902</v>
      </c>
      <c r="D2905" s="919" t="s">
        <v>4382</v>
      </c>
      <c r="E2905" s="920">
        <v>2300</v>
      </c>
      <c r="F2905" s="919" t="s">
        <v>9131</v>
      </c>
      <c r="G2905" s="919" t="s">
        <v>9132</v>
      </c>
      <c r="H2905" s="919" t="s">
        <v>4382</v>
      </c>
      <c r="I2905" s="919" t="s">
        <v>3724</v>
      </c>
      <c r="J2905" s="919"/>
      <c r="K2905" s="920">
        <v>1</v>
      </c>
      <c r="L2905" s="920">
        <v>12</v>
      </c>
      <c r="M2905" s="920">
        <f t="shared" si="90"/>
        <v>27600</v>
      </c>
      <c r="N2905" s="919"/>
      <c r="O2905" s="919"/>
      <c r="P2905" s="921">
        <f t="shared" si="91"/>
        <v>0</v>
      </c>
    </row>
    <row r="2906" spans="1:16" ht="20.100000000000001" customHeight="1" x14ac:dyDescent="0.25">
      <c r="A2906" s="918" t="s">
        <v>488</v>
      </c>
      <c r="B2906" s="944" t="s">
        <v>3901</v>
      </c>
      <c r="C2906" s="919" t="s">
        <v>3902</v>
      </c>
      <c r="D2906" s="919" t="s">
        <v>6203</v>
      </c>
      <c r="E2906" s="920">
        <v>2100</v>
      </c>
      <c r="F2906" s="919" t="s">
        <v>9133</v>
      </c>
      <c r="G2906" s="919" t="s">
        <v>9134</v>
      </c>
      <c r="H2906" s="919" t="s">
        <v>6203</v>
      </c>
      <c r="I2906" s="919" t="s">
        <v>3724</v>
      </c>
      <c r="J2906" s="919"/>
      <c r="K2906" s="920">
        <v>1</v>
      </c>
      <c r="L2906" s="920">
        <v>12</v>
      </c>
      <c r="M2906" s="920">
        <f t="shared" si="90"/>
        <v>25200</v>
      </c>
      <c r="N2906" s="919"/>
      <c r="O2906" s="919"/>
      <c r="P2906" s="921">
        <f t="shared" si="91"/>
        <v>0</v>
      </c>
    </row>
    <row r="2907" spans="1:16" ht="20.100000000000001" customHeight="1" x14ac:dyDescent="0.25">
      <c r="A2907" s="918" t="s">
        <v>488</v>
      </c>
      <c r="B2907" s="944" t="s">
        <v>3901</v>
      </c>
      <c r="C2907" s="919" t="s">
        <v>3902</v>
      </c>
      <c r="D2907" s="919" t="s">
        <v>6203</v>
      </c>
      <c r="E2907" s="920">
        <v>2000</v>
      </c>
      <c r="F2907" s="919" t="s">
        <v>9135</v>
      </c>
      <c r="G2907" s="919" t="s">
        <v>9136</v>
      </c>
      <c r="H2907" s="919" t="s">
        <v>6203</v>
      </c>
      <c r="I2907" s="919" t="s">
        <v>3724</v>
      </c>
      <c r="J2907" s="919"/>
      <c r="K2907" s="920">
        <v>1</v>
      </c>
      <c r="L2907" s="920">
        <v>12</v>
      </c>
      <c r="M2907" s="920">
        <f t="shared" si="90"/>
        <v>24000</v>
      </c>
      <c r="N2907" s="919"/>
      <c r="O2907" s="919"/>
      <c r="P2907" s="921">
        <f t="shared" si="91"/>
        <v>0</v>
      </c>
    </row>
    <row r="2908" spans="1:16" ht="20.100000000000001" customHeight="1" x14ac:dyDescent="0.25">
      <c r="A2908" s="918" t="s">
        <v>489</v>
      </c>
      <c r="B2908" s="944" t="s">
        <v>3901</v>
      </c>
      <c r="C2908" s="919" t="s">
        <v>3902</v>
      </c>
      <c r="D2908" s="919" t="s">
        <v>4108</v>
      </c>
      <c r="E2908" s="920">
        <v>4200</v>
      </c>
      <c r="F2908" s="919" t="s">
        <v>4041</v>
      </c>
      <c r="G2908" s="919" t="s">
        <v>4042</v>
      </c>
      <c r="H2908" s="919" t="s">
        <v>4108</v>
      </c>
      <c r="I2908" s="919" t="s">
        <v>3679</v>
      </c>
      <c r="J2908" s="919"/>
      <c r="K2908" s="920">
        <v>1</v>
      </c>
      <c r="L2908" s="920">
        <v>12</v>
      </c>
      <c r="M2908" s="920">
        <f t="shared" si="90"/>
        <v>50400</v>
      </c>
      <c r="N2908" s="919"/>
      <c r="O2908" s="919"/>
      <c r="P2908" s="921">
        <f t="shared" si="91"/>
        <v>0</v>
      </c>
    </row>
    <row r="2909" spans="1:16" ht="20.100000000000001" customHeight="1" x14ac:dyDescent="0.25">
      <c r="A2909" s="918" t="s">
        <v>489</v>
      </c>
      <c r="B2909" s="944" t="s">
        <v>3901</v>
      </c>
      <c r="C2909" s="919" t="s">
        <v>3902</v>
      </c>
      <c r="D2909" s="919" t="s">
        <v>4006</v>
      </c>
      <c r="E2909" s="920">
        <v>2800</v>
      </c>
      <c r="F2909" s="919" t="s">
        <v>9137</v>
      </c>
      <c r="G2909" s="919" t="s">
        <v>9138</v>
      </c>
      <c r="H2909" s="919" t="s">
        <v>4006</v>
      </c>
      <c r="I2909" s="919" t="s">
        <v>3686</v>
      </c>
      <c r="J2909" s="919"/>
      <c r="K2909" s="920">
        <v>1</v>
      </c>
      <c r="L2909" s="920">
        <v>12</v>
      </c>
      <c r="M2909" s="920">
        <f t="shared" si="90"/>
        <v>33600</v>
      </c>
      <c r="N2909" s="919"/>
      <c r="O2909" s="919"/>
      <c r="P2909" s="921">
        <f t="shared" si="91"/>
        <v>0</v>
      </c>
    </row>
    <row r="2910" spans="1:16" ht="20.100000000000001" customHeight="1" x14ac:dyDescent="0.25">
      <c r="A2910" s="918" t="s">
        <v>489</v>
      </c>
      <c r="B2910" s="944" t="s">
        <v>3901</v>
      </c>
      <c r="C2910" s="919" t="s">
        <v>3902</v>
      </c>
      <c r="D2910" s="919" t="s">
        <v>9139</v>
      </c>
      <c r="E2910" s="920">
        <v>3900</v>
      </c>
      <c r="F2910" s="919" t="s">
        <v>9140</v>
      </c>
      <c r="G2910" s="919" t="s">
        <v>9141</v>
      </c>
      <c r="H2910" s="919" t="s">
        <v>9139</v>
      </c>
      <c r="I2910" s="919" t="s">
        <v>3679</v>
      </c>
      <c r="J2910" s="919"/>
      <c r="K2910" s="920"/>
      <c r="L2910" s="920"/>
      <c r="M2910" s="920">
        <f t="shared" si="90"/>
        <v>0</v>
      </c>
      <c r="N2910" s="919">
        <v>1</v>
      </c>
      <c r="O2910" s="919">
        <v>3</v>
      </c>
      <c r="P2910" s="921">
        <f t="shared" si="91"/>
        <v>11700</v>
      </c>
    </row>
    <row r="2911" spans="1:16" ht="20.100000000000001" customHeight="1" x14ac:dyDescent="0.25">
      <c r="A2911" s="918" t="s">
        <v>489</v>
      </c>
      <c r="B2911" s="944" t="s">
        <v>3901</v>
      </c>
      <c r="C2911" s="919" t="s">
        <v>3902</v>
      </c>
      <c r="D2911" s="919" t="s">
        <v>4405</v>
      </c>
      <c r="E2911" s="920">
        <v>2100</v>
      </c>
      <c r="F2911" s="919" t="s">
        <v>9142</v>
      </c>
      <c r="G2911" s="919" t="s">
        <v>9143</v>
      </c>
      <c r="H2911" s="919" t="s">
        <v>4405</v>
      </c>
      <c r="I2911" s="919" t="s">
        <v>3686</v>
      </c>
      <c r="J2911" s="919"/>
      <c r="K2911" s="920"/>
      <c r="L2911" s="920"/>
      <c r="M2911" s="920">
        <f t="shared" si="90"/>
        <v>0</v>
      </c>
      <c r="N2911" s="919">
        <v>1</v>
      </c>
      <c r="O2911" s="919">
        <v>3</v>
      </c>
      <c r="P2911" s="921">
        <f t="shared" si="91"/>
        <v>6300</v>
      </c>
    </row>
    <row r="2912" spans="1:16" ht="20.100000000000001" customHeight="1" x14ac:dyDescent="0.25">
      <c r="A2912" s="918" t="s">
        <v>489</v>
      </c>
      <c r="B2912" s="944" t="s">
        <v>3901</v>
      </c>
      <c r="C2912" s="919" t="s">
        <v>3902</v>
      </c>
      <c r="D2912" s="919" t="s">
        <v>4405</v>
      </c>
      <c r="E2912" s="920">
        <v>2100</v>
      </c>
      <c r="F2912" s="919" t="s">
        <v>9144</v>
      </c>
      <c r="G2912" s="919" t="s">
        <v>9145</v>
      </c>
      <c r="H2912" s="919" t="s">
        <v>4405</v>
      </c>
      <c r="I2912" s="919" t="s">
        <v>3686</v>
      </c>
      <c r="J2912" s="919"/>
      <c r="K2912" s="920">
        <v>1</v>
      </c>
      <c r="L2912" s="920">
        <v>12</v>
      </c>
      <c r="M2912" s="920">
        <f t="shared" si="90"/>
        <v>25200</v>
      </c>
      <c r="N2912" s="919"/>
      <c r="O2912" s="919"/>
      <c r="P2912" s="921">
        <f t="shared" si="91"/>
        <v>0</v>
      </c>
    </row>
    <row r="2913" spans="1:16" ht="20.100000000000001" customHeight="1" x14ac:dyDescent="0.25">
      <c r="A2913" s="918" t="s">
        <v>489</v>
      </c>
      <c r="B2913" s="944" t="s">
        <v>3901</v>
      </c>
      <c r="C2913" s="919" t="s">
        <v>3902</v>
      </c>
      <c r="D2913" s="919" t="s">
        <v>4405</v>
      </c>
      <c r="E2913" s="920">
        <v>2100</v>
      </c>
      <c r="F2913" s="919" t="s">
        <v>9146</v>
      </c>
      <c r="G2913" s="919" t="s">
        <v>9147</v>
      </c>
      <c r="H2913" s="919" t="s">
        <v>4405</v>
      </c>
      <c r="I2913" s="919" t="s">
        <v>3686</v>
      </c>
      <c r="J2913" s="919"/>
      <c r="K2913" s="920"/>
      <c r="L2913" s="920"/>
      <c r="M2913" s="920">
        <f t="shared" si="90"/>
        <v>0</v>
      </c>
      <c r="N2913" s="919">
        <v>1</v>
      </c>
      <c r="O2913" s="919">
        <v>3</v>
      </c>
      <c r="P2913" s="921">
        <f t="shared" si="91"/>
        <v>6300</v>
      </c>
    </row>
    <row r="2914" spans="1:16" ht="20.100000000000001" customHeight="1" x14ac:dyDescent="0.25">
      <c r="A2914" s="918" t="s">
        <v>489</v>
      </c>
      <c r="B2914" s="944" t="s">
        <v>3901</v>
      </c>
      <c r="C2914" s="919" t="s">
        <v>3902</v>
      </c>
      <c r="D2914" s="919" t="s">
        <v>4405</v>
      </c>
      <c r="E2914" s="920">
        <v>1900</v>
      </c>
      <c r="F2914" s="919" t="s">
        <v>9148</v>
      </c>
      <c r="G2914" s="919" t="s">
        <v>9149</v>
      </c>
      <c r="H2914" s="919" t="s">
        <v>4405</v>
      </c>
      <c r="I2914" s="919" t="s">
        <v>3686</v>
      </c>
      <c r="J2914" s="919"/>
      <c r="K2914" s="920"/>
      <c r="L2914" s="920"/>
      <c r="M2914" s="920">
        <f t="shared" si="90"/>
        <v>0</v>
      </c>
      <c r="N2914" s="919">
        <v>1</v>
      </c>
      <c r="O2914" s="919">
        <v>3</v>
      </c>
      <c r="P2914" s="921">
        <f t="shared" si="91"/>
        <v>5700</v>
      </c>
    </row>
    <row r="2915" spans="1:16" ht="20.100000000000001" customHeight="1" x14ac:dyDescent="0.25">
      <c r="A2915" s="918" t="s">
        <v>489</v>
      </c>
      <c r="B2915" s="944" t="s">
        <v>3901</v>
      </c>
      <c r="C2915" s="919" t="s">
        <v>3902</v>
      </c>
      <c r="D2915" s="919" t="s">
        <v>4405</v>
      </c>
      <c r="E2915" s="920">
        <v>1900</v>
      </c>
      <c r="F2915" s="919" t="s">
        <v>9150</v>
      </c>
      <c r="G2915" s="919" t="s">
        <v>9151</v>
      </c>
      <c r="H2915" s="919" t="s">
        <v>4405</v>
      </c>
      <c r="I2915" s="919" t="s">
        <v>3686</v>
      </c>
      <c r="J2915" s="919"/>
      <c r="K2915" s="920">
        <v>1</v>
      </c>
      <c r="L2915" s="920">
        <v>12</v>
      </c>
      <c r="M2915" s="920">
        <f t="shared" si="90"/>
        <v>22800</v>
      </c>
      <c r="N2915" s="919"/>
      <c r="O2915" s="919"/>
      <c r="P2915" s="921">
        <f t="shared" si="91"/>
        <v>0</v>
      </c>
    </row>
    <row r="2916" spans="1:16" ht="20.100000000000001" customHeight="1" x14ac:dyDescent="0.25">
      <c r="A2916" s="918" t="s">
        <v>489</v>
      </c>
      <c r="B2916" s="944" t="s">
        <v>3901</v>
      </c>
      <c r="C2916" s="919" t="s">
        <v>3902</v>
      </c>
      <c r="D2916" s="919" t="s">
        <v>9152</v>
      </c>
      <c r="E2916" s="920">
        <v>1400</v>
      </c>
      <c r="F2916" s="919" t="s">
        <v>9153</v>
      </c>
      <c r="G2916" s="919" t="s">
        <v>9154</v>
      </c>
      <c r="H2916" s="919" t="s">
        <v>9152</v>
      </c>
      <c r="I2916" s="919" t="s">
        <v>3693</v>
      </c>
      <c r="J2916" s="919"/>
      <c r="K2916" s="920">
        <v>1</v>
      </c>
      <c r="L2916" s="920">
        <v>12</v>
      </c>
      <c r="M2916" s="920">
        <f t="shared" si="90"/>
        <v>16800</v>
      </c>
      <c r="N2916" s="919"/>
      <c r="O2916" s="919"/>
      <c r="P2916" s="921">
        <f t="shared" si="91"/>
        <v>0</v>
      </c>
    </row>
    <row r="2917" spans="1:16" ht="20.100000000000001" customHeight="1" x14ac:dyDescent="0.25">
      <c r="A2917" s="918" t="s">
        <v>489</v>
      </c>
      <c r="B2917" s="944" t="s">
        <v>3901</v>
      </c>
      <c r="C2917" s="919" t="s">
        <v>3902</v>
      </c>
      <c r="D2917" s="919" t="s">
        <v>6203</v>
      </c>
      <c r="E2917" s="920">
        <v>2900</v>
      </c>
      <c r="F2917" s="919" t="s">
        <v>9155</v>
      </c>
      <c r="G2917" s="919" t="s">
        <v>9156</v>
      </c>
      <c r="H2917" s="919" t="s">
        <v>6203</v>
      </c>
      <c r="I2917" s="919" t="s">
        <v>3724</v>
      </c>
      <c r="J2917" s="919"/>
      <c r="K2917" s="920">
        <v>1</v>
      </c>
      <c r="L2917" s="920">
        <v>12</v>
      </c>
      <c r="M2917" s="920">
        <f t="shared" si="90"/>
        <v>34800</v>
      </c>
      <c r="N2917" s="919"/>
      <c r="O2917" s="919"/>
      <c r="P2917" s="921">
        <f t="shared" si="91"/>
        <v>0</v>
      </c>
    </row>
    <row r="2918" spans="1:16" ht="20.100000000000001" customHeight="1" x14ac:dyDescent="0.25">
      <c r="A2918" s="918" t="s">
        <v>489</v>
      </c>
      <c r="B2918" s="944" t="s">
        <v>3901</v>
      </c>
      <c r="C2918" s="919" t="s">
        <v>3902</v>
      </c>
      <c r="D2918" s="919" t="s">
        <v>6203</v>
      </c>
      <c r="E2918" s="920">
        <v>2900</v>
      </c>
      <c r="F2918" s="919" t="s">
        <v>4041</v>
      </c>
      <c r="G2918" s="919" t="s">
        <v>4042</v>
      </c>
      <c r="H2918" s="919" t="s">
        <v>6203</v>
      </c>
      <c r="I2918" s="919" t="s">
        <v>3724</v>
      </c>
      <c r="J2918" s="919"/>
      <c r="K2918" s="920">
        <v>1</v>
      </c>
      <c r="L2918" s="920">
        <v>12</v>
      </c>
      <c r="M2918" s="920">
        <f t="shared" si="90"/>
        <v>34800</v>
      </c>
      <c r="N2918" s="919"/>
      <c r="O2918" s="919"/>
      <c r="P2918" s="921">
        <f t="shared" si="91"/>
        <v>0</v>
      </c>
    </row>
    <row r="2919" spans="1:16" ht="20.100000000000001" customHeight="1" x14ac:dyDescent="0.25">
      <c r="A2919" s="918" t="s">
        <v>489</v>
      </c>
      <c r="B2919" s="944" t="s">
        <v>3901</v>
      </c>
      <c r="C2919" s="919" t="s">
        <v>3902</v>
      </c>
      <c r="D2919" s="919" t="s">
        <v>6203</v>
      </c>
      <c r="E2919" s="920">
        <v>3300</v>
      </c>
      <c r="F2919" s="919" t="s">
        <v>9157</v>
      </c>
      <c r="G2919" s="919" t="s">
        <v>9158</v>
      </c>
      <c r="H2919" s="919" t="s">
        <v>6203</v>
      </c>
      <c r="I2919" s="919" t="s">
        <v>3724</v>
      </c>
      <c r="J2919" s="919"/>
      <c r="K2919" s="920"/>
      <c r="L2919" s="920"/>
      <c r="M2919" s="920">
        <f t="shared" si="90"/>
        <v>0</v>
      </c>
      <c r="N2919" s="919">
        <v>1</v>
      </c>
      <c r="O2919" s="919">
        <v>3</v>
      </c>
      <c r="P2919" s="921">
        <f t="shared" si="91"/>
        <v>9900</v>
      </c>
    </row>
    <row r="2920" spans="1:16" ht="20.100000000000001" customHeight="1" x14ac:dyDescent="0.25">
      <c r="A2920" s="918" t="s">
        <v>489</v>
      </c>
      <c r="B2920" s="944" t="s">
        <v>3901</v>
      </c>
      <c r="C2920" s="919" t="s">
        <v>3902</v>
      </c>
      <c r="D2920" s="919" t="s">
        <v>6203</v>
      </c>
      <c r="E2920" s="920">
        <v>2900</v>
      </c>
      <c r="F2920" s="919" t="s">
        <v>9159</v>
      </c>
      <c r="G2920" s="919" t="s">
        <v>9160</v>
      </c>
      <c r="H2920" s="919" t="s">
        <v>6203</v>
      </c>
      <c r="I2920" s="919" t="s">
        <v>3724</v>
      </c>
      <c r="J2920" s="919"/>
      <c r="K2920" s="920">
        <v>1</v>
      </c>
      <c r="L2920" s="920">
        <v>12</v>
      </c>
      <c r="M2920" s="920">
        <f t="shared" si="90"/>
        <v>34800</v>
      </c>
      <c r="N2920" s="919"/>
      <c r="O2920" s="919"/>
      <c r="P2920" s="921">
        <f t="shared" si="91"/>
        <v>0</v>
      </c>
    </row>
    <row r="2921" spans="1:16" ht="20.100000000000001" customHeight="1" x14ac:dyDescent="0.25">
      <c r="A2921" s="918" t="s">
        <v>489</v>
      </c>
      <c r="B2921" s="944" t="s">
        <v>3901</v>
      </c>
      <c r="C2921" s="919" t="s">
        <v>3902</v>
      </c>
      <c r="D2921" s="919" t="s">
        <v>6203</v>
      </c>
      <c r="E2921" s="920">
        <v>2900</v>
      </c>
      <c r="F2921" s="919" t="s">
        <v>9161</v>
      </c>
      <c r="G2921" s="919" t="s">
        <v>9162</v>
      </c>
      <c r="H2921" s="919" t="s">
        <v>6203</v>
      </c>
      <c r="I2921" s="919" t="s">
        <v>3724</v>
      </c>
      <c r="J2921" s="919"/>
      <c r="K2921" s="920">
        <v>1</v>
      </c>
      <c r="L2921" s="920">
        <v>12</v>
      </c>
      <c r="M2921" s="920">
        <f t="shared" si="90"/>
        <v>34800</v>
      </c>
      <c r="N2921" s="919"/>
      <c r="O2921" s="919"/>
      <c r="P2921" s="921">
        <f t="shared" si="91"/>
        <v>0</v>
      </c>
    </row>
    <row r="2922" spans="1:16" ht="20.100000000000001" customHeight="1" x14ac:dyDescent="0.25">
      <c r="A2922" s="918" t="s">
        <v>489</v>
      </c>
      <c r="B2922" s="944" t="s">
        <v>3901</v>
      </c>
      <c r="C2922" s="919" t="s">
        <v>3902</v>
      </c>
      <c r="D2922" s="919" t="s">
        <v>6203</v>
      </c>
      <c r="E2922" s="920">
        <v>3100</v>
      </c>
      <c r="F2922" s="919" t="s">
        <v>9163</v>
      </c>
      <c r="G2922" s="919" t="s">
        <v>9164</v>
      </c>
      <c r="H2922" s="919" t="s">
        <v>6203</v>
      </c>
      <c r="I2922" s="919" t="s">
        <v>3724</v>
      </c>
      <c r="J2922" s="919"/>
      <c r="K2922" s="920"/>
      <c r="L2922" s="920"/>
      <c r="M2922" s="920">
        <f t="shared" si="90"/>
        <v>0</v>
      </c>
      <c r="N2922" s="919">
        <v>1</v>
      </c>
      <c r="O2922" s="919">
        <v>3</v>
      </c>
      <c r="P2922" s="921">
        <f t="shared" si="91"/>
        <v>9300</v>
      </c>
    </row>
    <row r="2923" spans="1:16" ht="20.100000000000001" customHeight="1" x14ac:dyDescent="0.25">
      <c r="A2923" s="918" t="s">
        <v>489</v>
      </c>
      <c r="B2923" s="944" t="s">
        <v>3901</v>
      </c>
      <c r="C2923" s="919" t="s">
        <v>3902</v>
      </c>
      <c r="D2923" s="919" t="s">
        <v>6203</v>
      </c>
      <c r="E2923" s="920">
        <v>2900</v>
      </c>
      <c r="F2923" s="919" t="s">
        <v>9165</v>
      </c>
      <c r="G2923" s="919" t="s">
        <v>9166</v>
      </c>
      <c r="H2923" s="919" t="s">
        <v>6203</v>
      </c>
      <c r="I2923" s="919" t="s">
        <v>3724</v>
      </c>
      <c r="J2923" s="919"/>
      <c r="K2923" s="920">
        <v>1</v>
      </c>
      <c r="L2923" s="920">
        <v>12</v>
      </c>
      <c r="M2923" s="920">
        <f t="shared" si="90"/>
        <v>34800</v>
      </c>
      <c r="N2923" s="919"/>
      <c r="O2923" s="919"/>
      <c r="P2923" s="921">
        <f t="shared" si="91"/>
        <v>0</v>
      </c>
    </row>
    <row r="2924" spans="1:16" ht="20.100000000000001" customHeight="1" x14ac:dyDescent="0.25">
      <c r="A2924" s="918" t="s">
        <v>489</v>
      </c>
      <c r="B2924" s="944" t="s">
        <v>3901</v>
      </c>
      <c r="C2924" s="919" t="s">
        <v>3902</v>
      </c>
      <c r="D2924" s="919" t="s">
        <v>6203</v>
      </c>
      <c r="E2924" s="920">
        <v>2900</v>
      </c>
      <c r="F2924" s="919" t="s">
        <v>9167</v>
      </c>
      <c r="G2924" s="919" t="s">
        <v>9168</v>
      </c>
      <c r="H2924" s="919" t="s">
        <v>6203</v>
      </c>
      <c r="I2924" s="919" t="s">
        <v>3724</v>
      </c>
      <c r="J2924" s="919"/>
      <c r="K2924" s="920">
        <v>1</v>
      </c>
      <c r="L2924" s="920">
        <v>12</v>
      </c>
      <c r="M2924" s="920">
        <f t="shared" si="90"/>
        <v>34800</v>
      </c>
      <c r="N2924" s="919"/>
      <c r="O2924" s="919"/>
      <c r="P2924" s="921">
        <f t="shared" si="91"/>
        <v>0</v>
      </c>
    </row>
    <row r="2925" spans="1:16" ht="20.100000000000001" customHeight="1" x14ac:dyDescent="0.25">
      <c r="A2925" s="918" t="s">
        <v>489</v>
      </c>
      <c r="B2925" s="944" t="s">
        <v>3901</v>
      </c>
      <c r="C2925" s="919" t="s">
        <v>3902</v>
      </c>
      <c r="D2925" s="919" t="s">
        <v>6203</v>
      </c>
      <c r="E2925" s="920">
        <v>2900</v>
      </c>
      <c r="F2925" s="919" t="s">
        <v>9169</v>
      </c>
      <c r="G2925" s="919" t="s">
        <v>9170</v>
      </c>
      <c r="H2925" s="919" t="s">
        <v>6203</v>
      </c>
      <c r="I2925" s="919" t="s">
        <v>3724</v>
      </c>
      <c r="J2925" s="919"/>
      <c r="K2925" s="920"/>
      <c r="L2925" s="920"/>
      <c r="M2925" s="920">
        <f t="shared" si="90"/>
        <v>0</v>
      </c>
      <c r="N2925" s="919">
        <v>1</v>
      </c>
      <c r="O2925" s="919">
        <v>3</v>
      </c>
      <c r="P2925" s="921">
        <f t="shared" si="91"/>
        <v>8700</v>
      </c>
    </row>
    <row r="2926" spans="1:16" ht="20.100000000000001" customHeight="1" x14ac:dyDescent="0.25">
      <c r="A2926" s="918" t="s">
        <v>489</v>
      </c>
      <c r="B2926" s="944" t="s">
        <v>3901</v>
      </c>
      <c r="C2926" s="919" t="s">
        <v>3902</v>
      </c>
      <c r="D2926" s="919" t="s">
        <v>3991</v>
      </c>
      <c r="E2926" s="920">
        <v>1900</v>
      </c>
      <c r="F2926" s="919" t="s">
        <v>9171</v>
      </c>
      <c r="G2926" s="919" t="s">
        <v>9172</v>
      </c>
      <c r="H2926" s="919" t="s">
        <v>3991</v>
      </c>
      <c r="I2926" s="919" t="s">
        <v>3686</v>
      </c>
      <c r="J2926" s="919"/>
      <c r="K2926" s="920"/>
      <c r="L2926" s="920"/>
      <c r="M2926" s="920">
        <f t="shared" si="90"/>
        <v>0</v>
      </c>
      <c r="N2926" s="919">
        <v>1</v>
      </c>
      <c r="O2926" s="919">
        <v>3</v>
      </c>
      <c r="P2926" s="921">
        <f t="shared" si="91"/>
        <v>5700</v>
      </c>
    </row>
    <row r="2927" spans="1:16" ht="20.100000000000001" customHeight="1" x14ac:dyDescent="0.25">
      <c r="A2927" s="918" t="s">
        <v>489</v>
      </c>
      <c r="B2927" s="944" t="s">
        <v>3901</v>
      </c>
      <c r="C2927" s="919" t="s">
        <v>3902</v>
      </c>
      <c r="D2927" s="919" t="s">
        <v>3991</v>
      </c>
      <c r="E2927" s="920">
        <v>1700</v>
      </c>
      <c r="F2927" s="919" t="s">
        <v>9173</v>
      </c>
      <c r="G2927" s="919" t="s">
        <v>9174</v>
      </c>
      <c r="H2927" s="919" t="s">
        <v>3991</v>
      </c>
      <c r="I2927" s="919" t="s">
        <v>3686</v>
      </c>
      <c r="J2927" s="919"/>
      <c r="K2927" s="920"/>
      <c r="L2927" s="920"/>
      <c r="M2927" s="920">
        <f t="shared" si="90"/>
        <v>0</v>
      </c>
      <c r="N2927" s="919">
        <v>1</v>
      </c>
      <c r="O2927" s="919">
        <v>3</v>
      </c>
      <c r="P2927" s="921">
        <f t="shared" si="91"/>
        <v>5100</v>
      </c>
    </row>
    <row r="2928" spans="1:16" ht="20.100000000000001" customHeight="1" x14ac:dyDescent="0.25">
      <c r="A2928" s="918" t="s">
        <v>489</v>
      </c>
      <c r="B2928" s="944" t="s">
        <v>3901</v>
      </c>
      <c r="C2928" s="919" t="s">
        <v>3902</v>
      </c>
      <c r="D2928" s="919" t="s">
        <v>3991</v>
      </c>
      <c r="E2928" s="920">
        <v>1700</v>
      </c>
      <c r="F2928" s="919" t="s">
        <v>9175</v>
      </c>
      <c r="G2928" s="919" t="s">
        <v>9176</v>
      </c>
      <c r="H2928" s="919" t="s">
        <v>3991</v>
      </c>
      <c r="I2928" s="919" t="s">
        <v>3686</v>
      </c>
      <c r="J2928" s="919"/>
      <c r="K2928" s="920"/>
      <c r="L2928" s="920"/>
      <c r="M2928" s="920">
        <f t="shared" si="90"/>
        <v>0</v>
      </c>
      <c r="N2928" s="919">
        <v>1</v>
      </c>
      <c r="O2928" s="919">
        <v>3</v>
      </c>
      <c r="P2928" s="921">
        <f t="shared" si="91"/>
        <v>5100</v>
      </c>
    </row>
    <row r="2929" spans="1:16" ht="20.100000000000001" customHeight="1" x14ac:dyDescent="0.25">
      <c r="A2929" s="918" t="s">
        <v>489</v>
      </c>
      <c r="B2929" s="944" t="s">
        <v>3901</v>
      </c>
      <c r="C2929" s="919" t="s">
        <v>3902</v>
      </c>
      <c r="D2929" s="919" t="s">
        <v>3991</v>
      </c>
      <c r="E2929" s="920">
        <v>1800</v>
      </c>
      <c r="F2929" s="919" t="s">
        <v>9177</v>
      </c>
      <c r="G2929" s="919" t="s">
        <v>9178</v>
      </c>
      <c r="H2929" s="919" t="s">
        <v>3991</v>
      </c>
      <c r="I2929" s="919" t="s">
        <v>3686</v>
      </c>
      <c r="J2929" s="919"/>
      <c r="K2929" s="920"/>
      <c r="L2929" s="920"/>
      <c r="M2929" s="920">
        <f t="shared" si="90"/>
        <v>0</v>
      </c>
      <c r="N2929" s="919">
        <v>1</v>
      </c>
      <c r="O2929" s="919">
        <v>3</v>
      </c>
      <c r="P2929" s="921">
        <f t="shared" si="91"/>
        <v>5400</v>
      </c>
    </row>
    <row r="2930" spans="1:16" ht="20.100000000000001" customHeight="1" x14ac:dyDescent="0.25">
      <c r="A2930" s="918" t="s">
        <v>489</v>
      </c>
      <c r="B2930" s="944" t="s">
        <v>3901</v>
      </c>
      <c r="C2930" s="919" t="s">
        <v>3902</v>
      </c>
      <c r="D2930" s="919" t="s">
        <v>3991</v>
      </c>
      <c r="E2930" s="920">
        <v>1700</v>
      </c>
      <c r="F2930" s="919" t="s">
        <v>9179</v>
      </c>
      <c r="G2930" s="919" t="s">
        <v>9180</v>
      </c>
      <c r="H2930" s="919" t="s">
        <v>3991</v>
      </c>
      <c r="I2930" s="919" t="s">
        <v>3686</v>
      </c>
      <c r="J2930" s="919"/>
      <c r="K2930" s="920"/>
      <c r="L2930" s="920"/>
      <c r="M2930" s="920">
        <f t="shared" si="90"/>
        <v>0</v>
      </c>
      <c r="N2930" s="919">
        <v>1</v>
      </c>
      <c r="O2930" s="919">
        <v>3</v>
      </c>
      <c r="P2930" s="921">
        <f t="shared" si="91"/>
        <v>5100</v>
      </c>
    </row>
    <row r="2931" spans="1:16" ht="20.100000000000001" customHeight="1" x14ac:dyDescent="0.25">
      <c r="A2931" s="918" t="s">
        <v>489</v>
      </c>
      <c r="B2931" s="944" t="s">
        <v>3901</v>
      </c>
      <c r="C2931" s="919" t="s">
        <v>3902</v>
      </c>
      <c r="D2931" s="919" t="s">
        <v>4449</v>
      </c>
      <c r="E2931" s="920">
        <v>2900</v>
      </c>
      <c r="F2931" s="919" t="s">
        <v>9181</v>
      </c>
      <c r="G2931" s="919" t="s">
        <v>9182</v>
      </c>
      <c r="H2931" s="919" t="s">
        <v>4449</v>
      </c>
      <c r="I2931" s="919" t="s">
        <v>3724</v>
      </c>
      <c r="J2931" s="919"/>
      <c r="K2931" s="920">
        <v>1</v>
      </c>
      <c r="L2931" s="920">
        <v>12</v>
      </c>
      <c r="M2931" s="920">
        <f t="shared" si="90"/>
        <v>34800</v>
      </c>
      <c r="N2931" s="919"/>
      <c r="O2931" s="919"/>
      <c r="P2931" s="921">
        <f t="shared" si="91"/>
        <v>0</v>
      </c>
    </row>
    <row r="2932" spans="1:16" ht="20.100000000000001" customHeight="1" x14ac:dyDescent="0.25">
      <c r="A2932" s="918" t="s">
        <v>489</v>
      </c>
      <c r="B2932" s="944" t="s">
        <v>3901</v>
      </c>
      <c r="C2932" s="919" t="s">
        <v>3902</v>
      </c>
      <c r="D2932" s="919" t="s">
        <v>4449</v>
      </c>
      <c r="E2932" s="920">
        <v>3100</v>
      </c>
      <c r="F2932" s="919" t="s">
        <v>9183</v>
      </c>
      <c r="G2932" s="919" t="s">
        <v>9184</v>
      </c>
      <c r="H2932" s="919" t="s">
        <v>4449</v>
      </c>
      <c r="I2932" s="919" t="s">
        <v>3724</v>
      </c>
      <c r="J2932" s="919"/>
      <c r="K2932" s="920">
        <v>1</v>
      </c>
      <c r="L2932" s="920">
        <v>12</v>
      </c>
      <c r="M2932" s="920">
        <f t="shared" si="90"/>
        <v>37200</v>
      </c>
      <c r="N2932" s="919"/>
      <c r="O2932" s="919"/>
      <c r="P2932" s="921">
        <f t="shared" si="91"/>
        <v>0</v>
      </c>
    </row>
    <row r="2933" spans="1:16" ht="20.100000000000001" customHeight="1" x14ac:dyDescent="0.25">
      <c r="A2933" s="918" t="s">
        <v>489</v>
      </c>
      <c r="B2933" s="944" t="s">
        <v>3901</v>
      </c>
      <c r="C2933" s="919" t="s">
        <v>3902</v>
      </c>
      <c r="D2933" s="919" t="s">
        <v>4449</v>
      </c>
      <c r="E2933" s="920">
        <v>2900</v>
      </c>
      <c r="F2933" s="919" t="s">
        <v>9185</v>
      </c>
      <c r="G2933" s="919" t="s">
        <v>9186</v>
      </c>
      <c r="H2933" s="919" t="s">
        <v>4449</v>
      </c>
      <c r="I2933" s="919" t="s">
        <v>3724</v>
      </c>
      <c r="J2933" s="919"/>
      <c r="K2933" s="920"/>
      <c r="L2933" s="920"/>
      <c r="M2933" s="920">
        <f t="shared" si="90"/>
        <v>0</v>
      </c>
      <c r="N2933" s="919">
        <v>1</v>
      </c>
      <c r="O2933" s="919">
        <v>3</v>
      </c>
      <c r="P2933" s="921">
        <f t="shared" si="91"/>
        <v>8700</v>
      </c>
    </row>
    <row r="2934" spans="1:16" ht="20.100000000000001" customHeight="1" x14ac:dyDescent="0.25">
      <c r="A2934" s="918" t="s">
        <v>489</v>
      </c>
      <c r="B2934" s="944" t="s">
        <v>3901</v>
      </c>
      <c r="C2934" s="919" t="s">
        <v>3902</v>
      </c>
      <c r="D2934" s="919" t="s">
        <v>9187</v>
      </c>
      <c r="E2934" s="920">
        <v>1900</v>
      </c>
      <c r="F2934" s="919" t="s">
        <v>9188</v>
      </c>
      <c r="G2934" s="919" t="s">
        <v>9189</v>
      </c>
      <c r="H2934" s="919" t="s">
        <v>9187</v>
      </c>
      <c r="I2934" s="919" t="s">
        <v>3693</v>
      </c>
      <c r="J2934" s="919"/>
      <c r="K2934" s="920">
        <v>1</v>
      </c>
      <c r="L2934" s="920">
        <v>12</v>
      </c>
      <c r="M2934" s="920">
        <f t="shared" si="90"/>
        <v>22800</v>
      </c>
      <c r="N2934" s="919"/>
      <c r="O2934" s="919"/>
      <c r="P2934" s="921">
        <f t="shared" si="91"/>
        <v>0</v>
      </c>
    </row>
    <row r="2935" spans="1:16" ht="20.100000000000001" customHeight="1" x14ac:dyDescent="0.25">
      <c r="A2935" s="918" t="s">
        <v>489</v>
      </c>
      <c r="B2935" s="944" t="s">
        <v>3901</v>
      </c>
      <c r="C2935" s="919" t="s">
        <v>3902</v>
      </c>
      <c r="D2935" s="919" t="s">
        <v>4079</v>
      </c>
      <c r="E2935" s="920">
        <v>3500</v>
      </c>
      <c r="F2935" s="919" t="s">
        <v>9190</v>
      </c>
      <c r="G2935" s="919" t="s">
        <v>9191</v>
      </c>
      <c r="H2935" s="919" t="s">
        <v>4079</v>
      </c>
      <c r="I2935" s="919" t="s">
        <v>3679</v>
      </c>
      <c r="J2935" s="919"/>
      <c r="K2935" s="920"/>
      <c r="L2935" s="920"/>
      <c r="M2935" s="920">
        <f t="shared" si="90"/>
        <v>0</v>
      </c>
      <c r="N2935" s="919">
        <v>1</v>
      </c>
      <c r="O2935" s="919">
        <v>3</v>
      </c>
      <c r="P2935" s="921">
        <f t="shared" si="91"/>
        <v>10500</v>
      </c>
    </row>
    <row r="2936" spans="1:16" ht="20.100000000000001" customHeight="1" x14ac:dyDescent="0.25">
      <c r="A2936" s="918" t="s">
        <v>489</v>
      </c>
      <c r="B2936" s="944" t="s">
        <v>3901</v>
      </c>
      <c r="C2936" s="919" t="s">
        <v>3902</v>
      </c>
      <c r="D2936" s="919" t="s">
        <v>4079</v>
      </c>
      <c r="E2936" s="920">
        <v>3500</v>
      </c>
      <c r="F2936" s="919" t="s">
        <v>9192</v>
      </c>
      <c r="G2936" s="919" t="s">
        <v>9193</v>
      </c>
      <c r="H2936" s="919" t="s">
        <v>4079</v>
      </c>
      <c r="I2936" s="919" t="s">
        <v>3679</v>
      </c>
      <c r="J2936" s="919"/>
      <c r="K2936" s="920"/>
      <c r="L2936" s="920"/>
      <c r="M2936" s="920">
        <f t="shared" si="90"/>
        <v>0</v>
      </c>
      <c r="N2936" s="919">
        <v>1</v>
      </c>
      <c r="O2936" s="919">
        <v>3</v>
      </c>
      <c r="P2936" s="921">
        <f t="shared" si="91"/>
        <v>10500</v>
      </c>
    </row>
    <row r="2937" spans="1:16" ht="20.100000000000001" customHeight="1" x14ac:dyDescent="0.25">
      <c r="A2937" s="918" t="s">
        <v>489</v>
      </c>
      <c r="B2937" s="944" t="s">
        <v>3901</v>
      </c>
      <c r="C2937" s="919" t="s">
        <v>3902</v>
      </c>
      <c r="D2937" s="919" t="s">
        <v>4079</v>
      </c>
      <c r="E2937" s="920">
        <v>3500</v>
      </c>
      <c r="F2937" s="919" t="s">
        <v>9194</v>
      </c>
      <c r="G2937" s="919" t="s">
        <v>9195</v>
      </c>
      <c r="H2937" s="919" t="s">
        <v>4079</v>
      </c>
      <c r="I2937" s="919" t="s">
        <v>3679</v>
      </c>
      <c r="J2937" s="919"/>
      <c r="K2937" s="920"/>
      <c r="L2937" s="920"/>
      <c r="M2937" s="920">
        <f t="shared" si="90"/>
        <v>0</v>
      </c>
      <c r="N2937" s="919">
        <v>1</v>
      </c>
      <c r="O2937" s="919">
        <v>3</v>
      </c>
      <c r="P2937" s="921">
        <f t="shared" si="91"/>
        <v>10500</v>
      </c>
    </row>
    <row r="2938" spans="1:16" ht="20.100000000000001" customHeight="1" x14ac:dyDescent="0.25">
      <c r="A2938" s="918" t="s">
        <v>489</v>
      </c>
      <c r="B2938" s="944" t="s">
        <v>3901</v>
      </c>
      <c r="C2938" s="919" t="s">
        <v>3902</v>
      </c>
      <c r="D2938" s="919" t="s">
        <v>4079</v>
      </c>
      <c r="E2938" s="920">
        <v>3500</v>
      </c>
      <c r="F2938" s="919" t="s">
        <v>9196</v>
      </c>
      <c r="G2938" s="919" t="s">
        <v>9197</v>
      </c>
      <c r="H2938" s="919" t="s">
        <v>4079</v>
      </c>
      <c r="I2938" s="919" t="s">
        <v>3679</v>
      </c>
      <c r="J2938" s="919"/>
      <c r="K2938" s="920"/>
      <c r="L2938" s="920"/>
      <c r="M2938" s="920">
        <f t="shared" si="90"/>
        <v>0</v>
      </c>
      <c r="N2938" s="919">
        <v>1</v>
      </c>
      <c r="O2938" s="919">
        <v>3</v>
      </c>
      <c r="P2938" s="921">
        <f t="shared" si="91"/>
        <v>10500</v>
      </c>
    </row>
    <row r="2939" spans="1:16" ht="20.100000000000001" customHeight="1" x14ac:dyDescent="0.25">
      <c r="A2939" s="918" t="s">
        <v>489</v>
      </c>
      <c r="B2939" s="944" t="s">
        <v>3901</v>
      </c>
      <c r="C2939" s="919" t="s">
        <v>3902</v>
      </c>
      <c r="D2939" s="919" t="s">
        <v>6071</v>
      </c>
      <c r="E2939" s="920">
        <v>1900</v>
      </c>
      <c r="F2939" s="919" t="s">
        <v>9198</v>
      </c>
      <c r="G2939" s="919" t="s">
        <v>9199</v>
      </c>
      <c r="H2939" s="919" t="s">
        <v>6071</v>
      </c>
      <c r="I2939" s="919" t="s">
        <v>3686</v>
      </c>
      <c r="J2939" s="919"/>
      <c r="K2939" s="920"/>
      <c r="L2939" s="920"/>
      <c r="M2939" s="920">
        <f t="shared" si="90"/>
        <v>0</v>
      </c>
      <c r="N2939" s="919">
        <v>1</v>
      </c>
      <c r="O2939" s="919">
        <v>3</v>
      </c>
      <c r="P2939" s="921">
        <f t="shared" si="91"/>
        <v>5700</v>
      </c>
    </row>
    <row r="2940" spans="1:16" ht="20.100000000000001" customHeight="1" x14ac:dyDescent="0.25">
      <c r="A2940" s="918" t="s">
        <v>489</v>
      </c>
      <c r="B2940" s="944" t="s">
        <v>3901</v>
      </c>
      <c r="C2940" s="919" t="s">
        <v>3902</v>
      </c>
      <c r="D2940" s="919" t="s">
        <v>6071</v>
      </c>
      <c r="E2940" s="920">
        <v>1900</v>
      </c>
      <c r="F2940" s="919" t="s">
        <v>9200</v>
      </c>
      <c r="G2940" s="919" t="s">
        <v>9201</v>
      </c>
      <c r="H2940" s="919" t="s">
        <v>6071</v>
      </c>
      <c r="I2940" s="919" t="s">
        <v>3686</v>
      </c>
      <c r="J2940" s="919"/>
      <c r="K2940" s="920">
        <v>1</v>
      </c>
      <c r="L2940" s="920">
        <v>12</v>
      </c>
      <c r="M2940" s="920">
        <f t="shared" si="90"/>
        <v>22800</v>
      </c>
      <c r="N2940" s="919"/>
      <c r="O2940" s="919"/>
      <c r="P2940" s="921">
        <f t="shared" si="91"/>
        <v>0</v>
      </c>
    </row>
    <row r="2941" spans="1:16" ht="20.100000000000001" customHeight="1" x14ac:dyDescent="0.25">
      <c r="A2941" s="918" t="s">
        <v>489</v>
      </c>
      <c r="B2941" s="944" t="s">
        <v>3901</v>
      </c>
      <c r="C2941" s="919" t="s">
        <v>3902</v>
      </c>
      <c r="D2941" s="919" t="s">
        <v>6071</v>
      </c>
      <c r="E2941" s="920">
        <v>1900</v>
      </c>
      <c r="F2941" s="919" t="s">
        <v>9202</v>
      </c>
      <c r="G2941" s="919" t="s">
        <v>9203</v>
      </c>
      <c r="H2941" s="919" t="s">
        <v>6071</v>
      </c>
      <c r="I2941" s="919" t="s">
        <v>3686</v>
      </c>
      <c r="J2941" s="919"/>
      <c r="K2941" s="920">
        <v>1</v>
      </c>
      <c r="L2941" s="920">
        <v>12</v>
      </c>
      <c r="M2941" s="920">
        <f t="shared" si="90"/>
        <v>22800</v>
      </c>
      <c r="N2941" s="919"/>
      <c r="O2941" s="919"/>
      <c r="P2941" s="921">
        <f t="shared" si="91"/>
        <v>0</v>
      </c>
    </row>
    <row r="2942" spans="1:16" ht="20.100000000000001" customHeight="1" x14ac:dyDescent="0.25">
      <c r="A2942" s="918" t="s">
        <v>489</v>
      </c>
      <c r="B2942" s="944" t="s">
        <v>3901</v>
      </c>
      <c r="C2942" s="919" t="s">
        <v>3902</v>
      </c>
      <c r="D2942" s="919" t="s">
        <v>6071</v>
      </c>
      <c r="E2942" s="920">
        <v>1900</v>
      </c>
      <c r="F2942" s="919" t="s">
        <v>9204</v>
      </c>
      <c r="G2942" s="919" t="s">
        <v>9205</v>
      </c>
      <c r="H2942" s="919" t="s">
        <v>6071</v>
      </c>
      <c r="I2942" s="919" t="s">
        <v>3686</v>
      </c>
      <c r="J2942" s="919"/>
      <c r="K2942" s="920"/>
      <c r="L2942" s="920"/>
      <c r="M2942" s="920">
        <f t="shared" si="90"/>
        <v>0</v>
      </c>
      <c r="N2942" s="919">
        <v>1</v>
      </c>
      <c r="O2942" s="919">
        <v>3</v>
      </c>
      <c r="P2942" s="921">
        <f t="shared" si="91"/>
        <v>5700</v>
      </c>
    </row>
    <row r="2943" spans="1:16" ht="20.100000000000001" customHeight="1" x14ac:dyDescent="0.25">
      <c r="A2943" s="918" t="s">
        <v>489</v>
      </c>
      <c r="B2943" s="944" t="s">
        <v>3901</v>
      </c>
      <c r="C2943" s="919" t="s">
        <v>3902</v>
      </c>
      <c r="D2943" s="919" t="s">
        <v>6071</v>
      </c>
      <c r="E2943" s="920">
        <v>1900</v>
      </c>
      <c r="F2943" s="919" t="s">
        <v>9206</v>
      </c>
      <c r="G2943" s="919" t="s">
        <v>9207</v>
      </c>
      <c r="H2943" s="919" t="s">
        <v>6071</v>
      </c>
      <c r="I2943" s="919" t="s">
        <v>3686</v>
      </c>
      <c r="J2943" s="919"/>
      <c r="K2943" s="920"/>
      <c r="L2943" s="920"/>
      <c r="M2943" s="920">
        <f t="shared" si="90"/>
        <v>0</v>
      </c>
      <c r="N2943" s="919">
        <v>1</v>
      </c>
      <c r="O2943" s="919">
        <v>3</v>
      </c>
      <c r="P2943" s="921">
        <f t="shared" si="91"/>
        <v>5700</v>
      </c>
    </row>
    <row r="2944" spans="1:16" ht="20.100000000000001" customHeight="1" x14ac:dyDescent="0.25">
      <c r="A2944" s="918" t="s">
        <v>489</v>
      </c>
      <c r="B2944" s="944" t="s">
        <v>3901</v>
      </c>
      <c r="C2944" s="919" t="s">
        <v>3902</v>
      </c>
      <c r="D2944" s="919" t="s">
        <v>6071</v>
      </c>
      <c r="E2944" s="920">
        <v>1900</v>
      </c>
      <c r="F2944" s="919" t="s">
        <v>9208</v>
      </c>
      <c r="G2944" s="919" t="s">
        <v>9209</v>
      </c>
      <c r="H2944" s="919" t="s">
        <v>6071</v>
      </c>
      <c r="I2944" s="919" t="s">
        <v>3686</v>
      </c>
      <c r="J2944" s="919"/>
      <c r="K2944" s="920">
        <v>1</v>
      </c>
      <c r="L2944" s="920">
        <v>12</v>
      </c>
      <c r="M2944" s="920">
        <f t="shared" si="90"/>
        <v>22800</v>
      </c>
      <c r="N2944" s="919"/>
      <c r="O2944" s="919"/>
      <c r="P2944" s="921">
        <f t="shared" si="91"/>
        <v>0</v>
      </c>
    </row>
    <row r="2945" spans="1:16" ht="20.100000000000001" customHeight="1" x14ac:dyDescent="0.25">
      <c r="A2945" s="918" t="s">
        <v>489</v>
      </c>
      <c r="B2945" s="944" t="s">
        <v>3901</v>
      </c>
      <c r="C2945" s="919" t="s">
        <v>3902</v>
      </c>
      <c r="D2945" s="919" t="s">
        <v>6071</v>
      </c>
      <c r="E2945" s="920">
        <v>2100</v>
      </c>
      <c r="F2945" s="919" t="s">
        <v>9210</v>
      </c>
      <c r="G2945" s="919" t="s">
        <v>9211</v>
      </c>
      <c r="H2945" s="919" t="s">
        <v>6071</v>
      </c>
      <c r="I2945" s="919" t="s">
        <v>3686</v>
      </c>
      <c r="J2945" s="919"/>
      <c r="K2945" s="920">
        <v>1</v>
      </c>
      <c r="L2945" s="920">
        <v>12</v>
      </c>
      <c r="M2945" s="920">
        <f t="shared" si="90"/>
        <v>25200</v>
      </c>
      <c r="N2945" s="919"/>
      <c r="O2945" s="919"/>
      <c r="P2945" s="921">
        <f t="shared" si="91"/>
        <v>0</v>
      </c>
    </row>
    <row r="2946" spans="1:16" ht="20.100000000000001" customHeight="1" x14ac:dyDescent="0.25">
      <c r="A2946" s="918" t="s">
        <v>489</v>
      </c>
      <c r="B2946" s="944" t="s">
        <v>3901</v>
      </c>
      <c r="C2946" s="919" t="s">
        <v>3902</v>
      </c>
      <c r="D2946" s="919" t="s">
        <v>6071</v>
      </c>
      <c r="E2946" s="920">
        <v>2100</v>
      </c>
      <c r="F2946" s="919" t="s">
        <v>9212</v>
      </c>
      <c r="G2946" s="919" t="s">
        <v>9213</v>
      </c>
      <c r="H2946" s="919" t="s">
        <v>6071</v>
      </c>
      <c r="I2946" s="919" t="s">
        <v>3686</v>
      </c>
      <c r="J2946" s="919"/>
      <c r="K2946" s="920">
        <v>1</v>
      </c>
      <c r="L2946" s="920">
        <v>12</v>
      </c>
      <c r="M2946" s="920">
        <f t="shared" si="90"/>
        <v>25200</v>
      </c>
      <c r="N2946" s="919"/>
      <c r="O2946" s="919"/>
      <c r="P2946" s="921">
        <f t="shared" si="91"/>
        <v>0</v>
      </c>
    </row>
    <row r="2947" spans="1:16" ht="20.100000000000001" customHeight="1" x14ac:dyDescent="0.25">
      <c r="A2947" s="918" t="s">
        <v>489</v>
      </c>
      <c r="B2947" s="944" t="s">
        <v>3901</v>
      </c>
      <c r="C2947" s="919" t="s">
        <v>3902</v>
      </c>
      <c r="D2947" s="919" t="s">
        <v>6071</v>
      </c>
      <c r="E2947" s="920">
        <v>1900</v>
      </c>
      <c r="F2947" s="919" t="s">
        <v>9214</v>
      </c>
      <c r="G2947" s="919" t="s">
        <v>9215</v>
      </c>
      <c r="H2947" s="919" t="s">
        <v>6071</v>
      </c>
      <c r="I2947" s="919" t="s">
        <v>3686</v>
      </c>
      <c r="J2947" s="919"/>
      <c r="K2947" s="920">
        <v>1</v>
      </c>
      <c r="L2947" s="920">
        <v>12</v>
      </c>
      <c r="M2947" s="920">
        <f t="shared" si="90"/>
        <v>22800</v>
      </c>
      <c r="N2947" s="919"/>
      <c r="O2947" s="919"/>
      <c r="P2947" s="921">
        <f t="shared" si="91"/>
        <v>0</v>
      </c>
    </row>
    <row r="2948" spans="1:16" ht="20.100000000000001" customHeight="1" x14ac:dyDescent="0.25">
      <c r="A2948" s="918" t="s">
        <v>489</v>
      </c>
      <c r="B2948" s="944" t="s">
        <v>3901</v>
      </c>
      <c r="C2948" s="919" t="s">
        <v>3902</v>
      </c>
      <c r="D2948" s="919" t="s">
        <v>6071</v>
      </c>
      <c r="E2948" s="920">
        <v>1900</v>
      </c>
      <c r="F2948" s="919" t="s">
        <v>9216</v>
      </c>
      <c r="G2948" s="919" t="s">
        <v>9217</v>
      </c>
      <c r="H2948" s="919" t="s">
        <v>6071</v>
      </c>
      <c r="I2948" s="919" t="s">
        <v>3686</v>
      </c>
      <c r="J2948" s="919"/>
      <c r="K2948" s="920">
        <v>1</v>
      </c>
      <c r="L2948" s="920">
        <v>12</v>
      </c>
      <c r="M2948" s="920">
        <f t="shared" si="90"/>
        <v>22800</v>
      </c>
      <c r="N2948" s="919"/>
      <c r="O2948" s="919"/>
      <c r="P2948" s="921">
        <f t="shared" si="91"/>
        <v>0</v>
      </c>
    </row>
    <row r="2949" spans="1:16" ht="20.100000000000001" customHeight="1" x14ac:dyDescent="0.25">
      <c r="A2949" s="918" t="s">
        <v>489</v>
      </c>
      <c r="B2949" s="944" t="s">
        <v>3901</v>
      </c>
      <c r="C2949" s="919" t="s">
        <v>3902</v>
      </c>
      <c r="D2949" s="919" t="s">
        <v>6071</v>
      </c>
      <c r="E2949" s="920">
        <v>1900</v>
      </c>
      <c r="F2949" s="919" t="s">
        <v>9218</v>
      </c>
      <c r="G2949" s="919" t="s">
        <v>9219</v>
      </c>
      <c r="H2949" s="919" t="s">
        <v>6071</v>
      </c>
      <c r="I2949" s="919" t="s">
        <v>3686</v>
      </c>
      <c r="J2949" s="919"/>
      <c r="K2949" s="920">
        <v>1</v>
      </c>
      <c r="L2949" s="920">
        <v>12</v>
      </c>
      <c r="M2949" s="920">
        <f t="shared" si="90"/>
        <v>22800</v>
      </c>
      <c r="N2949" s="919"/>
      <c r="O2949" s="919"/>
      <c r="P2949" s="921">
        <f t="shared" si="91"/>
        <v>0</v>
      </c>
    </row>
    <row r="2950" spans="1:16" ht="20.100000000000001" customHeight="1" x14ac:dyDescent="0.25">
      <c r="A2950" s="918" t="s">
        <v>489</v>
      </c>
      <c r="B2950" s="944" t="s">
        <v>3901</v>
      </c>
      <c r="C2950" s="919" t="s">
        <v>3902</v>
      </c>
      <c r="D2950" s="919" t="s">
        <v>6071</v>
      </c>
      <c r="E2950" s="920">
        <v>1900</v>
      </c>
      <c r="F2950" s="919" t="s">
        <v>9220</v>
      </c>
      <c r="G2950" s="919" t="s">
        <v>9221</v>
      </c>
      <c r="H2950" s="919" t="s">
        <v>6071</v>
      </c>
      <c r="I2950" s="919" t="s">
        <v>3686</v>
      </c>
      <c r="J2950" s="919"/>
      <c r="K2950" s="920">
        <v>1</v>
      </c>
      <c r="L2950" s="920">
        <v>12</v>
      </c>
      <c r="M2950" s="920">
        <f t="shared" ref="M2950:M3013" si="92">E2950*L2950</f>
        <v>22800</v>
      </c>
      <c r="N2950" s="919"/>
      <c r="O2950" s="919"/>
      <c r="P2950" s="921">
        <f t="shared" ref="P2950:P3013" si="93">E2950*O2950</f>
        <v>0</v>
      </c>
    </row>
    <row r="2951" spans="1:16" ht="20.100000000000001" customHeight="1" x14ac:dyDescent="0.25">
      <c r="A2951" s="918" t="s">
        <v>489</v>
      </c>
      <c r="B2951" s="944" t="s">
        <v>3901</v>
      </c>
      <c r="C2951" s="919" t="s">
        <v>3902</v>
      </c>
      <c r="D2951" s="919" t="s">
        <v>6071</v>
      </c>
      <c r="E2951" s="920">
        <v>1900</v>
      </c>
      <c r="F2951" s="919" t="s">
        <v>9222</v>
      </c>
      <c r="G2951" s="919" t="s">
        <v>9223</v>
      </c>
      <c r="H2951" s="919" t="s">
        <v>6071</v>
      </c>
      <c r="I2951" s="919" t="s">
        <v>3686</v>
      </c>
      <c r="J2951" s="919"/>
      <c r="K2951" s="920">
        <v>1</v>
      </c>
      <c r="L2951" s="920">
        <v>12</v>
      </c>
      <c r="M2951" s="920">
        <f t="shared" si="92"/>
        <v>22800</v>
      </c>
      <c r="N2951" s="919"/>
      <c r="O2951" s="919"/>
      <c r="P2951" s="921">
        <f t="shared" si="93"/>
        <v>0</v>
      </c>
    </row>
    <row r="2952" spans="1:16" ht="20.100000000000001" customHeight="1" x14ac:dyDescent="0.25">
      <c r="A2952" s="918" t="s">
        <v>489</v>
      </c>
      <c r="B2952" s="944" t="s">
        <v>3901</v>
      </c>
      <c r="C2952" s="919" t="s">
        <v>3902</v>
      </c>
      <c r="D2952" s="919" t="s">
        <v>6071</v>
      </c>
      <c r="E2952" s="920">
        <v>1900</v>
      </c>
      <c r="F2952" s="919" t="s">
        <v>9224</v>
      </c>
      <c r="G2952" s="919" t="s">
        <v>9225</v>
      </c>
      <c r="H2952" s="919" t="s">
        <v>6071</v>
      </c>
      <c r="I2952" s="919" t="s">
        <v>3686</v>
      </c>
      <c r="J2952" s="919"/>
      <c r="K2952" s="920">
        <v>1</v>
      </c>
      <c r="L2952" s="920">
        <v>12</v>
      </c>
      <c r="M2952" s="920">
        <f t="shared" si="92"/>
        <v>22800</v>
      </c>
      <c r="N2952" s="919"/>
      <c r="O2952" s="919"/>
      <c r="P2952" s="921">
        <f t="shared" si="93"/>
        <v>0</v>
      </c>
    </row>
    <row r="2953" spans="1:16" ht="20.100000000000001" customHeight="1" x14ac:dyDescent="0.25">
      <c r="A2953" s="918" t="s">
        <v>489</v>
      </c>
      <c r="B2953" s="944" t="s">
        <v>3901</v>
      </c>
      <c r="C2953" s="919" t="s">
        <v>3902</v>
      </c>
      <c r="D2953" s="919" t="s">
        <v>6071</v>
      </c>
      <c r="E2953" s="920">
        <v>2100</v>
      </c>
      <c r="F2953" s="919" t="s">
        <v>9226</v>
      </c>
      <c r="G2953" s="919" t="s">
        <v>9227</v>
      </c>
      <c r="H2953" s="919" t="s">
        <v>6071</v>
      </c>
      <c r="I2953" s="919" t="s">
        <v>3686</v>
      </c>
      <c r="J2953" s="919"/>
      <c r="K2953" s="920">
        <v>1</v>
      </c>
      <c r="L2953" s="920">
        <v>12</v>
      </c>
      <c r="M2953" s="920">
        <f t="shared" si="92"/>
        <v>25200</v>
      </c>
      <c r="N2953" s="919"/>
      <c r="O2953" s="919"/>
      <c r="P2953" s="921">
        <f t="shared" si="93"/>
        <v>0</v>
      </c>
    </row>
    <row r="2954" spans="1:16" ht="20.100000000000001" customHeight="1" x14ac:dyDescent="0.25">
      <c r="A2954" s="918" t="s">
        <v>489</v>
      </c>
      <c r="B2954" s="944" t="s">
        <v>3901</v>
      </c>
      <c r="C2954" s="919" t="s">
        <v>3902</v>
      </c>
      <c r="D2954" s="919" t="s">
        <v>6071</v>
      </c>
      <c r="E2954" s="920">
        <v>2100</v>
      </c>
      <c r="F2954" s="919" t="s">
        <v>9228</v>
      </c>
      <c r="G2954" s="919" t="s">
        <v>9229</v>
      </c>
      <c r="H2954" s="919" t="s">
        <v>6071</v>
      </c>
      <c r="I2954" s="919" t="s">
        <v>3686</v>
      </c>
      <c r="J2954" s="919"/>
      <c r="K2954" s="920">
        <v>1</v>
      </c>
      <c r="L2954" s="920">
        <v>12</v>
      </c>
      <c r="M2954" s="920">
        <f t="shared" si="92"/>
        <v>25200</v>
      </c>
      <c r="N2954" s="919"/>
      <c r="O2954" s="919"/>
      <c r="P2954" s="921">
        <f t="shared" si="93"/>
        <v>0</v>
      </c>
    </row>
    <row r="2955" spans="1:16" ht="20.100000000000001" customHeight="1" x14ac:dyDescent="0.25">
      <c r="A2955" s="918" t="s">
        <v>489</v>
      </c>
      <c r="B2955" s="944" t="s">
        <v>3901</v>
      </c>
      <c r="C2955" s="919" t="s">
        <v>3902</v>
      </c>
      <c r="D2955" s="919" t="s">
        <v>6071</v>
      </c>
      <c r="E2955" s="920">
        <v>1900</v>
      </c>
      <c r="F2955" s="919" t="s">
        <v>9230</v>
      </c>
      <c r="G2955" s="919" t="s">
        <v>9231</v>
      </c>
      <c r="H2955" s="919" t="s">
        <v>6071</v>
      </c>
      <c r="I2955" s="919" t="s">
        <v>3686</v>
      </c>
      <c r="J2955" s="919"/>
      <c r="K2955" s="920">
        <v>1</v>
      </c>
      <c r="L2955" s="920">
        <v>12</v>
      </c>
      <c r="M2955" s="920">
        <f t="shared" si="92"/>
        <v>22800</v>
      </c>
      <c r="N2955" s="919"/>
      <c r="O2955" s="919"/>
      <c r="P2955" s="921">
        <f t="shared" si="93"/>
        <v>0</v>
      </c>
    </row>
    <row r="2956" spans="1:16" ht="20.100000000000001" customHeight="1" x14ac:dyDescent="0.25">
      <c r="A2956" s="918" t="s">
        <v>489</v>
      </c>
      <c r="B2956" s="944" t="s">
        <v>3901</v>
      </c>
      <c r="C2956" s="919" t="s">
        <v>3902</v>
      </c>
      <c r="D2956" s="919" t="s">
        <v>6071</v>
      </c>
      <c r="E2956" s="920">
        <v>1900</v>
      </c>
      <c r="F2956" s="919" t="s">
        <v>9232</v>
      </c>
      <c r="G2956" s="919" t="s">
        <v>9233</v>
      </c>
      <c r="H2956" s="919" t="s">
        <v>6071</v>
      </c>
      <c r="I2956" s="919" t="s">
        <v>3686</v>
      </c>
      <c r="J2956" s="919"/>
      <c r="K2956" s="920">
        <v>1</v>
      </c>
      <c r="L2956" s="920">
        <v>12</v>
      </c>
      <c r="M2956" s="920">
        <f t="shared" si="92"/>
        <v>22800</v>
      </c>
      <c r="N2956" s="919"/>
      <c r="O2956" s="919"/>
      <c r="P2956" s="921">
        <f t="shared" si="93"/>
        <v>0</v>
      </c>
    </row>
    <row r="2957" spans="1:16" ht="20.100000000000001" customHeight="1" x14ac:dyDescent="0.25">
      <c r="A2957" s="918" t="s">
        <v>489</v>
      </c>
      <c r="B2957" s="944" t="s">
        <v>3901</v>
      </c>
      <c r="C2957" s="919" t="s">
        <v>3902</v>
      </c>
      <c r="D2957" s="919" t="s">
        <v>6071</v>
      </c>
      <c r="E2957" s="920">
        <v>1900</v>
      </c>
      <c r="F2957" s="919" t="s">
        <v>9234</v>
      </c>
      <c r="G2957" s="919" t="s">
        <v>9235</v>
      </c>
      <c r="H2957" s="919" t="s">
        <v>6071</v>
      </c>
      <c r="I2957" s="919" t="s">
        <v>3686</v>
      </c>
      <c r="J2957" s="919"/>
      <c r="K2957" s="920">
        <v>1</v>
      </c>
      <c r="L2957" s="920">
        <v>12</v>
      </c>
      <c r="M2957" s="920">
        <f t="shared" si="92"/>
        <v>22800</v>
      </c>
      <c r="N2957" s="919"/>
      <c r="O2957" s="919"/>
      <c r="P2957" s="921">
        <f t="shared" si="93"/>
        <v>0</v>
      </c>
    </row>
    <row r="2958" spans="1:16" ht="20.100000000000001" customHeight="1" x14ac:dyDescent="0.25">
      <c r="A2958" s="918" t="s">
        <v>489</v>
      </c>
      <c r="B2958" s="944" t="s">
        <v>3901</v>
      </c>
      <c r="C2958" s="919" t="s">
        <v>3902</v>
      </c>
      <c r="D2958" s="919" t="s">
        <v>3999</v>
      </c>
      <c r="E2958" s="920">
        <v>3500</v>
      </c>
      <c r="F2958" s="919" t="s">
        <v>9236</v>
      </c>
      <c r="G2958" s="919" t="s">
        <v>9237</v>
      </c>
      <c r="H2958" s="919" t="s">
        <v>3999</v>
      </c>
      <c r="I2958" s="919" t="s">
        <v>3724</v>
      </c>
      <c r="J2958" s="919"/>
      <c r="K2958" s="920"/>
      <c r="L2958" s="920"/>
      <c r="M2958" s="920">
        <f t="shared" si="92"/>
        <v>0</v>
      </c>
      <c r="N2958" s="919">
        <v>1</v>
      </c>
      <c r="O2958" s="919">
        <v>3</v>
      </c>
      <c r="P2958" s="921">
        <f t="shared" si="93"/>
        <v>10500</v>
      </c>
    </row>
    <row r="2959" spans="1:16" ht="20.100000000000001" customHeight="1" x14ac:dyDescent="0.25">
      <c r="A2959" s="918" t="s">
        <v>489</v>
      </c>
      <c r="B2959" s="944" t="s">
        <v>3901</v>
      </c>
      <c r="C2959" s="919" t="s">
        <v>3902</v>
      </c>
      <c r="D2959" s="919" t="s">
        <v>3999</v>
      </c>
      <c r="E2959" s="920">
        <v>2900</v>
      </c>
      <c r="F2959" s="919" t="s">
        <v>9238</v>
      </c>
      <c r="G2959" s="919" t="s">
        <v>9239</v>
      </c>
      <c r="H2959" s="919" t="s">
        <v>3999</v>
      </c>
      <c r="I2959" s="919" t="s">
        <v>3724</v>
      </c>
      <c r="J2959" s="919"/>
      <c r="K2959" s="920">
        <v>1</v>
      </c>
      <c r="L2959" s="920">
        <v>12</v>
      </c>
      <c r="M2959" s="920">
        <f t="shared" si="92"/>
        <v>34800</v>
      </c>
      <c r="N2959" s="919"/>
      <c r="O2959" s="919"/>
      <c r="P2959" s="921">
        <f t="shared" si="93"/>
        <v>0</v>
      </c>
    </row>
    <row r="2960" spans="1:16" ht="20.100000000000001" customHeight="1" x14ac:dyDescent="0.25">
      <c r="A2960" s="918" t="s">
        <v>489</v>
      </c>
      <c r="B2960" s="944" t="s">
        <v>3901</v>
      </c>
      <c r="C2960" s="919" t="s">
        <v>3902</v>
      </c>
      <c r="D2960" s="919" t="s">
        <v>3999</v>
      </c>
      <c r="E2960" s="920">
        <v>2900</v>
      </c>
      <c r="F2960" s="919" t="s">
        <v>9240</v>
      </c>
      <c r="G2960" s="919" t="s">
        <v>9241</v>
      </c>
      <c r="H2960" s="919" t="s">
        <v>3999</v>
      </c>
      <c r="I2960" s="919" t="s">
        <v>3724</v>
      </c>
      <c r="J2960" s="919"/>
      <c r="K2960" s="920">
        <v>1</v>
      </c>
      <c r="L2960" s="920">
        <v>12</v>
      </c>
      <c r="M2960" s="920">
        <f t="shared" si="92"/>
        <v>34800</v>
      </c>
      <c r="N2960" s="919"/>
      <c r="O2960" s="919"/>
      <c r="P2960" s="921">
        <f t="shared" si="93"/>
        <v>0</v>
      </c>
    </row>
    <row r="2961" spans="1:16" ht="20.100000000000001" customHeight="1" x14ac:dyDescent="0.25">
      <c r="A2961" s="918" t="s">
        <v>489</v>
      </c>
      <c r="B2961" s="944" t="s">
        <v>3901</v>
      </c>
      <c r="C2961" s="919" t="s">
        <v>3902</v>
      </c>
      <c r="D2961" s="919" t="s">
        <v>3999</v>
      </c>
      <c r="E2961" s="920">
        <v>3100</v>
      </c>
      <c r="F2961" s="919" t="s">
        <v>9242</v>
      </c>
      <c r="G2961" s="919" t="s">
        <v>9243</v>
      </c>
      <c r="H2961" s="919" t="s">
        <v>3999</v>
      </c>
      <c r="I2961" s="919" t="s">
        <v>3724</v>
      </c>
      <c r="J2961" s="919"/>
      <c r="K2961" s="920"/>
      <c r="L2961" s="920"/>
      <c r="M2961" s="920">
        <f t="shared" si="92"/>
        <v>0</v>
      </c>
      <c r="N2961" s="919">
        <v>1</v>
      </c>
      <c r="O2961" s="919">
        <v>3</v>
      </c>
      <c r="P2961" s="921">
        <f t="shared" si="93"/>
        <v>9300</v>
      </c>
    </row>
    <row r="2962" spans="1:16" ht="20.100000000000001" customHeight="1" x14ac:dyDescent="0.25">
      <c r="A2962" s="918" t="s">
        <v>489</v>
      </c>
      <c r="B2962" s="944" t="s">
        <v>3901</v>
      </c>
      <c r="C2962" s="919" t="s">
        <v>3902</v>
      </c>
      <c r="D2962" s="919" t="s">
        <v>3999</v>
      </c>
      <c r="E2962" s="920">
        <v>2900</v>
      </c>
      <c r="F2962" s="919" t="s">
        <v>9244</v>
      </c>
      <c r="G2962" s="919" t="s">
        <v>9245</v>
      </c>
      <c r="H2962" s="919" t="s">
        <v>3999</v>
      </c>
      <c r="I2962" s="919" t="s">
        <v>3724</v>
      </c>
      <c r="J2962" s="919"/>
      <c r="K2962" s="920">
        <v>1</v>
      </c>
      <c r="L2962" s="920">
        <v>12</v>
      </c>
      <c r="M2962" s="920">
        <f t="shared" si="92"/>
        <v>34800</v>
      </c>
      <c r="N2962" s="919"/>
      <c r="O2962" s="919"/>
      <c r="P2962" s="921">
        <f t="shared" si="93"/>
        <v>0</v>
      </c>
    </row>
    <row r="2963" spans="1:16" ht="20.100000000000001" customHeight="1" x14ac:dyDescent="0.25">
      <c r="A2963" s="918" t="s">
        <v>489</v>
      </c>
      <c r="B2963" s="944" t="s">
        <v>3901</v>
      </c>
      <c r="C2963" s="919" t="s">
        <v>3902</v>
      </c>
      <c r="D2963" s="919" t="s">
        <v>3999</v>
      </c>
      <c r="E2963" s="920">
        <v>2900</v>
      </c>
      <c r="F2963" s="919" t="s">
        <v>9246</v>
      </c>
      <c r="G2963" s="919" t="s">
        <v>9247</v>
      </c>
      <c r="H2963" s="919" t="s">
        <v>3999</v>
      </c>
      <c r="I2963" s="919" t="s">
        <v>3724</v>
      </c>
      <c r="J2963" s="919"/>
      <c r="K2963" s="920">
        <v>1</v>
      </c>
      <c r="L2963" s="920">
        <v>12</v>
      </c>
      <c r="M2963" s="920">
        <f t="shared" si="92"/>
        <v>34800</v>
      </c>
      <c r="N2963" s="919"/>
      <c r="O2963" s="919"/>
      <c r="P2963" s="921">
        <f t="shared" si="93"/>
        <v>0</v>
      </c>
    </row>
    <row r="2964" spans="1:16" ht="20.100000000000001" customHeight="1" x14ac:dyDescent="0.25">
      <c r="A2964" s="918" t="s">
        <v>489</v>
      </c>
      <c r="B2964" s="944" t="s">
        <v>3901</v>
      </c>
      <c r="C2964" s="919" t="s">
        <v>3902</v>
      </c>
      <c r="D2964" s="919" t="s">
        <v>3999</v>
      </c>
      <c r="E2964" s="920">
        <v>2900</v>
      </c>
      <c r="F2964" s="919" t="s">
        <v>9248</v>
      </c>
      <c r="G2964" s="919" t="s">
        <v>9249</v>
      </c>
      <c r="H2964" s="919" t="s">
        <v>3999</v>
      </c>
      <c r="I2964" s="919" t="s">
        <v>3724</v>
      </c>
      <c r="J2964" s="919"/>
      <c r="K2964" s="920">
        <v>1</v>
      </c>
      <c r="L2964" s="920">
        <v>12</v>
      </c>
      <c r="M2964" s="920">
        <f t="shared" si="92"/>
        <v>34800</v>
      </c>
      <c r="N2964" s="919"/>
      <c r="O2964" s="919"/>
      <c r="P2964" s="921">
        <f t="shared" si="93"/>
        <v>0</v>
      </c>
    </row>
    <row r="2965" spans="1:16" ht="20.100000000000001" customHeight="1" x14ac:dyDescent="0.25">
      <c r="A2965" s="918" t="s">
        <v>489</v>
      </c>
      <c r="B2965" s="944" t="s">
        <v>3901</v>
      </c>
      <c r="C2965" s="919" t="s">
        <v>3902</v>
      </c>
      <c r="D2965" s="919" t="s">
        <v>3999</v>
      </c>
      <c r="E2965" s="920">
        <v>2900</v>
      </c>
      <c r="F2965" s="919" t="s">
        <v>9250</v>
      </c>
      <c r="G2965" s="919" t="s">
        <v>9251</v>
      </c>
      <c r="H2965" s="919" t="s">
        <v>3999</v>
      </c>
      <c r="I2965" s="919" t="s">
        <v>3724</v>
      </c>
      <c r="J2965" s="919"/>
      <c r="K2965" s="920"/>
      <c r="L2965" s="920"/>
      <c r="M2965" s="920">
        <f t="shared" si="92"/>
        <v>0</v>
      </c>
      <c r="N2965" s="919">
        <v>1</v>
      </c>
      <c r="O2965" s="919">
        <v>3</v>
      </c>
      <c r="P2965" s="921">
        <f t="shared" si="93"/>
        <v>8700</v>
      </c>
    </row>
    <row r="2966" spans="1:16" ht="20.100000000000001" customHeight="1" x14ac:dyDescent="0.25">
      <c r="A2966" s="918" t="s">
        <v>489</v>
      </c>
      <c r="B2966" s="944" t="s">
        <v>3901</v>
      </c>
      <c r="C2966" s="919" t="s">
        <v>3902</v>
      </c>
      <c r="D2966" s="919" t="s">
        <v>3999</v>
      </c>
      <c r="E2966" s="920">
        <v>2900</v>
      </c>
      <c r="F2966" s="919" t="s">
        <v>9252</v>
      </c>
      <c r="G2966" s="919" t="s">
        <v>9253</v>
      </c>
      <c r="H2966" s="919" t="s">
        <v>3999</v>
      </c>
      <c r="I2966" s="919" t="s">
        <v>3724</v>
      </c>
      <c r="J2966" s="919"/>
      <c r="K2966" s="920">
        <v>1</v>
      </c>
      <c r="L2966" s="920">
        <v>12</v>
      </c>
      <c r="M2966" s="920">
        <f t="shared" si="92"/>
        <v>34800</v>
      </c>
      <c r="N2966" s="919"/>
      <c r="O2966" s="919"/>
      <c r="P2966" s="921">
        <f t="shared" si="93"/>
        <v>0</v>
      </c>
    </row>
    <row r="2967" spans="1:16" ht="20.100000000000001" customHeight="1" x14ac:dyDescent="0.25">
      <c r="A2967" s="918" t="s">
        <v>489</v>
      </c>
      <c r="B2967" s="944" t="s">
        <v>3901</v>
      </c>
      <c r="C2967" s="919" t="s">
        <v>3902</v>
      </c>
      <c r="D2967" s="919" t="s">
        <v>3999</v>
      </c>
      <c r="E2967" s="920">
        <v>2900</v>
      </c>
      <c r="F2967" s="919" t="s">
        <v>9254</v>
      </c>
      <c r="G2967" s="919" t="s">
        <v>9255</v>
      </c>
      <c r="H2967" s="919" t="s">
        <v>3999</v>
      </c>
      <c r="I2967" s="919" t="s">
        <v>3724</v>
      </c>
      <c r="J2967" s="919"/>
      <c r="K2967" s="920"/>
      <c r="L2967" s="920"/>
      <c r="M2967" s="920">
        <f t="shared" si="92"/>
        <v>0</v>
      </c>
      <c r="N2967" s="919">
        <v>1</v>
      </c>
      <c r="O2967" s="919">
        <v>3</v>
      </c>
      <c r="P2967" s="921">
        <f t="shared" si="93"/>
        <v>8700</v>
      </c>
    </row>
    <row r="2968" spans="1:16" ht="20.100000000000001" customHeight="1" x14ac:dyDescent="0.25">
      <c r="A2968" s="918" t="s">
        <v>489</v>
      </c>
      <c r="B2968" s="944" t="s">
        <v>3901</v>
      </c>
      <c r="C2968" s="919" t="s">
        <v>3902</v>
      </c>
      <c r="D2968" s="919" t="s">
        <v>3999</v>
      </c>
      <c r="E2968" s="920">
        <v>2900</v>
      </c>
      <c r="F2968" s="919" t="s">
        <v>9256</v>
      </c>
      <c r="G2968" s="919" t="s">
        <v>9257</v>
      </c>
      <c r="H2968" s="919" t="s">
        <v>3999</v>
      </c>
      <c r="I2968" s="919" t="s">
        <v>3724</v>
      </c>
      <c r="J2968" s="919"/>
      <c r="K2968" s="920">
        <v>1</v>
      </c>
      <c r="L2968" s="920">
        <v>12</v>
      </c>
      <c r="M2968" s="920">
        <f t="shared" si="92"/>
        <v>34800</v>
      </c>
      <c r="N2968" s="919"/>
      <c r="O2968" s="919"/>
      <c r="P2968" s="921">
        <f t="shared" si="93"/>
        <v>0</v>
      </c>
    </row>
    <row r="2969" spans="1:16" ht="20.100000000000001" customHeight="1" x14ac:dyDescent="0.25">
      <c r="A2969" s="918" t="s">
        <v>489</v>
      </c>
      <c r="B2969" s="944" t="s">
        <v>3901</v>
      </c>
      <c r="C2969" s="919" t="s">
        <v>3902</v>
      </c>
      <c r="D2969" s="919" t="s">
        <v>3999</v>
      </c>
      <c r="E2969" s="920">
        <v>2900</v>
      </c>
      <c r="F2969" s="919" t="s">
        <v>4041</v>
      </c>
      <c r="G2969" s="919" t="s">
        <v>4042</v>
      </c>
      <c r="H2969" s="919" t="s">
        <v>3999</v>
      </c>
      <c r="I2969" s="919" t="s">
        <v>3724</v>
      </c>
      <c r="J2969" s="919"/>
      <c r="K2969" s="920">
        <v>1</v>
      </c>
      <c r="L2969" s="920">
        <v>12</v>
      </c>
      <c r="M2969" s="920">
        <f t="shared" si="92"/>
        <v>34800</v>
      </c>
      <c r="N2969" s="919"/>
      <c r="O2969" s="919"/>
      <c r="P2969" s="921">
        <f t="shared" si="93"/>
        <v>0</v>
      </c>
    </row>
    <row r="2970" spans="1:16" ht="20.100000000000001" customHeight="1" x14ac:dyDescent="0.25">
      <c r="A2970" s="918" t="s">
        <v>489</v>
      </c>
      <c r="B2970" s="944" t="s">
        <v>3901</v>
      </c>
      <c r="C2970" s="919" t="s">
        <v>3902</v>
      </c>
      <c r="D2970" s="919" t="s">
        <v>3999</v>
      </c>
      <c r="E2970" s="920">
        <v>2900</v>
      </c>
      <c r="F2970" s="919" t="s">
        <v>9258</v>
      </c>
      <c r="G2970" s="919" t="s">
        <v>9259</v>
      </c>
      <c r="H2970" s="919" t="s">
        <v>3999</v>
      </c>
      <c r="I2970" s="919" t="s">
        <v>3724</v>
      </c>
      <c r="J2970" s="919"/>
      <c r="K2970" s="920"/>
      <c r="L2970" s="920"/>
      <c r="M2970" s="920">
        <f t="shared" si="92"/>
        <v>0</v>
      </c>
      <c r="N2970" s="919">
        <v>1</v>
      </c>
      <c r="O2970" s="919">
        <v>3</v>
      </c>
      <c r="P2970" s="921">
        <f t="shared" si="93"/>
        <v>8700</v>
      </c>
    </row>
    <row r="2971" spans="1:16" ht="20.100000000000001" customHeight="1" x14ac:dyDescent="0.25">
      <c r="A2971" s="918" t="s">
        <v>489</v>
      </c>
      <c r="B2971" s="944" t="s">
        <v>3901</v>
      </c>
      <c r="C2971" s="919" t="s">
        <v>3902</v>
      </c>
      <c r="D2971" s="919" t="s">
        <v>3999</v>
      </c>
      <c r="E2971" s="920">
        <v>3100</v>
      </c>
      <c r="F2971" s="919" t="s">
        <v>9260</v>
      </c>
      <c r="G2971" s="919" t="s">
        <v>9261</v>
      </c>
      <c r="H2971" s="919" t="s">
        <v>3999</v>
      </c>
      <c r="I2971" s="919" t="s">
        <v>3724</v>
      </c>
      <c r="J2971" s="919"/>
      <c r="K2971" s="920"/>
      <c r="L2971" s="920"/>
      <c r="M2971" s="920">
        <f t="shared" si="92"/>
        <v>0</v>
      </c>
      <c r="N2971" s="919">
        <v>1</v>
      </c>
      <c r="O2971" s="919">
        <v>3</v>
      </c>
      <c r="P2971" s="921">
        <f t="shared" si="93"/>
        <v>9300</v>
      </c>
    </row>
    <row r="2972" spans="1:16" ht="20.100000000000001" customHeight="1" x14ac:dyDescent="0.25">
      <c r="A2972" s="918" t="s">
        <v>489</v>
      </c>
      <c r="B2972" s="944" t="s">
        <v>3901</v>
      </c>
      <c r="C2972" s="919" t="s">
        <v>3902</v>
      </c>
      <c r="D2972" s="919" t="s">
        <v>3999</v>
      </c>
      <c r="E2972" s="920">
        <v>3100</v>
      </c>
      <c r="F2972" s="919" t="s">
        <v>9262</v>
      </c>
      <c r="G2972" s="919" t="s">
        <v>9263</v>
      </c>
      <c r="H2972" s="919" t="s">
        <v>3999</v>
      </c>
      <c r="I2972" s="919" t="s">
        <v>3724</v>
      </c>
      <c r="J2972" s="919"/>
      <c r="K2972" s="920"/>
      <c r="L2972" s="920"/>
      <c r="M2972" s="920">
        <f t="shared" si="92"/>
        <v>0</v>
      </c>
      <c r="N2972" s="919">
        <v>1</v>
      </c>
      <c r="O2972" s="919">
        <v>3</v>
      </c>
      <c r="P2972" s="921">
        <f t="shared" si="93"/>
        <v>9300</v>
      </c>
    </row>
    <row r="2973" spans="1:16" ht="20.100000000000001" customHeight="1" x14ac:dyDescent="0.25">
      <c r="A2973" s="918" t="s">
        <v>489</v>
      </c>
      <c r="B2973" s="944" t="s">
        <v>3901</v>
      </c>
      <c r="C2973" s="919" t="s">
        <v>3902</v>
      </c>
      <c r="D2973" s="919" t="s">
        <v>9264</v>
      </c>
      <c r="E2973" s="920">
        <v>3900</v>
      </c>
      <c r="F2973" s="919" t="s">
        <v>9265</v>
      </c>
      <c r="G2973" s="919" t="s">
        <v>9266</v>
      </c>
      <c r="H2973" s="919" t="s">
        <v>9264</v>
      </c>
      <c r="I2973" s="919" t="s">
        <v>3679</v>
      </c>
      <c r="J2973" s="919"/>
      <c r="K2973" s="920"/>
      <c r="L2973" s="920"/>
      <c r="M2973" s="920">
        <f t="shared" si="92"/>
        <v>0</v>
      </c>
      <c r="N2973" s="919">
        <v>1</v>
      </c>
      <c r="O2973" s="919">
        <v>3</v>
      </c>
      <c r="P2973" s="921">
        <f t="shared" si="93"/>
        <v>11700</v>
      </c>
    </row>
    <row r="2974" spans="1:16" ht="20.100000000000001" customHeight="1" x14ac:dyDescent="0.25">
      <c r="A2974" s="918" t="s">
        <v>489</v>
      </c>
      <c r="B2974" s="944" t="s">
        <v>3901</v>
      </c>
      <c r="C2974" s="919" t="s">
        <v>3902</v>
      </c>
      <c r="D2974" s="919" t="s">
        <v>6120</v>
      </c>
      <c r="E2974" s="920">
        <v>4800</v>
      </c>
      <c r="F2974" s="919" t="s">
        <v>9267</v>
      </c>
      <c r="G2974" s="919" t="s">
        <v>9268</v>
      </c>
      <c r="H2974" s="919" t="s">
        <v>6120</v>
      </c>
      <c r="I2974" s="919" t="s">
        <v>3724</v>
      </c>
      <c r="J2974" s="919"/>
      <c r="K2974" s="920">
        <v>1</v>
      </c>
      <c r="L2974" s="920">
        <v>12</v>
      </c>
      <c r="M2974" s="920">
        <f t="shared" si="92"/>
        <v>57600</v>
      </c>
      <c r="N2974" s="919"/>
      <c r="O2974" s="919"/>
      <c r="P2974" s="921">
        <f t="shared" si="93"/>
        <v>0</v>
      </c>
    </row>
    <row r="2975" spans="1:16" ht="20.100000000000001" customHeight="1" x14ac:dyDescent="0.25">
      <c r="A2975" s="918" t="s">
        <v>489</v>
      </c>
      <c r="B2975" s="944" t="s">
        <v>3901</v>
      </c>
      <c r="C2975" s="919" t="s">
        <v>3902</v>
      </c>
      <c r="D2975" s="919" t="s">
        <v>6120</v>
      </c>
      <c r="E2975" s="920">
        <v>4800</v>
      </c>
      <c r="F2975" s="919" t="s">
        <v>4041</v>
      </c>
      <c r="G2975" s="919" t="s">
        <v>4042</v>
      </c>
      <c r="H2975" s="919" t="s">
        <v>6120</v>
      </c>
      <c r="I2975" s="919" t="s">
        <v>3724</v>
      </c>
      <c r="J2975" s="919"/>
      <c r="K2975" s="920">
        <v>1</v>
      </c>
      <c r="L2975" s="920">
        <v>12</v>
      </c>
      <c r="M2975" s="920">
        <f t="shared" si="92"/>
        <v>57600</v>
      </c>
      <c r="N2975" s="919"/>
      <c r="O2975" s="919"/>
      <c r="P2975" s="921">
        <f t="shared" si="93"/>
        <v>0</v>
      </c>
    </row>
    <row r="2976" spans="1:16" ht="20.100000000000001" customHeight="1" x14ac:dyDescent="0.25">
      <c r="A2976" s="918" t="s">
        <v>489</v>
      </c>
      <c r="B2976" s="944" t="s">
        <v>3901</v>
      </c>
      <c r="C2976" s="919" t="s">
        <v>3902</v>
      </c>
      <c r="D2976" s="919" t="s">
        <v>6120</v>
      </c>
      <c r="E2976" s="920">
        <v>4800</v>
      </c>
      <c r="F2976" s="919" t="s">
        <v>4041</v>
      </c>
      <c r="G2976" s="919" t="s">
        <v>4042</v>
      </c>
      <c r="H2976" s="919" t="s">
        <v>6120</v>
      </c>
      <c r="I2976" s="919" t="s">
        <v>3724</v>
      </c>
      <c r="J2976" s="919"/>
      <c r="K2976" s="920">
        <v>1</v>
      </c>
      <c r="L2976" s="920">
        <v>12</v>
      </c>
      <c r="M2976" s="920">
        <f t="shared" si="92"/>
        <v>57600</v>
      </c>
      <c r="N2976" s="919"/>
      <c r="O2976" s="919"/>
      <c r="P2976" s="921">
        <f t="shared" si="93"/>
        <v>0</v>
      </c>
    </row>
    <row r="2977" spans="1:16" ht="20.100000000000001" customHeight="1" x14ac:dyDescent="0.25">
      <c r="A2977" s="918" t="s">
        <v>489</v>
      </c>
      <c r="B2977" s="944" t="s">
        <v>3901</v>
      </c>
      <c r="C2977" s="919" t="s">
        <v>3902</v>
      </c>
      <c r="D2977" s="919" t="s">
        <v>6120</v>
      </c>
      <c r="E2977" s="920">
        <v>4800</v>
      </c>
      <c r="F2977" s="919" t="s">
        <v>4041</v>
      </c>
      <c r="G2977" s="919" t="s">
        <v>4042</v>
      </c>
      <c r="H2977" s="919" t="s">
        <v>6120</v>
      </c>
      <c r="I2977" s="919" t="s">
        <v>3724</v>
      </c>
      <c r="J2977" s="919"/>
      <c r="K2977" s="920">
        <v>1</v>
      </c>
      <c r="L2977" s="920">
        <v>12</v>
      </c>
      <c r="M2977" s="920">
        <f t="shared" si="92"/>
        <v>57600</v>
      </c>
      <c r="N2977" s="919"/>
      <c r="O2977" s="919"/>
      <c r="P2977" s="921">
        <f t="shared" si="93"/>
        <v>0</v>
      </c>
    </row>
    <row r="2978" spans="1:16" ht="20.100000000000001" customHeight="1" x14ac:dyDescent="0.25">
      <c r="A2978" s="918" t="s">
        <v>489</v>
      </c>
      <c r="B2978" s="944" t="s">
        <v>3901</v>
      </c>
      <c r="C2978" s="919" t="s">
        <v>3902</v>
      </c>
      <c r="D2978" s="919" t="s">
        <v>6120</v>
      </c>
      <c r="E2978" s="920">
        <v>4800</v>
      </c>
      <c r="F2978" s="919" t="s">
        <v>9269</v>
      </c>
      <c r="G2978" s="919" t="s">
        <v>9270</v>
      </c>
      <c r="H2978" s="919" t="s">
        <v>6120</v>
      </c>
      <c r="I2978" s="919" t="s">
        <v>3724</v>
      </c>
      <c r="J2978" s="919"/>
      <c r="K2978" s="920">
        <v>1</v>
      </c>
      <c r="L2978" s="920">
        <v>12</v>
      </c>
      <c r="M2978" s="920">
        <f t="shared" si="92"/>
        <v>57600</v>
      </c>
      <c r="N2978" s="919"/>
      <c r="O2978" s="919"/>
      <c r="P2978" s="921">
        <f t="shared" si="93"/>
        <v>0</v>
      </c>
    </row>
    <row r="2979" spans="1:16" ht="20.100000000000001" customHeight="1" x14ac:dyDescent="0.25">
      <c r="A2979" s="918" t="s">
        <v>489</v>
      </c>
      <c r="B2979" s="944" t="s">
        <v>3901</v>
      </c>
      <c r="C2979" s="919" t="s">
        <v>3902</v>
      </c>
      <c r="D2979" s="919" t="s">
        <v>6120</v>
      </c>
      <c r="E2979" s="920">
        <v>4800</v>
      </c>
      <c r="F2979" s="919" t="s">
        <v>4041</v>
      </c>
      <c r="G2979" s="919" t="s">
        <v>4042</v>
      </c>
      <c r="H2979" s="919" t="s">
        <v>6120</v>
      </c>
      <c r="I2979" s="919" t="s">
        <v>3724</v>
      </c>
      <c r="J2979" s="919"/>
      <c r="K2979" s="920">
        <v>1</v>
      </c>
      <c r="L2979" s="920">
        <v>12</v>
      </c>
      <c r="M2979" s="920">
        <f t="shared" si="92"/>
        <v>57600</v>
      </c>
      <c r="N2979" s="919"/>
      <c r="O2979" s="919"/>
      <c r="P2979" s="921">
        <f t="shared" si="93"/>
        <v>0</v>
      </c>
    </row>
    <row r="2980" spans="1:16" ht="20.100000000000001" customHeight="1" x14ac:dyDescent="0.25">
      <c r="A2980" s="918" t="s">
        <v>489</v>
      </c>
      <c r="B2980" s="944" t="s">
        <v>3901</v>
      </c>
      <c r="C2980" s="919" t="s">
        <v>3902</v>
      </c>
      <c r="D2980" s="919" t="s">
        <v>6120</v>
      </c>
      <c r="E2980" s="920">
        <v>4800</v>
      </c>
      <c r="F2980" s="919" t="s">
        <v>4041</v>
      </c>
      <c r="G2980" s="919" t="s">
        <v>4042</v>
      </c>
      <c r="H2980" s="919" t="s">
        <v>6120</v>
      </c>
      <c r="I2980" s="919" t="s">
        <v>3724</v>
      </c>
      <c r="J2980" s="919"/>
      <c r="K2980" s="920">
        <v>1</v>
      </c>
      <c r="L2980" s="920">
        <v>12</v>
      </c>
      <c r="M2980" s="920">
        <f t="shared" si="92"/>
        <v>57600</v>
      </c>
      <c r="N2980" s="919"/>
      <c r="O2980" s="919"/>
      <c r="P2980" s="921">
        <f t="shared" si="93"/>
        <v>0</v>
      </c>
    </row>
    <row r="2981" spans="1:16" ht="20.100000000000001" customHeight="1" x14ac:dyDescent="0.25">
      <c r="A2981" s="918" t="s">
        <v>489</v>
      </c>
      <c r="B2981" s="944" t="s">
        <v>3901</v>
      </c>
      <c r="C2981" s="919" t="s">
        <v>3902</v>
      </c>
      <c r="D2981" s="919" t="s">
        <v>6120</v>
      </c>
      <c r="E2981" s="920">
        <v>4800</v>
      </c>
      <c r="F2981" s="919" t="s">
        <v>9271</v>
      </c>
      <c r="G2981" s="919" t="s">
        <v>9272</v>
      </c>
      <c r="H2981" s="919" t="s">
        <v>6120</v>
      </c>
      <c r="I2981" s="919" t="s">
        <v>3724</v>
      </c>
      <c r="J2981" s="919"/>
      <c r="K2981" s="920">
        <v>1</v>
      </c>
      <c r="L2981" s="920">
        <v>12</v>
      </c>
      <c r="M2981" s="920">
        <f t="shared" si="92"/>
        <v>57600</v>
      </c>
      <c r="N2981" s="919"/>
      <c r="O2981" s="919"/>
      <c r="P2981" s="921">
        <f t="shared" si="93"/>
        <v>0</v>
      </c>
    </row>
    <row r="2982" spans="1:16" ht="20.100000000000001" customHeight="1" x14ac:dyDescent="0.25">
      <c r="A2982" s="918" t="s">
        <v>489</v>
      </c>
      <c r="B2982" s="944" t="s">
        <v>3901</v>
      </c>
      <c r="C2982" s="919" t="s">
        <v>3902</v>
      </c>
      <c r="D2982" s="919" t="s">
        <v>6120</v>
      </c>
      <c r="E2982" s="920">
        <v>4800</v>
      </c>
      <c r="F2982" s="919" t="s">
        <v>4041</v>
      </c>
      <c r="G2982" s="919" t="s">
        <v>4042</v>
      </c>
      <c r="H2982" s="919" t="s">
        <v>6120</v>
      </c>
      <c r="I2982" s="919" t="s">
        <v>3724</v>
      </c>
      <c r="J2982" s="919"/>
      <c r="K2982" s="920">
        <v>1</v>
      </c>
      <c r="L2982" s="920">
        <v>12</v>
      </c>
      <c r="M2982" s="920">
        <f t="shared" si="92"/>
        <v>57600</v>
      </c>
      <c r="N2982" s="919"/>
      <c r="O2982" s="919"/>
      <c r="P2982" s="921">
        <f t="shared" si="93"/>
        <v>0</v>
      </c>
    </row>
    <row r="2983" spans="1:16" ht="20.100000000000001" customHeight="1" x14ac:dyDescent="0.25">
      <c r="A2983" s="918" t="s">
        <v>489</v>
      </c>
      <c r="B2983" s="944" t="s">
        <v>3901</v>
      </c>
      <c r="C2983" s="919" t="s">
        <v>3902</v>
      </c>
      <c r="D2983" s="919" t="s">
        <v>6120</v>
      </c>
      <c r="E2983" s="920">
        <v>5000</v>
      </c>
      <c r="F2983" s="919" t="s">
        <v>4041</v>
      </c>
      <c r="G2983" s="919" t="s">
        <v>4042</v>
      </c>
      <c r="H2983" s="919" t="s">
        <v>6120</v>
      </c>
      <c r="I2983" s="919" t="s">
        <v>3724</v>
      </c>
      <c r="J2983" s="919"/>
      <c r="K2983" s="920">
        <v>1</v>
      </c>
      <c r="L2983" s="920">
        <v>12</v>
      </c>
      <c r="M2983" s="920">
        <f t="shared" si="92"/>
        <v>60000</v>
      </c>
      <c r="N2983" s="919"/>
      <c r="O2983" s="919"/>
      <c r="P2983" s="921">
        <f t="shared" si="93"/>
        <v>0</v>
      </c>
    </row>
    <row r="2984" spans="1:16" ht="20.100000000000001" customHeight="1" x14ac:dyDescent="0.25">
      <c r="A2984" s="918" t="s">
        <v>489</v>
      </c>
      <c r="B2984" s="944" t="s">
        <v>3901</v>
      </c>
      <c r="C2984" s="919" t="s">
        <v>3902</v>
      </c>
      <c r="D2984" s="919" t="s">
        <v>6120</v>
      </c>
      <c r="E2984" s="920">
        <v>4800</v>
      </c>
      <c r="F2984" s="919" t="s">
        <v>4041</v>
      </c>
      <c r="G2984" s="919" t="s">
        <v>4042</v>
      </c>
      <c r="H2984" s="919" t="s">
        <v>6120</v>
      </c>
      <c r="I2984" s="919" t="s">
        <v>3724</v>
      </c>
      <c r="J2984" s="919"/>
      <c r="K2984" s="920">
        <v>1</v>
      </c>
      <c r="L2984" s="920">
        <v>12</v>
      </c>
      <c r="M2984" s="920">
        <f t="shared" si="92"/>
        <v>57600</v>
      </c>
      <c r="N2984" s="919"/>
      <c r="O2984" s="919"/>
      <c r="P2984" s="921">
        <f t="shared" si="93"/>
        <v>0</v>
      </c>
    </row>
    <row r="2985" spans="1:16" ht="20.100000000000001" customHeight="1" x14ac:dyDescent="0.25">
      <c r="A2985" s="918" t="s">
        <v>489</v>
      </c>
      <c r="B2985" s="944" t="s">
        <v>3901</v>
      </c>
      <c r="C2985" s="919" t="s">
        <v>3902</v>
      </c>
      <c r="D2985" s="919" t="s">
        <v>4352</v>
      </c>
      <c r="E2985" s="920">
        <v>2900</v>
      </c>
      <c r="F2985" s="919" t="s">
        <v>4041</v>
      </c>
      <c r="G2985" s="919" t="s">
        <v>4042</v>
      </c>
      <c r="H2985" s="919" t="s">
        <v>4352</v>
      </c>
      <c r="I2985" s="919" t="s">
        <v>3724</v>
      </c>
      <c r="J2985" s="919"/>
      <c r="K2985" s="920">
        <v>1</v>
      </c>
      <c r="L2985" s="920">
        <v>12</v>
      </c>
      <c r="M2985" s="920">
        <f t="shared" si="92"/>
        <v>34800</v>
      </c>
      <c r="N2985" s="919"/>
      <c r="O2985" s="919"/>
      <c r="P2985" s="921">
        <f t="shared" si="93"/>
        <v>0</v>
      </c>
    </row>
    <row r="2986" spans="1:16" ht="20.100000000000001" customHeight="1" x14ac:dyDescent="0.25">
      <c r="A2986" s="918" t="s">
        <v>489</v>
      </c>
      <c r="B2986" s="944" t="s">
        <v>3901</v>
      </c>
      <c r="C2986" s="919" t="s">
        <v>3902</v>
      </c>
      <c r="D2986" s="919" t="s">
        <v>4352</v>
      </c>
      <c r="E2986" s="920">
        <v>2900</v>
      </c>
      <c r="F2986" s="919" t="s">
        <v>9273</v>
      </c>
      <c r="G2986" s="919" t="s">
        <v>9274</v>
      </c>
      <c r="H2986" s="919" t="s">
        <v>4352</v>
      </c>
      <c r="I2986" s="919" t="s">
        <v>3724</v>
      </c>
      <c r="J2986" s="919"/>
      <c r="K2986" s="920"/>
      <c r="L2986" s="920"/>
      <c r="M2986" s="920">
        <f t="shared" si="92"/>
        <v>0</v>
      </c>
      <c r="N2986" s="919">
        <v>1</v>
      </c>
      <c r="O2986" s="919">
        <v>3</v>
      </c>
      <c r="P2986" s="921">
        <f t="shared" si="93"/>
        <v>8700</v>
      </c>
    </row>
    <row r="2987" spans="1:16" ht="20.100000000000001" customHeight="1" x14ac:dyDescent="0.25">
      <c r="A2987" s="918" t="s">
        <v>489</v>
      </c>
      <c r="B2987" s="944" t="s">
        <v>3901</v>
      </c>
      <c r="C2987" s="919" t="s">
        <v>3902</v>
      </c>
      <c r="D2987" s="919" t="s">
        <v>4352</v>
      </c>
      <c r="E2987" s="920">
        <v>2900</v>
      </c>
      <c r="F2987" s="919" t="s">
        <v>9275</v>
      </c>
      <c r="G2987" s="919" t="s">
        <v>9276</v>
      </c>
      <c r="H2987" s="919" t="s">
        <v>4352</v>
      </c>
      <c r="I2987" s="919" t="s">
        <v>3724</v>
      </c>
      <c r="J2987" s="919"/>
      <c r="K2987" s="920"/>
      <c r="L2987" s="920"/>
      <c r="M2987" s="920">
        <f t="shared" si="92"/>
        <v>0</v>
      </c>
      <c r="N2987" s="919">
        <v>1</v>
      </c>
      <c r="O2987" s="919">
        <v>3</v>
      </c>
      <c r="P2987" s="921">
        <f t="shared" si="93"/>
        <v>8700</v>
      </c>
    </row>
    <row r="2988" spans="1:16" ht="20.100000000000001" customHeight="1" x14ac:dyDescent="0.25">
      <c r="A2988" s="918" t="s">
        <v>489</v>
      </c>
      <c r="B2988" s="944" t="s">
        <v>3901</v>
      </c>
      <c r="C2988" s="919" t="s">
        <v>3902</v>
      </c>
      <c r="D2988" s="919" t="s">
        <v>4352</v>
      </c>
      <c r="E2988" s="920">
        <v>2900</v>
      </c>
      <c r="F2988" s="919" t="s">
        <v>9277</v>
      </c>
      <c r="G2988" s="919" t="s">
        <v>9278</v>
      </c>
      <c r="H2988" s="919" t="s">
        <v>4352</v>
      </c>
      <c r="I2988" s="919" t="s">
        <v>3724</v>
      </c>
      <c r="J2988" s="919"/>
      <c r="K2988" s="920">
        <v>1</v>
      </c>
      <c r="L2988" s="920">
        <v>12</v>
      </c>
      <c r="M2988" s="920">
        <f t="shared" si="92"/>
        <v>34800</v>
      </c>
      <c r="N2988" s="919"/>
      <c r="O2988" s="919"/>
      <c r="P2988" s="921">
        <f t="shared" si="93"/>
        <v>0</v>
      </c>
    </row>
    <row r="2989" spans="1:16" ht="20.100000000000001" customHeight="1" x14ac:dyDescent="0.25">
      <c r="A2989" s="918" t="s">
        <v>489</v>
      </c>
      <c r="B2989" s="944" t="s">
        <v>3901</v>
      </c>
      <c r="C2989" s="919" t="s">
        <v>3902</v>
      </c>
      <c r="D2989" s="919" t="s">
        <v>4352</v>
      </c>
      <c r="E2989" s="920">
        <v>2900</v>
      </c>
      <c r="F2989" s="919" t="s">
        <v>9279</v>
      </c>
      <c r="G2989" s="919" t="s">
        <v>9280</v>
      </c>
      <c r="H2989" s="919" t="s">
        <v>4352</v>
      </c>
      <c r="I2989" s="919" t="s">
        <v>3724</v>
      </c>
      <c r="J2989" s="919"/>
      <c r="K2989" s="920"/>
      <c r="L2989" s="920"/>
      <c r="M2989" s="920">
        <f t="shared" si="92"/>
        <v>0</v>
      </c>
      <c r="N2989" s="919">
        <v>1</v>
      </c>
      <c r="O2989" s="919">
        <v>3</v>
      </c>
      <c r="P2989" s="921">
        <f t="shared" si="93"/>
        <v>8700</v>
      </c>
    </row>
    <row r="2990" spans="1:16" ht="20.100000000000001" customHeight="1" x14ac:dyDescent="0.25">
      <c r="A2990" s="918" t="s">
        <v>489</v>
      </c>
      <c r="B2990" s="944" t="s">
        <v>3901</v>
      </c>
      <c r="C2990" s="919" t="s">
        <v>3902</v>
      </c>
      <c r="D2990" s="919" t="s">
        <v>4352</v>
      </c>
      <c r="E2990" s="920">
        <v>2900</v>
      </c>
      <c r="F2990" s="919" t="s">
        <v>9281</v>
      </c>
      <c r="G2990" s="919" t="s">
        <v>9282</v>
      </c>
      <c r="H2990" s="919" t="s">
        <v>4352</v>
      </c>
      <c r="I2990" s="919" t="s">
        <v>3724</v>
      </c>
      <c r="J2990" s="919"/>
      <c r="K2990" s="920"/>
      <c r="L2990" s="920"/>
      <c r="M2990" s="920">
        <f t="shared" si="92"/>
        <v>0</v>
      </c>
      <c r="N2990" s="919">
        <v>1</v>
      </c>
      <c r="O2990" s="919">
        <v>3</v>
      </c>
      <c r="P2990" s="921">
        <f t="shared" si="93"/>
        <v>8700</v>
      </c>
    </row>
    <row r="2991" spans="1:16" ht="20.100000000000001" customHeight="1" x14ac:dyDescent="0.25">
      <c r="A2991" s="918" t="s">
        <v>489</v>
      </c>
      <c r="B2991" s="944" t="s">
        <v>3901</v>
      </c>
      <c r="C2991" s="919" t="s">
        <v>3902</v>
      </c>
      <c r="D2991" s="919" t="s">
        <v>4352</v>
      </c>
      <c r="E2991" s="920">
        <v>3000</v>
      </c>
      <c r="F2991" s="919" t="s">
        <v>9283</v>
      </c>
      <c r="G2991" s="919" t="s">
        <v>9284</v>
      </c>
      <c r="H2991" s="919" t="s">
        <v>4352</v>
      </c>
      <c r="I2991" s="919" t="s">
        <v>3724</v>
      </c>
      <c r="J2991" s="919"/>
      <c r="K2991" s="920"/>
      <c r="L2991" s="920"/>
      <c r="M2991" s="920">
        <f t="shared" si="92"/>
        <v>0</v>
      </c>
      <c r="N2991" s="919">
        <v>1</v>
      </c>
      <c r="O2991" s="919">
        <v>3</v>
      </c>
      <c r="P2991" s="921">
        <f t="shared" si="93"/>
        <v>9000</v>
      </c>
    </row>
    <row r="2992" spans="1:16" ht="20.100000000000001" customHeight="1" x14ac:dyDescent="0.25">
      <c r="A2992" s="918" t="s">
        <v>489</v>
      </c>
      <c r="B2992" s="944" t="s">
        <v>3901</v>
      </c>
      <c r="C2992" s="919" t="s">
        <v>3902</v>
      </c>
      <c r="D2992" s="919" t="s">
        <v>4352</v>
      </c>
      <c r="E2992" s="920">
        <v>2900</v>
      </c>
      <c r="F2992" s="919" t="s">
        <v>9285</v>
      </c>
      <c r="G2992" s="919" t="s">
        <v>9286</v>
      </c>
      <c r="H2992" s="919" t="s">
        <v>4352</v>
      </c>
      <c r="I2992" s="919" t="s">
        <v>3724</v>
      </c>
      <c r="J2992" s="919"/>
      <c r="K2992" s="920">
        <v>1</v>
      </c>
      <c r="L2992" s="920">
        <v>12</v>
      </c>
      <c r="M2992" s="920">
        <f t="shared" si="92"/>
        <v>34800</v>
      </c>
      <c r="N2992" s="919"/>
      <c r="O2992" s="919"/>
      <c r="P2992" s="921">
        <f t="shared" si="93"/>
        <v>0</v>
      </c>
    </row>
    <row r="2993" spans="1:16" ht="20.100000000000001" customHeight="1" x14ac:dyDescent="0.25">
      <c r="A2993" s="918" t="s">
        <v>489</v>
      </c>
      <c r="B2993" s="944" t="s">
        <v>3901</v>
      </c>
      <c r="C2993" s="919" t="s">
        <v>3902</v>
      </c>
      <c r="D2993" s="919" t="s">
        <v>4352</v>
      </c>
      <c r="E2993" s="920">
        <v>3100</v>
      </c>
      <c r="F2993" s="919" t="s">
        <v>9287</v>
      </c>
      <c r="G2993" s="919" t="s">
        <v>9288</v>
      </c>
      <c r="H2993" s="919" t="s">
        <v>4352</v>
      </c>
      <c r="I2993" s="919" t="s">
        <v>3724</v>
      </c>
      <c r="J2993" s="919"/>
      <c r="K2993" s="920"/>
      <c r="L2993" s="920"/>
      <c r="M2993" s="920">
        <f t="shared" si="92"/>
        <v>0</v>
      </c>
      <c r="N2993" s="919">
        <v>1</v>
      </c>
      <c r="O2993" s="919">
        <v>3</v>
      </c>
      <c r="P2993" s="921">
        <f t="shared" si="93"/>
        <v>9300</v>
      </c>
    </row>
    <row r="2994" spans="1:16" ht="20.100000000000001" customHeight="1" x14ac:dyDescent="0.25">
      <c r="A2994" s="918" t="s">
        <v>489</v>
      </c>
      <c r="B2994" s="944" t="s">
        <v>3901</v>
      </c>
      <c r="C2994" s="919" t="s">
        <v>3902</v>
      </c>
      <c r="D2994" s="919" t="s">
        <v>4352</v>
      </c>
      <c r="E2994" s="920">
        <v>2900</v>
      </c>
      <c r="F2994" s="919" t="s">
        <v>4041</v>
      </c>
      <c r="G2994" s="919" t="s">
        <v>4042</v>
      </c>
      <c r="H2994" s="919" t="s">
        <v>4352</v>
      </c>
      <c r="I2994" s="919" t="s">
        <v>3724</v>
      </c>
      <c r="J2994" s="919"/>
      <c r="K2994" s="920">
        <v>1</v>
      </c>
      <c r="L2994" s="920">
        <v>12</v>
      </c>
      <c r="M2994" s="920">
        <f t="shared" si="92"/>
        <v>34800</v>
      </c>
      <c r="N2994" s="919"/>
      <c r="O2994" s="919"/>
      <c r="P2994" s="921">
        <f t="shared" si="93"/>
        <v>0</v>
      </c>
    </row>
    <row r="2995" spans="1:16" ht="20.100000000000001" customHeight="1" x14ac:dyDescent="0.25">
      <c r="A2995" s="918" t="s">
        <v>489</v>
      </c>
      <c r="B2995" s="944" t="s">
        <v>3901</v>
      </c>
      <c r="C2995" s="919" t="s">
        <v>3902</v>
      </c>
      <c r="D2995" s="919" t="s">
        <v>4352</v>
      </c>
      <c r="E2995" s="920">
        <v>2900</v>
      </c>
      <c r="F2995" s="919" t="s">
        <v>9289</v>
      </c>
      <c r="G2995" s="919" t="s">
        <v>9290</v>
      </c>
      <c r="H2995" s="919" t="s">
        <v>4352</v>
      </c>
      <c r="I2995" s="919" t="s">
        <v>3724</v>
      </c>
      <c r="J2995" s="919"/>
      <c r="K2995" s="920"/>
      <c r="L2995" s="920"/>
      <c r="M2995" s="920">
        <f t="shared" si="92"/>
        <v>0</v>
      </c>
      <c r="N2995" s="919">
        <v>1</v>
      </c>
      <c r="O2995" s="919">
        <v>3</v>
      </c>
      <c r="P2995" s="921">
        <f t="shared" si="93"/>
        <v>8700</v>
      </c>
    </row>
    <row r="2996" spans="1:16" ht="20.100000000000001" customHeight="1" x14ac:dyDescent="0.25">
      <c r="A2996" s="918" t="s">
        <v>489</v>
      </c>
      <c r="B2996" s="944" t="s">
        <v>3901</v>
      </c>
      <c r="C2996" s="919" t="s">
        <v>3902</v>
      </c>
      <c r="D2996" s="919" t="s">
        <v>4352</v>
      </c>
      <c r="E2996" s="920">
        <v>3100</v>
      </c>
      <c r="F2996" s="919" t="s">
        <v>9291</v>
      </c>
      <c r="G2996" s="919" t="s">
        <v>9292</v>
      </c>
      <c r="H2996" s="919" t="s">
        <v>4352</v>
      </c>
      <c r="I2996" s="919" t="s">
        <v>3724</v>
      </c>
      <c r="J2996" s="919"/>
      <c r="K2996" s="920"/>
      <c r="L2996" s="920"/>
      <c r="M2996" s="920">
        <f t="shared" si="92"/>
        <v>0</v>
      </c>
      <c r="N2996" s="919">
        <v>1</v>
      </c>
      <c r="O2996" s="919">
        <v>3</v>
      </c>
      <c r="P2996" s="921">
        <f t="shared" si="93"/>
        <v>9300</v>
      </c>
    </row>
    <row r="2997" spans="1:16" ht="20.100000000000001" customHeight="1" x14ac:dyDescent="0.25">
      <c r="A2997" s="918" t="s">
        <v>489</v>
      </c>
      <c r="B2997" s="944" t="s">
        <v>3901</v>
      </c>
      <c r="C2997" s="919" t="s">
        <v>3902</v>
      </c>
      <c r="D2997" s="919" t="s">
        <v>4352</v>
      </c>
      <c r="E2997" s="920">
        <v>2900</v>
      </c>
      <c r="F2997" s="919" t="s">
        <v>9293</v>
      </c>
      <c r="G2997" s="919" t="s">
        <v>9294</v>
      </c>
      <c r="H2997" s="919" t="s">
        <v>4352</v>
      </c>
      <c r="I2997" s="919" t="s">
        <v>3724</v>
      </c>
      <c r="J2997" s="919"/>
      <c r="K2997" s="920"/>
      <c r="L2997" s="920"/>
      <c r="M2997" s="920">
        <f t="shared" si="92"/>
        <v>0</v>
      </c>
      <c r="N2997" s="919">
        <v>1</v>
      </c>
      <c r="O2997" s="919">
        <v>3</v>
      </c>
      <c r="P2997" s="921">
        <f t="shared" si="93"/>
        <v>8700</v>
      </c>
    </row>
    <row r="2998" spans="1:16" ht="20.100000000000001" customHeight="1" x14ac:dyDescent="0.25">
      <c r="A2998" s="918" t="s">
        <v>489</v>
      </c>
      <c r="B2998" s="944" t="s">
        <v>3901</v>
      </c>
      <c r="C2998" s="919" t="s">
        <v>3902</v>
      </c>
      <c r="D2998" s="919" t="s">
        <v>6115</v>
      </c>
      <c r="E2998" s="920">
        <v>3900</v>
      </c>
      <c r="F2998" s="919" t="s">
        <v>9295</v>
      </c>
      <c r="G2998" s="919" t="s">
        <v>9296</v>
      </c>
      <c r="H2998" s="919" t="s">
        <v>6115</v>
      </c>
      <c r="I2998" s="919" t="s">
        <v>3679</v>
      </c>
      <c r="J2998" s="919"/>
      <c r="K2998" s="920"/>
      <c r="L2998" s="920"/>
      <c r="M2998" s="920">
        <f t="shared" si="92"/>
        <v>0</v>
      </c>
      <c r="N2998" s="919">
        <v>1</v>
      </c>
      <c r="O2998" s="919">
        <v>3</v>
      </c>
      <c r="P2998" s="921">
        <f t="shared" si="93"/>
        <v>11700</v>
      </c>
    </row>
    <row r="2999" spans="1:16" ht="20.100000000000001" customHeight="1" x14ac:dyDescent="0.25">
      <c r="A2999" s="918" t="s">
        <v>489</v>
      </c>
      <c r="B2999" s="944" t="s">
        <v>3901</v>
      </c>
      <c r="C2999" s="919" t="s">
        <v>3902</v>
      </c>
      <c r="D2999" s="919" t="s">
        <v>6083</v>
      </c>
      <c r="E2999" s="920">
        <v>1500</v>
      </c>
      <c r="F2999" s="919" t="s">
        <v>9297</v>
      </c>
      <c r="G2999" s="919" t="s">
        <v>9298</v>
      </c>
      <c r="H2999" s="919" t="s">
        <v>6083</v>
      </c>
      <c r="I2999" s="919" t="s">
        <v>3693</v>
      </c>
      <c r="J2999" s="919"/>
      <c r="K2999" s="920"/>
      <c r="L2999" s="920"/>
      <c r="M2999" s="920">
        <f t="shared" si="92"/>
        <v>0</v>
      </c>
      <c r="N2999" s="919">
        <v>1</v>
      </c>
      <c r="O2999" s="919">
        <v>3</v>
      </c>
      <c r="P2999" s="921">
        <f t="shared" si="93"/>
        <v>4500</v>
      </c>
    </row>
    <row r="3000" spans="1:16" ht="20.100000000000001" customHeight="1" x14ac:dyDescent="0.25">
      <c r="A3000" s="918" t="s">
        <v>489</v>
      </c>
      <c r="B3000" s="944" t="s">
        <v>3901</v>
      </c>
      <c r="C3000" s="919" t="s">
        <v>3902</v>
      </c>
      <c r="D3000" s="919" t="s">
        <v>9299</v>
      </c>
      <c r="E3000" s="920">
        <v>4200</v>
      </c>
      <c r="F3000" s="919" t="s">
        <v>4041</v>
      </c>
      <c r="G3000" s="919" t="s">
        <v>4042</v>
      </c>
      <c r="H3000" s="919" t="s">
        <v>9299</v>
      </c>
      <c r="I3000" s="919" t="s">
        <v>3679</v>
      </c>
      <c r="J3000" s="919"/>
      <c r="K3000" s="920">
        <v>1</v>
      </c>
      <c r="L3000" s="920">
        <v>12</v>
      </c>
      <c r="M3000" s="920">
        <f t="shared" si="92"/>
        <v>50400</v>
      </c>
      <c r="N3000" s="919"/>
      <c r="O3000" s="919"/>
      <c r="P3000" s="921">
        <f t="shared" si="93"/>
        <v>0</v>
      </c>
    </row>
    <row r="3001" spans="1:16" ht="20.100000000000001" customHeight="1" x14ac:dyDescent="0.25">
      <c r="A3001" s="918" t="s">
        <v>489</v>
      </c>
      <c r="B3001" s="944" t="s">
        <v>3901</v>
      </c>
      <c r="C3001" s="919" t="s">
        <v>3902</v>
      </c>
      <c r="D3001" s="919" t="s">
        <v>4006</v>
      </c>
      <c r="E3001" s="920">
        <v>2800</v>
      </c>
      <c r="F3001" s="919" t="s">
        <v>9300</v>
      </c>
      <c r="G3001" s="919" t="s">
        <v>9301</v>
      </c>
      <c r="H3001" s="919" t="s">
        <v>4006</v>
      </c>
      <c r="I3001" s="919" t="s">
        <v>3686</v>
      </c>
      <c r="J3001" s="919"/>
      <c r="K3001" s="920">
        <v>1</v>
      </c>
      <c r="L3001" s="920">
        <v>12</v>
      </c>
      <c r="M3001" s="920">
        <f t="shared" si="92"/>
        <v>33600</v>
      </c>
      <c r="N3001" s="919"/>
      <c r="O3001" s="919"/>
      <c r="P3001" s="921">
        <f t="shared" si="93"/>
        <v>0</v>
      </c>
    </row>
    <row r="3002" spans="1:16" ht="20.100000000000001" customHeight="1" x14ac:dyDescent="0.25">
      <c r="A3002" s="918" t="s">
        <v>489</v>
      </c>
      <c r="B3002" s="944" t="s">
        <v>3901</v>
      </c>
      <c r="C3002" s="919" t="s">
        <v>3902</v>
      </c>
      <c r="D3002" s="919" t="s">
        <v>4382</v>
      </c>
      <c r="E3002" s="920">
        <v>2900</v>
      </c>
      <c r="F3002" s="919" t="s">
        <v>4041</v>
      </c>
      <c r="G3002" s="919" t="s">
        <v>4042</v>
      </c>
      <c r="H3002" s="919" t="s">
        <v>4382</v>
      </c>
      <c r="I3002" s="919" t="s">
        <v>3724</v>
      </c>
      <c r="J3002" s="919"/>
      <c r="K3002" s="920">
        <v>1</v>
      </c>
      <c r="L3002" s="920">
        <v>12</v>
      </c>
      <c r="M3002" s="920">
        <f t="shared" si="92"/>
        <v>34800</v>
      </c>
      <c r="N3002" s="919"/>
      <c r="O3002" s="919"/>
      <c r="P3002" s="921">
        <f t="shared" si="93"/>
        <v>0</v>
      </c>
    </row>
    <row r="3003" spans="1:16" ht="20.100000000000001" customHeight="1" x14ac:dyDescent="0.25">
      <c r="A3003" s="918" t="s">
        <v>489</v>
      </c>
      <c r="B3003" s="944" t="s">
        <v>3901</v>
      </c>
      <c r="C3003" s="919" t="s">
        <v>3902</v>
      </c>
      <c r="D3003" s="919" t="s">
        <v>4383</v>
      </c>
      <c r="E3003" s="920">
        <v>2900</v>
      </c>
      <c r="F3003" s="919" t="s">
        <v>9302</v>
      </c>
      <c r="G3003" s="919" t="s">
        <v>9303</v>
      </c>
      <c r="H3003" s="919" t="s">
        <v>4383</v>
      </c>
      <c r="I3003" s="919" t="s">
        <v>3724</v>
      </c>
      <c r="J3003" s="919"/>
      <c r="K3003" s="920">
        <v>1</v>
      </c>
      <c r="L3003" s="920">
        <v>12</v>
      </c>
      <c r="M3003" s="920">
        <f t="shared" si="92"/>
        <v>34800</v>
      </c>
      <c r="N3003" s="919"/>
      <c r="O3003" s="919"/>
      <c r="P3003" s="921">
        <f t="shared" si="93"/>
        <v>0</v>
      </c>
    </row>
    <row r="3004" spans="1:16" ht="20.100000000000001" customHeight="1" x14ac:dyDescent="0.25">
      <c r="A3004" s="918" t="s">
        <v>489</v>
      </c>
      <c r="B3004" s="944" t="s">
        <v>3901</v>
      </c>
      <c r="C3004" s="919" t="s">
        <v>3902</v>
      </c>
      <c r="D3004" s="919" t="s">
        <v>4383</v>
      </c>
      <c r="E3004" s="920">
        <v>2900</v>
      </c>
      <c r="F3004" s="919" t="s">
        <v>4041</v>
      </c>
      <c r="G3004" s="919" t="s">
        <v>4042</v>
      </c>
      <c r="H3004" s="919" t="s">
        <v>4383</v>
      </c>
      <c r="I3004" s="919" t="s">
        <v>3724</v>
      </c>
      <c r="J3004" s="919"/>
      <c r="K3004" s="920">
        <v>1</v>
      </c>
      <c r="L3004" s="920">
        <v>12</v>
      </c>
      <c r="M3004" s="920">
        <f t="shared" si="92"/>
        <v>34800</v>
      </c>
      <c r="N3004" s="919"/>
      <c r="O3004" s="919"/>
      <c r="P3004" s="921">
        <f t="shared" si="93"/>
        <v>0</v>
      </c>
    </row>
    <row r="3005" spans="1:16" ht="20.100000000000001" customHeight="1" x14ac:dyDescent="0.25">
      <c r="A3005" s="918" t="s">
        <v>489</v>
      </c>
      <c r="B3005" s="944" t="s">
        <v>3901</v>
      </c>
      <c r="C3005" s="919" t="s">
        <v>3902</v>
      </c>
      <c r="D3005" s="919" t="s">
        <v>4383</v>
      </c>
      <c r="E3005" s="920">
        <v>2900</v>
      </c>
      <c r="F3005" s="919" t="s">
        <v>4041</v>
      </c>
      <c r="G3005" s="919" t="s">
        <v>4042</v>
      </c>
      <c r="H3005" s="919" t="s">
        <v>4383</v>
      </c>
      <c r="I3005" s="919" t="s">
        <v>3724</v>
      </c>
      <c r="J3005" s="919"/>
      <c r="K3005" s="920">
        <v>1</v>
      </c>
      <c r="L3005" s="920">
        <v>12</v>
      </c>
      <c r="M3005" s="920">
        <f t="shared" si="92"/>
        <v>34800</v>
      </c>
      <c r="N3005" s="919"/>
      <c r="O3005" s="919"/>
      <c r="P3005" s="921">
        <f t="shared" si="93"/>
        <v>0</v>
      </c>
    </row>
    <row r="3006" spans="1:16" ht="20.100000000000001" customHeight="1" x14ac:dyDescent="0.25">
      <c r="A3006" s="918" t="s">
        <v>489</v>
      </c>
      <c r="B3006" s="944" t="s">
        <v>3901</v>
      </c>
      <c r="C3006" s="919" t="s">
        <v>3902</v>
      </c>
      <c r="D3006" s="919" t="s">
        <v>4006</v>
      </c>
      <c r="E3006" s="920">
        <v>2600</v>
      </c>
      <c r="F3006" s="919" t="s">
        <v>9304</v>
      </c>
      <c r="G3006" s="919" t="s">
        <v>9305</v>
      </c>
      <c r="H3006" s="919" t="s">
        <v>4006</v>
      </c>
      <c r="I3006" s="919" t="s">
        <v>3686</v>
      </c>
      <c r="J3006" s="919"/>
      <c r="K3006" s="920">
        <v>1</v>
      </c>
      <c r="L3006" s="920">
        <v>12</v>
      </c>
      <c r="M3006" s="920">
        <f t="shared" si="92"/>
        <v>31200</v>
      </c>
      <c r="N3006" s="919"/>
      <c r="O3006" s="919"/>
      <c r="P3006" s="921">
        <f t="shared" si="93"/>
        <v>0</v>
      </c>
    </row>
    <row r="3007" spans="1:16" ht="20.100000000000001" customHeight="1" x14ac:dyDescent="0.25">
      <c r="A3007" s="918" t="s">
        <v>489</v>
      </c>
      <c r="B3007" s="944" t="s">
        <v>3901</v>
      </c>
      <c r="C3007" s="919" t="s">
        <v>3902</v>
      </c>
      <c r="D3007" s="919" t="s">
        <v>4109</v>
      </c>
      <c r="E3007" s="920">
        <v>3900</v>
      </c>
      <c r="F3007" s="919" t="s">
        <v>9306</v>
      </c>
      <c r="G3007" s="919" t="s">
        <v>9307</v>
      </c>
      <c r="H3007" s="919" t="s">
        <v>4109</v>
      </c>
      <c r="I3007" s="919" t="s">
        <v>3686</v>
      </c>
      <c r="J3007" s="919"/>
      <c r="K3007" s="920">
        <v>1</v>
      </c>
      <c r="L3007" s="920">
        <v>12</v>
      </c>
      <c r="M3007" s="920">
        <f t="shared" si="92"/>
        <v>46800</v>
      </c>
      <c r="N3007" s="919"/>
      <c r="O3007" s="919"/>
      <c r="P3007" s="921">
        <f t="shared" si="93"/>
        <v>0</v>
      </c>
    </row>
    <row r="3008" spans="1:16" ht="20.100000000000001" customHeight="1" x14ac:dyDescent="0.25">
      <c r="A3008" s="918" t="s">
        <v>489</v>
      </c>
      <c r="B3008" s="944" t="s">
        <v>3901</v>
      </c>
      <c r="C3008" s="919" t="s">
        <v>3902</v>
      </c>
      <c r="D3008" s="919" t="s">
        <v>4109</v>
      </c>
      <c r="E3008" s="920">
        <v>1900</v>
      </c>
      <c r="F3008" s="919" t="s">
        <v>9308</v>
      </c>
      <c r="G3008" s="919" t="s">
        <v>9309</v>
      </c>
      <c r="H3008" s="919" t="s">
        <v>4109</v>
      </c>
      <c r="I3008" s="919" t="s">
        <v>3686</v>
      </c>
      <c r="J3008" s="919"/>
      <c r="K3008" s="920">
        <v>1</v>
      </c>
      <c r="L3008" s="920">
        <v>12</v>
      </c>
      <c r="M3008" s="920">
        <f t="shared" si="92"/>
        <v>22800</v>
      </c>
      <c r="N3008" s="919"/>
      <c r="O3008" s="919"/>
      <c r="P3008" s="921">
        <f t="shared" si="93"/>
        <v>0</v>
      </c>
    </row>
    <row r="3009" spans="1:16" ht="20.100000000000001" customHeight="1" x14ac:dyDescent="0.25">
      <c r="A3009" s="918" t="s">
        <v>489</v>
      </c>
      <c r="B3009" s="944" t="s">
        <v>3901</v>
      </c>
      <c r="C3009" s="919" t="s">
        <v>3902</v>
      </c>
      <c r="D3009" s="919" t="s">
        <v>9310</v>
      </c>
      <c r="E3009" s="920">
        <v>2300</v>
      </c>
      <c r="F3009" s="919" t="s">
        <v>9311</v>
      </c>
      <c r="G3009" s="919" t="s">
        <v>9312</v>
      </c>
      <c r="H3009" s="919" t="s">
        <v>9310</v>
      </c>
      <c r="I3009" s="919" t="s">
        <v>3686</v>
      </c>
      <c r="J3009" s="919"/>
      <c r="K3009" s="920"/>
      <c r="L3009" s="920"/>
      <c r="M3009" s="920">
        <f t="shared" si="92"/>
        <v>0</v>
      </c>
      <c r="N3009" s="919">
        <v>1</v>
      </c>
      <c r="O3009" s="919">
        <v>3</v>
      </c>
      <c r="P3009" s="921">
        <f t="shared" si="93"/>
        <v>6900</v>
      </c>
    </row>
    <row r="3010" spans="1:16" ht="20.100000000000001" customHeight="1" x14ac:dyDescent="0.25">
      <c r="A3010" s="918" t="s">
        <v>489</v>
      </c>
      <c r="B3010" s="944" t="s">
        <v>3901</v>
      </c>
      <c r="C3010" s="919" t="s">
        <v>3902</v>
      </c>
      <c r="D3010" s="919" t="s">
        <v>6074</v>
      </c>
      <c r="E3010" s="920">
        <v>1900</v>
      </c>
      <c r="F3010" s="919" t="s">
        <v>9313</v>
      </c>
      <c r="G3010" s="919" t="s">
        <v>9314</v>
      </c>
      <c r="H3010" s="919" t="s">
        <v>6074</v>
      </c>
      <c r="I3010" s="919" t="s">
        <v>3686</v>
      </c>
      <c r="J3010" s="919"/>
      <c r="K3010" s="920"/>
      <c r="L3010" s="920"/>
      <c r="M3010" s="920">
        <f t="shared" si="92"/>
        <v>0</v>
      </c>
      <c r="N3010" s="919">
        <v>1</v>
      </c>
      <c r="O3010" s="919">
        <v>3</v>
      </c>
      <c r="P3010" s="921">
        <f t="shared" si="93"/>
        <v>5700</v>
      </c>
    </row>
    <row r="3011" spans="1:16" ht="20.100000000000001" customHeight="1" x14ac:dyDescent="0.25">
      <c r="A3011" s="918" t="s">
        <v>489</v>
      </c>
      <c r="B3011" s="944" t="s">
        <v>3901</v>
      </c>
      <c r="C3011" s="919" t="s">
        <v>3902</v>
      </c>
      <c r="D3011" s="919" t="s">
        <v>6074</v>
      </c>
      <c r="E3011" s="920">
        <v>1900</v>
      </c>
      <c r="F3011" s="919" t="s">
        <v>9315</v>
      </c>
      <c r="G3011" s="919" t="s">
        <v>9316</v>
      </c>
      <c r="H3011" s="919" t="s">
        <v>6074</v>
      </c>
      <c r="I3011" s="919" t="s">
        <v>3686</v>
      </c>
      <c r="J3011" s="919"/>
      <c r="K3011" s="920"/>
      <c r="L3011" s="920"/>
      <c r="M3011" s="920">
        <f t="shared" si="92"/>
        <v>0</v>
      </c>
      <c r="N3011" s="919">
        <v>1</v>
      </c>
      <c r="O3011" s="919">
        <v>3</v>
      </c>
      <c r="P3011" s="921">
        <f t="shared" si="93"/>
        <v>5700</v>
      </c>
    </row>
    <row r="3012" spans="1:16" ht="20.100000000000001" customHeight="1" x14ac:dyDescent="0.25">
      <c r="A3012" s="918" t="s">
        <v>489</v>
      </c>
      <c r="B3012" s="944" t="s">
        <v>3901</v>
      </c>
      <c r="C3012" s="919" t="s">
        <v>3902</v>
      </c>
      <c r="D3012" s="919" t="s">
        <v>6074</v>
      </c>
      <c r="E3012" s="920">
        <v>1900</v>
      </c>
      <c r="F3012" s="919" t="s">
        <v>9317</v>
      </c>
      <c r="G3012" s="919" t="s">
        <v>9318</v>
      </c>
      <c r="H3012" s="919" t="s">
        <v>6074</v>
      </c>
      <c r="I3012" s="919" t="s">
        <v>3686</v>
      </c>
      <c r="J3012" s="919"/>
      <c r="K3012" s="920">
        <v>1</v>
      </c>
      <c r="L3012" s="920">
        <v>12</v>
      </c>
      <c r="M3012" s="920">
        <f t="shared" si="92"/>
        <v>22800</v>
      </c>
      <c r="N3012" s="919"/>
      <c r="O3012" s="919"/>
      <c r="P3012" s="921">
        <f t="shared" si="93"/>
        <v>0</v>
      </c>
    </row>
    <row r="3013" spans="1:16" ht="20.100000000000001" customHeight="1" x14ac:dyDescent="0.25">
      <c r="A3013" s="918" t="s">
        <v>489</v>
      </c>
      <c r="B3013" s="944" t="s">
        <v>3901</v>
      </c>
      <c r="C3013" s="919" t="s">
        <v>3902</v>
      </c>
      <c r="D3013" s="919" t="s">
        <v>6074</v>
      </c>
      <c r="E3013" s="920">
        <v>1900</v>
      </c>
      <c r="F3013" s="919" t="s">
        <v>9319</v>
      </c>
      <c r="G3013" s="919" t="s">
        <v>9320</v>
      </c>
      <c r="H3013" s="919" t="s">
        <v>6074</v>
      </c>
      <c r="I3013" s="919" t="s">
        <v>3686</v>
      </c>
      <c r="J3013" s="919"/>
      <c r="K3013" s="920"/>
      <c r="L3013" s="920"/>
      <c r="M3013" s="920">
        <f t="shared" si="92"/>
        <v>0</v>
      </c>
      <c r="N3013" s="919">
        <v>1</v>
      </c>
      <c r="O3013" s="919">
        <v>3</v>
      </c>
      <c r="P3013" s="921">
        <f t="shared" si="93"/>
        <v>5700</v>
      </c>
    </row>
    <row r="3014" spans="1:16" ht="20.100000000000001" customHeight="1" x14ac:dyDescent="0.25">
      <c r="A3014" s="918" t="s">
        <v>489</v>
      </c>
      <c r="B3014" s="944" t="s">
        <v>3901</v>
      </c>
      <c r="C3014" s="919" t="s">
        <v>3902</v>
      </c>
      <c r="D3014" s="919" t="s">
        <v>6074</v>
      </c>
      <c r="E3014" s="920">
        <v>2100</v>
      </c>
      <c r="F3014" s="919" t="s">
        <v>9321</v>
      </c>
      <c r="G3014" s="919" t="s">
        <v>9322</v>
      </c>
      <c r="H3014" s="919" t="s">
        <v>6074</v>
      </c>
      <c r="I3014" s="919" t="s">
        <v>3686</v>
      </c>
      <c r="J3014" s="919"/>
      <c r="K3014" s="920"/>
      <c r="L3014" s="920"/>
      <c r="M3014" s="920">
        <f t="shared" ref="M3014:M3077" si="94">E3014*L3014</f>
        <v>0</v>
      </c>
      <c r="N3014" s="919">
        <v>1</v>
      </c>
      <c r="O3014" s="919">
        <v>3</v>
      </c>
      <c r="P3014" s="921">
        <f t="shared" ref="P3014:P3077" si="95">E3014*O3014</f>
        <v>6300</v>
      </c>
    </row>
    <row r="3015" spans="1:16" ht="20.100000000000001" customHeight="1" x14ac:dyDescent="0.25">
      <c r="A3015" s="918" t="s">
        <v>489</v>
      </c>
      <c r="B3015" s="944" t="s">
        <v>3901</v>
      </c>
      <c r="C3015" s="919" t="s">
        <v>3902</v>
      </c>
      <c r="D3015" s="919" t="s">
        <v>6074</v>
      </c>
      <c r="E3015" s="920">
        <v>2100</v>
      </c>
      <c r="F3015" s="919" t="s">
        <v>9323</v>
      </c>
      <c r="G3015" s="919" t="s">
        <v>9324</v>
      </c>
      <c r="H3015" s="919" t="s">
        <v>6074</v>
      </c>
      <c r="I3015" s="919" t="s">
        <v>3686</v>
      </c>
      <c r="J3015" s="919"/>
      <c r="K3015" s="920">
        <v>1</v>
      </c>
      <c r="L3015" s="920">
        <v>12</v>
      </c>
      <c r="M3015" s="920">
        <f t="shared" si="94"/>
        <v>25200</v>
      </c>
      <c r="N3015" s="919"/>
      <c r="O3015" s="919"/>
      <c r="P3015" s="921">
        <f t="shared" si="95"/>
        <v>0</v>
      </c>
    </row>
    <row r="3016" spans="1:16" ht="20.100000000000001" customHeight="1" x14ac:dyDescent="0.25">
      <c r="A3016" s="918" t="s">
        <v>489</v>
      </c>
      <c r="B3016" s="944" t="s">
        <v>3901</v>
      </c>
      <c r="C3016" s="919" t="s">
        <v>3902</v>
      </c>
      <c r="D3016" s="919" t="s">
        <v>6074</v>
      </c>
      <c r="E3016" s="920">
        <v>2000</v>
      </c>
      <c r="F3016" s="919" t="s">
        <v>9325</v>
      </c>
      <c r="G3016" s="919" t="s">
        <v>9326</v>
      </c>
      <c r="H3016" s="919" t="s">
        <v>6074</v>
      </c>
      <c r="I3016" s="919" t="s">
        <v>3686</v>
      </c>
      <c r="J3016" s="919"/>
      <c r="K3016" s="920"/>
      <c r="L3016" s="920"/>
      <c r="M3016" s="920">
        <f t="shared" si="94"/>
        <v>0</v>
      </c>
      <c r="N3016" s="919">
        <v>1</v>
      </c>
      <c r="O3016" s="919">
        <v>3</v>
      </c>
      <c r="P3016" s="921">
        <f t="shared" si="95"/>
        <v>6000</v>
      </c>
    </row>
    <row r="3017" spans="1:16" ht="20.100000000000001" customHeight="1" x14ac:dyDescent="0.25">
      <c r="A3017" s="918" t="s">
        <v>489</v>
      </c>
      <c r="B3017" s="944" t="s">
        <v>3901</v>
      </c>
      <c r="C3017" s="919" t="s">
        <v>3902</v>
      </c>
      <c r="D3017" s="919" t="s">
        <v>6074</v>
      </c>
      <c r="E3017" s="920">
        <v>2100</v>
      </c>
      <c r="F3017" s="919" t="s">
        <v>4041</v>
      </c>
      <c r="G3017" s="919" t="s">
        <v>4042</v>
      </c>
      <c r="H3017" s="919" t="s">
        <v>6074</v>
      </c>
      <c r="I3017" s="919" t="s">
        <v>3686</v>
      </c>
      <c r="J3017" s="919"/>
      <c r="K3017" s="920">
        <v>1</v>
      </c>
      <c r="L3017" s="920">
        <v>12</v>
      </c>
      <c r="M3017" s="920">
        <f t="shared" si="94"/>
        <v>25200</v>
      </c>
      <c r="N3017" s="919"/>
      <c r="O3017" s="919"/>
      <c r="P3017" s="921">
        <f t="shared" si="95"/>
        <v>0</v>
      </c>
    </row>
    <row r="3018" spans="1:16" ht="20.100000000000001" customHeight="1" x14ac:dyDescent="0.25">
      <c r="A3018" s="918" t="s">
        <v>489</v>
      </c>
      <c r="B3018" s="944" t="s">
        <v>3901</v>
      </c>
      <c r="C3018" s="919" t="s">
        <v>3902</v>
      </c>
      <c r="D3018" s="919" t="s">
        <v>6074</v>
      </c>
      <c r="E3018" s="920">
        <v>1900</v>
      </c>
      <c r="F3018" s="919" t="s">
        <v>9327</v>
      </c>
      <c r="G3018" s="919" t="s">
        <v>9328</v>
      </c>
      <c r="H3018" s="919" t="s">
        <v>6074</v>
      </c>
      <c r="I3018" s="919" t="s">
        <v>3686</v>
      </c>
      <c r="J3018" s="919"/>
      <c r="K3018" s="920">
        <v>1</v>
      </c>
      <c r="L3018" s="920">
        <v>12</v>
      </c>
      <c r="M3018" s="920">
        <f t="shared" si="94"/>
        <v>22800</v>
      </c>
      <c r="N3018" s="919"/>
      <c r="O3018" s="919"/>
      <c r="P3018" s="921">
        <f t="shared" si="95"/>
        <v>0</v>
      </c>
    </row>
    <row r="3019" spans="1:16" ht="20.100000000000001" customHeight="1" x14ac:dyDescent="0.25">
      <c r="A3019" s="918" t="s">
        <v>489</v>
      </c>
      <c r="B3019" s="944" t="s">
        <v>3901</v>
      </c>
      <c r="C3019" s="919" t="s">
        <v>3902</v>
      </c>
      <c r="D3019" s="919" t="s">
        <v>6074</v>
      </c>
      <c r="E3019" s="920">
        <v>2100</v>
      </c>
      <c r="F3019" s="919" t="s">
        <v>9329</v>
      </c>
      <c r="G3019" s="919" t="s">
        <v>9330</v>
      </c>
      <c r="H3019" s="919" t="s">
        <v>6074</v>
      </c>
      <c r="I3019" s="919" t="s">
        <v>3686</v>
      </c>
      <c r="J3019" s="919"/>
      <c r="K3019" s="920">
        <v>1</v>
      </c>
      <c r="L3019" s="920">
        <v>12</v>
      </c>
      <c r="M3019" s="920">
        <f t="shared" si="94"/>
        <v>25200</v>
      </c>
      <c r="N3019" s="919"/>
      <c r="O3019" s="919"/>
      <c r="P3019" s="921">
        <f t="shared" si="95"/>
        <v>0</v>
      </c>
    </row>
    <row r="3020" spans="1:16" ht="20.100000000000001" customHeight="1" x14ac:dyDescent="0.25">
      <c r="A3020" s="918" t="s">
        <v>489</v>
      </c>
      <c r="B3020" s="944" t="s">
        <v>3901</v>
      </c>
      <c r="C3020" s="919" t="s">
        <v>3902</v>
      </c>
      <c r="D3020" s="919" t="s">
        <v>6074</v>
      </c>
      <c r="E3020" s="920">
        <v>1900</v>
      </c>
      <c r="F3020" s="919" t="s">
        <v>9331</v>
      </c>
      <c r="G3020" s="919" t="s">
        <v>9332</v>
      </c>
      <c r="H3020" s="919" t="s">
        <v>6074</v>
      </c>
      <c r="I3020" s="919" t="s">
        <v>3686</v>
      </c>
      <c r="J3020" s="919"/>
      <c r="K3020" s="920"/>
      <c r="L3020" s="920"/>
      <c r="M3020" s="920">
        <f t="shared" si="94"/>
        <v>0</v>
      </c>
      <c r="N3020" s="919">
        <v>1</v>
      </c>
      <c r="O3020" s="919">
        <v>3</v>
      </c>
      <c r="P3020" s="921">
        <f t="shared" si="95"/>
        <v>5700</v>
      </c>
    </row>
    <row r="3021" spans="1:16" ht="20.100000000000001" customHeight="1" x14ac:dyDescent="0.25">
      <c r="A3021" s="918" t="s">
        <v>489</v>
      </c>
      <c r="B3021" s="944" t="s">
        <v>3901</v>
      </c>
      <c r="C3021" s="919" t="s">
        <v>3902</v>
      </c>
      <c r="D3021" s="919" t="s">
        <v>6074</v>
      </c>
      <c r="E3021" s="920">
        <v>1900</v>
      </c>
      <c r="F3021" s="919" t="s">
        <v>9333</v>
      </c>
      <c r="G3021" s="919" t="s">
        <v>9334</v>
      </c>
      <c r="H3021" s="919" t="s">
        <v>6074</v>
      </c>
      <c r="I3021" s="919" t="s">
        <v>3686</v>
      </c>
      <c r="J3021" s="919"/>
      <c r="K3021" s="920">
        <v>1</v>
      </c>
      <c r="L3021" s="920">
        <v>12</v>
      </c>
      <c r="M3021" s="920">
        <f t="shared" si="94"/>
        <v>22800</v>
      </c>
      <c r="N3021" s="919"/>
      <c r="O3021" s="919"/>
      <c r="P3021" s="921">
        <f t="shared" si="95"/>
        <v>0</v>
      </c>
    </row>
    <row r="3022" spans="1:16" ht="20.100000000000001" customHeight="1" x14ac:dyDescent="0.25">
      <c r="A3022" s="918" t="s">
        <v>489</v>
      </c>
      <c r="B3022" s="944" t="s">
        <v>3901</v>
      </c>
      <c r="C3022" s="919" t="s">
        <v>3902</v>
      </c>
      <c r="D3022" s="919" t="s">
        <v>6074</v>
      </c>
      <c r="E3022" s="920">
        <v>1900</v>
      </c>
      <c r="F3022" s="919" t="s">
        <v>9335</v>
      </c>
      <c r="G3022" s="919" t="s">
        <v>9336</v>
      </c>
      <c r="H3022" s="919" t="s">
        <v>6074</v>
      </c>
      <c r="I3022" s="919" t="s">
        <v>3686</v>
      </c>
      <c r="J3022" s="919"/>
      <c r="K3022" s="920"/>
      <c r="L3022" s="920"/>
      <c r="M3022" s="920">
        <f t="shared" si="94"/>
        <v>0</v>
      </c>
      <c r="N3022" s="919">
        <v>1</v>
      </c>
      <c r="O3022" s="919">
        <v>3</v>
      </c>
      <c r="P3022" s="921">
        <f t="shared" si="95"/>
        <v>5700</v>
      </c>
    </row>
    <row r="3023" spans="1:16" ht="20.100000000000001" customHeight="1" x14ac:dyDescent="0.25">
      <c r="A3023" s="918" t="s">
        <v>489</v>
      </c>
      <c r="B3023" s="944" t="s">
        <v>3901</v>
      </c>
      <c r="C3023" s="919" t="s">
        <v>3902</v>
      </c>
      <c r="D3023" s="919" t="s">
        <v>6074</v>
      </c>
      <c r="E3023" s="920">
        <v>1900</v>
      </c>
      <c r="F3023" s="919" t="s">
        <v>4041</v>
      </c>
      <c r="G3023" s="919" t="s">
        <v>4042</v>
      </c>
      <c r="H3023" s="919" t="s">
        <v>6074</v>
      </c>
      <c r="I3023" s="919" t="s">
        <v>3686</v>
      </c>
      <c r="J3023" s="919"/>
      <c r="K3023" s="920">
        <v>1</v>
      </c>
      <c r="L3023" s="920">
        <v>12</v>
      </c>
      <c r="M3023" s="920">
        <f t="shared" si="94"/>
        <v>22800</v>
      </c>
      <c r="N3023" s="919"/>
      <c r="O3023" s="919"/>
      <c r="P3023" s="921">
        <f t="shared" si="95"/>
        <v>0</v>
      </c>
    </row>
    <row r="3024" spans="1:16" ht="20.100000000000001" customHeight="1" x14ac:dyDescent="0.25">
      <c r="A3024" s="918" t="s">
        <v>489</v>
      </c>
      <c r="B3024" s="944" t="s">
        <v>3901</v>
      </c>
      <c r="C3024" s="919" t="s">
        <v>3902</v>
      </c>
      <c r="D3024" s="919" t="s">
        <v>6074</v>
      </c>
      <c r="E3024" s="920">
        <v>1900</v>
      </c>
      <c r="F3024" s="919" t="s">
        <v>9337</v>
      </c>
      <c r="G3024" s="919" t="s">
        <v>9338</v>
      </c>
      <c r="H3024" s="919" t="s">
        <v>6074</v>
      </c>
      <c r="I3024" s="919" t="s">
        <v>3686</v>
      </c>
      <c r="J3024" s="919"/>
      <c r="K3024" s="920"/>
      <c r="L3024" s="920"/>
      <c r="M3024" s="920">
        <f t="shared" si="94"/>
        <v>0</v>
      </c>
      <c r="N3024" s="919">
        <v>1</v>
      </c>
      <c r="O3024" s="919">
        <v>3</v>
      </c>
      <c r="P3024" s="921">
        <f t="shared" si="95"/>
        <v>5700</v>
      </c>
    </row>
    <row r="3025" spans="1:16" ht="20.100000000000001" customHeight="1" x14ac:dyDescent="0.25">
      <c r="A3025" s="918" t="s">
        <v>489</v>
      </c>
      <c r="B3025" s="944" t="s">
        <v>3901</v>
      </c>
      <c r="C3025" s="919" t="s">
        <v>3902</v>
      </c>
      <c r="D3025" s="919" t="s">
        <v>6074</v>
      </c>
      <c r="E3025" s="920">
        <v>2100</v>
      </c>
      <c r="F3025" s="919" t="s">
        <v>9339</v>
      </c>
      <c r="G3025" s="919" t="s">
        <v>9340</v>
      </c>
      <c r="H3025" s="919" t="s">
        <v>6074</v>
      </c>
      <c r="I3025" s="919" t="s">
        <v>3686</v>
      </c>
      <c r="J3025" s="919"/>
      <c r="K3025" s="920"/>
      <c r="L3025" s="920"/>
      <c r="M3025" s="920">
        <f t="shared" si="94"/>
        <v>0</v>
      </c>
      <c r="N3025" s="919">
        <v>1</v>
      </c>
      <c r="O3025" s="919">
        <v>3</v>
      </c>
      <c r="P3025" s="921">
        <f t="shared" si="95"/>
        <v>6300</v>
      </c>
    </row>
    <row r="3026" spans="1:16" ht="20.100000000000001" customHeight="1" x14ac:dyDescent="0.25">
      <c r="A3026" s="918" t="s">
        <v>489</v>
      </c>
      <c r="B3026" s="944" t="s">
        <v>3901</v>
      </c>
      <c r="C3026" s="919" t="s">
        <v>3902</v>
      </c>
      <c r="D3026" s="919" t="s">
        <v>6074</v>
      </c>
      <c r="E3026" s="920">
        <v>2100</v>
      </c>
      <c r="F3026" s="919" t="s">
        <v>9341</v>
      </c>
      <c r="G3026" s="919" t="s">
        <v>9342</v>
      </c>
      <c r="H3026" s="919" t="s">
        <v>6074</v>
      </c>
      <c r="I3026" s="919" t="s">
        <v>3686</v>
      </c>
      <c r="J3026" s="919"/>
      <c r="K3026" s="920"/>
      <c r="L3026" s="920"/>
      <c r="M3026" s="920">
        <f t="shared" si="94"/>
        <v>0</v>
      </c>
      <c r="N3026" s="919">
        <v>1</v>
      </c>
      <c r="O3026" s="919">
        <v>3</v>
      </c>
      <c r="P3026" s="921">
        <f t="shared" si="95"/>
        <v>6300</v>
      </c>
    </row>
    <row r="3027" spans="1:16" ht="20.100000000000001" customHeight="1" x14ac:dyDescent="0.25">
      <c r="A3027" s="918" t="s">
        <v>489</v>
      </c>
      <c r="B3027" s="944" t="s">
        <v>3901</v>
      </c>
      <c r="C3027" s="919" t="s">
        <v>3902</v>
      </c>
      <c r="D3027" s="919" t="s">
        <v>6074</v>
      </c>
      <c r="E3027" s="920">
        <v>1900</v>
      </c>
      <c r="F3027" s="919" t="s">
        <v>4041</v>
      </c>
      <c r="G3027" s="919" t="s">
        <v>4042</v>
      </c>
      <c r="H3027" s="919" t="s">
        <v>6074</v>
      </c>
      <c r="I3027" s="919" t="s">
        <v>3686</v>
      </c>
      <c r="J3027" s="919"/>
      <c r="K3027" s="920">
        <v>1</v>
      </c>
      <c r="L3027" s="920">
        <v>12</v>
      </c>
      <c r="M3027" s="920">
        <f t="shared" si="94"/>
        <v>22800</v>
      </c>
      <c r="N3027" s="919"/>
      <c r="O3027" s="919"/>
      <c r="P3027" s="921">
        <f t="shared" si="95"/>
        <v>0</v>
      </c>
    </row>
    <row r="3028" spans="1:16" ht="20.100000000000001" customHeight="1" x14ac:dyDescent="0.25">
      <c r="A3028" s="918" t="s">
        <v>489</v>
      </c>
      <c r="B3028" s="944" t="s">
        <v>3901</v>
      </c>
      <c r="C3028" s="919" t="s">
        <v>3902</v>
      </c>
      <c r="D3028" s="919" t="s">
        <v>6074</v>
      </c>
      <c r="E3028" s="920">
        <v>2200</v>
      </c>
      <c r="F3028" s="919" t="s">
        <v>4041</v>
      </c>
      <c r="G3028" s="919" t="s">
        <v>4042</v>
      </c>
      <c r="H3028" s="919" t="s">
        <v>6074</v>
      </c>
      <c r="I3028" s="919" t="s">
        <v>3686</v>
      </c>
      <c r="J3028" s="919"/>
      <c r="K3028" s="920">
        <v>1</v>
      </c>
      <c r="L3028" s="920">
        <v>12</v>
      </c>
      <c r="M3028" s="920">
        <f t="shared" si="94"/>
        <v>26400</v>
      </c>
      <c r="N3028" s="919"/>
      <c r="O3028" s="919"/>
      <c r="P3028" s="921">
        <f t="shared" si="95"/>
        <v>0</v>
      </c>
    </row>
    <row r="3029" spans="1:16" ht="20.100000000000001" customHeight="1" x14ac:dyDescent="0.25">
      <c r="A3029" s="918" t="s">
        <v>489</v>
      </c>
      <c r="B3029" s="944" t="s">
        <v>3901</v>
      </c>
      <c r="C3029" s="919" t="s">
        <v>3902</v>
      </c>
      <c r="D3029" s="919" t="s">
        <v>9343</v>
      </c>
      <c r="E3029" s="920">
        <v>3400</v>
      </c>
      <c r="F3029" s="919" t="s">
        <v>9344</v>
      </c>
      <c r="G3029" s="919" t="s">
        <v>9345</v>
      </c>
      <c r="H3029" s="919" t="s">
        <v>9343</v>
      </c>
      <c r="I3029" s="919" t="s">
        <v>3679</v>
      </c>
      <c r="J3029" s="919"/>
      <c r="K3029" s="920">
        <v>1</v>
      </c>
      <c r="L3029" s="920">
        <v>12</v>
      </c>
      <c r="M3029" s="920">
        <f t="shared" si="94"/>
        <v>40800</v>
      </c>
      <c r="N3029" s="919"/>
      <c r="O3029" s="919"/>
      <c r="P3029" s="921">
        <f t="shared" si="95"/>
        <v>0</v>
      </c>
    </row>
    <row r="3030" spans="1:16" ht="20.100000000000001" customHeight="1" x14ac:dyDescent="0.25">
      <c r="A3030" s="918" t="s">
        <v>489</v>
      </c>
      <c r="B3030" s="944" t="s">
        <v>3901</v>
      </c>
      <c r="C3030" s="919" t="s">
        <v>3902</v>
      </c>
      <c r="D3030" s="919" t="s">
        <v>6366</v>
      </c>
      <c r="E3030" s="920">
        <v>1400</v>
      </c>
      <c r="F3030" s="919" t="s">
        <v>9346</v>
      </c>
      <c r="G3030" s="919" t="s">
        <v>9347</v>
      </c>
      <c r="H3030" s="919" t="s">
        <v>6366</v>
      </c>
      <c r="I3030" s="919" t="s">
        <v>3693</v>
      </c>
      <c r="J3030" s="919"/>
      <c r="K3030" s="920">
        <v>1</v>
      </c>
      <c r="L3030" s="920">
        <v>12</v>
      </c>
      <c r="M3030" s="920">
        <f t="shared" si="94"/>
        <v>16800</v>
      </c>
      <c r="N3030" s="919"/>
      <c r="O3030" s="919"/>
      <c r="P3030" s="921">
        <f t="shared" si="95"/>
        <v>0</v>
      </c>
    </row>
    <row r="3031" spans="1:16" ht="20.100000000000001" customHeight="1" x14ac:dyDescent="0.25">
      <c r="A3031" s="918" t="s">
        <v>489</v>
      </c>
      <c r="B3031" s="944" t="s">
        <v>3901</v>
      </c>
      <c r="C3031" s="919" t="s">
        <v>3902</v>
      </c>
      <c r="D3031" s="919" t="s">
        <v>6366</v>
      </c>
      <c r="E3031" s="920">
        <v>1400</v>
      </c>
      <c r="F3031" s="919" t="s">
        <v>9348</v>
      </c>
      <c r="G3031" s="919" t="s">
        <v>9349</v>
      </c>
      <c r="H3031" s="919" t="s">
        <v>6366</v>
      </c>
      <c r="I3031" s="919" t="s">
        <v>3693</v>
      </c>
      <c r="J3031" s="919"/>
      <c r="K3031" s="920"/>
      <c r="L3031" s="920"/>
      <c r="M3031" s="920">
        <f t="shared" si="94"/>
        <v>0</v>
      </c>
      <c r="N3031" s="919">
        <v>1</v>
      </c>
      <c r="O3031" s="919">
        <v>3</v>
      </c>
      <c r="P3031" s="921">
        <f t="shared" si="95"/>
        <v>4200</v>
      </c>
    </row>
    <row r="3032" spans="1:16" ht="20.100000000000001" customHeight="1" x14ac:dyDescent="0.25">
      <c r="A3032" s="918" t="s">
        <v>489</v>
      </c>
      <c r="B3032" s="944" t="s">
        <v>3901</v>
      </c>
      <c r="C3032" s="919" t="s">
        <v>3902</v>
      </c>
      <c r="D3032" s="919" t="s">
        <v>6366</v>
      </c>
      <c r="E3032" s="920">
        <v>1400</v>
      </c>
      <c r="F3032" s="919" t="s">
        <v>9350</v>
      </c>
      <c r="G3032" s="919" t="s">
        <v>9351</v>
      </c>
      <c r="H3032" s="919" t="s">
        <v>6366</v>
      </c>
      <c r="I3032" s="919" t="s">
        <v>3693</v>
      </c>
      <c r="J3032" s="919"/>
      <c r="K3032" s="920">
        <v>1</v>
      </c>
      <c r="L3032" s="920">
        <v>12</v>
      </c>
      <c r="M3032" s="920">
        <f t="shared" si="94"/>
        <v>16800</v>
      </c>
      <c r="N3032" s="919"/>
      <c r="O3032" s="919"/>
      <c r="P3032" s="921">
        <f t="shared" si="95"/>
        <v>0</v>
      </c>
    </row>
    <row r="3033" spans="1:16" ht="20.100000000000001" customHeight="1" x14ac:dyDescent="0.25">
      <c r="A3033" s="918" t="s">
        <v>489</v>
      </c>
      <c r="B3033" s="944" t="s">
        <v>3901</v>
      </c>
      <c r="C3033" s="919" t="s">
        <v>3902</v>
      </c>
      <c r="D3033" s="919" t="s">
        <v>6366</v>
      </c>
      <c r="E3033" s="920">
        <v>1400</v>
      </c>
      <c r="F3033" s="919" t="s">
        <v>9352</v>
      </c>
      <c r="G3033" s="919" t="s">
        <v>9353</v>
      </c>
      <c r="H3033" s="919" t="s">
        <v>6366</v>
      </c>
      <c r="I3033" s="919" t="s">
        <v>3693</v>
      </c>
      <c r="J3033" s="919"/>
      <c r="K3033" s="920"/>
      <c r="L3033" s="920"/>
      <c r="M3033" s="920">
        <f t="shared" si="94"/>
        <v>0</v>
      </c>
      <c r="N3033" s="919">
        <v>1</v>
      </c>
      <c r="O3033" s="919">
        <v>3</v>
      </c>
      <c r="P3033" s="921">
        <f t="shared" si="95"/>
        <v>4200</v>
      </c>
    </row>
    <row r="3034" spans="1:16" ht="20.100000000000001" customHeight="1" x14ac:dyDescent="0.25">
      <c r="A3034" s="918" t="s">
        <v>489</v>
      </c>
      <c r="B3034" s="944" t="s">
        <v>3901</v>
      </c>
      <c r="C3034" s="919" t="s">
        <v>3902</v>
      </c>
      <c r="D3034" s="919" t="s">
        <v>6366</v>
      </c>
      <c r="E3034" s="920">
        <v>1400</v>
      </c>
      <c r="F3034" s="919" t="s">
        <v>9354</v>
      </c>
      <c r="G3034" s="919" t="s">
        <v>9355</v>
      </c>
      <c r="H3034" s="919" t="s">
        <v>6366</v>
      </c>
      <c r="I3034" s="919" t="s">
        <v>3693</v>
      </c>
      <c r="J3034" s="919"/>
      <c r="K3034" s="920">
        <v>1</v>
      </c>
      <c r="L3034" s="920">
        <v>12</v>
      </c>
      <c r="M3034" s="920">
        <f t="shared" si="94"/>
        <v>16800</v>
      </c>
      <c r="N3034" s="919"/>
      <c r="O3034" s="919"/>
      <c r="P3034" s="921">
        <f t="shared" si="95"/>
        <v>0</v>
      </c>
    </row>
    <row r="3035" spans="1:16" ht="20.100000000000001" customHeight="1" x14ac:dyDescent="0.25">
      <c r="A3035" s="918" t="s">
        <v>489</v>
      </c>
      <c r="B3035" s="944" t="s">
        <v>3901</v>
      </c>
      <c r="C3035" s="919" t="s">
        <v>3902</v>
      </c>
      <c r="D3035" s="919" t="s">
        <v>6366</v>
      </c>
      <c r="E3035" s="920">
        <v>1400</v>
      </c>
      <c r="F3035" s="919" t="s">
        <v>9356</v>
      </c>
      <c r="G3035" s="919" t="s">
        <v>9357</v>
      </c>
      <c r="H3035" s="919" t="s">
        <v>6366</v>
      </c>
      <c r="I3035" s="919" t="s">
        <v>3693</v>
      </c>
      <c r="J3035" s="919"/>
      <c r="K3035" s="920">
        <v>1</v>
      </c>
      <c r="L3035" s="920">
        <v>12</v>
      </c>
      <c r="M3035" s="920">
        <f t="shared" si="94"/>
        <v>16800</v>
      </c>
      <c r="N3035" s="919"/>
      <c r="O3035" s="919"/>
      <c r="P3035" s="921">
        <f t="shared" si="95"/>
        <v>0</v>
      </c>
    </row>
    <row r="3036" spans="1:16" ht="20.100000000000001" customHeight="1" x14ac:dyDescent="0.25">
      <c r="A3036" s="918" t="s">
        <v>489</v>
      </c>
      <c r="B3036" s="944" t="s">
        <v>3901</v>
      </c>
      <c r="C3036" s="919" t="s">
        <v>3902</v>
      </c>
      <c r="D3036" s="919" t="s">
        <v>6366</v>
      </c>
      <c r="E3036" s="920">
        <v>1400</v>
      </c>
      <c r="F3036" s="919" t="s">
        <v>9358</v>
      </c>
      <c r="G3036" s="919" t="s">
        <v>9359</v>
      </c>
      <c r="H3036" s="919" t="s">
        <v>6366</v>
      </c>
      <c r="I3036" s="919" t="s">
        <v>3693</v>
      </c>
      <c r="J3036" s="919"/>
      <c r="K3036" s="920">
        <v>1</v>
      </c>
      <c r="L3036" s="920">
        <v>12</v>
      </c>
      <c r="M3036" s="920">
        <f t="shared" si="94"/>
        <v>16800</v>
      </c>
      <c r="N3036" s="919"/>
      <c r="O3036" s="919"/>
      <c r="P3036" s="921">
        <f t="shared" si="95"/>
        <v>0</v>
      </c>
    </row>
    <row r="3037" spans="1:16" ht="20.100000000000001" customHeight="1" x14ac:dyDescent="0.25">
      <c r="A3037" s="918" t="s">
        <v>489</v>
      </c>
      <c r="B3037" s="944" t="s">
        <v>3901</v>
      </c>
      <c r="C3037" s="919" t="s">
        <v>3902</v>
      </c>
      <c r="D3037" s="919" t="s">
        <v>6366</v>
      </c>
      <c r="E3037" s="920">
        <v>1400</v>
      </c>
      <c r="F3037" s="919" t="s">
        <v>9360</v>
      </c>
      <c r="G3037" s="919" t="s">
        <v>9361</v>
      </c>
      <c r="H3037" s="919" t="s">
        <v>6366</v>
      </c>
      <c r="I3037" s="919" t="s">
        <v>3693</v>
      </c>
      <c r="J3037" s="919"/>
      <c r="K3037" s="920">
        <v>1</v>
      </c>
      <c r="L3037" s="920">
        <v>12</v>
      </c>
      <c r="M3037" s="920">
        <f t="shared" si="94"/>
        <v>16800</v>
      </c>
      <c r="N3037" s="919"/>
      <c r="O3037" s="919"/>
      <c r="P3037" s="921">
        <f t="shared" si="95"/>
        <v>0</v>
      </c>
    </row>
    <row r="3038" spans="1:16" ht="20.100000000000001" customHeight="1" x14ac:dyDescent="0.25">
      <c r="A3038" s="918" t="s">
        <v>489</v>
      </c>
      <c r="B3038" s="944" t="s">
        <v>3901</v>
      </c>
      <c r="C3038" s="919" t="s">
        <v>3902</v>
      </c>
      <c r="D3038" s="919" t="s">
        <v>6366</v>
      </c>
      <c r="E3038" s="920">
        <v>1400</v>
      </c>
      <c r="F3038" s="919" t="s">
        <v>9362</v>
      </c>
      <c r="G3038" s="919" t="s">
        <v>9363</v>
      </c>
      <c r="H3038" s="919" t="s">
        <v>6366</v>
      </c>
      <c r="I3038" s="919" t="s">
        <v>3693</v>
      </c>
      <c r="J3038" s="919"/>
      <c r="K3038" s="920">
        <v>1</v>
      </c>
      <c r="L3038" s="920">
        <v>12</v>
      </c>
      <c r="M3038" s="920">
        <f t="shared" si="94"/>
        <v>16800</v>
      </c>
      <c r="N3038" s="919"/>
      <c r="O3038" s="919"/>
      <c r="P3038" s="921">
        <f t="shared" si="95"/>
        <v>0</v>
      </c>
    </row>
    <row r="3039" spans="1:16" ht="20.100000000000001" customHeight="1" x14ac:dyDescent="0.25">
      <c r="A3039" s="918" t="s">
        <v>489</v>
      </c>
      <c r="B3039" s="944" t="s">
        <v>3901</v>
      </c>
      <c r="C3039" s="919" t="s">
        <v>3902</v>
      </c>
      <c r="D3039" s="919" t="s">
        <v>6366</v>
      </c>
      <c r="E3039" s="920">
        <v>1400</v>
      </c>
      <c r="F3039" s="919" t="s">
        <v>9364</v>
      </c>
      <c r="G3039" s="919" t="s">
        <v>9365</v>
      </c>
      <c r="H3039" s="919" t="s">
        <v>6366</v>
      </c>
      <c r="I3039" s="919" t="s">
        <v>3693</v>
      </c>
      <c r="J3039" s="919"/>
      <c r="K3039" s="920">
        <v>1</v>
      </c>
      <c r="L3039" s="920">
        <v>12</v>
      </c>
      <c r="M3039" s="920">
        <f t="shared" si="94"/>
        <v>16800</v>
      </c>
      <c r="N3039" s="919"/>
      <c r="O3039" s="919"/>
      <c r="P3039" s="921">
        <f t="shared" si="95"/>
        <v>0</v>
      </c>
    </row>
    <row r="3040" spans="1:16" ht="20.100000000000001" customHeight="1" x14ac:dyDescent="0.25">
      <c r="A3040" s="918" t="s">
        <v>489</v>
      </c>
      <c r="B3040" s="944" t="s">
        <v>3901</v>
      </c>
      <c r="C3040" s="919" t="s">
        <v>3902</v>
      </c>
      <c r="D3040" s="919" t="s">
        <v>6366</v>
      </c>
      <c r="E3040" s="920">
        <v>1500</v>
      </c>
      <c r="F3040" s="919" t="s">
        <v>9366</v>
      </c>
      <c r="G3040" s="919" t="s">
        <v>9367</v>
      </c>
      <c r="H3040" s="919" t="s">
        <v>6366</v>
      </c>
      <c r="I3040" s="919" t="s">
        <v>3693</v>
      </c>
      <c r="J3040" s="919"/>
      <c r="K3040" s="920">
        <v>1</v>
      </c>
      <c r="L3040" s="920">
        <v>12</v>
      </c>
      <c r="M3040" s="920">
        <f t="shared" si="94"/>
        <v>18000</v>
      </c>
      <c r="N3040" s="919"/>
      <c r="O3040" s="919"/>
      <c r="P3040" s="921">
        <f t="shared" si="95"/>
        <v>0</v>
      </c>
    </row>
    <row r="3041" spans="1:16" ht="20.100000000000001" customHeight="1" x14ac:dyDescent="0.25">
      <c r="A3041" s="918" t="s">
        <v>489</v>
      </c>
      <c r="B3041" s="944" t="s">
        <v>3901</v>
      </c>
      <c r="C3041" s="919" t="s">
        <v>3902</v>
      </c>
      <c r="D3041" s="919" t="s">
        <v>6366</v>
      </c>
      <c r="E3041" s="920">
        <v>1400</v>
      </c>
      <c r="F3041" s="919" t="s">
        <v>9368</v>
      </c>
      <c r="G3041" s="919" t="s">
        <v>9369</v>
      </c>
      <c r="H3041" s="919" t="s">
        <v>6366</v>
      </c>
      <c r="I3041" s="919" t="s">
        <v>3693</v>
      </c>
      <c r="J3041" s="919"/>
      <c r="K3041" s="920">
        <v>1</v>
      </c>
      <c r="L3041" s="920">
        <v>12</v>
      </c>
      <c r="M3041" s="920">
        <f t="shared" si="94"/>
        <v>16800</v>
      </c>
      <c r="N3041" s="919"/>
      <c r="O3041" s="919"/>
      <c r="P3041" s="921">
        <f t="shared" si="95"/>
        <v>0</v>
      </c>
    </row>
    <row r="3042" spans="1:16" ht="20.100000000000001" customHeight="1" x14ac:dyDescent="0.25">
      <c r="A3042" s="918" t="s">
        <v>489</v>
      </c>
      <c r="B3042" s="944" t="s">
        <v>3901</v>
      </c>
      <c r="C3042" s="919" t="s">
        <v>3902</v>
      </c>
      <c r="D3042" s="919" t="s">
        <v>6366</v>
      </c>
      <c r="E3042" s="920">
        <v>1400</v>
      </c>
      <c r="F3042" s="919" t="s">
        <v>9370</v>
      </c>
      <c r="G3042" s="919" t="s">
        <v>9371</v>
      </c>
      <c r="H3042" s="919" t="s">
        <v>6366</v>
      </c>
      <c r="I3042" s="919" t="s">
        <v>3693</v>
      </c>
      <c r="J3042" s="919"/>
      <c r="K3042" s="920"/>
      <c r="L3042" s="920"/>
      <c r="M3042" s="920">
        <f t="shared" si="94"/>
        <v>0</v>
      </c>
      <c r="N3042" s="919">
        <v>1</v>
      </c>
      <c r="O3042" s="919">
        <v>3</v>
      </c>
      <c r="P3042" s="921">
        <f t="shared" si="95"/>
        <v>4200</v>
      </c>
    </row>
    <row r="3043" spans="1:16" ht="20.100000000000001" customHeight="1" x14ac:dyDescent="0.25">
      <c r="A3043" s="918" t="s">
        <v>489</v>
      </c>
      <c r="B3043" s="944" t="s">
        <v>3901</v>
      </c>
      <c r="C3043" s="919" t="s">
        <v>3902</v>
      </c>
      <c r="D3043" s="919" t="s">
        <v>6366</v>
      </c>
      <c r="E3043" s="920">
        <v>1400</v>
      </c>
      <c r="F3043" s="919" t="s">
        <v>9372</v>
      </c>
      <c r="G3043" s="919" t="s">
        <v>9373</v>
      </c>
      <c r="H3043" s="919" t="s">
        <v>6366</v>
      </c>
      <c r="I3043" s="919" t="s">
        <v>3693</v>
      </c>
      <c r="J3043" s="919"/>
      <c r="K3043" s="920">
        <v>1</v>
      </c>
      <c r="L3043" s="920">
        <v>12</v>
      </c>
      <c r="M3043" s="920">
        <f t="shared" si="94"/>
        <v>16800</v>
      </c>
      <c r="N3043" s="919"/>
      <c r="O3043" s="919"/>
      <c r="P3043" s="921">
        <f t="shared" si="95"/>
        <v>0</v>
      </c>
    </row>
    <row r="3044" spans="1:16" ht="20.100000000000001" customHeight="1" x14ac:dyDescent="0.25">
      <c r="A3044" s="918" t="s">
        <v>489</v>
      </c>
      <c r="B3044" s="944" t="s">
        <v>3901</v>
      </c>
      <c r="C3044" s="919" t="s">
        <v>3902</v>
      </c>
      <c r="D3044" s="919" t="s">
        <v>6366</v>
      </c>
      <c r="E3044" s="920">
        <v>1400</v>
      </c>
      <c r="F3044" s="919" t="s">
        <v>9374</v>
      </c>
      <c r="G3044" s="919" t="s">
        <v>9375</v>
      </c>
      <c r="H3044" s="919" t="s">
        <v>6366</v>
      </c>
      <c r="I3044" s="919" t="s">
        <v>3693</v>
      </c>
      <c r="J3044" s="919"/>
      <c r="K3044" s="920">
        <v>1</v>
      </c>
      <c r="L3044" s="920">
        <v>12</v>
      </c>
      <c r="M3044" s="920">
        <f t="shared" si="94"/>
        <v>16800</v>
      </c>
      <c r="N3044" s="919"/>
      <c r="O3044" s="919"/>
      <c r="P3044" s="921">
        <f t="shared" si="95"/>
        <v>0</v>
      </c>
    </row>
    <row r="3045" spans="1:16" ht="20.100000000000001" customHeight="1" x14ac:dyDescent="0.25">
      <c r="A3045" s="918" t="s">
        <v>489</v>
      </c>
      <c r="B3045" s="944" t="s">
        <v>3901</v>
      </c>
      <c r="C3045" s="919" t="s">
        <v>3902</v>
      </c>
      <c r="D3045" s="919" t="s">
        <v>6366</v>
      </c>
      <c r="E3045" s="920">
        <v>1400</v>
      </c>
      <c r="F3045" s="919" t="s">
        <v>4041</v>
      </c>
      <c r="G3045" s="919" t="s">
        <v>4042</v>
      </c>
      <c r="H3045" s="919" t="s">
        <v>6366</v>
      </c>
      <c r="I3045" s="919" t="s">
        <v>3693</v>
      </c>
      <c r="J3045" s="919"/>
      <c r="K3045" s="920">
        <v>1</v>
      </c>
      <c r="L3045" s="920">
        <v>12</v>
      </c>
      <c r="M3045" s="920">
        <f t="shared" si="94"/>
        <v>16800</v>
      </c>
      <c r="N3045" s="919"/>
      <c r="O3045" s="919"/>
      <c r="P3045" s="921">
        <f t="shared" si="95"/>
        <v>0</v>
      </c>
    </row>
    <row r="3046" spans="1:16" ht="20.100000000000001" customHeight="1" x14ac:dyDescent="0.25">
      <c r="A3046" s="918" t="s">
        <v>489</v>
      </c>
      <c r="B3046" s="944" t="s">
        <v>3901</v>
      </c>
      <c r="C3046" s="919" t="s">
        <v>3902</v>
      </c>
      <c r="D3046" s="919" t="s">
        <v>6366</v>
      </c>
      <c r="E3046" s="920">
        <v>1500</v>
      </c>
      <c r="F3046" s="919" t="s">
        <v>9376</v>
      </c>
      <c r="G3046" s="919" t="s">
        <v>9377</v>
      </c>
      <c r="H3046" s="919" t="s">
        <v>6366</v>
      </c>
      <c r="I3046" s="919" t="s">
        <v>3693</v>
      </c>
      <c r="J3046" s="919"/>
      <c r="K3046" s="920">
        <v>1</v>
      </c>
      <c r="L3046" s="920">
        <v>12</v>
      </c>
      <c r="M3046" s="920">
        <f t="shared" si="94"/>
        <v>18000</v>
      </c>
      <c r="N3046" s="919"/>
      <c r="O3046" s="919"/>
      <c r="P3046" s="921">
        <f t="shared" si="95"/>
        <v>0</v>
      </c>
    </row>
    <row r="3047" spans="1:16" ht="20.100000000000001" customHeight="1" x14ac:dyDescent="0.25">
      <c r="A3047" s="918" t="s">
        <v>489</v>
      </c>
      <c r="B3047" s="944" t="s">
        <v>3901</v>
      </c>
      <c r="C3047" s="919" t="s">
        <v>3902</v>
      </c>
      <c r="D3047" s="919" t="s">
        <v>3999</v>
      </c>
      <c r="E3047" s="920">
        <v>2900</v>
      </c>
      <c r="F3047" s="919" t="s">
        <v>4041</v>
      </c>
      <c r="G3047" s="919" t="s">
        <v>4042</v>
      </c>
      <c r="H3047" s="919" t="s">
        <v>3999</v>
      </c>
      <c r="I3047" s="919" t="s">
        <v>3724</v>
      </c>
      <c r="J3047" s="919"/>
      <c r="K3047" s="920">
        <v>1</v>
      </c>
      <c r="L3047" s="920">
        <v>12</v>
      </c>
      <c r="M3047" s="920">
        <f t="shared" si="94"/>
        <v>34800</v>
      </c>
      <c r="N3047" s="919"/>
      <c r="O3047" s="919"/>
      <c r="P3047" s="921">
        <f t="shared" si="95"/>
        <v>0</v>
      </c>
    </row>
    <row r="3048" spans="1:16" ht="20.100000000000001" customHeight="1" x14ac:dyDescent="0.25">
      <c r="A3048" s="918" t="s">
        <v>489</v>
      </c>
      <c r="B3048" s="944" t="s">
        <v>3901</v>
      </c>
      <c r="C3048" s="919" t="s">
        <v>3902</v>
      </c>
      <c r="D3048" s="919" t="s">
        <v>3999</v>
      </c>
      <c r="E3048" s="920">
        <v>2900</v>
      </c>
      <c r="F3048" s="919" t="s">
        <v>9378</v>
      </c>
      <c r="G3048" s="919" t="s">
        <v>9379</v>
      </c>
      <c r="H3048" s="919" t="s">
        <v>3999</v>
      </c>
      <c r="I3048" s="919" t="s">
        <v>3724</v>
      </c>
      <c r="J3048" s="919"/>
      <c r="K3048" s="920"/>
      <c r="L3048" s="920"/>
      <c r="M3048" s="920">
        <f t="shared" si="94"/>
        <v>0</v>
      </c>
      <c r="N3048" s="919">
        <v>1</v>
      </c>
      <c r="O3048" s="919">
        <v>3</v>
      </c>
      <c r="P3048" s="921">
        <f t="shared" si="95"/>
        <v>8700</v>
      </c>
    </row>
    <row r="3049" spans="1:16" ht="20.100000000000001" customHeight="1" x14ac:dyDescent="0.25">
      <c r="A3049" s="918" t="s">
        <v>489</v>
      </c>
      <c r="B3049" s="944" t="s">
        <v>3901</v>
      </c>
      <c r="C3049" s="919" t="s">
        <v>3902</v>
      </c>
      <c r="D3049" s="919" t="s">
        <v>4352</v>
      </c>
      <c r="E3049" s="920">
        <v>2900</v>
      </c>
      <c r="F3049" s="919" t="s">
        <v>9380</v>
      </c>
      <c r="G3049" s="919" t="s">
        <v>9381</v>
      </c>
      <c r="H3049" s="919" t="s">
        <v>4352</v>
      </c>
      <c r="I3049" s="919" t="s">
        <v>3724</v>
      </c>
      <c r="J3049" s="919"/>
      <c r="K3049" s="920"/>
      <c r="L3049" s="920"/>
      <c r="M3049" s="920">
        <f t="shared" si="94"/>
        <v>0</v>
      </c>
      <c r="N3049" s="919">
        <v>1</v>
      </c>
      <c r="O3049" s="919">
        <v>3</v>
      </c>
      <c r="P3049" s="921">
        <f t="shared" si="95"/>
        <v>8700</v>
      </c>
    </row>
    <row r="3050" spans="1:16" ht="20.100000000000001" customHeight="1" x14ac:dyDescent="0.25">
      <c r="A3050" s="918" t="s">
        <v>489</v>
      </c>
      <c r="B3050" s="944" t="s">
        <v>3901</v>
      </c>
      <c r="C3050" s="919" t="s">
        <v>3902</v>
      </c>
      <c r="D3050" s="919" t="s">
        <v>6203</v>
      </c>
      <c r="E3050" s="920">
        <v>2900</v>
      </c>
      <c r="F3050" s="919" t="s">
        <v>4041</v>
      </c>
      <c r="G3050" s="919" t="s">
        <v>4042</v>
      </c>
      <c r="H3050" s="919" t="s">
        <v>6203</v>
      </c>
      <c r="I3050" s="919" t="s">
        <v>3724</v>
      </c>
      <c r="J3050" s="919"/>
      <c r="K3050" s="920">
        <v>1</v>
      </c>
      <c r="L3050" s="920">
        <v>12</v>
      </c>
      <c r="M3050" s="920">
        <f t="shared" si="94"/>
        <v>34800</v>
      </c>
      <c r="N3050" s="919"/>
      <c r="O3050" s="919"/>
      <c r="P3050" s="921">
        <f t="shared" si="95"/>
        <v>0</v>
      </c>
    </row>
    <row r="3051" spans="1:16" ht="20.100000000000001" customHeight="1" x14ac:dyDescent="0.25">
      <c r="A3051" s="918" t="s">
        <v>490</v>
      </c>
      <c r="B3051" s="944" t="s">
        <v>3901</v>
      </c>
      <c r="C3051" s="919" t="s">
        <v>3902</v>
      </c>
      <c r="D3051" s="919" t="s">
        <v>6130</v>
      </c>
      <c r="E3051" s="920">
        <v>1500</v>
      </c>
      <c r="F3051" s="919" t="s">
        <v>9382</v>
      </c>
      <c r="G3051" s="919" t="s">
        <v>9383</v>
      </c>
      <c r="H3051" s="919" t="s">
        <v>6130</v>
      </c>
      <c r="I3051" s="919" t="s">
        <v>3686</v>
      </c>
      <c r="J3051" s="919"/>
      <c r="K3051" s="920">
        <v>1</v>
      </c>
      <c r="L3051" s="920">
        <v>12</v>
      </c>
      <c r="M3051" s="920">
        <f t="shared" si="94"/>
        <v>18000</v>
      </c>
      <c r="N3051" s="919"/>
      <c r="O3051" s="919"/>
      <c r="P3051" s="921">
        <f t="shared" si="95"/>
        <v>0</v>
      </c>
    </row>
    <row r="3052" spans="1:16" ht="20.100000000000001" customHeight="1" x14ac:dyDescent="0.25">
      <c r="A3052" s="918" t="s">
        <v>490</v>
      </c>
      <c r="B3052" s="944" t="s">
        <v>3901</v>
      </c>
      <c r="C3052" s="919" t="s">
        <v>3902</v>
      </c>
      <c r="D3052" s="919" t="s">
        <v>6130</v>
      </c>
      <c r="E3052" s="920">
        <v>1850</v>
      </c>
      <c r="F3052" s="919" t="s">
        <v>9384</v>
      </c>
      <c r="G3052" s="919" t="s">
        <v>9385</v>
      </c>
      <c r="H3052" s="919" t="s">
        <v>6130</v>
      </c>
      <c r="I3052" s="919" t="s">
        <v>3686</v>
      </c>
      <c r="J3052" s="919"/>
      <c r="K3052" s="920">
        <v>1</v>
      </c>
      <c r="L3052" s="920">
        <v>12</v>
      </c>
      <c r="M3052" s="920">
        <f t="shared" si="94"/>
        <v>22200</v>
      </c>
      <c r="N3052" s="919"/>
      <c r="O3052" s="919"/>
      <c r="P3052" s="921">
        <f t="shared" si="95"/>
        <v>0</v>
      </c>
    </row>
    <row r="3053" spans="1:16" ht="20.100000000000001" customHeight="1" x14ac:dyDescent="0.25">
      <c r="A3053" s="918" t="s">
        <v>490</v>
      </c>
      <c r="B3053" s="944" t="s">
        <v>3901</v>
      </c>
      <c r="C3053" s="919" t="s">
        <v>3902</v>
      </c>
      <c r="D3053" s="919" t="s">
        <v>6130</v>
      </c>
      <c r="E3053" s="920">
        <v>1850</v>
      </c>
      <c r="F3053" s="919" t="s">
        <v>9386</v>
      </c>
      <c r="G3053" s="919" t="s">
        <v>9387</v>
      </c>
      <c r="H3053" s="919" t="s">
        <v>6130</v>
      </c>
      <c r="I3053" s="919" t="s">
        <v>3686</v>
      </c>
      <c r="J3053" s="919"/>
      <c r="K3053" s="920">
        <v>1</v>
      </c>
      <c r="L3053" s="920">
        <v>12</v>
      </c>
      <c r="M3053" s="920">
        <f t="shared" si="94"/>
        <v>22200</v>
      </c>
      <c r="N3053" s="919"/>
      <c r="O3053" s="919"/>
      <c r="P3053" s="921">
        <f t="shared" si="95"/>
        <v>0</v>
      </c>
    </row>
    <row r="3054" spans="1:16" ht="20.100000000000001" customHeight="1" x14ac:dyDescent="0.25">
      <c r="A3054" s="918" t="s">
        <v>490</v>
      </c>
      <c r="B3054" s="944" t="s">
        <v>3901</v>
      </c>
      <c r="C3054" s="919" t="s">
        <v>3902</v>
      </c>
      <c r="D3054" s="919" t="s">
        <v>4244</v>
      </c>
      <c r="E3054" s="920">
        <v>2700</v>
      </c>
      <c r="F3054" s="919" t="s">
        <v>9388</v>
      </c>
      <c r="G3054" s="919" t="s">
        <v>9389</v>
      </c>
      <c r="H3054" s="919" t="s">
        <v>4244</v>
      </c>
      <c r="I3054" s="919" t="s">
        <v>3679</v>
      </c>
      <c r="J3054" s="919"/>
      <c r="K3054" s="920">
        <v>1</v>
      </c>
      <c r="L3054" s="920">
        <v>12</v>
      </c>
      <c r="M3054" s="920">
        <f t="shared" si="94"/>
        <v>32400</v>
      </c>
      <c r="N3054" s="919"/>
      <c r="O3054" s="919"/>
      <c r="P3054" s="921">
        <f t="shared" si="95"/>
        <v>0</v>
      </c>
    </row>
    <row r="3055" spans="1:16" ht="20.100000000000001" customHeight="1" x14ac:dyDescent="0.25">
      <c r="A3055" s="918" t="s">
        <v>490</v>
      </c>
      <c r="B3055" s="944" t="s">
        <v>3901</v>
      </c>
      <c r="C3055" s="919" t="s">
        <v>3902</v>
      </c>
      <c r="D3055" s="919" t="s">
        <v>4038</v>
      </c>
      <c r="E3055" s="920">
        <v>1850</v>
      </c>
      <c r="F3055" s="919" t="s">
        <v>4041</v>
      </c>
      <c r="G3055" s="919" t="s">
        <v>4042</v>
      </c>
      <c r="H3055" s="919" t="s">
        <v>4038</v>
      </c>
      <c r="I3055" s="919" t="s">
        <v>3686</v>
      </c>
      <c r="J3055" s="919"/>
      <c r="K3055" s="920">
        <v>1</v>
      </c>
      <c r="L3055" s="920">
        <v>12</v>
      </c>
      <c r="M3055" s="920">
        <f t="shared" si="94"/>
        <v>22200</v>
      </c>
      <c r="N3055" s="919"/>
      <c r="O3055" s="919"/>
      <c r="P3055" s="921">
        <f t="shared" si="95"/>
        <v>0</v>
      </c>
    </row>
    <row r="3056" spans="1:16" ht="20.100000000000001" customHeight="1" x14ac:dyDescent="0.25">
      <c r="A3056" s="918" t="s">
        <v>490</v>
      </c>
      <c r="B3056" s="944" t="s">
        <v>3901</v>
      </c>
      <c r="C3056" s="919" t="s">
        <v>3902</v>
      </c>
      <c r="D3056" s="919" t="s">
        <v>6071</v>
      </c>
      <c r="E3056" s="920">
        <v>1850</v>
      </c>
      <c r="F3056" s="919" t="s">
        <v>9390</v>
      </c>
      <c r="G3056" s="919" t="s">
        <v>9391</v>
      </c>
      <c r="H3056" s="919" t="s">
        <v>6071</v>
      </c>
      <c r="I3056" s="919" t="s">
        <v>3679</v>
      </c>
      <c r="J3056" s="919"/>
      <c r="K3056" s="920">
        <v>1</v>
      </c>
      <c r="L3056" s="920">
        <v>12</v>
      </c>
      <c r="M3056" s="920">
        <f t="shared" si="94"/>
        <v>22200</v>
      </c>
      <c r="N3056" s="919"/>
      <c r="O3056" s="919"/>
      <c r="P3056" s="921">
        <f t="shared" si="95"/>
        <v>0</v>
      </c>
    </row>
    <row r="3057" spans="1:16" ht="20.100000000000001" customHeight="1" x14ac:dyDescent="0.25">
      <c r="A3057" s="918" t="s">
        <v>490</v>
      </c>
      <c r="B3057" s="944" t="s">
        <v>3901</v>
      </c>
      <c r="C3057" s="919" t="s">
        <v>3902</v>
      </c>
      <c r="D3057" s="919" t="s">
        <v>6130</v>
      </c>
      <c r="E3057" s="920">
        <v>1900</v>
      </c>
      <c r="F3057" s="919" t="s">
        <v>9392</v>
      </c>
      <c r="G3057" s="919" t="s">
        <v>9393</v>
      </c>
      <c r="H3057" s="919" t="s">
        <v>6130</v>
      </c>
      <c r="I3057" s="919" t="s">
        <v>3686</v>
      </c>
      <c r="J3057" s="919"/>
      <c r="K3057" s="920">
        <v>1</v>
      </c>
      <c r="L3057" s="920">
        <v>12</v>
      </c>
      <c r="M3057" s="920">
        <f t="shared" si="94"/>
        <v>22800</v>
      </c>
      <c r="N3057" s="919"/>
      <c r="O3057" s="919"/>
      <c r="P3057" s="921">
        <f t="shared" si="95"/>
        <v>0</v>
      </c>
    </row>
    <row r="3058" spans="1:16" ht="20.100000000000001" customHeight="1" x14ac:dyDescent="0.25">
      <c r="A3058" s="918" t="s">
        <v>490</v>
      </c>
      <c r="B3058" s="944" t="s">
        <v>3901</v>
      </c>
      <c r="C3058" s="919" t="s">
        <v>3902</v>
      </c>
      <c r="D3058" s="919" t="s">
        <v>6130</v>
      </c>
      <c r="E3058" s="920">
        <v>2100</v>
      </c>
      <c r="F3058" s="919" t="s">
        <v>9394</v>
      </c>
      <c r="G3058" s="919" t="s">
        <v>9395</v>
      </c>
      <c r="H3058" s="919" t="s">
        <v>6130</v>
      </c>
      <c r="I3058" s="919" t="s">
        <v>3686</v>
      </c>
      <c r="J3058" s="919"/>
      <c r="K3058" s="920">
        <v>1</v>
      </c>
      <c r="L3058" s="920">
        <v>12</v>
      </c>
      <c r="M3058" s="920">
        <f t="shared" si="94"/>
        <v>25200</v>
      </c>
      <c r="N3058" s="919"/>
      <c r="O3058" s="919"/>
      <c r="P3058" s="921">
        <f t="shared" si="95"/>
        <v>0</v>
      </c>
    </row>
    <row r="3059" spans="1:16" ht="20.100000000000001" customHeight="1" x14ac:dyDescent="0.25">
      <c r="A3059" s="918" t="s">
        <v>490</v>
      </c>
      <c r="B3059" s="944" t="s">
        <v>3901</v>
      </c>
      <c r="C3059" s="919" t="s">
        <v>3902</v>
      </c>
      <c r="D3059" s="919" t="s">
        <v>6071</v>
      </c>
      <c r="E3059" s="920">
        <v>1300</v>
      </c>
      <c r="F3059" s="919" t="s">
        <v>9396</v>
      </c>
      <c r="G3059" s="919" t="s">
        <v>9397</v>
      </c>
      <c r="H3059" s="919" t="s">
        <v>6071</v>
      </c>
      <c r="I3059" s="919" t="s">
        <v>3679</v>
      </c>
      <c r="J3059" s="919"/>
      <c r="K3059" s="920">
        <v>1</v>
      </c>
      <c r="L3059" s="920">
        <v>12</v>
      </c>
      <c r="M3059" s="920">
        <f t="shared" si="94"/>
        <v>15600</v>
      </c>
      <c r="N3059" s="919"/>
      <c r="O3059" s="919"/>
      <c r="P3059" s="921">
        <f t="shared" si="95"/>
        <v>0</v>
      </c>
    </row>
    <row r="3060" spans="1:16" ht="20.100000000000001" customHeight="1" x14ac:dyDescent="0.25">
      <c r="A3060" s="918" t="s">
        <v>490</v>
      </c>
      <c r="B3060" s="944" t="s">
        <v>3901</v>
      </c>
      <c r="C3060" s="919" t="s">
        <v>3902</v>
      </c>
      <c r="D3060" s="919" t="s">
        <v>6617</v>
      </c>
      <c r="E3060" s="920">
        <v>930</v>
      </c>
      <c r="F3060" s="919" t="s">
        <v>9398</v>
      </c>
      <c r="G3060" s="919" t="s">
        <v>9399</v>
      </c>
      <c r="H3060" s="919" t="s">
        <v>6617</v>
      </c>
      <c r="I3060" s="919" t="s">
        <v>3679</v>
      </c>
      <c r="J3060" s="919"/>
      <c r="K3060" s="920">
        <v>1</v>
      </c>
      <c r="L3060" s="920">
        <v>12</v>
      </c>
      <c r="M3060" s="920">
        <f t="shared" si="94"/>
        <v>11160</v>
      </c>
      <c r="N3060" s="919"/>
      <c r="O3060" s="919"/>
      <c r="P3060" s="921">
        <f t="shared" si="95"/>
        <v>0</v>
      </c>
    </row>
    <row r="3061" spans="1:16" ht="20.100000000000001" customHeight="1" x14ac:dyDescent="0.25">
      <c r="A3061" s="918" t="s">
        <v>490</v>
      </c>
      <c r="B3061" s="944" t="s">
        <v>3901</v>
      </c>
      <c r="C3061" s="919" t="s">
        <v>3902</v>
      </c>
      <c r="D3061" s="919" t="s">
        <v>3999</v>
      </c>
      <c r="E3061" s="920">
        <v>2700</v>
      </c>
      <c r="F3061" s="919" t="s">
        <v>9400</v>
      </c>
      <c r="G3061" s="919" t="s">
        <v>9401</v>
      </c>
      <c r="H3061" s="919" t="s">
        <v>3999</v>
      </c>
      <c r="I3061" s="919" t="s">
        <v>3724</v>
      </c>
      <c r="J3061" s="919"/>
      <c r="K3061" s="920">
        <v>1</v>
      </c>
      <c r="L3061" s="920">
        <v>12</v>
      </c>
      <c r="M3061" s="920">
        <f t="shared" si="94"/>
        <v>32400</v>
      </c>
      <c r="N3061" s="919"/>
      <c r="O3061" s="919"/>
      <c r="P3061" s="921">
        <f t="shared" si="95"/>
        <v>0</v>
      </c>
    </row>
    <row r="3062" spans="1:16" ht="20.100000000000001" customHeight="1" x14ac:dyDescent="0.25">
      <c r="A3062" s="918" t="s">
        <v>490</v>
      </c>
      <c r="B3062" s="944" t="s">
        <v>3901</v>
      </c>
      <c r="C3062" s="919" t="s">
        <v>3902</v>
      </c>
      <c r="D3062" s="919" t="s">
        <v>6071</v>
      </c>
      <c r="E3062" s="920">
        <v>1500</v>
      </c>
      <c r="F3062" s="919" t="s">
        <v>9402</v>
      </c>
      <c r="G3062" s="919" t="s">
        <v>9403</v>
      </c>
      <c r="H3062" s="919" t="s">
        <v>6071</v>
      </c>
      <c r="I3062" s="919" t="s">
        <v>3679</v>
      </c>
      <c r="J3062" s="919"/>
      <c r="K3062" s="920">
        <v>1</v>
      </c>
      <c r="L3062" s="920">
        <v>12</v>
      </c>
      <c r="M3062" s="920">
        <f t="shared" si="94"/>
        <v>18000</v>
      </c>
      <c r="N3062" s="919"/>
      <c r="O3062" s="919"/>
      <c r="P3062" s="921">
        <f t="shared" si="95"/>
        <v>0</v>
      </c>
    </row>
    <row r="3063" spans="1:16" ht="20.100000000000001" customHeight="1" x14ac:dyDescent="0.25">
      <c r="A3063" s="918" t="s">
        <v>490</v>
      </c>
      <c r="B3063" s="944" t="s">
        <v>3901</v>
      </c>
      <c r="C3063" s="919" t="s">
        <v>3902</v>
      </c>
      <c r="D3063" s="919" t="s">
        <v>6071</v>
      </c>
      <c r="E3063" s="920">
        <v>1700</v>
      </c>
      <c r="F3063" s="919" t="s">
        <v>9404</v>
      </c>
      <c r="G3063" s="919" t="s">
        <v>9405</v>
      </c>
      <c r="H3063" s="919" t="s">
        <v>6071</v>
      </c>
      <c r="I3063" s="919" t="s">
        <v>3679</v>
      </c>
      <c r="J3063" s="919"/>
      <c r="K3063" s="920">
        <v>1</v>
      </c>
      <c r="L3063" s="920">
        <v>12</v>
      </c>
      <c r="M3063" s="920">
        <f t="shared" si="94"/>
        <v>20400</v>
      </c>
      <c r="N3063" s="919"/>
      <c r="O3063" s="919"/>
      <c r="P3063" s="921">
        <f t="shared" si="95"/>
        <v>0</v>
      </c>
    </row>
    <row r="3064" spans="1:16" ht="20.100000000000001" customHeight="1" x14ac:dyDescent="0.25">
      <c r="A3064" s="918" t="s">
        <v>490</v>
      </c>
      <c r="B3064" s="944" t="s">
        <v>3901</v>
      </c>
      <c r="C3064" s="919" t="s">
        <v>3902</v>
      </c>
      <c r="D3064" s="919" t="s">
        <v>6071</v>
      </c>
      <c r="E3064" s="920">
        <v>1300</v>
      </c>
      <c r="F3064" s="919" t="s">
        <v>9406</v>
      </c>
      <c r="G3064" s="919" t="s">
        <v>9407</v>
      </c>
      <c r="H3064" s="919" t="s">
        <v>6071</v>
      </c>
      <c r="I3064" s="919" t="s">
        <v>3679</v>
      </c>
      <c r="J3064" s="919"/>
      <c r="K3064" s="920">
        <v>1</v>
      </c>
      <c r="L3064" s="920">
        <v>12</v>
      </c>
      <c r="M3064" s="920">
        <f t="shared" si="94"/>
        <v>15600</v>
      </c>
      <c r="N3064" s="919"/>
      <c r="O3064" s="919"/>
      <c r="P3064" s="921">
        <f t="shared" si="95"/>
        <v>0</v>
      </c>
    </row>
    <row r="3065" spans="1:16" ht="20.100000000000001" customHeight="1" x14ac:dyDescent="0.25">
      <c r="A3065" s="918" t="s">
        <v>490</v>
      </c>
      <c r="B3065" s="944" t="s">
        <v>3901</v>
      </c>
      <c r="C3065" s="919" t="s">
        <v>3902</v>
      </c>
      <c r="D3065" s="919" t="s">
        <v>3999</v>
      </c>
      <c r="E3065" s="920">
        <v>2200</v>
      </c>
      <c r="F3065" s="919" t="s">
        <v>9408</v>
      </c>
      <c r="G3065" s="919" t="s">
        <v>9409</v>
      </c>
      <c r="H3065" s="919" t="s">
        <v>3999</v>
      </c>
      <c r="I3065" s="919" t="s">
        <v>3724</v>
      </c>
      <c r="J3065" s="919"/>
      <c r="K3065" s="920">
        <v>1</v>
      </c>
      <c r="L3065" s="920">
        <v>12</v>
      </c>
      <c r="M3065" s="920">
        <f t="shared" si="94"/>
        <v>26400</v>
      </c>
      <c r="N3065" s="919"/>
      <c r="O3065" s="919"/>
      <c r="P3065" s="921">
        <f t="shared" si="95"/>
        <v>0</v>
      </c>
    </row>
    <row r="3066" spans="1:16" ht="20.100000000000001" customHeight="1" x14ac:dyDescent="0.25">
      <c r="A3066" s="918" t="s">
        <v>490</v>
      </c>
      <c r="B3066" s="944" t="s">
        <v>3901</v>
      </c>
      <c r="C3066" s="919" t="s">
        <v>3902</v>
      </c>
      <c r="D3066" s="919" t="s">
        <v>6071</v>
      </c>
      <c r="E3066" s="920">
        <v>1900</v>
      </c>
      <c r="F3066" s="919" t="s">
        <v>9410</v>
      </c>
      <c r="G3066" s="919" t="s">
        <v>9411</v>
      </c>
      <c r="H3066" s="919" t="s">
        <v>6071</v>
      </c>
      <c r="I3066" s="919" t="s">
        <v>3679</v>
      </c>
      <c r="J3066" s="919"/>
      <c r="K3066" s="920">
        <v>1</v>
      </c>
      <c r="L3066" s="920">
        <v>12</v>
      </c>
      <c r="M3066" s="920">
        <f t="shared" si="94"/>
        <v>22800</v>
      </c>
      <c r="N3066" s="919"/>
      <c r="O3066" s="919"/>
      <c r="P3066" s="921">
        <f t="shared" si="95"/>
        <v>0</v>
      </c>
    </row>
    <row r="3067" spans="1:16" ht="20.100000000000001" customHeight="1" x14ac:dyDescent="0.25">
      <c r="A3067" s="918" t="s">
        <v>490</v>
      </c>
      <c r="B3067" s="944" t="s">
        <v>3901</v>
      </c>
      <c r="C3067" s="919" t="s">
        <v>3902</v>
      </c>
      <c r="D3067" s="919" t="s">
        <v>3999</v>
      </c>
      <c r="E3067" s="920">
        <v>2500</v>
      </c>
      <c r="F3067" s="919" t="s">
        <v>9412</v>
      </c>
      <c r="G3067" s="919" t="s">
        <v>9413</v>
      </c>
      <c r="H3067" s="919" t="s">
        <v>3999</v>
      </c>
      <c r="I3067" s="919" t="s">
        <v>3724</v>
      </c>
      <c r="J3067" s="919"/>
      <c r="K3067" s="920">
        <v>1</v>
      </c>
      <c r="L3067" s="920">
        <v>12</v>
      </c>
      <c r="M3067" s="920">
        <f t="shared" si="94"/>
        <v>30000</v>
      </c>
      <c r="N3067" s="919"/>
      <c r="O3067" s="919"/>
      <c r="P3067" s="921">
        <f t="shared" si="95"/>
        <v>0</v>
      </c>
    </row>
    <row r="3068" spans="1:16" ht="20.100000000000001" customHeight="1" x14ac:dyDescent="0.25">
      <c r="A3068" s="918" t="s">
        <v>490</v>
      </c>
      <c r="B3068" s="944" t="s">
        <v>3901</v>
      </c>
      <c r="C3068" s="919" t="s">
        <v>3902</v>
      </c>
      <c r="D3068" s="919" t="s">
        <v>7193</v>
      </c>
      <c r="E3068" s="920">
        <v>2700</v>
      </c>
      <c r="F3068" s="919" t="s">
        <v>9414</v>
      </c>
      <c r="G3068" s="919" t="s">
        <v>9415</v>
      </c>
      <c r="H3068" s="919" t="s">
        <v>7193</v>
      </c>
      <c r="I3068" s="919" t="s">
        <v>3724</v>
      </c>
      <c r="J3068" s="919"/>
      <c r="K3068" s="920">
        <v>1</v>
      </c>
      <c r="L3068" s="920">
        <v>12</v>
      </c>
      <c r="M3068" s="920">
        <f t="shared" si="94"/>
        <v>32400</v>
      </c>
      <c r="N3068" s="919"/>
      <c r="O3068" s="919"/>
      <c r="P3068" s="921">
        <f t="shared" si="95"/>
        <v>0</v>
      </c>
    </row>
    <row r="3069" spans="1:16" ht="20.100000000000001" customHeight="1" x14ac:dyDescent="0.25">
      <c r="A3069" s="918" t="s">
        <v>490</v>
      </c>
      <c r="B3069" s="944" t="s">
        <v>3901</v>
      </c>
      <c r="C3069" s="919" t="s">
        <v>3902</v>
      </c>
      <c r="D3069" s="919" t="s">
        <v>6617</v>
      </c>
      <c r="E3069" s="920">
        <v>930</v>
      </c>
      <c r="F3069" s="919" t="s">
        <v>9416</v>
      </c>
      <c r="G3069" s="919" t="s">
        <v>9417</v>
      </c>
      <c r="H3069" s="919" t="s">
        <v>6617</v>
      </c>
      <c r="I3069" s="919" t="s">
        <v>3679</v>
      </c>
      <c r="J3069" s="919"/>
      <c r="K3069" s="920">
        <v>1</v>
      </c>
      <c r="L3069" s="920">
        <v>12</v>
      </c>
      <c r="M3069" s="920">
        <f t="shared" si="94"/>
        <v>11160</v>
      </c>
      <c r="N3069" s="919"/>
      <c r="O3069" s="919"/>
      <c r="P3069" s="921">
        <f t="shared" si="95"/>
        <v>0</v>
      </c>
    </row>
    <row r="3070" spans="1:16" ht="20.100000000000001" customHeight="1" x14ac:dyDescent="0.25">
      <c r="A3070" s="918" t="s">
        <v>490</v>
      </c>
      <c r="B3070" s="944" t="s">
        <v>3901</v>
      </c>
      <c r="C3070" s="919" t="s">
        <v>3902</v>
      </c>
      <c r="D3070" s="919" t="s">
        <v>6071</v>
      </c>
      <c r="E3070" s="920">
        <v>1700</v>
      </c>
      <c r="F3070" s="919" t="s">
        <v>9418</v>
      </c>
      <c r="G3070" s="919" t="s">
        <v>9419</v>
      </c>
      <c r="H3070" s="919" t="s">
        <v>6071</v>
      </c>
      <c r="I3070" s="919" t="s">
        <v>3679</v>
      </c>
      <c r="J3070" s="919"/>
      <c r="K3070" s="920">
        <v>1</v>
      </c>
      <c r="L3070" s="920">
        <v>12</v>
      </c>
      <c r="M3070" s="920">
        <f t="shared" si="94"/>
        <v>20400</v>
      </c>
      <c r="N3070" s="919"/>
      <c r="O3070" s="919"/>
      <c r="P3070" s="921">
        <f t="shared" si="95"/>
        <v>0</v>
      </c>
    </row>
    <row r="3071" spans="1:16" ht="20.100000000000001" customHeight="1" x14ac:dyDescent="0.25">
      <c r="A3071" s="918" t="s">
        <v>490</v>
      </c>
      <c r="B3071" s="944" t="s">
        <v>3901</v>
      </c>
      <c r="C3071" s="919" t="s">
        <v>3902</v>
      </c>
      <c r="D3071" s="919" t="s">
        <v>4352</v>
      </c>
      <c r="E3071" s="920">
        <v>2200</v>
      </c>
      <c r="F3071" s="919" t="s">
        <v>9420</v>
      </c>
      <c r="G3071" s="919" t="s">
        <v>9421</v>
      </c>
      <c r="H3071" s="919" t="s">
        <v>4352</v>
      </c>
      <c r="I3071" s="919" t="s">
        <v>3724</v>
      </c>
      <c r="J3071" s="919"/>
      <c r="K3071" s="920">
        <v>1</v>
      </c>
      <c r="L3071" s="920">
        <v>12</v>
      </c>
      <c r="M3071" s="920">
        <f t="shared" si="94"/>
        <v>26400</v>
      </c>
      <c r="N3071" s="919"/>
      <c r="O3071" s="919"/>
      <c r="P3071" s="921">
        <f t="shared" si="95"/>
        <v>0</v>
      </c>
    </row>
    <row r="3072" spans="1:16" ht="20.100000000000001" customHeight="1" x14ac:dyDescent="0.25">
      <c r="A3072" s="918" t="s">
        <v>490</v>
      </c>
      <c r="B3072" s="944" t="s">
        <v>3901</v>
      </c>
      <c r="C3072" s="919" t="s">
        <v>3902</v>
      </c>
      <c r="D3072" s="919" t="s">
        <v>7193</v>
      </c>
      <c r="E3072" s="920">
        <v>2200</v>
      </c>
      <c r="F3072" s="919" t="s">
        <v>9422</v>
      </c>
      <c r="G3072" s="919" t="s">
        <v>9423</v>
      </c>
      <c r="H3072" s="919" t="s">
        <v>7193</v>
      </c>
      <c r="I3072" s="919" t="s">
        <v>3724</v>
      </c>
      <c r="J3072" s="919"/>
      <c r="K3072" s="920">
        <v>1</v>
      </c>
      <c r="L3072" s="920">
        <v>12</v>
      </c>
      <c r="M3072" s="920">
        <f t="shared" si="94"/>
        <v>26400</v>
      </c>
      <c r="N3072" s="919"/>
      <c r="O3072" s="919"/>
      <c r="P3072" s="921">
        <f t="shared" si="95"/>
        <v>0</v>
      </c>
    </row>
    <row r="3073" spans="1:16" ht="20.100000000000001" customHeight="1" x14ac:dyDescent="0.25">
      <c r="A3073" s="918" t="s">
        <v>490</v>
      </c>
      <c r="B3073" s="944" t="s">
        <v>3901</v>
      </c>
      <c r="C3073" s="919" t="s">
        <v>3902</v>
      </c>
      <c r="D3073" s="919" t="s">
        <v>4462</v>
      </c>
      <c r="E3073" s="920">
        <v>1700</v>
      </c>
      <c r="F3073" s="919" t="s">
        <v>9424</v>
      </c>
      <c r="G3073" s="919" t="s">
        <v>9425</v>
      </c>
      <c r="H3073" s="919" t="s">
        <v>4462</v>
      </c>
      <c r="I3073" s="919" t="s">
        <v>3686</v>
      </c>
      <c r="J3073" s="919"/>
      <c r="K3073" s="920">
        <v>1</v>
      </c>
      <c r="L3073" s="920">
        <v>12</v>
      </c>
      <c r="M3073" s="920">
        <f t="shared" si="94"/>
        <v>20400</v>
      </c>
      <c r="N3073" s="919"/>
      <c r="O3073" s="919"/>
      <c r="P3073" s="921">
        <f t="shared" si="95"/>
        <v>0</v>
      </c>
    </row>
    <row r="3074" spans="1:16" ht="20.100000000000001" customHeight="1" x14ac:dyDescent="0.25">
      <c r="A3074" s="918" t="s">
        <v>490</v>
      </c>
      <c r="B3074" s="944" t="s">
        <v>3901</v>
      </c>
      <c r="C3074" s="919" t="s">
        <v>3902</v>
      </c>
      <c r="D3074" s="919" t="s">
        <v>6120</v>
      </c>
      <c r="E3074" s="920">
        <v>3300</v>
      </c>
      <c r="F3074" s="919" t="s">
        <v>9426</v>
      </c>
      <c r="G3074" s="919" t="s">
        <v>9427</v>
      </c>
      <c r="H3074" s="919" t="s">
        <v>6120</v>
      </c>
      <c r="I3074" s="919" t="s">
        <v>3724</v>
      </c>
      <c r="J3074" s="919"/>
      <c r="K3074" s="920">
        <v>1</v>
      </c>
      <c r="L3074" s="920">
        <v>12</v>
      </c>
      <c r="M3074" s="920">
        <f t="shared" si="94"/>
        <v>39600</v>
      </c>
      <c r="N3074" s="919"/>
      <c r="O3074" s="919"/>
      <c r="P3074" s="921">
        <f t="shared" si="95"/>
        <v>0</v>
      </c>
    </row>
    <row r="3075" spans="1:16" ht="20.100000000000001" customHeight="1" x14ac:dyDescent="0.25">
      <c r="A3075" s="918" t="s">
        <v>490</v>
      </c>
      <c r="B3075" s="944" t="s">
        <v>3901</v>
      </c>
      <c r="C3075" s="919" t="s">
        <v>3902</v>
      </c>
      <c r="D3075" s="919" t="s">
        <v>6071</v>
      </c>
      <c r="E3075" s="920">
        <v>1850</v>
      </c>
      <c r="F3075" s="919" t="s">
        <v>9428</v>
      </c>
      <c r="G3075" s="919" t="s">
        <v>9429</v>
      </c>
      <c r="H3075" s="919" t="s">
        <v>6071</v>
      </c>
      <c r="I3075" s="919" t="s">
        <v>3679</v>
      </c>
      <c r="J3075" s="919"/>
      <c r="K3075" s="920">
        <v>1</v>
      </c>
      <c r="L3075" s="920">
        <v>12</v>
      </c>
      <c r="M3075" s="920">
        <f t="shared" si="94"/>
        <v>22200</v>
      </c>
      <c r="N3075" s="919"/>
      <c r="O3075" s="919"/>
      <c r="P3075" s="921">
        <f t="shared" si="95"/>
        <v>0</v>
      </c>
    </row>
    <row r="3076" spans="1:16" ht="20.100000000000001" customHeight="1" x14ac:dyDescent="0.25">
      <c r="A3076" s="918" t="s">
        <v>490</v>
      </c>
      <c r="B3076" s="944" t="s">
        <v>3901</v>
      </c>
      <c r="C3076" s="919" t="s">
        <v>3902</v>
      </c>
      <c r="D3076" s="919" t="s">
        <v>3999</v>
      </c>
      <c r="E3076" s="920">
        <v>2700</v>
      </c>
      <c r="F3076" s="919" t="s">
        <v>9430</v>
      </c>
      <c r="G3076" s="919" t="s">
        <v>9431</v>
      </c>
      <c r="H3076" s="919" t="s">
        <v>3999</v>
      </c>
      <c r="I3076" s="919" t="s">
        <v>3724</v>
      </c>
      <c r="J3076" s="919"/>
      <c r="K3076" s="920">
        <v>1</v>
      </c>
      <c r="L3076" s="920">
        <v>12</v>
      </c>
      <c r="M3076" s="920">
        <f t="shared" si="94"/>
        <v>32400</v>
      </c>
      <c r="N3076" s="919"/>
      <c r="O3076" s="919"/>
      <c r="P3076" s="921">
        <f t="shared" si="95"/>
        <v>0</v>
      </c>
    </row>
    <row r="3077" spans="1:16" ht="20.100000000000001" customHeight="1" x14ac:dyDescent="0.25">
      <c r="A3077" s="918" t="s">
        <v>490</v>
      </c>
      <c r="B3077" s="944" t="s">
        <v>3901</v>
      </c>
      <c r="C3077" s="919" t="s">
        <v>3902</v>
      </c>
      <c r="D3077" s="919" t="s">
        <v>6617</v>
      </c>
      <c r="E3077" s="920">
        <v>930</v>
      </c>
      <c r="F3077" s="919" t="s">
        <v>9432</v>
      </c>
      <c r="G3077" s="919" t="s">
        <v>9433</v>
      </c>
      <c r="H3077" s="919" t="s">
        <v>6617</v>
      </c>
      <c r="I3077" s="919" t="s">
        <v>3679</v>
      </c>
      <c r="J3077" s="919"/>
      <c r="K3077" s="920">
        <v>1</v>
      </c>
      <c r="L3077" s="920">
        <v>12</v>
      </c>
      <c r="M3077" s="920">
        <f t="shared" si="94"/>
        <v>11160</v>
      </c>
      <c r="N3077" s="919"/>
      <c r="O3077" s="919"/>
      <c r="P3077" s="921">
        <f t="shared" si="95"/>
        <v>0</v>
      </c>
    </row>
    <row r="3078" spans="1:16" ht="20.100000000000001" customHeight="1" x14ac:dyDescent="0.25">
      <c r="A3078" s="918" t="s">
        <v>490</v>
      </c>
      <c r="B3078" s="944" t="s">
        <v>3901</v>
      </c>
      <c r="C3078" s="919" t="s">
        <v>3902</v>
      </c>
      <c r="D3078" s="919" t="s">
        <v>6130</v>
      </c>
      <c r="E3078" s="920">
        <v>1700</v>
      </c>
      <c r="F3078" s="919" t="s">
        <v>9434</v>
      </c>
      <c r="G3078" s="919" t="s">
        <v>9435</v>
      </c>
      <c r="H3078" s="919" t="s">
        <v>6130</v>
      </c>
      <c r="I3078" s="919" t="s">
        <v>3686</v>
      </c>
      <c r="J3078" s="919"/>
      <c r="K3078" s="920">
        <v>1</v>
      </c>
      <c r="L3078" s="920">
        <v>12</v>
      </c>
      <c r="M3078" s="920">
        <f t="shared" ref="M3078:M3141" si="96">E3078*L3078</f>
        <v>20400</v>
      </c>
      <c r="N3078" s="919"/>
      <c r="O3078" s="919"/>
      <c r="P3078" s="921">
        <f t="shared" ref="P3078:P3141" si="97">E3078*O3078</f>
        <v>0</v>
      </c>
    </row>
    <row r="3079" spans="1:16" ht="20.100000000000001" customHeight="1" x14ac:dyDescent="0.25">
      <c r="A3079" s="918" t="s">
        <v>490</v>
      </c>
      <c r="B3079" s="944" t="s">
        <v>3901</v>
      </c>
      <c r="C3079" s="919" t="s">
        <v>3902</v>
      </c>
      <c r="D3079" s="919" t="s">
        <v>4462</v>
      </c>
      <c r="E3079" s="920">
        <v>1900</v>
      </c>
      <c r="F3079" s="919" t="s">
        <v>9436</v>
      </c>
      <c r="G3079" s="919" t="s">
        <v>9437</v>
      </c>
      <c r="H3079" s="919" t="s">
        <v>4462</v>
      </c>
      <c r="I3079" s="919" t="s">
        <v>3686</v>
      </c>
      <c r="J3079" s="919"/>
      <c r="K3079" s="920">
        <v>1</v>
      </c>
      <c r="L3079" s="920">
        <v>12</v>
      </c>
      <c r="M3079" s="920">
        <f t="shared" si="96"/>
        <v>22800</v>
      </c>
      <c r="N3079" s="919"/>
      <c r="O3079" s="919"/>
      <c r="P3079" s="921">
        <f t="shared" si="97"/>
        <v>0</v>
      </c>
    </row>
    <row r="3080" spans="1:16" ht="20.100000000000001" customHeight="1" x14ac:dyDescent="0.25">
      <c r="A3080" s="918" t="s">
        <v>490</v>
      </c>
      <c r="B3080" s="944" t="s">
        <v>3901</v>
      </c>
      <c r="C3080" s="919" t="s">
        <v>3902</v>
      </c>
      <c r="D3080" s="919" t="s">
        <v>6130</v>
      </c>
      <c r="E3080" s="920">
        <v>1500</v>
      </c>
      <c r="F3080" s="919" t="s">
        <v>9438</v>
      </c>
      <c r="G3080" s="919" t="s">
        <v>9439</v>
      </c>
      <c r="H3080" s="919" t="s">
        <v>6130</v>
      </c>
      <c r="I3080" s="919" t="s">
        <v>3686</v>
      </c>
      <c r="J3080" s="919"/>
      <c r="K3080" s="920">
        <v>1</v>
      </c>
      <c r="L3080" s="920">
        <v>12</v>
      </c>
      <c r="M3080" s="920">
        <f t="shared" si="96"/>
        <v>18000</v>
      </c>
      <c r="N3080" s="919"/>
      <c r="O3080" s="919"/>
      <c r="P3080" s="921">
        <f t="shared" si="97"/>
        <v>0</v>
      </c>
    </row>
    <row r="3081" spans="1:16" ht="20.100000000000001" customHeight="1" x14ac:dyDescent="0.25">
      <c r="A3081" s="918" t="s">
        <v>490</v>
      </c>
      <c r="B3081" s="944" t="s">
        <v>3901</v>
      </c>
      <c r="C3081" s="919" t="s">
        <v>3902</v>
      </c>
      <c r="D3081" s="919" t="s">
        <v>6617</v>
      </c>
      <c r="E3081" s="920">
        <v>930</v>
      </c>
      <c r="F3081" s="919" t="s">
        <v>9440</v>
      </c>
      <c r="G3081" s="919" t="s">
        <v>9441</v>
      </c>
      <c r="H3081" s="919" t="s">
        <v>6617</v>
      </c>
      <c r="I3081" s="919" t="s">
        <v>3679</v>
      </c>
      <c r="J3081" s="919"/>
      <c r="K3081" s="920">
        <v>1</v>
      </c>
      <c r="L3081" s="920">
        <v>12</v>
      </c>
      <c r="M3081" s="920">
        <f t="shared" si="96"/>
        <v>11160</v>
      </c>
      <c r="N3081" s="919"/>
      <c r="O3081" s="919"/>
      <c r="P3081" s="921">
        <f t="shared" si="97"/>
        <v>0</v>
      </c>
    </row>
    <row r="3082" spans="1:16" ht="20.100000000000001" customHeight="1" x14ac:dyDescent="0.25">
      <c r="A3082" s="918" t="s">
        <v>490</v>
      </c>
      <c r="B3082" s="944" t="s">
        <v>3901</v>
      </c>
      <c r="C3082" s="919" t="s">
        <v>3902</v>
      </c>
      <c r="D3082" s="919" t="s">
        <v>4462</v>
      </c>
      <c r="E3082" s="920">
        <v>2100</v>
      </c>
      <c r="F3082" s="919" t="s">
        <v>9442</v>
      </c>
      <c r="G3082" s="919" t="s">
        <v>9443</v>
      </c>
      <c r="H3082" s="919" t="s">
        <v>4462</v>
      </c>
      <c r="I3082" s="919" t="s">
        <v>3686</v>
      </c>
      <c r="J3082" s="919"/>
      <c r="K3082" s="920">
        <v>1</v>
      </c>
      <c r="L3082" s="920">
        <v>12</v>
      </c>
      <c r="M3082" s="920">
        <f t="shared" si="96"/>
        <v>25200</v>
      </c>
      <c r="N3082" s="919"/>
      <c r="O3082" s="919"/>
      <c r="P3082" s="921">
        <f t="shared" si="97"/>
        <v>0</v>
      </c>
    </row>
    <row r="3083" spans="1:16" ht="20.100000000000001" customHeight="1" x14ac:dyDescent="0.25">
      <c r="A3083" s="918" t="s">
        <v>490</v>
      </c>
      <c r="B3083" s="944" t="s">
        <v>3901</v>
      </c>
      <c r="C3083" s="919" t="s">
        <v>3902</v>
      </c>
      <c r="D3083" s="919" t="s">
        <v>4462</v>
      </c>
      <c r="E3083" s="920">
        <v>1900</v>
      </c>
      <c r="F3083" s="919" t="s">
        <v>9444</v>
      </c>
      <c r="G3083" s="919" t="s">
        <v>9445</v>
      </c>
      <c r="H3083" s="919" t="s">
        <v>4462</v>
      </c>
      <c r="I3083" s="919" t="s">
        <v>3686</v>
      </c>
      <c r="J3083" s="919"/>
      <c r="K3083" s="920">
        <v>1</v>
      </c>
      <c r="L3083" s="920">
        <v>12</v>
      </c>
      <c r="M3083" s="920">
        <f t="shared" si="96"/>
        <v>22800</v>
      </c>
      <c r="N3083" s="919"/>
      <c r="O3083" s="919"/>
      <c r="P3083" s="921">
        <f t="shared" si="97"/>
        <v>0</v>
      </c>
    </row>
    <row r="3084" spans="1:16" ht="20.100000000000001" customHeight="1" x14ac:dyDescent="0.25">
      <c r="A3084" s="918" t="s">
        <v>490</v>
      </c>
      <c r="B3084" s="944" t="s">
        <v>3901</v>
      </c>
      <c r="C3084" s="919" t="s">
        <v>3902</v>
      </c>
      <c r="D3084" s="919" t="s">
        <v>6617</v>
      </c>
      <c r="E3084" s="920">
        <v>930</v>
      </c>
      <c r="F3084" s="919" t="s">
        <v>9446</v>
      </c>
      <c r="G3084" s="919" t="s">
        <v>9447</v>
      </c>
      <c r="H3084" s="919" t="s">
        <v>6617</v>
      </c>
      <c r="I3084" s="919" t="s">
        <v>3679</v>
      </c>
      <c r="J3084" s="919"/>
      <c r="K3084" s="920">
        <v>1</v>
      </c>
      <c r="L3084" s="920">
        <v>12</v>
      </c>
      <c r="M3084" s="920">
        <f t="shared" si="96"/>
        <v>11160</v>
      </c>
      <c r="N3084" s="919"/>
      <c r="O3084" s="919"/>
      <c r="P3084" s="921">
        <f t="shared" si="97"/>
        <v>0</v>
      </c>
    </row>
    <row r="3085" spans="1:16" ht="20.100000000000001" customHeight="1" x14ac:dyDescent="0.25">
      <c r="A3085" s="918" t="s">
        <v>490</v>
      </c>
      <c r="B3085" s="944" t="s">
        <v>3901</v>
      </c>
      <c r="C3085" s="919" t="s">
        <v>3902</v>
      </c>
      <c r="D3085" s="919" t="s">
        <v>6617</v>
      </c>
      <c r="E3085" s="920">
        <v>930</v>
      </c>
      <c r="F3085" s="919" t="s">
        <v>9448</v>
      </c>
      <c r="G3085" s="919" t="s">
        <v>9449</v>
      </c>
      <c r="H3085" s="919" t="s">
        <v>6617</v>
      </c>
      <c r="I3085" s="919" t="s">
        <v>3679</v>
      </c>
      <c r="J3085" s="919"/>
      <c r="K3085" s="920">
        <v>1</v>
      </c>
      <c r="L3085" s="920">
        <v>12</v>
      </c>
      <c r="M3085" s="920">
        <f t="shared" si="96"/>
        <v>11160</v>
      </c>
      <c r="N3085" s="919"/>
      <c r="O3085" s="919"/>
      <c r="P3085" s="921">
        <f t="shared" si="97"/>
        <v>0</v>
      </c>
    </row>
    <row r="3086" spans="1:16" ht="20.100000000000001" customHeight="1" x14ac:dyDescent="0.25">
      <c r="A3086" s="918" t="s">
        <v>490</v>
      </c>
      <c r="B3086" s="944" t="s">
        <v>3901</v>
      </c>
      <c r="C3086" s="919" t="s">
        <v>3902</v>
      </c>
      <c r="D3086" s="919" t="s">
        <v>6203</v>
      </c>
      <c r="E3086" s="920">
        <v>2700</v>
      </c>
      <c r="F3086" s="919" t="s">
        <v>9450</v>
      </c>
      <c r="G3086" s="919" t="s">
        <v>9451</v>
      </c>
      <c r="H3086" s="919" t="s">
        <v>6203</v>
      </c>
      <c r="I3086" s="919" t="s">
        <v>3724</v>
      </c>
      <c r="J3086" s="919"/>
      <c r="K3086" s="920">
        <v>1</v>
      </c>
      <c r="L3086" s="920">
        <v>12</v>
      </c>
      <c r="M3086" s="920">
        <f t="shared" si="96"/>
        <v>32400</v>
      </c>
      <c r="N3086" s="919"/>
      <c r="O3086" s="919"/>
      <c r="P3086" s="921">
        <f t="shared" si="97"/>
        <v>0</v>
      </c>
    </row>
    <row r="3087" spans="1:16" ht="20.100000000000001" customHeight="1" x14ac:dyDescent="0.25">
      <c r="A3087" s="918" t="s">
        <v>490</v>
      </c>
      <c r="B3087" s="944" t="s">
        <v>3901</v>
      </c>
      <c r="C3087" s="919" t="s">
        <v>3902</v>
      </c>
      <c r="D3087" s="919" t="s">
        <v>4352</v>
      </c>
      <c r="E3087" s="920">
        <v>3000</v>
      </c>
      <c r="F3087" s="919" t="s">
        <v>9452</v>
      </c>
      <c r="G3087" s="919" t="s">
        <v>9453</v>
      </c>
      <c r="H3087" s="919" t="s">
        <v>4352</v>
      </c>
      <c r="I3087" s="919" t="s">
        <v>3724</v>
      </c>
      <c r="J3087" s="919"/>
      <c r="K3087" s="920">
        <v>1</v>
      </c>
      <c r="L3087" s="920">
        <v>12</v>
      </c>
      <c r="M3087" s="920">
        <f t="shared" si="96"/>
        <v>36000</v>
      </c>
      <c r="N3087" s="919"/>
      <c r="O3087" s="919"/>
      <c r="P3087" s="921">
        <f t="shared" si="97"/>
        <v>0</v>
      </c>
    </row>
    <row r="3088" spans="1:16" ht="20.100000000000001" customHeight="1" x14ac:dyDescent="0.25">
      <c r="A3088" s="918" t="s">
        <v>490</v>
      </c>
      <c r="B3088" s="944" t="s">
        <v>3901</v>
      </c>
      <c r="C3088" s="919" t="s">
        <v>3902</v>
      </c>
      <c r="D3088" s="919" t="s">
        <v>6120</v>
      </c>
      <c r="E3088" s="920">
        <v>4300</v>
      </c>
      <c r="F3088" s="919" t="s">
        <v>9454</v>
      </c>
      <c r="G3088" s="919" t="s">
        <v>9455</v>
      </c>
      <c r="H3088" s="919" t="s">
        <v>6120</v>
      </c>
      <c r="I3088" s="919" t="s">
        <v>3724</v>
      </c>
      <c r="J3088" s="919"/>
      <c r="K3088" s="920">
        <v>1</v>
      </c>
      <c r="L3088" s="920">
        <v>12</v>
      </c>
      <c r="M3088" s="920">
        <f t="shared" si="96"/>
        <v>51600</v>
      </c>
      <c r="N3088" s="919"/>
      <c r="O3088" s="919"/>
      <c r="P3088" s="921">
        <f t="shared" si="97"/>
        <v>0</v>
      </c>
    </row>
    <row r="3089" spans="1:16" ht="20.100000000000001" customHeight="1" x14ac:dyDescent="0.25">
      <c r="A3089" s="918" t="s">
        <v>490</v>
      </c>
      <c r="B3089" s="944" t="s">
        <v>3901</v>
      </c>
      <c r="C3089" s="919" t="s">
        <v>3902</v>
      </c>
      <c r="D3089" s="919" t="s">
        <v>4467</v>
      </c>
      <c r="E3089" s="920">
        <v>1300</v>
      </c>
      <c r="F3089" s="919" t="s">
        <v>9456</v>
      </c>
      <c r="G3089" s="919" t="s">
        <v>9457</v>
      </c>
      <c r="H3089" s="919" t="s">
        <v>4467</v>
      </c>
      <c r="I3089" s="919" t="s">
        <v>3686</v>
      </c>
      <c r="J3089" s="919"/>
      <c r="K3089" s="920">
        <v>1</v>
      </c>
      <c r="L3089" s="920">
        <v>12</v>
      </c>
      <c r="M3089" s="920">
        <f t="shared" si="96"/>
        <v>15600</v>
      </c>
      <c r="N3089" s="919"/>
      <c r="O3089" s="919"/>
      <c r="P3089" s="921">
        <f t="shared" si="97"/>
        <v>0</v>
      </c>
    </row>
    <row r="3090" spans="1:16" ht="20.100000000000001" customHeight="1" x14ac:dyDescent="0.25">
      <c r="A3090" s="918" t="s">
        <v>490</v>
      </c>
      <c r="B3090" s="944" t="s">
        <v>3901</v>
      </c>
      <c r="C3090" s="919" t="s">
        <v>3902</v>
      </c>
      <c r="D3090" s="919" t="s">
        <v>6120</v>
      </c>
      <c r="E3090" s="920">
        <v>4300</v>
      </c>
      <c r="F3090" s="919" t="s">
        <v>9458</v>
      </c>
      <c r="G3090" s="919" t="s">
        <v>9459</v>
      </c>
      <c r="H3090" s="919" t="s">
        <v>6120</v>
      </c>
      <c r="I3090" s="919" t="s">
        <v>3724</v>
      </c>
      <c r="J3090" s="919"/>
      <c r="K3090" s="920">
        <v>1</v>
      </c>
      <c r="L3090" s="920">
        <v>12</v>
      </c>
      <c r="M3090" s="920">
        <f t="shared" si="96"/>
        <v>51600</v>
      </c>
      <c r="N3090" s="919"/>
      <c r="O3090" s="919"/>
      <c r="P3090" s="921">
        <f t="shared" si="97"/>
        <v>0</v>
      </c>
    </row>
    <row r="3091" spans="1:16" ht="20.100000000000001" customHeight="1" x14ac:dyDescent="0.25">
      <c r="A3091" s="918" t="s">
        <v>490</v>
      </c>
      <c r="B3091" s="944" t="s">
        <v>3901</v>
      </c>
      <c r="C3091" s="919" t="s">
        <v>3902</v>
      </c>
      <c r="D3091" s="919" t="s">
        <v>3999</v>
      </c>
      <c r="E3091" s="920">
        <v>2500</v>
      </c>
      <c r="F3091" s="919" t="s">
        <v>9460</v>
      </c>
      <c r="G3091" s="919" t="s">
        <v>9461</v>
      </c>
      <c r="H3091" s="919" t="s">
        <v>3999</v>
      </c>
      <c r="I3091" s="919" t="s">
        <v>3724</v>
      </c>
      <c r="J3091" s="919"/>
      <c r="K3091" s="920">
        <v>1</v>
      </c>
      <c r="L3091" s="920">
        <v>12</v>
      </c>
      <c r="M3091" s="920">
        <f t="shared" si="96"/>
        <v>30000</v>
      </c>
      <c r="N3091" s="919"/>
      <c r="O3091" s="919"/>
      <c r="P3091" s="921">
        <f t="shared" si="97"/>
        <v>0</v>
      </c>
    </row>
    <row r="3092" spans="1:16" ht="20.100000000000001" customHeight="1" x14ac:dyDescent="0.25">
      <c r="A3092" s="918" t="s">
        <v>490</v>
      </c>
      <c r="B3092" s="944" t="s">
        <v>3901</v>
      </c>
      <c r="C3092" s="919" t="s">
        <v>3902</v>
      </c>
      <c r="D3092" s="919" t="s">
        <v>6071</v>
      </c>
      <c r="E3092" s="920">
        <v>1300</v>
      </c>
      <c r="F3092" s="919" t="s">
        <v>9462</v>
      </c>
      <c r="G3092" s="919" t="s">
        <v>9463</v>
      </c>
      <c r="H3092" s="919" t="s">
        <v>6071</v>
      </c>
      <c r="I3092" s="919" t="s">
        <v>3679</v>
      </c>
      <c r="J3092" s="919"/>
      <c r="K3092" s="920">
        <v>1</v>
      </c>
      <c r="L3092" s="920">
        <v>12</v>
      </c>
      <c r="M3092" s="920">
        <f t="shared" si="96"/>
        <v>15600</v>
      </c>
      <c r="N3092" s="919"/>
      <c r="O3092" s="919"/>
      <c r="P3092" s="921">
        <f t="shared" si="97"/>
        <v>0</v>
      </c>
    </row>
    <row r="3093" spans="1:16" ht="20.100000000000001" customHeight="1" x14ac:dyDescent="0.25">
      <c r="A3093" s="918" t="s">
        <v>490</v>
      </c>
      <c r="B3093" s="944" t="s">
        <v>3901</v>
      </c>
      <c r="C3093" s="919" t="s">
        <v>3902</v>
      </c>
      <c r="D3093" s="919" t="s">
        <v>6130</v>
      </c>
      <c r="E3093" s="920">
        <v>1900</v>
      </c>
      <c r="F3093" s="919" t="s">
        <v>9464</v>
      </c>
      <c r="G3093" s="919" t="s">
        <v>9465</v>
      </c>
      <c r="H3093" s="919" t="s">
        <v>6130</v>
      </c>
      <c r="I3093" s="919" t="s">
        <v>3686</v>
      </c>
      <c r="J3093" s="919"/>
      <c r="K3093" s="920">
        <v>1</v>
      </c>
      <c r="L3093" s="920">
        <v>12</v>
      </c>
      <c r="M3093" s="920">
        <f t="shared" si="96"/>
        <v>22800</v>
      </c>
      <c r="N3093" s="919"/>
      <c r="O3093" s="919"/>
      <c r="P3093" s="921">
        <f t="shared" si="97"/>
        <v>0</v>
      </c>
    </row>
    <row r="3094" spans="1:16" ht="20.100000000000001" customHeight="1" x14ac:dyDescent="0.25">
      <c r="A3094" s="918" t="s">
        <v>490</v>
      </c>
      <c r="B3094" s="944" t="s">
        <v>3901</v>
      </c>
      <c r="C3094" s="919" t="s">
        <v>3902</v>
      </c>
      <c r="D3094" s="919" t="s">
        <v>6071</v>
      </c>
      <c r="E3094" s="920">
        <v>1300</v>
      </c>
      <c r="F3094" s="919" t="s">
        <v>9466</v>
      </c>
      <c r="G3094" s="919" t="s">
        <v>9467</v>
      </c>
      <c r="H3094" s="919" t="s">
        <v>6071</v>
      </c>
      <c r="I3094" s="919" t="s">
        <v>3679</v>
      </c>
      <c r="J3094" s="919"/>
      <c r="K3094" s="920">
        <v>1</v>
      </c>
      <c r="L3094" s="920">
        <v>12</v>
      </c>
      <c r="M3094" s="920">
        <f t="shared" si="96"/>
        <v>15600</v>
      </c>
      <c r="N3094" s="919"/>
      <c r="O3094" s="919"/>
      <c r="P3094" s="921">
        <f t="shared" si="97"/>
        <v>0</v>
      </c>
    </row>
    <row r="3095" spans="1:16" ht="20.100000000000001" customHeight="1" x14ac:dyDescent="0.25">
      <c r="A3095" s="918" t="s">
        <v>490</v>
      </c>
      <c r="B3095" s="944" t="s">
        <v>3901</v>
      </c>
      <c r="C3095" s="919" t="s">
        <v>3902</v>
      </c>
      <c r="D3095" s="919" t="s">
        <v>4462</v>
      </c>
      <c r="E3095" s="920">
        <v>1300</v>
      </c>
      <c r="F3095" s="919" t="s">
        <v>9468</v>
      </c>
      <c r="G3095" s="919" t="s">
        <v>9469</v>
      </c>
      <c r="H3095" s="919" t="s">
        <v>4462</v>
      </c>
      <c r="I3095" s="919" t="s">
        <v>3686</v>
      </c>
      <c r="J3095" s="919"/>
      <c r="K3095" s="920">
        <v>1</v>
      </c>
      <c r="L3095" s="920">
        <v>12</v>
      </c>
      <c r="M3095" s="920">
        <f t="shared" si="96"/>
        <v>15600</v>
      </c>
      <c r="N3095" s="919"/>
      <c r="O3095" s="919"/>
      <c r="P3095" s="921">
        <f t="shared" si="97"/>
        <v>0</v>
      </c>
    </row>
    <row r="3096" spans="1:16" ht="20.100000000000001" customHeight="1" x14ac:dyDescent="0.25">
      <c r="A3096" s="918" t="s">
        <v>490</v>
      </c>
      <c r="B3096" s="944" t="s">
        <v>3901</v>
      </c>
      <c r="C3096" s="919" t="s">
        <v>3902</v>
      </c>
      <c r="D3096" s="919" t="s">
        <v>4109</v>
      </c>
      <c r="E3096" s="920">
        <v>1400</v>
      </c>
      <c r="F3096" s="919" t="s">
        <v>9470</v>
      </c>
      <c r="G3096" s="919" t="s">
        <v>9471</v>
      </c>
      <c r="H3096" s="919" t="s">
        <v>4109</v>
      </c>
      <c r="I3096" s="919" t="s">
        <v>3679</v>
      </c>
      <c r="J3096" s="919"/>
      <c r="K3096" s="920">
        <v>1</v>
      </c>
      <c r="L3096" s="920">
        <v>12</v>
      </c>
      <c r="M3096" s="920">
        <f t="shared" si="96"/>
        <v>16800</v>
      </c>
      <c r="N3096" s="919"/>
      <c r="O3096" s="919"/>
      <c r="P3096" s="921">
        <f t="shared" si="97"/>
        <v>0</v>
      </c>
    </row>
    <row r="3097" spans="1:16" ht="20.100000000000001" customHeight="1" x14ac:dyDescent="0.25">
      <c r="A3097" s="918" t="s">
        <v>490</v>
      </c>
      <c r="B3097" s="944" t="s">
        <v>3901</v>
      </c>
      <c r="C3097" s="919" t="s">
        <v>3902</v>
      </c>
      <c r="D3097" s="919" t="s">
        <v>4462</v>
      </c>
      <c r="E3097" s="920">
        <v>1900</v>
      </c>
      <c r="F3097" s="919" t="s">
        <v>9472</v>
      </c>
      <c r="G3097" s="919" t="s">
        <v>9473</v>
      </c>
      <c r="H3097" s="919" t="s">
        <v>4462</v>
      </c>
      <c r="I3097" s="919" t="s">
        <v>3686</v>
      </c>
      <c r="J3097" s="919"/>
      <c r="K3097" s="920">
        <v>1</v>
      </c>
      <c r="L3097" s="920">
        <v>12</v>
      </c>
      <c r="M3097" s="920">
        <f t="shared" si="96"/>
        <v>22800</v>
      </c>
      <c r="N3097" s="919"/>
      <c r="O3097" s="919"/>
      <c r="P3097" s="921">
        <f t="shared" si="97"/>
        <v>0</v>
      </c>
    </row>
    <row r="3098" spans="1:16" ht="20.100000000000001" customHeight="1" x14ac:dyDescent="0.25">
      <c r="A3098" s="918" t="s">
        <v>490</v>
      </c>
      <c r="B3098" s="944" t="s">
        <v>3901</v>
      </c>
      <c r="C3098" s="919" t="s">
        <v>3902</v>
      </c>
      <c r="D3098" s="919" t="s">
        <v>6617</v>
      </c>
      <c r="E3098" s="920">
        <v>930</v>
      </c>
      <c r="F3098" s="919" t="s">
        <v>9474</v>
      </c>
      <c r="G3098" s="919" t="s">
        <v>9475</v>
      </c>
      <c r="H3098" s="919" t="s">
        <v>6617</v>
      </c>
      <c r="I3098" s="919" t="s">
        <v>3679</v>
      </c>
      <c r="J3098" s="919"/>
      <c r="K3098" s="920">
        <v>1</v>
      </c>
      <c r="L3098" s="920">
        <v>12</v>
      </c>
      <c r="M3098" s="920">
        <f t="shared" si="96"/>
        <v>11160</v>
      </c>
      <c r="N3098" s="919"/>
      <c r="O3098" s="919"/>
      <c r="P3098" s="921">
        <f t="shared" si="97"/>
        <v>0</v>
      </c>
    </row>
    <row r="3099" spans="1:16" ht="20.100000000000001" customHeight="1" x14ac:dyDescent="0.25">
      <c r="A3099" s="918" t="s">
        <v>490</v>
      </c>
      <c r="B3099" s="944" t="s">
        <v>3901</v>
      </c>
      <c r="C3099" s="919" t="s">
        <v>3902</v>
      </c>
      <c r="D3099" s="919" t="s">
        <v>6617</v>
      </c>
      <c r="E3099" s="920">
        <v>930</v>
      </c>
      <c r="F3099" s="919" t="s">
        <v>9476</v>
      </c>
      <c r="G3099" s="919" t="s">
        <v>9477</v>
      </c>
      <c r="H3099" s="919" t="s">
        <v>6617</v>
      </c>
      <c r="I3099" s="919" t="s">
        <v>3679</v>
      </c>
      <c r="J3099" s="919"/>
      <c r="K3099" s="920">
        <v>1</v>
      </c>
      <c r="L3099" s="920">
        <v>12</v>
      </c>
      <c r="M3099" s="920">
        <f t="shared" si="96"/>
        <v>11160</v>
      </c>
      <c r="N3099" s="919"/>
      <c r="O3099" s="919"/>
      <c r="P3099" s="921">
        <f t="shared" si="97"/>
        <v>0</v>
      </c>
    </row>
    <row r="3100" spans="1:16" ht="20.100000000000001" customHeight="1" x14ac:dyDescent="0.25">
      <c r="A3100" s="918" t="s">
        <v>490</v>
      </c>
      <c r="B3100" s="944" t="s">
        <v>3901</v>
      </c>
      <c r="C3100" s="919" t="s">
        <v>3902</v>
      </c>
      <c r="D3100" s="919" t="s">
        <v>6617</v>
      </c>
      <c r="E3100" s="920">
        <v>930</v>
      </c>
      <c r="F3100" s="919" t="s">
        <v>9478</v>
      </c>
      <c r="G3100" s="919" t="s">
        <v>9479</v>
      </c>
      <c r="H3100" s="919" t="s">
        <v>6617</v>
      </c>
      <c r="I3100" s="919" t="s">
        <v>3679</v>
      </c>
      <c r="J3100" s="919"/>
      <c r="K3100" s="920">
        <v>1</v>
      </c>
      <c r="L3100" s="920">
        <v>12</v>
      </c>
      <c r="M3100" s="920">
        <f t="shared" si="96"/>
        <v>11160</v>
      </c>
      <c r="N3100" s="919"/>
      <c r="O3100" s="919"/>
      <c r="P3100" s="921">
        <f t="shared" si="97"/>
        <v>0</v>
      </c>
    </row>
    <row r="3101" spans="1:16" ht="20.100000000000001" customHeight="1" x14ac:dyDescent="0.25">
      <c r="A3101" s="918" t="s">
        <v>490</v>
      </c>
      <c r="B3101" s="944" t="s">
        <v>3901</v>
      </c>
      <c r="C3101" s="919" t="s">
        <v>3902</v>
      </c>
      <c r="D3101" s="919" t="s">
        <v>6617</v>
      </c>
      <c r="E3101" s="920">
        <v>930</v>
      </c>
      <c r="F3101" s="919" t="s">
        <v>9480</v>
      </c>
      <c r="G3101" s="919" t="s">
        <v>9481</v>
      </c>
      <c r="H3101" s="919" t="s">
        <v>6617</v>
      </c>
      <c r="I3101" s="919" t="s">
        <v>3679</v>
      </c>
      <c r="J3101" s="919"/>
      <c r="K3101" s="920">
        <v>1</v>
      </c>
      <c r="L3101" s="920">
        <v>12</v>
      </c>
      <c r="M3101" s="920">
        <f t="shared" si="96"/>
        <v>11160</v>
      </c>
      <c r="N3101" s="919"/>
      <c r="O3101" s="919"/>
      <c r="P3101" s="921">
        <f t="shared" si="97"/>
        <v>0</v>
      </c>
    </row>
    <row r="3102" spans="1:16" ht="20.100000000000001" customHeight="1" x14ac:dyDescent="0.25">
      <c r="A3102" s="918" t="s">
        <v>490</v>
      </c>
      <c r="B3102" s="944" t="s">
        <v>3901</v>
      </c>
      <c r="C3102" s="919" t="s">
        <v>3902</v>
      </c>
      <c r="D3102" s="919" t="s">
        <v>4462</v>
      </c>
      <c r="E3102" s="920">
        <v>1900</v>
      </c>
      <c r="F3102" s="919" t="s">
        <v>9482</v>
      </c>
      <c r="G3102" s="919" t="s">
        <v>9483</v>
      </c>
      <c r="H3102" s="919" t="s">
        <v>4462</v>
      </c>
      <c r="I3102" s="919" t="s">
        <v>3686</v>
      </c>
      <c r="J3102" s="919"/>
      <c r="K3102" s="920">
        <v>1</v>
      </c>
      <c r="L3102" s="920">
        <v>12</v>
      </c>
      <c r="M3102" s="920">
        <f t="shared" si="96"/>
        <v>22800</v>
      </c>
      <c r="N3102" s="919"/>
      <c r="O3102" s="919"/>
      <c r="P3102" s="921">
        <f t="shared" si="97"/>
        <v>0</v>
      </c>
    </row>
    <row r="3103" spans="1:16" ht="20.100000000000001" customHeight="1" x14ac:dyDescent="0.25">
      <c r="A3103" s="918" t="s">
        <v>490</v>
      </c>
      <c r="B3103" s="944" t="s">
        <v>3901</v>
      </c>
      <c r="C3103" s="919" t="s">
        <v>3902</v>
      </c>
      <c r="D3103" s="919" t="s">
        <v>4352</v>
      </c>
      <c r="E3103" s="920">
        <v>2000</v>
      </c>
      <c r="F3103" s="919" t="s">
        <v>9484</v>
      </c>
      <c r="G3103" s="919" t="s">
        <v>9485</v>
      </c>
      <c r="H3103" s="919" t="s">
        <v>4352</v>
      </c>
      <c r="I3103" s="919" t="s">
        <v>3724</v>
      </c>
      <c r="J3103" s="919"/>
      <c r="K3103" s="920">
        <v>1</v>
      </c>
      <c r="L3103" s="920">
        <v>12</v>
      </c>
      <c r="M3103" s="920">
        <f t="shared" si="96"/>
        <v>24000</v>
      </c>
      <c r="N3103" s="919"/>
      <c r="O3103" s="919"/>
      <c r="P3103" s="921">
        <f t="shared" si="97"/>
        <v>0</v>
      </c>
    </row>
    <row r="3104" spans="1:16" ht="20.100000000000001" customHeight="1" x14ac:dyDescent="0.25">
      <c r="A3104" s="918" t="s">
        <v>490</v>
      </c>
      <c r="B3104" s="944" t="s">
        <v>3901</v>
      </c>
      <c r="C3104" s="919" t="s">
        <v>3902</v>
      </c>
      <c r="D3104" s="919" t="s">
        <v>6617</v>
      </c>
      <c r="E3104" s="920">
        <v>930</v>
      </c>
      <c r="F3104" s="919" t="s">
        <v>9486</v>
      </c>
      <c r="G3104" s="919" t="s">
        <v>9487</v>
      </c>
      <c r="H3104" s="919" t="s">
        <v>6617</v>
      </c>
      <c r="I3104" s="919" t="s">
        <v>3679</v>
      </c>
      <c r="J3104" s="919"/>
      <c r="K3104" s="920">
        <v>1</v>
      </c>
      <c r="L3104" s="920">
        <v>12</v>
      </c>
      <c r="M3104" s="920">
        <f t="shared" si="96"/>
        <v>11160</v>
      </c>
      <c r="N3104" s="919"/>
      <c r="O3104" s="919"/>
      <c r="P3104" s="921">
        <f t="shared" si="97"/>
        <v>0</v>
      </c>
    </row>
    <row r="3105" spans="1:16" ht="20.100000000000001" customHeight="1" x14ac:dyDescent="0.25">
      <c r="A3105" s="918" t="s">
        <v>490</v>
      </c>
      <c r="B3105" s="944" t="s">
        <v>3901</v>
      </c>
      <c r="C3105" s="919" t="s">
        <v>3902</v>
      </c>
      <c r="D3105" s="919" t="s">
        <v>6130</v>
      </c>
      <c r="E3105" s="920">
        <v>1500</v>
      </c>
      <c r="F3105" s="919" t="s">
        <v>9488</v>
      </c>
      <c r="G3105" s="919" t="s">
        <v>9489</v>
      </c>
      <c r="H3105" s="919" t="s">
        <v>6130</v>
      </c>
      <c r="I3105" s="919" t="s">
        <v>3686</v>
      </c>
      <c r="J3105" s="919"/>
      <c r="K3105" s="920">
        <v>1</v>
      </c>
      <c r="L3105" s="920">
        <v>12</v>
      </c>
      <c r="M3105" s="920">
        <f t="shared" si="96"/>
        <v>18000</v>
      </c>
      <c r="N3105" s="919"/>
      <c r="O3105" s="919"/>
      <c r="P3105" s="921">
        <f t="shared" si="97"/>
        <v>0</v>
      </c>
    </row>
    <row r="3106" spans="1:16" ht="20.100000000000001" customHeight="1" x14ac:dyDescent="0.25">
      <c r="A3106" s="918" t="s">
        <v>490</v>
      </c>
      <c r="B3106" s="944" t="s">
        <v>3901</v>
      </c>
      <c r="C3106" s="919" t="s">
        <v>3902</v>
      </c>
      <c r="D3106" s="919" t="s">
        <v>3999</v>
      </c>
      <c r="E3106" s="920">
        <v>2200</v>
      </c>
      <c r="F3106" s="919" t="s">
        <v>9490</v>
      </c>
      <c r="G3106" s="919" t="s">
        <v>9491</v>
      </c>
      <c r="H3106" s="919" t="s">
        <v>3999</v>
      </c>
      <c r="I3106" s="919" t="s">
        <v>3724</v>
      </c>
      <c r="J3106" s="919"/>
      <c r="K3106" s="920">
        <v>1</v>
      </c>
      <c r="L3106" s="920">
        <v>12</v>
      </c>
      <c r="M3106" s="920">
        <f t="shared" si="96"/>
        <v>26400</v>
      </c>
      <c r="N3106" s="919"/>
      <c r="O3106" s="919"/>
      <c r="P3106" s="921">
        <f t="shared" si="97"/>
        <v>0</v>
      </c>
    </row>
    <row r="3107" spans="1:16" ht="20.100000000000001" customHeight="1" x14ac:dyDescent="0.25">
      <c r="A3107" s="918" t="s">
        <v>490</v>
      </c>
      <c r="B3107" s="944" t="s">
        <v>3901</v>
      </c>
      <c r="C3107" s="919" t="s">
        <v>3902</v>
      </c>
      <c r="D3107" s="919" t="s">
        <v>4352</v>
      </c>
      <c r="E3107" s="920">
        <v>2700</v>
      </c>
      <c r="F3107" s="919" t="s">
        <v>4041</v>
      </c>
      <c r="G3107" s="919" t="s">
        <v>4042</v>
      </c>
      <c r="H3107" s="919" t="s">
        <v>4352</v>
      </c>
      <c r="I3107" s="919" t="s">
        <v>3724</v>
      </c>
      <c r="J3107" s="919"/>
      <c r="K3107" s="920">
        <v>1</v>
      </c>
      <c r="L3107" s="920">
        <v>12</v>
      </c>
      <c r="M3107" s="920">
        <f t="shared" si="96"/>
        <v>32400</v>
      </c>
      <c r="N3107" s="919"/>
      <c r="O3107" s="919"/>
      <c r="P3107" s="921">
        <f t="shared" si="97"/>
        <v>0</v>
      </c>
    </row>
    <row r="3108" spans="1:16" ht="20.100000000000001" customHeight="1" x14ac:dyDescent="0.25">
      <c r="A3108" s="918" t="s">
        <v>490</v>
      </c>
      <c r="B3108" s="944" t="s">
        <v>3901</v>
      </c>
      <c r="C3108" s="919" t="s">
        <v>3902</v>
      </c>
      <c r="D3108" s="919" t="s">
        <v>6617</v>
      </c>
      <c r="E3108" s="920">
        <v>930</v>
      </c>
      <c r="F3108" s="919" t="s">
        <v>9492</v>
      </c>
      <c r="G3108" s="919" t="s">
        <v>9493</v>
      </c>
      <c r="H3108" s="919" t="s">
        <v>6617</v>
      </c>
      <c r="I3108" s="919" t="s">
        <v>3679</v>
      </c>
      <c r="J3108" s="919"/>
      <c r="K3108" s="920">
        <v>1</v>
      </c>
      <c r="L3108" s="920">
        <v>12</v>
      </c>
      <c r="M3108" s="920">
        <f t="shared" si="96"/>
        <v>11160</v>
      </c>
      <c r="N3108" s="919"/>
      <c r="O3108" s="919"/>
      <c r="P3108" s="921">
        <f t="shared" si="97"/>
        <v>0</v>
      </c>
    </row>
    <row r="3109" spans="1:16" ht="20.100000000000001" customHeight="1" x14ac:dyDescent="0.25">
      <c r="A3109" s="918" t="s">
        <v>490</v>
      </c>
      <c r="B3109" s="944" t="s">
        <v>3901</v>
      </c>
      <c r="C3109" s="919" t="s">
        <v>3902</v>
      </c>
      <c r="D3109" s="919" t="s">
        <v>6071</v>
      </c>
      <c r="E3109" s="920">
        <v>1500</v>
      </c>
      <c r="F3109" s="919" t="s">
        <v>9494</v>
      </c>
      <c r="G3109" s="919" t="s">
        <v>9495</v>
      </c>
      <c r="H3109" s="919" t="s">
        <v>6071</v>
      </c>
      <c r="I3109" s="919" t="s">
        <v>3679</v>
      </c>
      <c r="J3109" s="919"/>
      <c r="K3109" s="920">
        <v>1</v>
      </c>
      <c r="L3109" s="920">
        <v>12</v>
      </c>
      <c r="M3109" s="920">
        <f t="shared" si="96"/>
        <v>18000</v>
      </c>
      <c r="N3109" s="919"/>
      <c r="O3109" s="919"/>
      <c r="P3109" s="921">
        <f t="shared" si="97"/>
        <v>0</v>
      </c>
    </row>
    <row r="3110" spans="1:16" ht="20.100000000000001" customHeight="1" x14ac:dyDescent="0.25">
      <c r="A3110" s="918" t="s">
        <v>490</v>
      </c>
      <c r="B3110" s="944" t="s">
        <v>3901</v>
      </c>
      <c r="C3110" s="919" t="s">
        <v>3902</v>
      </c>
      <c r="D3110" s="919" t="s">
        <v>6130</v>
      </c>
      <c r="E3110" s="920">
        <v>1500</v>
      </c>
      <c r="F3110" s="919" t="s">
        <v>9496</v>
      </c>
      <c r="G3110" s="919" t="s">
        <v>9497</v>
      </c>
      <c r="H3110" s="919" t="s">
        <v>6130</v>
      </c>
      <c r="I3110" s="919" t="s">
        <v>3686</v>
      </c>
      <c r="J3110" s="919"/>
      <c r="K3110" s="920">
        <v>1</v>
      </c>
      <c r="L3110" s="920">
        <v>12</v>
      </c>
      <c r="M3110" s="920">
        <f t="shared" si="96"/>
        <v>18000</v>
      </c>
      <c r="N3110" s="919"/>
      <c r="O3110" s="919"/>
      <c r="P3110" s="921">
        <f t="shared" si="97"/>
        <v>0</v>
      </c>
    </row>
    <row r="3111" spans="1:16" ht="20.100000000000001" customHeight="1" x14ac:dyDescent="0.25">
      <c r="A3111" s="918" t="s">
        <v>490</v>
      </c>
      <c r="B3111" s="944" t="s">
        <v>3901</v>
      </c>
      <c r="C3111" s="919" t="s">
        <v>3902</v>
      </c>
      <c r="D3111" s="919" t="s">
        <v>3999</v>
      </c>
      <c r="E3111" s="920">
        <v>2200</v>
      </c>
      <c r="F3111" s="919" t="s">
        <v>9498</v>
      </c>
      <c r="G3111" s="919" t="s">
        <v>9499</v>
      </c>
      <c r="H3111" s="919" t="s">
        <v>3999</v>
      </c>
      <c r="I3111" s="919" t="s">
        <v>3724</v>
      </c>
      <c r="J3111" s="919"/>
      <c r="K3111" s="920">
        <v>1</v>
      </c>
      <c r="L3111" s="920">
        <v>12</v>
      </c>
      <c r="M3111" s="920">
        <f t="shared" si="96"/>
        <v>26400</v>
      </c>
      <c r="N3111" s="919"/>
      <c r="O3111" s="919"/>
      <c r="P3111" s="921">
        <f t="shared" si="97"/>
        <v>0</v>
      </c>
    </row>
    <row r="3112" spans="1:16" ht="20.100000000000001" customHeight="1" x14ac:dyDescent="0.25">
      <c r="A3112" s="918" t="s">
        <v>490</v>
      </c>
      <c r="B3112" s="944" t="s">
        <v>3901</v>
      </c>
      <c r="C3112" s="919" t="s">
        <v>3902</v>
      </c>
      <c r="D3112" s="919" t="s">
        <v>6071</v>
      </c>
      <c r="E3112" s="920">
        <v>1300</v>
      </c>
      <c r="F3112" s="919" t="s">
        <v>9500</v>
      </c>
      <c r="G3112" s="919" t="s">
        <v>9501</v>
      </c>
      <c r="H3112" s="919" t="s">
        <v>6071</v>
      </c>
      <c r="I3112" s="919" t="s">
        <v>3679</v>
      </c>
      <c r="J3112" s="919"/>
      <c r="K3112" s="920">
        <v>1</v>
      </c>
      <c r="L3112" s="920">
        <v>12</v>
      </c>
      <c r="M3112" s="920">
        <f t="shared" si="96"/>
        <v>15600</v>
      </c>
      <c r="N3112" s="919"/>
      <c r="O3112" s="919"/>
      <c r="P3112" s="921">
        <f t="shared" si="97"/>
        <v>0</v>
      </c>
    </row>
    <row r="3113" spans="1:16" ht="20.100000000000001" customHeight="1" x14ac:dyDescent="0.25">
      <c r="A3113" s="918" t="s">
        <v>490</v>
      </c>
      <c r="B3113" s="944" t="s">
        <v>3901</v>
      </c>
      <c r="C3113" s="919" t="s">
        <v>3902</v>
      </c>
      <c r="D3113" s="919" t="s">
        <v>6130</v>
      </c>
      <c r="E3113" s="920">
        <v>1500</v>
      </c>
      <c r="F3113" s="919" t="s">
        <v>9502</v>
      </c>
      <c r="G3113" s="919" t="s">
        <v>9503</v>
      </c>
      <c r="H3113" s="919" t="s">
        <v>6130</v>
      </c>
      <c r="I3113" s="919" t="s">
        <v>3686</v>
      </c>
      <c r="J3113" s="919"/>
      <c r="K3113" s="920">
        <v>1</v>
      </c>
      <c r="L3113" s="920">
        <v>12</v>
      </c>
      <c r="M3113" s="920">
        <f t="shared" si="96"/>
        <v>18000</v>
      </c>
      <c r="N3113" s="919"/>
      <c r="O3113" s="919"/>
      <c r="P3113" s="921">
        <f t="shared" si="97"/>
        <v>0</v>
      </c>
    </row>
    <row r="3114" spans="1:16" ht="20.100000000000001" customHeight="1" x14ac:dyDescent="0.25">
      <c r="A3114" s="918" t="s">
        <v>490</v>
      </c>
      <c r="B3114" s="944" t="s">
        <v>3901</v>
      </c>
      <c r="C3114" s="919" t="s">
        <v>3902</v>
      </c>
      <c r="D3114" s="919" t="s">
        <v>6071</v>
      </c>
      <c r="E3114" s="920">
        <v>1300</v>
      </c>
      <c r="F3114" s="919" t="s">
        <v>9504</v>
      </c>
      <c r="G3114" s="919" t="s">
        <v>9505</v>
      </c>
      <c r="H3114" s="919" t="s">
        <v>6071</v>
      </c>
      <c r="I3114" s="919" t="s">
        <v>3679</v>
      </c>
      <c r="J3114" s="919"/>
      <c r="K3114" s="920">
        <v>1</v>
      </c>
      <c r="L3114" s="920">
        <v>12</v>
      </c>
      <c r="M3114" s="920">
        <f t="shared" si="96"/>
        <v>15600</v>
      </c>
      <c r="N3114" s="919"/>
      <c r="O3114" s="919"/>
      <c r="P3114" s="921">
        <f t="shared" si="97"/>
        <v>0</v>
      </c>
    </row>
    <row r="3115" spans="1:16" ht="20.100000000000001" customHeight="1" x14ac:dyDescent="0.25">
      <c r="A3115" s="918" t="s">
        <v>490</v>
      </c>
      <c r="B3115" s="944" t="s">
        <v>3901</v>
      </c>
      <c r="C3115" s="919" t="s">
        <v>3902</v>
      </c>
      <c r="D3115" s="919" t="s">
        <v>4462</v>
      </c>
      <c r="E3115" s="920">
        <v>1500</v>
      </c>
      <c r="F3115" s="919" t="s">
        <v>9506</v>
      </c>
      <c r="G3115" s="919" t="s">
        <v>9507</v>
      </c>
      <c r="H3115" s="919" t="s">
        <v>4462</v>
      </c>
      <c r="I3115" s="919" t="s">
        <v>3686</v>
      </c>
      <c r="J3115" s="919"/>
      <c r="K3115" s="920">
        <v>1</v>
      </c>
      <c r="L3115" s="920">
        <v>12</v>
      </c>
      <c r="M3115" s="920">
        <f t="shared" si="96"/>
        <v>18000</v>
      </c>
      <c r="N3115" s="919"/>
      <c r="O3115" s="919"/>
      <c r="P3115" s="921">
        <f t="shared" si="97"/>
        <v>0</v>
      </c>
    </row>
    <row r="3116" spans="1:16" ht="20.100000000000001" customHeight="1" x14ac:dyDescent="0.25">
      <c r="A3116" s="918" t="s">
        <v>490</v>
      </c>
      <c r="B3116" s="944" t="s">
        <v>3901</v>
      </c>
      <c r="C3116" s="919" t="s">
        <v>3902</v>
      </c>
      <c r="D3116" s="919" t="s">
        <v>4352</v>
      </c>
      <c r="E3116" s="920">
        <v>2500</v>
      </c>
      <c r="F3116" s="919" t="s">
        <v>9508</v>
      </c>
      <c r="G3116" s="919" t="s">
        <v>9509</v>
      </c>
      <c r="H3116" s="919" t="s">
        <v>4352</v>
      </c>
      <c r="I3116" s="919" t="s">
        <v>3724</v>
      </c>
      <c r="J3116" s="919"/>
      <c r="K3116" s="920">
        <v>1</v>
      </c>
      <c r="L3116" s="920">
        <v>12</v>
      </c>
      <c r="M3116" s="920">
        <f t="shared" si="96"/>
        <v>30000</v>
      </c>
      <c r="N3116" s="919"/>
      <c r="O3116" s="919"/>
      <c r="P3116" s="921">
        <f t="shared" si="97"/>
        <v>0</v>
      </c>
    </row>
    <row r="3117" spans="1:16" ht="20.100000000000001" customHeight="1" x14ac:dyDescent="0.25">
      <c r="A3117" s="918" t="s">
        <v>490</v>
      </c>
      <c r="B3117" s="944" t="s">
        <v>3901</v>
      </c>
      <c r="C3117" s="919" t="s">
        <v>3902</v>
      </c>
      <c r="D3117" s="919" t="s">
        <v>3999</v>
      </c>
      <c r="E3117" s="920">
        <v>3000</v>
      </c>
      <c r="F3117" s="919" t="s">
        <v>9510</v>
      </c>
      <c r="G3117" s="919" t="s">
        <v>9511</v>
      </c>
      <c r="H3117" s="919" t="s">
        <v>3999</v>
      </c>
      <c r="I3117" s="919" t="s">
        <v>3724</v>
      </c>
      <c r="J3117" s="919"/>
      <c r="K3117" s="920">
        <v>1</v>
      </c>
      <c r="L3117" s="920">
        <v>12</v>
      </c>
      <c r="M3117" s="920">
        <f t="shared" si="96"/>
        <v>36000</v>
      </c>
      <c r="N3117" s="919"/>
      <c r="O3117" s="919"/>
      <c r="P3117" s="921">
        <f t="shared" si="97"/>
        <v>0</v>
      </c>
    </row>
    <row r="3118" spans="1:16" ht="20.100000000000001" customHeight="1" x14ac:dyDescent="0.25">
      <c r="A3118" s="918" t="s">
        <v>490</v>
      </c>
      <c r="B3118" s="944" t="s">
        <v>3901</v>
      </c>
      <c r="C3118" s="919" t="s">
        <v>3902</v>
      </c>
      <c r="D3118" s="919" t="s">
        <v>6617</v>
      </c>
      <c r="E3118" s="920">
        <v>930</v>
      </c>
      <c r="F3118" s="919" t="s">
        <v>9512</v>
      </c>
      <c r="G3118" s="919" t="s">
        <v>9513</v>
      </c>
      <c r="H3118" s="919" t="s">
        <v>6617</v>
      </c>
      <c r="I3118" s="919" t="s">
        <v>3679</v>
      </c>
      <c r="J3118" s="919"/>
      <c r="K3118" s="920">
        <v>1</v>
      </c>
      <c r="L3118" s="920">
        <v>12</v>
      </c>
      <c r="M3118" s="920">
        <f t="shared" si="96"/>
        <v>11160</v>
      </c>
      <c r="N3118" s="919"/>
      <c r="O3118" s="919"/>
      <c r="P3118" s="921">
        <f t="shared" si="97"/>
        <v>0</v>
      </c>
    </row>
    <row r="3119" spans="1:16" ht="20.100000000000001" customHeight="1" x14ac:dyDescent="0.25">
      <c r="A3119" s="918" t="s">
        <v>490</v>
      </c>
      <c r="B3119" s="944" t="s">
        <v>3901</v>
      </c>
      <c r="C3119" s="919" t="s">
        <v>3902</v>
      </c>
      <c r="D3119" s="919" t="s">
        <v>6071</v>
      </c>
      <c r="E3119" s="920">
        <v>1300</v>
      </c>
      <c r="F3119" s="919" t="s">
        <v>9514</v>
      </c>
      <c r="G3119" s="919" t="s">
        <v>9515</v>
      </c>
      <c r="H3119" s="919" t="s">
        <v>6071</v>
      </c>
      <c r="I3119" s="919" t="s">
        <v>3679</v>
      </c>
      <c r="J3119" s="919"/>
      <c r="K3119" s="920">
        <v>1</v>
      </c>
      <c r="L3119" s="920">
        <v>12</v>
      </c>
      <c r="M3119" s="920">
        <f t="shared" si="96"/>
        <v>15600</v>
      </c>
      <c r="N3119" s="919"/>
      <c r="O3119" s="919"/>
      <c r="P3119" s="921">
        <f t="shared" si="97"/>
        <v>0</v>
      </c>
    </row>
    <row r="3120" spans="1:16" ht="20.100000000000001" customHeight="1" x14ac:dyDescent="0.25">
      <c r="A3120" s="918" t="s">
        <v>490</v>
      </c>
      <c r="B3120" s="944" t="s">
        <v>3901</v>
      </c>
      <c r="C3120" s="919" t="s">
        <v>3902</v>
      </c>
      <c r="D3120" s="919" t="s">
        <v>6617</v>
      </c>
      <c r="E3120" s="920">
        <v>930</v>
      </c>
      <c r="F3120" s="919" t="s">
        <v>9516</v>
      </c>
      <c r="G3120" s="919" t="s">
        <v>9517</v>
      </c>
      <c r="H3120" s="919" t="s">
        <v>6617</v>
      </c>
      <c r="I3120" s="919" t="s">
        <v>3679</v>
      </c>
      <c r="J3120" s="919"/>
      <c r="K3120" s="920">
        <v>1</v>
      </c>
      <c r="L3120" s="920">
        <v>12</v>
      </c>
      <c r="M3120" s="920">
        <f t="shared" si="96"/>
        <v>11160</v>
      </c>
      <c r="N3120" s="919"/>
      <c r="O3120" s="919"/>
      <c r="P3120" s="921">
        <f t="shared" si="97"/>
        <v>0</v>
      </c>
    </row>
    <row r="3121" spans="1:16" ht="20.100000000000001" customHeight="1" x14ac:dyDescent="0.25">
      <c r="A3121" s="918" t="s">
        <v>490</v>
      </c>
      <c r="B3121" s="944" t="s">
        <v>3901</v>
      </c>
      <c r="C3121" s="919" t="s">
        <v>3902</v>
      </c>
      <c r="D3121" s="919" t="s">
        <v>6071</v>
      </c>
      <c r="E3121" s="920">
        <v>1300</v>
      </c>
      <c r="F3121" s="919" t="s">
        <v>9518</v>
      </c>
      <c r="G3121" s="919" t="s">
        <v>9519</v>
      </c>
      <c r="H3121" s="919" t="s">
        <v>6071</v>
      </c>
      <c r="I3121" s="919" t="s">
        <v>3679</v>
      </c>
      <c r="J3121" s="919"/>
      <c r="K3121" s="920">
        <v>1</v>
      </c>
      <c r="L3121" s="920">
        <v>12</v>
      </c>
      <c r="M3121" s="920">
        <f t="shared" si="96"/>
        <v>15600</v>
      </c>
      <c r="N3121" s="919"/>
      <c r="O3121" s="919"/>
      <c r="P3121" s="921">
        <f t="shared" si="97"/>
        <v>0</v>
      </c>
    </row>
    <row r="3122" spans="1:16" ht="20.100000000000001" customHeight="1" x14ac:dyDescent="0.25">
      <c r="A3122" s="918" t="s">
        <v>490</v>
      </c>
      <c r="B3122" s="944" t="s">
        <v>3901</v>
      </c>
      <c r="C3122" s="919" t="s">
        <v>3902</v>
      </c>
      <c r="D3122" s="919" t="s">
        <v>6071</v>
      </c>
      <c r="E3122" s="920">
        <v>1700</v>
      </c>
      <c r="F3122" s="919" t="s">
        <v>9520</v>
      </c>
      <c r="G3122" s="919" t="s">
        <v>9521</v>
      </c>
      <c r="H3122" s="919" t="s">
        <v>6071</v>
      </c>
      <c r="I3122" s="919" t="s">
        <v>3679</v>
      </c>
      <c r="J3122" s="919"/>
      <c r="K3122" s="920">
        <v>1</v>
      </c>
      <c r="L3122" s="920">
        <v>12</v>
      </c>
      <c r="M3122" s="920">
        <f t="shared" si="96"/>
        <v>20400</v>
      </c>
      <c r="N3122" s="919"/>
      <c r="O3122" s="919"/>
      <c r="P3122" s="921">
        <f t="shared" si="97"/>
        <v>0</v>
      </c>
    </row>
    <row r="3123" spans="1:16" ht="20.100000000000001" customHeight="1" x14ac:dyDescent="0.25">
      <c r="A3123" s="918" t="s">
        <v>490</v>
      </c>
      <c r="B3123" s="944" t="s">
        <v>3901</v>
      </c>
      <c r="C3123" s="919" t="s">
        <v>3902</v>
      </c>
      <c r="D3123" s="919" t="s">
        <v>4462</v>
      </c>
      <c r="E3123" s="920">
        <v>1500</v>
      </c>
      <c r="F3123" s="919" t="s">
        <v>9522</v>
      </c>
      <c r="G3123" s="919" t="s">
        <v>9523</v>
      </c>
      <c r="H3123" s="919" t="s">
        <v>4462</v>
      </c>
      <c r="I3123" s="919" t="s">
        <v>3686</v>
      </c>
      <c r="J3123" s="919"/>
      <c r="K3123" s="920">
        <v>1</v>
      </c>
      <c r="L3123" s="920">
        <v>12</v>
      </c>
      <c r="M3123" s="920">
        <f t="shared" si="96"/>
        <v>18000</v>
      </c>
      <c r="N3123" s="919"/>
      <c r="O3123" s="919"/>
      <c r="P3123" s="921">
        <f t="shared" si="97"/>
        <v>0</v>
      </c>
    </row>
    <row r="3124" spans="1:16" ht="20.100000000000001" customHeight="1" x14ac:dyDescent="0.25">
      <c r="A3124" s="918" t="s">
        <v>490</v>
      </c>
      <c r="B3124" s="944" t="s">
        <v>3901</v>
      </c>
      <c r="C3124" s="919" t="s">
        <v>3902</v>
      </c>
      <c r="D3124" s="919" t="s">
        <v>6617</v>
      </c>
      <c r="E3124" s="920">
        <v>930</v>
      </c>
      <c r="F3124" s="919" t="s">
        <v>9524</v>
      </c>
      <c r="G3124" s="919" t="s">
        <v>9525</v>
      </c>
      <c r="H3124" s="919" t="s">
        <v>6617</v>
      </c>
      <c r="I3124" s="919" t="s">
        <v>3679</v>
      </c>
      <c r="J3124" s="919"/>
      <c r="K3124" s="920">
        <v>1</v>
      </c>
      <c r="L3124" s="920">
        <v>12</v>
      </c>
      <c r="M3124" s="920">
        <f t="shared" si="96"/>
        <v>11160</v>
      </c>
      <c r="N3124" s="919"/>
      <c r="O3124" s="919"/>
      <c r="P3124" s="921">
        <f t="shared" si="97"/>
        <v>0</v>
      </c>
    </row>
    <row r="3125" spans="1:16" ht="20.100000000000001" customHeight="1" x14ac:dyDescent="0.25">
      <c r="A3125" s="918" t="s">
        <v>490</v>
      </c>
      <c r="B3125" s="944" t="s">
        <v>3901</v>
      </c>
      <c r="C3125" s="919" t="s">
        <v>3902</v>
      </c>
      <c r="D3125" s="919" t="s">
        <v>6071</v>
      </c>
      <c r="E3125" s="920">
        <v>1500</v>
      </c>
      <c r="F3125" s="919" t="s">
        <v>9526</v>
      </c>
      <c r="G3125" s="919" t="s">
        <v>9527</v>
      </c>
      <c r="H3125" s="919" t="s">
        <v>6071</v>
      </c>
      <c r="I3125" s="919" t="s">
        <v>3679</v>
      </c>
      <c r="J3125" s="919"/>
      <c r="K3125" s="920">
        <v>1</v>
      </c>
      <c r="L3125" s="920">
        <v>12</v>
      </c>
      <c r="M3125" s="920">
        <f t="shared" si="96"/>
        <v>18000</v>
      </c>
      <c r="N3125" s="919"/>
      <c r="O3125" s="919"/>
      <c r="P3125" s="921">
        <f t="shared" si="97"/>
        <v>0</v>
      </c>
    </row>
    <row r="3126" spans="1:16" ht="20.100000000000001" customHeight="1" x14ac:dyDescent="0.25">
      <c r="A3126" s="918" t="s">
        <v>490</v>
      </c>
      <c r="B3126" s="944" t="s">
        <v>3901</v>
      </c>
      <c r="C3126" s="919" t="s">
        <v>3902</v>
      </c>
      <c r="D3126" s="919" t="s">
        <v>4352</v>
      </c>
      <c r="E3126" s="920">
        <v>2500</v>
      </c>
      <c r="F3126" s="919" t="s">
        <v>9528</v>
      </c>
      <c r="G3126" s="919" t="s">
        <v>9529</v>
      </c>
      <c r="H3126" s="919" t="s">
        <v>4352</v>
      </c>
      <c r="I3126" s="919" t="s">
        <v>3724</v>
      </c>
      <c r="J3126" s="919"/>
      <c r="K3126" s="920">
        <v>1</v>
      </c>
      <c r="L3126" s="920">
        <v>12</v>
      </c>
      <c r="M3126" s="920">
        <f t="shared" si="96"/>
        <v>30000</v>
      </c>
      <c r="N3126" s="919"/>
      <c r="O3126" s="919"/>
      <c r="P3126" s="921">
        <f t="shared" si="97"/>
        <v>0</v>
      </c>
    </row>
    <row r="3127" spans="1:16" ht="20.100000000000001" customHeight="1" x14ac:dyDescent="0.25">
      <c r="A3127" s="918" t="s">
        <v>490</v>
      </c>
      <c r="B3127" s="944" t="s">
        <v>3901</v>
      </c>
      <c r="C3127" s="919" t="s">
        <v>3902</v>
      </c>
      <c r="D3127" s="919" t="s">
        <v>6071</v>
      </c>
      <c r="E3127" s="920">
        <v>1500</v>
      </c>
      <c r="F3127" s="919" t="s">
        <v>9530</v>
      </c>
      <c r="G3127" s="919" t="s">
        <v>9531</v>
      </c>
      <c r="H3127" s="919" t="s">
        <v>6071</v>
      </c>
      <c r="I3127" s="919" t="s">
        <v>3679</v>
      </c>
      <c r="J3127" s="919"/>
      <c r="K3127" s="920">
        <v>1</v>
      </c>
      <c r="L3127" s="920">
        <v>12</v>
      </c>
      <c r="M3127" s="920">
        <f t="shared" si="96"/>
        <v>18000</v>
      </c>
      <c r="N3127" s="919"/>
      <c r="O3127" s="919"/>
      <c r="P3127" s="921">
        <f t="shared" si="97"/>
        <v>0</v>
      </c>
    </row>
    <row r="3128" spans="1:16" ht="20.100000000000001" customHeight="1" x14ac:dyDescent="0.25">
      <c r="A3128" s="918" t="s">
        <v>490</v>
      </c>
      <c r="B3128" s="944" t="s">
        <v>3901</v>
      </c>
      <c r="C3128" s="919" t="s">
        <v>3902</v>
      </c>
      <c r="D3128" s="919" t="s">
        <v>4352</v>
      </c>
      <c r="E3128" s="920">
        <v>2200</v>
      </c>
      <c r="F3128" s="919" t="s">
        <v>9532</v>
      </c>
      <c r="G3128" s="919" t="s">
        <v>9533</v>
      </c>
      <c r="H3128" s="919" t="s">
        <v>4352</v>
      </c>
      <c r="I3128" s="919" t="s">
        <v>3724</v>
      </c>
      <c r="J3128" s="919"/>
      <c r="K3128" s="920">
        <v>1</v>
      </c>
      <c r="L3128" s="920">
        <v>12</v>
      </c>
      <c r="M3128" s="920">
        <f t="shared" si="96"/>
        <v>26400</v>
      </c>
      <c r="N3128" s="919"/>
      <c r="O3128" s="919"/>
      <c r="P3128" s="921">
        <f t="shared" si="97"/>
        <v>0</v>
      </c>
    </row>
    <row r="3129" spans="1:16" ht="20.100000000000001" customHeight="1" x14ac:dyDescent="0.25">
      <c r="A3129" s="918" t="s">
        <v>490</v>
      </c>
      <c r="B3129" s="944" t="s">
        <v>3901</v>
      </c>
      <c r="C3129" s="919" t="s">
        <v>3902</v>
      </c>
      <c r="D3129" s="919" t="s">
        <v>3999</v>
      </c>
      <c r="E3129" s="920">
        <v>2500</v>
      </c>
      <c r="F3129" s="919" t="s">
        <v>9534</v>
      </c>
      <c r="G3129" s="919" t="s">
        <v>9535</v>
      </c>
      <c r="H3129" s="919" t="s">
        <v>3999</v>
      </c>
      <c r="I3129" s="919" t="s">
        <v>3724</v>
      </c>
      <c r="J3129" s="919"/>
      <c r="K3129" s="920">
        <v>1</v>
      </c>
      <c r="L3129" s="920">
        <v>12</v>
      </c>
      <c r="M3129" s="920">
        <f t="shared" si="96"/>
        <v>30000</v>
      </c>
      <c r="N3129" s="919"/>
      <c r="O3129" s="919"/>
      <c r="P3129" s="921">
        <f t="shared" si="97"/>
        <v>0</v>
      </c>
    </row>
    <row r="3130" spans="1:16" ht="20.100000000000001" customHeight="1" x14ac:dyDescent="0.25">
      <c r="A3130" s="918" t="s">
        <v>490</v>
      </c>
      <c r="B3130" s="944" t="s">
        <v>3901</v>
      </c>
      <c r="C3130" s="919" t="s">
        <v>3902</v>
      </c>
      <c r="D3130" s="919" t="s">
        <v>6071</v>
      </c>
      <c r="E3130" s="920">
        <v>1500</v>
      </c>
      <c r="F3130" s="919" t="s">
        <v>9536</v>
      </c>
      <c r="G3130" s="919" t="s">
        <v>9537</v>
      </c>
      <c r="H3130" s="919" t="s">
        <v>6071</v>
      </c>
      <c r="I3130" s="919" t="s">
        <v>3679</v>
      </c>
      <c r="J3130" s="919"/>
      <c r="K3130" s="920">
        <v>1</v>
      </c>
      <c r="L3130" s="920">
        <v>12</v>
      </c>
      <c r="M3130" s="920">
        <f t="shared" si="96"/>
        <v>18000</v>
      </c>
      <c r="N3130" s="919"/>
      <c r="O3130" s="919"/>
      <c r="P3130" s="921">
        <f t="shared" si="97"/>
        <v>0</v>
      </c>
    </row>
    <row r="3131" spans="1:16" ht="20.100000000000001" customHeight="1" x14ac:dyDescent="0.25">
      <c r="A3131" s="918" t="s">
        <v>490</v>
      </c>
      <c r="B3131" s="944" t="s">
        <v>3901</v>
      </c>
      <c r="C3131" s="919" t="s">
        <v>3902</v>
      </c>
      <c r="D3131" s="919" t="s">
        <v>3999</v>
      </c>
      <c r="E3131" s="920">
        <v>2500</v>
      </c>
      <c r="F3131" s="919" t="s">
        <v>9538</v>
      </c>
      <c r="G3131" s="919" t="s">
        <v>9539</v>
      </c>
      <c r="H3131" s="919" t="s">
        <v>3999</v>
      </c>
      <c r="I3131" s="919" t="s">
        <v>3724</v>
      </c>
      <c r="J3131" s="919"/>
      <c r="K3131" s="920">
        <v>1</v>
      </c>
      <c r="L3131" s="920">
        <v>12</v>
      </c>
      <c r="M3131" s="920">
        <f t="shared" si="96"/>
        <v>30000</v>
      </c>
      <c r="N3131" s="919"/>
      <c r="O3131" s="919"/>
      <c r="P3131" s="921">
        <f t="shared" si="97"/>
        <v>0</v>
      </c>
    </row>
    <row r="3132" spans="1:16" ht="20.100000000000001" customHeight="1" x14ac:dyDescent="0.25">
      <c r="A3132" s="918" t="s">
        <v>490</v>
      </c>
      <c r="B3132" s="944" t="s">
        <v>3901</v>
      </c>
      <c r="C3132" s="919" t="s">
        <v>3902</v>
      </c>
      <c r="D3132" s="919" t="s">
        <v>4462</v>
      </c>
      <c r="E3132" s="920">
        <v>1300</v>
      </c>
      <c r="F3132" s="919" t="s">
        <v>9540</v>
      </c>
      <c r="G3132" s="919" t="s">
        <v>9541</v>
      </c>
      <c r="H3132" s="919" t="s">
        <v>4462</v>
      </c>
      <c r="I3132" s="919" t="s">
        <v>3686</v>
      </c>
      <c r="J3132" s="919"/>
      <c r="K3132" s="920">
        <v>1</v>
      </c>
      <c r="L3132" s="920">
        <v>12</v>
      </c>
      <c r="M3132" s="920">
        <f t="shared" si="96"/>
        <v>15600</v>
      </c>
      <c r="N3132" s="919"/>
      <c r="O3132" s="919"/>
      <c r="P3132" s="921">
        <f t="shared" si="97"/>
        <v>0</v>
      </c>
    </row>
    <row r="3133" spans="1:16" ht="20.100000000000001" customHeight="1" x14ac:dyDescent="0.25">
      <c r="A3133" s="918" t="s">
        <v>490</v>
      </c>
      <c r="B3133" s="944" t="s">
        <v>3901</v>
      </c>
      <c r="C3133" s="919" t="s">
        <v>3902</v>
      </c>
      <c r="D3133" s="919" t="s">
        <v>6071</v>
      </c>
      <c r="E3133" s="920">
        <v>1300</v>
      </c>
      <c r="F3133" s="919" t="s">
        <v>9542</v>
      </c>
      <c r="G3133" s="919" t="s">
        <v>9543</v>
      </c>
      <c r="H3133" s="919" t="s">
        <v>6071</v>
      </c>
      <c r="I3133" s="919" t="s">
        <v>3679</v>
      </c>
      <c r="J3133" s="919"/>
      <c r="K3133" s="920">
        <v>1</v>
      </c>
      <c r="L3133" s="920">
        <v>12</v>
      </c>
      <c r="M3133" s="920">
        <f t="shared" si="96"/>
        <v>15600</v>
      </c>
      <c r="N3133" s="919"/>
      <c r="O3133" s="919"/>
      <c r="P3133" s="921">
        <f t="shared" si="97"/>
        <v>0</v>
      </c>
    </row>
    <row r="3134" spans="1:16" ht="20.100000000000001" customHeight="1" x14ac:dyDescent="0.25">
      <c r="A3134" s="918" t="s">
        <v>490</v>
      </c>
      <c r="B3134" s="944" t="s">
        <v>3901</v>
      </c>
      <c r="C3134" s="919" t="s">
        <v>3902</v>
      </c>
      <c r="D3134" s="919" t="s">
        <v>4352</v>
      </c>
      <c r="E3134" s="920">
        <v>2700</v>
      </c>
      <c r="F3134" s="919" t="s">
        <v>9544</v>
      </c>
      <c r="G3134" s="919" t="s">
        <v>9545</v>
      </c>
      <c r="H3134" s="919" t="s">
        <v>4352</v>
      </c>
      <c r="I3134" s="919" t="s">
        <v>3724</v>
      </c>
      <c r="J3134" s="919"/>
      <c r="K3134" s="920">
        <v>1</v>
      </c>
      <c r="L3134" s="920">
        <v>12</v>
      </c>
      <c r="M3134" s="920">
        <f t="shared" si="96"/>
        <v>32400</v>
      </c>
      <c r="N3134" s="919"/>
      <c r="O3134" s="919"/>
      <c r="P3134" s="921">
        <f t="shared" si="97"/>
        <v>0</v>
      </c>
    </row>
    <row r="3135" spans="1:16" ht="20.100000000000001" customHeight="1" x14ac:dyDescent="0.25">
      <c r="A3135" s="918" t="s">
        <v>490</v>
      </c>
      <c r="B3135" s="944" t="s">
        <v>3901</v>
      </c>
      <c r="C3135" s="919" t="s">
        <v>3902</v>
      </c>
      <c r="D3135" s="919" t="s">
        <v>6130</v>
      </c>
      <c r="E3135" s="920">
        <v>1500</v>
      </c>
      <c r="F3135" s="919" t="s">
        <v>9546</v>
      </c>
      <c r="G3135" s="919" t="s">
        <v>9547</v>
      </c>
      <c r="H3135" s="919" t="s">
        <v>6130</v>
      </c>
      <c r="I3135" s="919" t="s">
        <v>3686</v>
      </c>
      <c r="J3135" s="919"/>
      <c r="K3135" s="920">
        <v>1</v>
      </c>
      <c r="L3135" s="920">
        <v>12</v>
      </c>
      <c r="M3135" s="920">
        <f t="shared" si="96"/>
        <v>18000</v>
      </c>
      <c r="N3135" s="919"/>
      <c r="O3135" s="919"/>
      <c r="P3135" s="921">
        <f t="shared" si="97"/>
        <v>0</v>
      </c>
    </row>
    <row r="3136" spans="1:16" ht="20.100000000000001" customHeight="1" x14ac:dyDescent="0.25">
      <c r="A3136" s="918" t="s">
        <v>490</v>
      </c>
      <c r="B3136" s="944" t="s">
        <v>3901</v>
      </c>
      <c r="C3136" s="919" t="s">
        <v>3902</v>
      </c>
      <c r="D3136" s="919" t="s">
        <v>4352</v>
      </c>
      <c r="E3136" s="920">
        <v>2200</v>
      </c>
      <c r="F3136" s="919" t="s">
        <v>9548</v>
      </c>
      <c r="G3136" s="919" t="s">
        <v>9549</v>
      </c>
      <c r="H3136" s="919" t="s">
        <v>4352</v>
      </c>
      <c r="I3136" s="919" t="s">
        <v>3724</v>
      </c>
      <c r="J3136" s="919"/>
      <c r="K3136" s="920">
        <v>1</v>
      </c>
      <c r="L3136" s="920">
        <v>12</v>
      </c>
      <c r="M3136" s="920">
        <f t="shared" si="96"/>
        <v>26400</v>
      </c>
      <c r="N3136" s="919"/>
      <c r="O3136" s="919"/>
      <c r="P3136" s="921">
        <f t="shared" si="97"/>
        <v>0</v>
      </c>
    </row>
    <row r="3137" spans="1:16" ht="20.100000000000001" customHeight="1" x14ac:dyDescent="0.25">
      <c r="A3137" s="918" t="s">
        <v>490</v>
      </c>
      <c r="B3137" s="944" t="s">
        <v>3901</v>
      </c>
      <c r="C3137" s="919" t="s">
        <v>3902</v>
      </c>
      <c r="D3137" s="919" t="s">
        <v>6130</v>
      </c>
      <c r="E3137" s="920">
        <v>1900</v>
      </c>
      <c r="F3137" s="919" t="s">
        <v>9550</v>
      </c>
      <c r="G3137" s="919" t="s">
        <v>9551</v>
      </c>
      <c r="H3137" s="919" t="s">
        <v>6130</v>
      </c>
      <c r="I3137" s="919" t="s">
        <v>3686</v>
      </c>
      <c r="J3137" s="919"/>
      <c r="K3137" s="920">
        <v>1</v>
      </c>
      <c r="L3137" s="920">
        <v>12</v>
      </c>
      <c r="M3137" s="920">
        <f t="shared" si="96"/>
        <v>22800</v>
      </c>
      <c r="N3137" s="919"/>
      <c r="O3137" s="919"/>
      <c r="P3137" s="921">
        <f t="shared" si="97"/>
        <v>0</v>
      </c>
    </row>
    <row r="3138" spans="1:16" ht="20.100000000000001" customHeight="1" x14ac:dyDescent="0.25">
      <c r="A3138" s="918" t="s">
        <v>490</v>
      </c>
      <c r="B3138" s="944" t="s">
        <v>3901</v>
      </c>
      <c r="C3138" s="919" t="s">
        <v>3902</v>
      </c>
      <c r="D3138" s="919" t="s">
        <v>4462</v>
      </c>
      <c r="E3138" s="920">
        <v>1900</v>
      </c>
      <c r="F3138" s="919" t="s">
        <v>9552</v>
      </c>
      <c r="G3138" s="919" t="s">
        <v>9553</v>
      </c>
      <c r="H3138" s="919" t="s">
        <v>4462</v>
      </c>
      <c r="I3138" s="919" t="s">
        <v>3686</v>
      </c>
      <c r="J3138" s="919"/>
      <c r="K3138" s="920">
        <v>1</v>
      </c>
      <c r="L3138" s="920">
        <v>12</v>
      </c>
      <c r="M3138" s="920">
        <f t="shared" si="96"/>
        <v>22800</v>
      </c>
      <c r="N3138" s="919"/>
      <c r="O3138" s="919"/>
      <c r="P3138" s="921">
        <f t="shared" si="97"/>
        <v>0</v>
      </c>
    </row>
    <row r="3139" spans="1:16" ht="20.100000000000001" customHeight="1" x14ac:dyDescent="0.25">
      <c r="A3139" s="918" t="s">
        <v>490</v>
      </c>
      <c r="B3139" s="944" t="s">
        <v>3901</v>
      </c>
      <c r="C3139" s="919" t="s">
        <v>3902</v>
      </c>
      <c r="D3139" s="919" t="s">
        <v>3999</v>
      </c>
      <c r="E3139" s="920">
        <v>2200</v>
      </c>
      <c r="F3139" s="919" t="s">
        <v>9554</v>
      </c>
      <c r="G3139" s="919" t="s">
        <v>9555</v>
      </c>
      <c r="H3139" s="919" t="s">
        <v>3999</v>
      </c>
      <c r="I3139" s="919" t="s">
        <v>3724</v>
      </c>
      <c r="J3139" s="919"/>
      <c r="K3139" s="920">
        <v>1</v>
      </c>
      <c r="L3139" s="920">
        <v>12</v>
      </c>
      <c r="M3139" s="920">
        <f t="shared" si="96"/>
        <v>26400</v>
      </c>
      <c r="N3139" s="919"/>
      <c r="O3139" s="919"/>
      <c r="P3139" s="921">
        <f t="shared" si="97"/>
        <v>0</v>
      </c>
    </row>
    <row r="3140" spans="1:16" ht="20.100000000000001" customHeight="1" x14ac:dyDescent="0.25">
      <c r="A3140" s="918" t="s">
        <v>490</v>
      </c>
      <c r="B3140" s="944" t="s">
        <v>3901</v>
      </c>
      <c r="C3140" s="919" t="s">
        <v>3902</v>
      </c>
      <c r="D3140" s="919" t="s">
        <v>4352</v>
      </c>
      <c r="E3140" s="920">
        <v>2500</v>
      </c>
      <c r="F3140" s="919" t="s">
        <v>9556</v>
      </c>
      <c r="G3140" s="919" t="s">
        <v>9557</v>
      </c>
      <c r="H3140" s="919" t="s">
        <v>4352</v>
      </c>
      <c r="I3140" s="919" t="s">
        <v>3724</v>
      </c>
      <c r="J3140" s="919"/>
      <c r="K3140" s="920">
        <v>1</v>
      </c>
      <c r="L3140" s="920">
        <v>12</v>
      </c>
      <c r="M3140" s="920">
        <f t="shared" si="96"/>
        <v>30000</v>
      </c>
      <c r="N3140" s="919"/>
      <c r="O3140" s="919"/>
      <c r="P3140" s="921">
        <f t="shared" si="97"/>
        <v>0</v>
      </c>
    </row>
    <row r="3141" spans="1:16" ht="20.100000000000001" customHeight="1" x14ac:dyDescent="0.25">
      <c r="A3141" s="918" t="s">
        <v>490</v>
      </c>
      <c r="B3141" s="944" t="s">
        <v>3901</v>
      </c>
      <c r="C3141" s="919" t="s">
        <v>3902</v>
      </c>
      <c r="D3141" s="919" t="s">
        <v>6617</v>
      </c>
      <c r="E3141" s="920">
        <v>930</v>
      </c>
      <c r="F3141" s="919" t="s">
        <v>9558</v>
      </c>
      <c r="G3141" s="919" t="s">
        <v>9559</v>
      </c>
      <c r="H3141" s="919" t="s">
        <v>6617</v>
      </c>
      <c r="I3141" s="919" t="s">
        <v>3679</v>
      </c>
      <c r="J3141" s="919"/>
      <c r="K3141" s="920">
        <v>1</v>
      </c>
      <c r="L3141" s="920">
        <v>12</v>
      </c>
      <c r="M3141" s="920">
        <f t="shared" si="96"/>
        <v>11160</v>
      </c>
      <c r="N3141" s="919"/>
      <c r="O3141" s="919"/>
      <c r="P3141" s="921">
        <f t="shared" si="97"/>
        <v>0</v>
      </c>
    </row>
    <row r="3142" spans="1:16" ht="20.100000000000001" customHeight="1" x14ac:dyDescent="0.25">
      <c r="A3142" s="918" t="s">
        <v>490</v>
      </c>
      <c r="B3142" s="944" t="s">
        <v>3901</v>
      </c>
      <c r="C3142" s="919" t="s">
        <v>3902</v>
      </c>
      <c r="D3142" s="919" t="s">
        <v>4467</v>
      </c>
      <c r="E3142" s="920">
        <v>1500</v>
      </c>
      <c r="F3142" s="919" t="s">
        <v>9560</v>
      </c>
      <c r="G3142" s="919" t="s">
        <v>9561</v>
      </c>
      <c r="H3142" s="919" t="s">
        <v>4467</v>
      </c>
      <c r="I3142" s="919" t="s">
        <v>3686</v>
      </c>
      <c r="J3142" s="919"/>
      <c r="K3142" s="920">
        <v>1</v>
      </c>
      <c r="L3142" s="920">
        <v>12</v>
      </c>
      <c r="M3142" s="920">
        <f t="shared" ref="M3142:M3205" si="98">E3142*L3142</f>
        <v>18000</v>
      </c>
      <c r="N3142" s="919"/>
      <c r="O3142" s="919"/>
      <c r="P3142" s="921">
        <f t="shared" ref="P3142:P3205" si="99">E3142*O3142</f>
        <v>0</v>
      </c>
    </row>
    <row r="3143" spans="1:16" ht="20.100000000000001" customHeight="1" x14ac:dyDescent="0.25">
      <c r="A3143" s="918" t="s">
        <v>490</v>
      </c>
      <c r="B3143" s="944" t="s">
        <v>3901</v>
      </c>
      <c r="C3143" s="919" t="s">
        <v>3902</v>
      </c>
      <c r="D3143" s="919" t="s">
        <v>6071</v>
      </c>
      <c r="E3143" s="920">
        <v>1300</v>
      </c>
      <c r="F3143" s="919" t="s">
        <v>9562</v>
      </c>
      <c r="G3143" s="919" t="s">
        <v>9563</v>
      </c>
      <c r="H3143" s="919" t="s">
        <v>6071</v>
      </c>
      <c r="I3143" s="919" t="s">
        <v>3679</v>
      </c>
      <c r="J3143" s="919"/>
      <c r="K3143" s="920">
        <v>1</v>
      </c>
      <c r="L3143" s="920">
        <v>12</v>
      </c>
      <c r="M3143" s="920">
        <f t="shared" si="98"/>
        <v>15600</v>
      </c>
      <c r="N3143" s="919"/>
      <c r="O3143" s="919"/>
      <c r="P3143" s="921">
        <f t="shared" si="99"/>
        <v>0</v>
      </c>
    </row>
    <row r="3144" spans="1:16" ht="20.100000000000001" customHeight="1" x14ac:dyDescent="0.25">
      <c r="A3144" s="918" t="s">
        <v>490</v>
      </c>
      <c r="B3144" s="944" t="s">
        <v>3901</v>
      </c>
      <c r="C3144" s="919" t="s">
        <v>3902</v>
      </c>
      <c r="D3144" s="919" t="s">
        <v>4467</v>
      </c>
      <c r="E3144" s="920">
        <v>1300</v>
      </c>
      <c r="F3144" s="919" t="s">
        <v>9564</v>
      </c>
      <c r="G3144" s="919" t="s">
        <v>9565</v>
      </c>
      <c r="H3144" s="919" t="s">
        <v>4467</v>
      </c>
      <c r="I3144" s="919" t="s">
        <v>3686</v>
      </c>
      <c r="J3144" s="919"/>
      <c r="K3144" s="920">
        <v>1</v>
      </c>
      <c r="L3144" s="920">
        <v>12</v>
      </c>
      <c r="M3144" s="920">
        <f t="shared" si="98"/>
        <v>15600</v>
      </c>
      <c r="N3144" s="919"/>
      <c r="O3144" s="919"/>
      <c r="P3144" s="921">
        <f t="shared" si="99"/>
        <v>0</v>
      </c>
    </row>
    <row r="3145" spans="1:16" ht="20.100000000000001" customHeight="1" x14ac:dyDescent="0.25">
      <c r="A3145" s="918" t="s">
        <v>490</v>
      </c>
      <c r="B3145" s="944" t="s">
        <v>3901</v>
      </c>
      <c r="C3145" s="919" t="s">
        <v>3902</v>
      </c>
      <c r="D3145" s="919" t="s">
        <v>4462</v>
      </c>
      <c r="E3145" s="920">
        <v>1500</v>
      </c>
      <c r="F3145" s="919" t="s">
        <v>9566</v>
      </c>
      <c r="G3145" s="919" t="s">
        <v>9567</v>
      </c>
      <c r="H3145" s="919" t="s">
        <v>4462</v>
      </c>
      <c r="I3145" s="919" t="s">
        <v>3686</v>
      </c>
      <c r="J3145" s="919"/>
      <c r="K3145" s="920">
        <v>1</v>
      </c>
      <c r="L3145" s="920">
        <v>12</v>
      </c>
      <c r="M3145" s="920">
        <f t="shared" si="98"/>
        <v>18000</v>
      </c>
      <c r="N3145" s="919"/>
      <c r="O3145" s="919"/>
      <c r="P3145" s="921">
        <f t="shared" si="99"/>
        <v>0</v>
      </c>
    </row>
    <row r="3146" spans="1:16" ht="20.100000000000001" customHeight="1" x14ac:dyDescent="0.25">
      <c r="A3146" s="918" t="s">
        <v>490</v>
      </c>
      <c r="B3146" s="944" t="s">
        <v>3901</v>
      </c>
      <c r="C3146" s="919" t="s">
        <v>3902</v>
      </c>
      <c r="D3146" s="919" t="s">
        <v>3999</v>
      </c>
      <c r="E3146" s="920">
        <v>2200</v>
      </c>
      <c r="F3146" s="919" t="s">
        <v>9568</v>
      </c>
      <c r="G3146" s="919" t="s">
        <v>9569</v>
      </c>
      <c r="H3146" s="919" t="s">
        <v>3999</v>
      </c>
      <c r="I3146" s="919" t="s">
        <v>3724</v>
      </c>
      <c r="J3146" s="919"/>
      <c r="K3146" s="920">
        <v>1</v>
      </c>
      <c r="L3146" s="920">
        <v>12</v>
      </c>
      <c r="M3146" s="920">
        <f t="shared" si="98"/>
        <v>26400</v>
      </c>
      <c r="N3146" s="919"/>
      <c r="O3146" s="919"/>
      <c r="P3146" s="921">
        <f t="shared" si="99"/>
        <v>0</v>
      </c>
    </row>
    <row r="3147" spans="1:16" ht="20.100000000000001" customHeight="1" x14ac:dyDescent="0.25">
      <c r="A3147" s="918" t="s">
        <v>490</v>
      </c>
      <c r="B3147" s="944" t="s">
        <v>3901</v>
      </c>
      <c r="C3147" s="919" t="s">
        <v>3902</v>
      </c>
      <c r="D3147" s="919" t="s">
        <v>4382</v>
      </c>
      <c r="E3147" s="920">
        <v>2500</v>
      </c>
      <c r="F3147" s="919" t="s">
        <v>9570</v>
      </c>
      <c r="G3147" s="919" t="s">
        <v>9571</v>
      </c>
      <c r="H3147" s="919" t="s">
        <v>4382</v>
      </c>
      <c r="I3147" s="919" t="s">
        <v>3724</v>
      </c>
      <c r="J3147" s="919"/>
      <c r="K3147" s="920">
        <v>1</v>
      </c>
      <c r="L3147" s="920">
        <v>12</v>
      </c>
      <c r="M3147" s="920">
        <f t="shared" si="98"/>
        <v>30000</v>
      </c>
      <c r="N3147" s="919"/>
      <c r="O3147" s="919"/>
      <c r="P3147" s="921">
        <f t="shared" si="99"/>
        <v>0</v>
      </c>
    </row>
    <row r="3148" spans="1:16" ht="20.100000000000001" customHeight="1" x14ac:dyDescent="0.25">
      <c r="A3148" s="918" t="s">
        <v>490</v>
      </c>
      <c r="B3148" s="944" t="s">
        <v>3901</v>
      </c>
      <c r="C3148" s="919" t="s">
        <v>3902</v>
      </c>
      <c r="D3148" s="919" t="s">
        <v>6617</v>
      </c>
      <c r="E3148" s="920">
        <v>930</v>
      </c>
      <c r="F3148" s="919" t="s">
        <v>9572</v>
      </c>
      <c r="G3148" s="919" t="s">
        <v>9573</v>
      </c>
      <c r="H3148" s="919" t="s">
        <v>6617</v>
      </c>
      <c r="I3148" s="919" t="s">
        <v>3679</v>
      </c>
      <c r="J3148" s="919"/>
      <c r="K3148" s="920">
        <v>1</v>
      </c>
      <c r="L3148" s="920">
        <v>12</v>
      </c>
      <c r="M3148" s="920">
        <f t="shared" si="98"/>
        <v>11160</v>
      </c>
      <c r="N3148" s="919"/>
      <c r="O3148" s="919"/>
      <c r="P3148" s="921">
        <f t="shared" si="99"/>
        <v>0</v>
      </c>
    </row>
    <row r="3149" spans="1:16" ht="20.100000000000001" customHeight="1" x14ac:dyDescent="0.25">
      <c r="A3149" s="918" t="s">
        <v>490</v>
      </c>
      <c r="B3149" s="944" t="s">
        <v>3901</v>
      </c>
      <c r="C3149" s="919" t="s">
        <v>3902</v>
      </c>
      <c r="D3149" s="919" t="s">
        <v>6130</v>
      </c>
      <c r="E3149" s="920">
        <v>1700</v>
      </c>
      <c r="F3149" s="919" t="s">
        <v>9574</v>
      </c>
      <c r="G3149" s="919" t="s">
        <v>9575</v>
      </c>
      <c r="H3149" s="919" t="s">
        <v>6130</v>
      </c>
      <c r="I3149" s="919" t="s">
        <v>3686</v>
      </c>
      <c r="J3149" s="919"/>
      <c r="K3149" s="920">
        <v>1</v>
      </c>
      <c r="L3149" s="920">
        <v>12</v>
      </c>
      <c r="M3149" s="920">
        <f t="shared" si="98"/>
        <v>20400</v>
      </c>
      <c r="N3149" s="919"/>
      <c r="O3149" s="919"/>
      <c r="P3149" s="921">
        <f t="shared" si="99"/>
        <v>0</v>
      </c>
    </row>
    <row r="3150" spans="1:16" ht="20.100000000000001" customHeight="1" x14ac:dyDescent="0.25">
      <c r="A3150" s="918" t="s">
        <v>490</v>
      </c>
      <c r="B3150" s="944" t="s">
        <v>3901</v>
      </c>
      <c r="C3150" s="919" t="s">
        <v>3902</v>
      </c>
      <c r="D3150" s="919" t="s">
        <v>3999</v>
      </c>
      <c r="E3150" s="920">
        <v>2500</v>
      </c>
      <c r="F3150" s="919" t="s">
        <v>9576</v>
      </c>
      <c r="G3150" s="919" t="s">
        <v>9577</v>
      </c>
      <c r="H3150" s="919" t="s">
        <v>3999</v>
      </c>
      <c r="I3150" s="919" t="s">
        <v>3724</v>
      </c>
      <c r="J3150" s="919"/>
      <c r="K3150" s="920">
        <v>1</v>
      </c>
      <c r="L3150" s="920">
        <v>12</v>
      </c>
      <c r="M3150" s="920">
        <f t="shared" si="98"/>
        <v>30000</v>
      </c>
      <c r="N3150" s="919"/>
      <c r="O3150" s="919"/>
      <c r="P3150" s="921">
        <f t="shared" si="99"/>
        <v>0</v>
      </c>
    </row>
    <row r="3151" spans="1:16" ht="20.100000000000001" customHeight="1" x14ac:dyDescent="0.25">
      <c r="A3151" s="918" t="s">
        <v>490</v>
      </c>
      <c r="B3151" s="944" t="s">
        <v>3901</v>
      </c>
      <c r="C3151" s="919" t="s">
        <v>3902</v>
      </c>
      <c r="D3151" s="919" t="s">
        <v>3999</v>
      </c>
      <c r="E3151" s="920">
        <v>2500</v>
      </c>
      <c r="F3151" s="919" t="s">
        <v>9578</v>
      </c>
      <c r="G3151" s="919" t="s">
        <v>9579</v>
      </c>
      <c r="H3151" s="919" t="s">
        <v>3999</v>
      </c>
      <c r="I3151" s="919" t="s">
        <v>3724</v>
      </c>
      <c r="J3151" s="919"/>
      <c r="K3151" s="920">
        <v>1</v>
      </c>
      <c r="L3151" s="920">
        <v>12</v>
      </c>
      <c r="M3151" s="920">
        <f t="shared" si="98"/>
        <v>30000</v>
      </c>
      <c r="N3151" s="919"/>
      <c r="O3151" s="919"/>
      <c r="P3151" s="921">
        <f t="shared" si="99"/>
        <v>0</v>
      </c>
    </row>
    <row r="3152" spans="1:16" ht="20.100000000000001" customHeight="1" x14ac:dyDescent="0.25">
      <c r="A3152" s="918" t="s">
        <v>490</v>
      </c>
      <c r="B3152" s="944" t="s">
        <v>3901</v>
      </c>
      <c r="C3152" s="919" t="s">
        <v>3902</v>
      </c>
      <c r="D3152" s="919" t="s">
        <v>3999</v>
      </c>
      <c r="E3152" s="920">
        <v>2500</v>
      </c>
      <c r="F3152" s="919" t="s">
        <v>4041</v>
      </c>
      <c r="G3152" s="919" t="s">
        <v>4042</v>
      </c>
      <c r="H3152" s="919" t="s">
        <v>3999</v>
      </c>
      <c r="I3152" s="919" t="s">
        <v>3724</v>
      </c>
      <c r="J3152" s="919"/>
      <c r="K3152" s="920">
        <v>1</v>
      </c>
      <c r="L3152" s="920">
        <v>12</v>
      </c>
      <c r="M3152" s="920">
        <f t="shared" si="98"/>
        <v>30000</v>
      </c>
      <c r="N3152" s="919"/>
      <c r="O3152" s="919"/>
      <c r="P3152" s="921">
        <f t="shared" si="99"/>
        <v>0</v>
      </c>
    </row>
    <row r="3153" spans="1:16" ht="20.100000000000001" customHeight="1" x14ac:dyDescent="0.25">
      <c r="A3153" s="918" t="s">
        <v>490</v>
      </c>
      <c r="B3153" s="944" t="s">
        <v>3901</v>
      </c>
      <c r="C3153" s="919" t="s">
        <v>3902</v>
      </c>
      <c r="D3153" s="919" t="s">
        <v>3999</v>
      </c>
      <c r="E3153" s="920">
        <v>2500</v>
      </c>
      <c r="F3153" s="919" t="s">
        <v>9580</v>
      </c>
      <c r="G3153" s="919" t="s">
        <v>9581</v>
      </c>
      <c r="H3153" s="919" t="s">
        <v>3999</v>
      </c>
      <c r="I3153" s="919" t="s">
        <v>3724</v>
      </c>
      <c r="J3153" s="919"/>
      <c r="K3153" s="920">
        <v>1</v>
      </c>
      <c r="L3153" s="920">
        <v>12</v>
      </c>
      <c r="M3153" s="920">
        <f t="shared" si="98"/>
        <v>30000</v>
      </c>
      <c r="N3153" s="919"/>
      <c r="O3153" s="919"/>
      <c r="P3153" s="921">
        <f t="shared" si="99"/>
        <v>0</v>
      </c>
    </row>
    <row r="3154" spans="1:16" ht="20.100000000000001" customHeight="1" x14ac:dyDescent="0.25">
      <c r="A3154" s="918" t="s">
        <v>490</v>
      </c>
      <c r="B3154" s="944" t="s">
        <v>3901</v>
      </c>
      <c r="C3154" s="919" t="s">
        <v>3902</v>
      </c>
      <c r="D3154" s="919" t="s">
        <v>4382</v>
      </c>
      <c r="E3154" s="920">
        <v>2500</v>
      </c>
      <c r="F3154" s="919" t="s">
        <v>9582</v>
      </c>
      <c r="G3154" s="919" t="s">
        <v>9583</v>
      </c>
      <c r="H3154" s="919" t="s">
        <v>4382</v>
      </c>
      <c r="I3154" s="919" t="s">
        <v>3724</v>
      </c>
      <c r="J3154" s="919"/>
      <c r="K3154" s="920">
        <v>1</v>
      </c>
      <c r="L3154" s="920">
        <v>12</v>
      </c>
      <c r="M3154" s="920">
        <f t="shared" si="98"/>
        <v>30000</v>
      </c>
      <c r="N3154" s="919"/>
      <c r="O3154" s="919"/>
      <c r="P3154" s="921">
        <f t="shared" si="99"/>
        <v>0</v>
      </c>
    </row>
    <row r="3155" spans="1:16" ht="20.100000000000001" customHeight="1" x14ac:dyDescent="0.25">
      <c r="A3155" s="918" t="s">
        <v>490</v>
      </c>
      <c r="B3155" s="944" t="s">
        <v>3901</v>
      </c>
      <c r="C3155" s="919" t="s">
        <v>3902</v>
      </c>
      <c r="D3155" s="919" t="s">
        <v>4382</v>
      </c>
      <c r="E3155" s="920">
        <v>2500</v>
      </c>
      <c r="F3155" s="919" t="s">
        <v>9584</v>
      </c>
      <c r="G3155" s="919" t="s">
        <v>9585</v>
      </c>
      <c r="H3155" s="919" t="s">
        <v>4382</v>
      </c>
      <c r="I3155" s="919" t="s">
        <v>3724</v>
      </c>
      <c r="J3155" s="919"/>
      <c r="K3155" s="920">
        <v>1</v>
      </c>
      <c r="L3155" s="920">
        <v>12</v>
      </c>
      <c r="M3155" s="920">
        <f t="shared" si="98"/>
        <v>30000</v>
      </c>
      <c r="N3155" s="919"/>
      <c r="O3155" s="919"/>
      <c r="P3155" s="921">
        <f t="shared" si="99"/>
        <v>0</v>
      </c>
    </row>
    <row r="3156" spans="1:16" ht="20.100000000000001" customHeight="1" x14ac:dyDescent="0.25">
      <c r="A3156" s="918" t="s">
        <v>490</v>
      </c>
      <c r="B3156" s="944" t="s">
        <v>3901</v>
      </c>
      <c r="C3156" s="919" t="s">
        <v>3902</v>
      </c>
      <c r="D3156" s="919" t="s">
        <v>4382</v>
      </c>
      <c r="E3156" s="920">
        <v>2500</v>
      </c>
      <c r="F3156" s="919" t="s">
        <v>9586</v>
      </c>
      <c r="G3156" s="919" t="s">
        <v>9587</v>
      </c>
      <c r="H3156" s="919" t="s">
        <v>4382</v>
      </c>
      <c r="I3156" s="919" t="s">
        <v>3724</v>
      </c>
      <c r="J3156" s="919"/>
      <c r="K3156" s="920">
        <v>1</v>
      </c>
      <c r="L3156" s="920">
        <v>12</v>
      </c>
      <c r="M3156" s="920">
        <f t="shared" si="98"/>
        <v>30000</v>
      </c>
      <c r="N3156" s="919"/>
      <c r="O3156" s="919"/>
      <c r="P3156" s="921">
        <f t="shared" si="99"/>
        <v>0</v>
      </c>
    </row>
    <row r="3157" spans="1:16" ht="20.100000000000001" customHeight="1" x14ac:dyDescent="0.25">
      <c r="A3157" s="918" t="s">
        <v>490</v>
      </c>
      <c r="B3157" s="944" t="s">
        <v>3901</v>
      </c>
      <c r="C3157" s="919" t="s">
        <v>3902</v>
      </c>
      <c r="D3157" s="919" t="s">
        <v>4383</v>
      </c>
      <c r="E3157" s="920">
        <v>2500</v>
      </c>
      <c r="F3157" s="919" t="s">
        <v>4041</v>
      </c>
      <c r="G3157" s="919" t="s">
        <v>4042</v>
      </c>
      <c r="H3157" s="919" t="s">
        <v>4383</v>
      </c>
      <c r="I3157" s="919" t="s">
        <v>3724</v>
      </c>
      <c r="J3157" s="919"/>
      <c r="K3157" s="920">
        <v>1</v>
      </c>
      <c r="L3157" s="920">
        <v>12</v>
      </c>
      <c r="M3157" s="920">
        <f t="shared" si="98"/>
        <v>30000</v>
      </c>
      <c r="N3157" s="919"/>
      <c r="O3157" s="919"/>
      <c r="P3157" s="921">
        <f t="shared" si="99"/>
        <v>0</v>
      </c>
    </row>
    <row r="3158" spans="1:16" ht="20.100000000000001" customHeight="1" x14ac:dyDescent="0.25">
      <c r="A3158" s="918" t="s">
        <v>490</v>
      </c>
      <c r="B3158" s="944" t="s">
        <v>3901</v>
      </c>
      <c r="C3158" s="919" t="s">
        <v>3902</v>
      </c>
      <c r="D3158" s="919" t="s">
        <v>4462</v>
      </c>
      <c r="E3158" s="920">
        <v>1800</v>
      </c>
      <c r="F3158" s="919" t="s">
        <v>9588</v>
      </c>
      <c r="G3158" s="919" t="s">
        <v>9589</v>
      </c>
      <c r="H3158" s="919" t="s">
        <v>4462</v>
      </c>
      <c r="I3158" s="919" t="s">
        <v>3686</v>
      </c>
      <c r="J3158" s="919"/>
      <c r="K3158" s="920">
        <v>1</v>
      </c>
      <c r="L3158" s="920">
        <v>12</v>
      </c>
      <c r="M3158" s="920">
        <f t="shared" si="98"/>
        <v>21600</v>
      </c>
      <c r="N3158" s="919"/>
      <c r="O3158" s="919"/>
      <c r="P3158" s="921">
        <f t="shared" si="99"/>
        <v>0</v>
      </c>
    </row>
    <row r="3159" spans="1:16" ht="20.100000000000001" customHeight="1" x14ac:dyDescent="0.25">
      <c r="A3159" s="918" t="s">
        <v>490</v>
      </c>
      <c r="B3159" s="944" t="s">
        <v>3901</v>
      </c>
      <c r="C3159" s="919" t="s">
        <v>3902</v>
      </c>
      <c r="D3159" s="919" t="s">
        <v>4462</v>
      </c>
      <c r="E3159" s="920">
        <v>1800</v>
      </c>
      <c r="F3159" s="919" t="s">
        <v>4041</v>
      </c>
      <c r="G3159" s="919" t="s">
        <v>4042</v>
      </c>
      <c r="H3159" s="919" t="s">
        <v>4462</v>
      </c>
      <c r="I3159" s="919" t="s">
        <v>3686</v>
      </c>
      <c r="J3159" s="919"/>
      <c r="K3159" s="920">
        <v>1</v>
      </c>
      <c r="L3159" s="920">
        <v>12</v>
      </c>
      <c r="M3159" s="920">
        <f t="shared" si="98"/>
        <v>21600</v>
      </c>
      <c r="N3159" s="919"/>
      <c r="O3159" s="919"/>
      <c r="P3159" s="921">
        <f t="shared" si="99"/>
        <v>0</v>
      </c>
    </row>
    <row r="3160" spans="1:16" ht="20.100000000000001" customHeight="1" x14ac:dyDescent="0.25">
      <c r="A3160" s="918" t="s">
        <v>490</v>
      </c>
      <c r="B3160" s="944" t="s">
        <v>3901</v>
      </c>
      <c r="C3160" s="919" t="s">
        <v>3902</v>
      </c>
      <c r="D3160" s="919" t="s">
        <v>4038</v>
      </c>
      <c r="E3160" s="920">
        <v>2000</v>
      </c>
      <c r="F3160" s="919" t="s">
        <v>9590</v>
      </c>
      <c r="G3160" s="919" t="s">
        <v>9591</v>
      </c>
      <c r="H3160" s="919" t="s">
        <v>4038</v>
      </c>
      <c r="I3160" s="919" t="s">
        <v>3686</v>
      </c>
      <c r="J3160" s="919"/>
      <c r="K3160" s="920">
        <v>1</v>
      </c>
      <c r="L3160" s="920">
        <v>12</v>
      </c>
      <c r="M3160" s="920">
        <f t="shared" si="98"/>
        <v>24000</v>
      </c>
      <c r="N3160" s="919"/>
      <c r="O3160" s="919"/>
      <c r="P3160" s="921">
        <f t="shared" si="99"/>
        <v>0</v>
      </c>
    </row>
    <row r="3161" spans="1:16" ht="20.100000000000001" customHeight="1" x14ac:dyDescent="0.25">
      <c r="A3161" s="918" t="s">
        <v>490</v>
      </c>
      <c r="B3161" s="944" t="s">
        <v>3901</v>
      </c>
      <c r="C3161" s="919" t="s">
        <v>3902</v>
      </c>
      <c r="D3161" s="919" t="s">
        <v>4038</v>
      </c>
      <c r="E3161" s="920">
        <v>2000</v>
      </c>
      <c r="F3161" s="919" t="s">
        <v>4041</v>
      </c>
      <c r="G3161" s="919" t="s">
        <v>4042</v>
      </c>
      <c r="H3161" s="919" t="s">
        <v>4038</v>
      </c>
      <c r="I3161" s="919" t="s">
        <v>3686</v>
      </c>
      <c r="J3161" s="919"/>
      <c r="K3161" s="920">
        <v>1</v>
      </c>
      <c r="L3161" s="920">
        <v>12</v>
      </c>
      <c r="M3161" s="920">
        <f t="shared" si="98"/>
        <v>24000</v>
      </c>
      <c r="N3161" s="919"/>
      <c r="O3161" s="919"/>
      <c r="P3161" s="921">
        <f t="shared" si="99"/>
        <v>0</v>
      </c>
    </row>
    <row r="3162" spans="1:16" ht="20.100000000000001" customHeight="1" x14ac:dyDescent="0.25">
      <c r="A3162" s="918" t="s">
        <v>490</v>
      </c>
      <c r="B3162" s="944" t="s">
        <v>3901</v>
      </c>
      <c r="C3162" s="919" t="s">
        <v>3902</v>
      </c>
      <c r="D3162" s="919" t="s">
        <v>4391</v>
      </c>
      <c r="E3162" s="920">
        <v>1800</v>
      </c>
      <c r="F3162" s="919" t="s">
        <v>9592</v>
      </c>
      <c r="G3162" s="919" t="s">
        <v>9593</v>
      </c>
      <c r="H3162" s="919" t="s">
        <v>4391</v>
      </c>
      <c r="I3162" s="919" t="s">
        <v>3686</v>
      </c>
      <c r="J3162" s="919"/>
      <c r="K3162" s="920">
        <v>1</v>
      </c>
      <c r="L3162" s="920">
        <v>12</v>
      </c>
      <c r="M3162" s="920">
        <f t="shared" si="98"/>
        <v>21600</v>
      </c>
      <c r="N3162" s="919"/>
      <c r="O3162" s="919"/>
      <c r="P3162" s="921">
        <f t="shared" si="99"/>
        <v>0</v>
      </c>
    </row>
    <row r="3163" spans="1:16" ht="20.100000000000001" customHeight="1" x14ac:dyDescent="0.25">
      <c r="A3163" s="918" t="s">
        <v>490</v>
      </c>
      <c r="B3163" s="944" t="s">
        <v>3901</v>
      </c>
      <c r="C3163" s="919" t="s">
        <v>3902</v>
      </c>
      <c r="D3163" s="919" t="s">
        <v>6315</v>
      </c>
      <c r="E3163" s="920">
        <v>2500</v>
      </c>
      <c r="F3163" s="919" t="s">
        <v>9594</v>
      </c>
      <c r="G3163" s="919" t="s">
        <v>9595</v>
      </c>
      <c r="H3163" s="919" t="s">
        <v>6315</v>
      </c>
      <c r="I3163" s="919" t="s">
        <v>3724</v>
      </c>
      <c r="J3163" s="919"/>
      <c r="K3163" s="920">
        <v>1</v>
      </c>
      <c r="L3163" s="920">
        <v>12</v>
      </c>
      <c r="M3163" s="920">
        <f t="shared" si="98"/>
        <v>30000</v>
      </c>
      <c r="N3163" s="919"/>
      <c r="O3163" s="919"/>
      <c r="P3163" s="921">
        <f t="shared" si="99"/>
        <v>0</v>
      </c>
    </row>
    <row r="3164" spans="1:16" ht="20.100000000000001" customHeight="1" x14ac:dyDescent="0.25">
      <c r="A3164" s="918" t="s">
        <v>490</v>
      </c>
      <c r="B3164" s="944" t="s">
        <v>3901</v>
      </c>
      <c r="C3164" s="919" t="s">
        <v>3902</v>
      </c>
      <c r="D3164" s="919" t="s">
        <v>4266</v>
      </c>
      <c r="E3164" s="920">
        <v>1500</v>
      </c>
      <c r="F3164" s="919" t="s">
        <v>9596</v>
      </c>
      <c r="G3164" s="919" t="s">
        <v>9597</v>
      </c>
      <c r="H3164" s="919" t="s">
        <v>4266</v>
      </c>
      <c r="I3164" s="919" t="s">
        <v>3693</v>
      </c>
      <c r="J3164" s="919"/>
      <c r="K3164" s="920">
        <v>1</v>
      </c>
      <c r="L3164" s="920">
        <v>12</v>
      </c>
      <c r="M3164" s="920">
        <f t="shared" si="98"/>
        <v>18000</v>
      </c>
      <c r="N3164" s="919"/>
      <c r="O3164" s="919"/>
      <c r="P3164" s="921">
        <f t="shared" si="99"/>
        <v>0</v>
      </c>
    </row>
    <row r="3165" spans="1:16" ht="20.100000000000001" customHeight="1" x14ac:dyDescent="0.25">
      <c r="A3165" s="918" t="s">
        <v>490</v>
      </c>
      <c r="B3165" s="944" t="s">
        <v>3901</v>
      </c>
      <c r="C3165" s="919" t="s">
        <v>3902</v>
      </c>
      <c r="D3165" s="919" t="s">
        <v>4266</v>
      </c>
      <c r="E3165" s="920">
        <v>1500</v>
      </c>
      <c r="F3165" s="919" t="s">
        <v>9598</v>
      </c>
      <c r="G3165" s="919" t="s">
        <v>9599</v>
      </c>
      <c r="H3165" s="919" t="s">
        <v>4266</v>
      </c>
      <c r="I3165" s="919" t="s">
        <v>3693</v>
      </c>
      <c r="J3165" s="919"/>
      <c r="K3165" s="920">
        <v>1</v>
      </c>
      <c r="L3165" s="920">
        <v>12</v>
      </c>
      <c r="M3165" s="920">
        <f t="shared" si="98"/>
        <v>18000</v>
      </c>
      <c r="N3165" s="919"/>
      <c r="O3165" s="919"/>
      <c r="P3165" s="921">
        <f t="shared" si="99"/>
        <v>0</v>
      </c>
    </row>
    <row r="3166" spans="1:16" ht="20.100000000000001" customHeight="1" x14ac:dyDescent="0.25">
      <c r="A3166" s="918" t="s">
        <v>490</v>
      </c>
      <c r="B3166" s="944" t="s">
        <v>3901</v>
      </c>
      <c r="C3166" s="919" t="s">
        <v>3902</v>
      </c>
      <c r="D3166" s="919" t="s">
        <v>9600</v>
      </c>
      <c r="E3166" s="920">
        <v>6500</v>
      </c>
      <c r="F3166" s="919" t="s">
        <v>4041</v>
      </c>
      <c r="G3166" s="919" t="s">
        <v>4042</v>
      </c>
      <c r="H3166" s="919" t="s">
        <v>9600</v>
      </c>
      <c r="I3166" s="919" t="s">
        <v>3724</v>
      </c>
      <c r="J3166" s="919"/>
      <c r="K3166" s="920">
        <v>1</v>
      </c>
      <c r="L3166" s="920">
        <v>12</v>
      </c>
      <c r="M3166" s="920">
        <f t="shared" si="98"/>
        <v>78000</v>
      </c>
      <c r="N3166" s="919"/>
      <c r="O3166" s="919"/>
      <c r="P3166" s="921">
        <f t="shared" si="99"/>
        <v>0</v>
      </c>
    </row>
    <row r="3167" spans="1:16" ht="20.100000000000001" customHeight="1" x14ac:dyDescent="0.25">
      <c r="A3167" s="918" t="s">
        <v>490</v>
      </c>
      <c r="B3167" s="944" t="s">
        <v>3901</v>
      </c>
      <c r="C3167" s="919" t="s">
        <v>3902</v>
      </c>
      <c r="D3167" s="919" t="s">
        <v>6339</v>
      </c>
      <c r="E3167" s="920">
        <v>8000</v>
      </c>
      <c r="F3167" s="919" t="s">
        <v>4041</v>
      </c>
      <c r="G3167" s="919" t="s">
        <v>4042</v>
      </c>
      <c r="H3167" s="919" t="s">
        <v>6339</v>
      </c>
      <c r="I3167" s="919" t="s">
        <v>3724</v>
      </c>
      <c r="J3167" s="919"/>
      <c r="K3167" s="920">
        <v>1</v>
      </c>
      <c r="L3167" s="920">
        <v>12</v>
      </c>
      <c r="M3167" s="920">
        <f t="shared" si="98"/>
        <v>96000</v>
      </c>
      <c r="N3167" s="919"/>
      <c r="O3167" s="919"/>
      <c r="P3167" s="921">
        <f t="shared" si="99"/>
        <v>0</v>
      </c>
    </row>
    <row r="3168" spans="1:16" ht="20.100000000000001" customHeight="1" x14ac:dyDescent="0.25">
      <c r="A3168" s="918" t="s">
        <v>490</v>
      </c>
      <c r="B3168" s="944" t="s">
        <v>3901</v>
      </c>
      <c r="C3168" s="919" t="s">
        <v>3902</v>
      </c>
      <c r="D3168" s="919" t="s">
        <v>7511</v>
      </c>
      <c r="E3168" s="920">
        <v>2500</v>
      </c>
      <c r="F3168" s="919" t="s">
        <v>9601</v>
      </c>
      <c r="G3168" s="919" t="s">
        <v>9602</v>
      </c>
      <c r="H3168" s="919" t="s">
        <v>7511</v>
      </c>
      <c r="I3168" s="919" t="s">
        <v>3724</v>
      </c>
      <c r="J3168" s="919"/>
      <c r="K3168" s="920">
        <v>1</v>
      </c>
      <c r="L3168" s="920">
        <v>12</v>
      </c>
      <c r="M3168" s="920">
        <f t="shared" si="98"/>
        <v>30000</v>
      </c>
      <c r="N3168" s="919"/>
      <c r="O3168" s="919"/>
      <c r="P3168" s="921">
        <f t="shared" si="99"/>
        <v>0</v>
      </c>
    </row>
    <row r="3169" spans="1:16" ht="20.100000000000001" customHeight="1" x14ac:dyDescent="0.25">
      <c r="A3169" s="918" t="s">
        <v>490</v>
      </c>
      <c r="B3169" s="944" t="s">
        <v>3901</v>
      </c>
      <c r="C3169" s="919" t="s">
        <v>3902</v>
      </c>
      <c r="D3169" s="919" t="s">
        <v>4088</v>
      </c>
      <c r="E3169" s="920">
        <v>1500</v>
      </c>
      <c r="F3169" s="919" t="s">
        <v>9603</v>
      </c>
      <c r="G3169" s="919" t="s">
        <v>9604</v>
      </c>
      <c r="H3169" s="919" t="s">
        <v>4088</v>
      </c>
      <c r="I3169" s="919" t="s">
        <v>3693</v>
      </c>
      <c r="J3169" s="919"/>
      <c r="K3169" s="920">
        <v>1</v>
      </c>
      <c r="L3169" s="920">
        <v>12</v>
      </c>
      <c r="M3169" s="920">
        <f t="shared" si="98"/>
        <v>18000</v>
      </c>
      <c r="N3169" s="919"/>
      <c r="O3169" s="919"/>
      <c r="P3169" s="921">
        <f t="shared" si="99"/>
        <v>0</v>
      </c>
    </row>
    <row r="3170" spans="1:16" ht="20.100000000000001" customHeight="1" x14ac:dyDescent="0.25">
      <c r="A3170" s="918" t="s">
        <v>490</v>
      </c>
      <c r="B3170" s="944" t="s">
        <v>3901</v>
      </c>
      <c r="C3170" s="919" t="s">
        <v>3902</v>
      </c>
      <c r="D3170" s="919" t="s">
        <v>4088</v>
      </c>
      <c r="E3170" s="920">
        <v>1500</v>
      </c>
      <c r="F3170" s="919" t="s">
        <v>9605</v>
      </c>
      <c r="G3170" s="919" t="s">
        <v>9606</v>
      </c>
      <c r="H3170" s="919" t="s">
        <v>4088</v>
      </c>
      <c r="I3170" s="919" t="s">
        <v>3693</v>
      </c>
      <c r="J3170" s="919"/>
      <c r="K3170" s="920">
        <v>1</v>
      </c>
      <c r="L3170" s="920">
        <v>12</v>
      </c>
      <c r="M3170" s="920">
        <f t="shared" si="98"/>
        <v>18000</v>
      </c>
      <c r="N3170" s="919"/>
      <c r="O3170" s="919"/>
      <c r="P3170" s="921">
        <f t="shared" si="99"/>
        <v>0</v>
      </c>
    </row>
    <row r="3171" spans="1:16" ht="20.100000000000001" customHeight="1" x14ac:dyDescent="0.25">
      <c r="A3171" s="918" t="s">
        <v>490</v>
      </c>
      <c r="B3171" s="944" t="s">
        <v>3901</v>
      </c>
      <c r="C3171" s="919" t="s">
        <v>3902</v>
      </c>
      <c r="D3171" s="919" t="s">
        <v>7516</v>
      </c>
      <c r="E3171" s="920">
        <v>2500</v>
      </c>
      <c r="F3171" s="919" t="s">
        <v>9607</v>
      </c>
      <c r="G3171" s="919" t="s">
        <v>9608</v>
      </c>
      <c r="H3171" s="919" t="s">
        <v>7516</v>
      </c>
      <c r="I3171" s="919" t="s">
        <v>3724</v>
      </c>
      <c r="J3171" s="919"/>
      <c r="K3171" s="920">
        <v>1</v>
      </c>
      <c r="L3171" s="920">
        <v>12</v>
      </c>
      <c r="M3171" s="920">
        <f t="shared" si="98"/>
        <v>30000</v>
      </c>
      <c r="N3171" s="919"/>
      <c r="O3171" s="919"/>
      <c r="P3171" s="921">
        <f t="shared" si="99"/>
        <v>0</v>
      </c>
    </row>
    <row r="3172" spans="1:16" ht="20.100000000000001" customHeight="1" x14ac:dyDescent="0.25">
      <c r="A3172" s="918" t="s">
        <v>490</v>
      </c>
      <c r="B3172" s="944" t="s">
        <v>3901</v>
      </c>
      <c r="C3172" s="919" t="s">
        <v>3902</v>
      </c>
      <c r="D3172" s="919" t="s">
        <v>6120</v>
      </c>
      <c r="E3172" s="920">
        <v>4300</v>
      </c>
      <c r="F3172" s="919" t="s">
        <v>9609</v>
      </c>
      <c r="G3172" s="919" t="s">
        <v>9610</v>
      </c>
      <c r="H3172" s="919" t="s">
        <v>6120</v>
      </c>
      <c r="I3172" s="919" t="s">
        <v>3724</v>
      </c>
      <c r="J3172" s="919"/>
      <c r="K3172" s="920">
        <v>1</v>
      </c>
      <c r="L3172" s="920">
        <v>12</v>
      </c>
      <c r="M3172" s="920">
        <f t="shared" si="98"/>
        <v>51600</v>
      </c>
      <c r="N3172" s="919"/>
      <c r="O3172" s="919"/>
      <c r="P3172" s="921">
        <f t="shared" si="99"/>
        <v>0</v>
      </c>
    </row>
    <row r="3173" spans="1:16" ht="20.100000000000001" customHeight="1" x14ac:dyDescent="0.25">
      <c r="A3173" s="918" t="s">
        <v>490</v>
      </c>
      <c r="B3173" s="944" t="s">
        <v>3901</v>
      </c>
      <c r="C3173" s="919" t="s">
        <v>3902</v>
      </c>
      <c r="D3173" s="919" t="s">
        <v>4449</v>
      </c>
      <c r="E3173" s="920">
        <v>2000</v>
      </c>
      <c r="F3173" s="919" t="s">
        <v>9611</v>
      </c>
      <c r="G3173" s="919" t="s">
        <v>9612</v>
      </c>
      <c r="H3173" s="919" t="s">
        <v>4449</v>
      </c>
      <c r="I3173" s="919" t="s">
        <v>3724</v>
      </c>
      <c r="J3173" s="919"/>
      <c r="K3173" s="920">
        <v>1</v>
      </c>
      <c r="L3173" s="920">
        <v>12</v>
      </c>
      <c r="M3173" s="920">
        <f t="shared" si="98"/>
        <v>24000</v>
      </c>
      <c r="N3173" s="919"/>
      <c r="O3173" s="919"/>
      <c r="P3173" s="921">
        <f t="shared" si="99"/>
        <v>0</v>
      </c>
    </row>
    <row r="3174" spans="1:16" ht="20.100000000000001" customHeight="1" x14ac:dyDescent="0.25">
      <c r="A3174" s="918" t="s">
        <v>490</v>
      </c>
      <c r="B3174" s="944" t="s">
        <v>3901</v>
      </c>
      <c r="C3174" s="919" t="s">
        <v>3902</v>
      </c>
      <c r="D3174" s="919" t="s">
        <v>6120</v>
      </c>
      <c r="E3174" s="920">
        <v>3300</v>
      </c>
      <c r="F3174" s="919" t="s">
        <v>9613</v>
      </c>
      <c r="G3174" s="919" t="s">
        <v>9614</v>
      </c>
      <c r="H3174" s="919" t="s">
        <v>6120</v>
      </c>
      <c r="I3174" s="919" t="s">
        <v>3724</v>
      </c>
      <c r="J3174" s="919"/>
      <c r="K3174" s="920">
        <v>1</v>
      </c>
      <c r="L3174" s="920">
        <v>12</v>
      </c>
      <c r="M3174" s="920">
        <f t="shared" si="98"/>
        <v>39600</v>
      </c>
      <c r="N3174" s="919"/>
      <c r="O3174" s="919"/>
      <c r="P3174" s="921">
        <f t="shared" si="99"/>
        <v>0</v>
      </c>
    </row>
    <row r="3175" spans="1:16" ht="20.100000000000001" customHeight="1" x14ac:dyDescent="0.25">
      <c r="A3175" s="918" t="s">
        <v>490</v>
      </c>
      <c r="B3175" s="944" t="s">
        <v>3901</v>
      </c>
      <c r="C3175" s="919" t="s">
        <v>3902</v>
      </c>
      <c r="D3175" s="919" t="s">
        <v>6120</v>
      </c>
      <c r="E3175" s="920">
        <v>4300</v>
      </c>
      <c r="F3175" s="919" t="s">
        <v>9615</v>
      </c>
      <c r="G3175" s="919" t="s">
        <v>9616</v>
      </c>
      <c r="H3175" s="919" t="s">
        <v>6120</v>
      </c>
      <c r="I3175" s="919" t="s">
        <v>3724</v>
      </c>
      <c r="J3175" s="919"/>
      <c r="K3175" s="920">
        <v>1</v>
      </c>
      <c r="L3175" s="920">
        <v>12</v>
      </c>
      <c r="M3175" s="920">
        <f t="shared" si="98"/>
        <v>51600</v>
      </c>
      <c r="N3175" s="919"/>
      <c r="O3175" s="919"/>
      <c r="P3175" s="921">
        <f t="shared" si="99"/>
        <v>0</v>
      </c>
    </row>
    <row r="3176" spans="1:16" ht="20.100000000000001" customHeight="1" x14ac:dyDescent="0.25">
      <c r="A3176" s="918" t="s">
        <v>490</v>
      </c>
      <c r="B3176" s="944" t="s">
        <v>3901</v>
      </c>
      <c r="C3176" s="919" t="s">
        <v>3902</v>
      </c>
      <c r="D3176" s="919" t="s">
        <v>4449</v>
      </c>
      <c r="E3176" s="920">
        <v>2200</v>
      </c>
      <c r="F3176" s="919" t="s">
        <v>9617</v>
      </c>
      <c r="G3176" s="919" t="s">
        <v>9618</v>
      </c>
      <c r="H3176" s="919" t="s">
        <v>4449</v>
      </c>
      <c r="I3176" s="919" t="s">
        <v>3724</v>
      </c>
      <c r="J3176" s="919"/>
      <c r="K3176" s="920">
        <v>1</v>
      </c>
      <c r="L3176" s="920">
        <v>12</v>
      </c>
      <c r="M3176" s="920">
        <f t="shared" si="98"/>
        <v>26400</v>
      </c>
      <c r="N3176" s="919"/>
      <c r="O3176" s="919"/>
      <c r="P3176" s="921">
        <f t="shared" si="99"/>
        <v>0</v>
      </c>
    </row>
    <row r="3177" spans="1:16" ht="20.100000000000001" customHeight="1" x14ac:dyDescent="0.25">
      <c r="A3177" s="918" t="s">
        <v>490</v>
      </c>
      <c r="B3177" s="944" t="s">
        <v>3901</v>
      </c>
      <c r="C3177" s="919" t="s">
        <v>3902</v>
      </c>
      <c r="D3177" s="919" t="s">
        <v>6120</v>
      </c>
      <c r="E3177" s="920">
        <v>3300</v>
      </c>
      <c r="F3177" s="919" t="s">
        <v>9619</v>
      </c>
      <c r="G3177" s="919" t="s">
        <v>9620</v>
      </c>
      <c r="H3177" s="919" t="s">
        <v>6120</v>
      </c>
      <c r="I3177" s="919" t="s">
        <v>3724</v>
      </c>
      <c r="J3177" s="919"/>
      <c r="K3177" s="920">
        <v>1</v>
      </c>
      <c r="L3177" s="920">
        <v>12</v>
      </c>
      <c r="M3177" s="920">
        <f t="shared" si="98"/>
        <v>39600</v>
      </c>
      <c r="N3177" s="919"/>
      <c r="O3177" s="919"/>
      <c r="P3177" s="921">
        <f t="shared" si="99"/>
        <v>0</v>
      </c>
    </row>
    <row r="3178" spans="1:16" ht="20.100000000000001" customHeight="1" x14ac:dyDescent="0.25">
      <c r="A3178" s="918" t="s">
        <v>490</v>
      </c>
      <c r="B3178" s="944" t="s">
        <v>3901</v>
      </c>
      <c r="C3178" s="919" t="s">
        <v>3902</v>
      </c>
      <c r="D3178" s="919" t="s">
        <v>4382</v>
      </c>
      <c r="E3178" s="920">
        <v>2500</v>
      </c>
      <c r="F3178" s="919" t="s">
        <v>9621</v>
      </c>
      <c r="G3178" s="919" t="s">
        <v>9622</v>
      </c>
      <c r="H3178" s="919" t="s">
        <v>4382</v>
      </c>
      <c r="I3178" s="919" t="s">
        <v>3724</v>
      </c>
      <c r="J3178" s="919"/>
      <c r="K3178" s="920">
        <v>1</v>
      </c>
      <c r="L3178" s="920">
        <v>12</v>
      </c>
      <c r="M3178" s="920">
        <f t="shared" si="98"/>
        <v>30000</v>
      </c>
      <c r="N3178" s="919"/>
      <c r="O3178" s="919"/>
      <c r="P3178" s="921">
        <f t="shared" si="99"/>
        <v>0</v>
      </c>
    </row>
    <row r="3179" spans="1:16" ht="20.100000000000001" customHeight="1" x14ac:dyDescent="0.25">
      <c r="A3179" s="918" t="s">
        <v>490</v>
      </c>
      <c r="B3179" s="944" t="s">
        <v>3901</v>
      </c>
      <c r="C3179" s="919" t="s">
        <v>3902</v>
      </c>
      <c r="D3179" s="919" t="s">
        <v>3999</v>
      </c>
      <c r="E3179" s="920">
        <v>2200</v>
      </c>
      <c r="F3179" s="919" t="s">
        <v>9623</v>
      </c>
      <c r="G3179" s="919" t="s">
        <v>9624</v>
      </c>
      <c r="H3179" s="919" t="s">
        <v>3999</v>
      </c>
      <c r="I3179" s="919" t="s">
        <v>3724</v>
      </c>
      <c r="J3179" s="919"/>
      <c r="K3179" s="920">
        <v>1</v>
      </c>
      <c r="L3179" s="920">
        <v>12</v>
      </c>
      <c r="M3179" s="920">
        <f t="shared" si="98"/>
        <v>26400</v>
      </c>
      <c r="N3179" s="919"/>
      <c r="O3179" s="919"/>
      <c r="P3179" s="921">
        <f t="shared" si="99"/>
        <v>0</v>
      </c>
    </row>
    <row r="3180" spans="1:16" ht="20.100000000000001" customHeight="1" x14ac:dyDescent="0.25">
      <c r="A3180" s="918" t="s">
        <v>490</v>
      </c>
      <c r="B3180" s="944" t="s">
        <v>3901</v>
      </c>
      <c r="C3180" s="919" t="s">
        <v>3902</v>
      </c>
      <c r="D3180" s="919" t="s">
        <v>3999</v>
      </c>
      <c r="E3180" s="920">
        <v>2000</v>
      </c>
      <c r="F3180" s="919" t="s">
        <v>9625</v>
      </c>
      <c r="G3180" s="919" t="s">
        <v>9626</v>
      </c>
      <c r="H3180" s="919" t="s">
        <v>3999</v>
      </c>
      <c r="I3180" s="919" t="s">
        <v>3724</v>
      </c>
      <c r="J3180" s="919"/>
      <c r="K3180" s="920">
        <v>1</v>
      </c>
      <c r="L3180" s="920">
        <v>12</v>
      </c>
      <c r="M3180" s="920">
        <f t="shared" si="98"/>
        <v>24000</v>
      </c>
      <c r="N3180" s="919"/>
      <c r="O3180" s="919"/>
      <c r="P3180" s="921">
        <f t="shared" si="99"/>
        <v>0</v>
      </c>
    </row>
    <row r="3181" spans="1:16" ht="20.100000000000001" customHeight="1" x14ac:dyDescent="0.25">
      <c r="A3181" s="918" t="s">
        <v>490</v>
      </c>
      <c r="B3181" s="944" t="s">
        <v>3901</v>
      </c>
      <c r="C3181" s="919" t="s">
        <v>3902</v>
      </c>
      <c r="D3181" s="919" t="s">
        <v>4382</v>
      </c>
      <c r="E3181" s="920">
        <v>2500</v>
      </c>
      <c r="F3181" s="919" t="s">
        <v>9627</v>
      </c>
      <c r="G3181" s="919" t="s">
        <v>9628</v>
      </c>
      <c r="H3181" s="919" t="s">
        <v>4382</v>
      </c>
      <c r="I3181" s="919" t="s">
        <v>3724</v>
      </c>
      <c r="J3181" s="919"/>
      <c r="K3181" s="920">
        <v>1</v>
      </c>
      <c r="L3181" s="920">
        <v>12</v>
      </c>
      <c r="M3181" s="920">
        <f t="shared" si="98"/>
        <v>30000</v>
      </c>
      <c r="N3181" s="919"/>
      <c r="O3181" s="919"/>
      <c r="P3181" s="921">
        <f t="shared" si="99"/>
        <v>0</v>
      </c>
    </row>
    <row r="3182" spans="1:16" ht="20.100000000000001" customHeight="1" x14ac:dyDescent="0.25">
      <c r="A3182" s="918" t="s">
        <v>490</v>
      </c>
      <c r="B3182" s="944" t="s">
        <v>3901</v>
      </c>
      <c r="C3182" s="919" t="s">
        <v>3902</v>
      </c>
      <c r="D3182" s="919" t="s">
        <v>6120</v>
      </c>
      <c r="E3182" s="920">
        <v>3700</v>
      </c>
      <c r="F3182" s="919" t="s">
        <v>9629</v>
      </c>
      <c r="G3182" s="919" t="s">
        <v>9630</v>
      </c>
      <c r="H3182" s="919" t="s">
        <v>6120</v>
      </c>
      <c r="I3182" s="919" t="s">
        <v>3724</v>
      </c>
      <c r="J3182" s="919"/>
      <c r="K3182" s="920">
        <v>1</v>
      </c>
      <c r="L3182" s="920">
        <v>12</v>
      </c>
      <c r="M3182" s="920">
        <f t="shared" si="98"/>
        <v>44400</v>
      </c>
      <c r="N3182" s="919"/>
      <c r="O3182" s="919"/>
      <c r="P3182" s="921">
        <f t="shared" si="99"/>
        <v>0</v>
      </c>
    </row>
    <row r="3183" spans="1:16" ht="20.100000000000001" customHeight="1" x14ac:dyDescent="0.25">
      <c r="A3183" s="918" t="s">
        <v>490</v>
      </c>
      <c r="B3183" s="944" t="s">
        <v>3901</v>
      </c>
      <c r="C3183" s="919" t="s">
        <v>3902</v>
      </c>
      <c r="D3183" s="919" t="s">
        <v>3999</v>
      </c>
      <c r="E3183" s="920">
        <v>2000</v>
      </c>
      <c r="F3183" s="919" t="s">
        <v>9631</v>
      </c>
      <c r="G3183" s="919" t="s">
        <v>9632</v>
      </c>
      <c r="H3183" s="919" t="s">
        <v>3999</v>
      </c>
      <c r="I3183" s="919" t="s">
        <v>3724</v>
      </c>
      <c r="J3183" s="919"/>
      <c r="K3183" s="920">
        <v>1</v>
      </c>
      <c r="L3183" s="920">
        <v>12</v>
      </c>
      <c r="M3183" s="920">
        <f t="shared" si="98"/>
        <v>24000</v>
      </c>
      <c r="N3183" s="919"/>
      <c r="O3183" s="919"/>
      <c r="P3183" s="921">
        <f t="shared" si="99"/>
        <v>0</v>
      </c>
    </row>
    <row r="3184" spans="1:16" ht="20.100000000000001" customHeight="1" x14ac:dyDescent="0.25">
      <c r="A3184" s="918" t="s">
        <v>490</v>
      </c>
      <c r="B3184" s="944" t="s">
        <v>3901</v>
      </c>
      <c r="C3184" s="919" t="s">
        <v>3902</v>
      </c>
      <c r="D3184" s="919" t="s">
        <v>4449</v>
      </c>
      <c r="E3184" s="920">
        <v>2500</v>
      </c>
      <c r="F3184" s="919" t="s">
        <v>9633</v>
      </c>
      <c r="G3184" s="919" t="s">
        <v>9634</v>
      </c>
      <c r="H3184" s="919" t="s">
        <v>4449</v>
      </c>
      <c r="I3184" s="919" t="s">
        <v>3724</v>
      </c>
      <c r="J3184" s="919"/>
      <c r="K3184" s="920">
        <v>1</v>
      </c>
      <c r="L3184" s="920">
        <v>12</v>
      </c>
      <c r="M3184" s="920">
        <f t="shared" si="98"/>
        <v>30000</v>
      </c>
      <c r="N3184" s="919"/>
      <c r="O3184" s="919"/>
      <c r="P3184" s="921">
        <f t="shared" si="99"/>
        <v>0</v>
      </c>
    </row>
    <row r="3185" spans="1:16" ht="20.100000000000001" customHeight="1" x14ac:dyDescent="0.25">
      <c r="A3185" s="918" t="s">
        <v>490</v>
      </c>
      <c r="B3185" s="944" t="s">
        <v>3901</v>
      </c>
      <c r="C3185" s="919" t="s">
        <v>3902</v>
      </c>
      <c r="D3185" s="919" t="s">
        <v>4382</v>
      </c>
      <c r="E3185" s="920">
        <v>2500</v>
      </c>
      <c r="F3185" s="919" t="s">
        <v>9635</v>
      </c>
      <c r="G3185" s="919" t="s">
        <v>9636</v>
      </c>
      <c r="H3185" s="919" t="s">
        <v>4382</v>
      </c>
      <c r="I3185" s="919" t="s">
        <v>3724</v>
      </c>
      <c r="J3185" s="919"/>
      <c r="K3185" s="920">
        <v>1</v>
      </c>
      <c r="L3185" s="920">
        <v>12</v>
      </c>
      <c r="M3185" s="920">
        <f t="shared" si="98"/>
        <v>30000</v>
      </c>
      <c r="N3185" s="919"/>
      <c r="O3185" s="919"/>
      <c r="P3185" s="921">
        <f t="shared" si="99"/>
        <v>0</v>
      </c>
    </row>
    <row r="3186" spans="1:16" ht="20.100000000000001" customHeight="1" x14ac:dyDescent="0.25">
      <c r="A3186" s="918" t="s">
        <v>490</v>
      </c>
      <c r="B3186" s="944" t="s">
        <v>3901</v>
      </c>
      <c r="C3186" s="919" t="s">
        <v>3902</v>
      </c>
      <c r="D3186" s="919" t="s">
        <v>6120</v>
      </c>
      <c r="E3186" s="920">
        <v>4300</v>
      </c>
      <c r="F3186" s="919" t="s">
        <v>9637</v>
      </c>
      <c r="G3186" s="919" t="s">
        <v>9638</v>
      </c>
      <c r="H3186" s="919" t="s">
        <v>6120</v>
      </c>
      <c r="I3186" s="919" t="s">
        <v>3724</v>
      </c>
      <c r="J3186" s="919"/>
      <c r="K3186" s="920">
        <v>1</v>
      </c>
      <c r="L3186" s="920">
        <v>12</v>
      </c>
      <c r="M3186" s="920">
        <f t="shared" si="98"/>
        <v>51600</v>
      </c>
      <c r="N3186" s="919"/>
      <c r="O3186" s="919"/>
      <c r="P3186" s="921">
        <f t="shared" si="99"/>
        <v>0</v>
      </c>
    </row>
    <row r="3187" spans="1:16" ht="20.100000000000001" customHeight="1" x14ac:dyDescent="0.25">
      <c r="A3187" s="918" t="s">
        <v>490</v>
      </c>
      <c r="B3187" s="944" t="s">
        <v>3901</v>
      </c>
      <c r="C3187" s="919" t="s">
        <v>3902</v>
      </c>
      <c r="D3187" s="919" t="s">
        <v>4352</v>
      </c>
      <c r="E3187" s="920">
        <v>2200</v>
      </c>
      <c r="F3187" s="919" t="s">
        <v>9639</v>
      </c>
      <c r="G3187" s="919" t="s">
        <v>9640</v>
      </c>
      <c r="H3187" s="919" t="s">
        <v>4352</v>
      </c>
      <c r="I3187" s="919" t="s">
        <v>3724</v>
      </c>
      <c r="J3187" s="919"/>
      <c r="K3187" s="920">
        <v>1</v>
      </c>
      <c r="L3187" s="920">
        <v>12</v>
      </c>
      <c r="M3187" s="920">
        <f t="shared" si="98"/>
        <v>26400</v>
      </c>
      <c r="N3187" s="919"/>
      <c r="O3187" s="919"/>
      <c r="P3187" s="921">
        <f t="shared" si="99"/>
        <v>0</v>
      </c>
    </row>
    <row r="3188" spans="1:16" ht="20.100000000000001" customHeight="1" x14ac:dyDescent="0.25">
      <c r="A3188" s="918" t="s">
        <v>490</v>
      </c>
      <c r="B3188" s="944" t="s">
        <v>3901</v>
      </c>
      <c r="C3188" s="919" t="s">
        <v>3902</v>
      </c>
      <c r="D3188" s="919" t="s">
        <v>3999</v>
      </c>
      <c r="E3188" s="920">
        <v>2500</v>
      </c>
      <c r="F3188" s="919" t="s">
        <v>4041</v>
      </c>
      <c r="G3188" s="919" t="s">
        <v>4042</v>
      </c>
      <c r="H3188" s="919" t="s">
        <v>3999</v>
      </c>
      <c r="I3188" s="919" t="s">
        <v>3724</v>
      </c>
      <c r="J3188" s="919"/>
      <c r="K3188" s="920">
        <v>1</v>
      </c>
      <c r="L3188" s="920">
        <v>12</v>
      </c>
      <c r="M3188" s="920">
        <f t="shared" si="98"/>
        <v>30000</v>
      </c>
      <c r="N3188" s="919"/>
      <c r="O3188" s="919"/>
      <c r="P3188" s="921">
        <f t="shared" si="99"/>
        <v>0</v>
      </c>
    </row>
    <row r="3189" spans="1:16" ht="20.100000000000001" customHeight="1" x14ac:dyDescent="0.25">
      <c r="A3189" s="918" t="s">
        <v>490</v>
      </c>
      <c r="B3189" s="944" t="s">
        <v>3901</v>
      </c>
      <c r="C3189" s="919" t="s">
        <v>3902</v>
      </c>
      <c r="D3189" s="919" t="s">
        <v>3999</v>
      </c>
      <c r="E3189" s="920">
        <v>2500</v>
      </c>
      <c r="F3189" s="919" t="s">
        <v>9641</v>
      </c>
      <c r="G3189" s="919" t="s">
        <v>9642</v>
      </c>
      <c r="H3189" s="919" t="s">
        <v>3999</v>
      </c>
      <c r="I3189" s="919" t="s">
        <v>3724</v>
      </c>
      <c r="J3189" s="919"/>
      <c r="K3189" s="920">
        <v>1</v>
      </c>
      <c r="L3189" s="920">
        <v>12</v>
      </c>
      <c r="M3189" s="920">
        <f t="shared" si="98"/>
        <v>30000</v>
      </c>
      <c r="N3189" s="919"/>
      <c r="O3189" s="919"/>
      <c r="P3189" s="921">
        <f t="shared" si="99"/>
        <v>0</v>
      </c>
    </row>
    <row r="3190" spans="1:16" ht="20.100000000000001" customHeight="1" x14ac:dyDescent="0.25">
      <c r="A3190" s="918" t="s">
        <v>490</v>
      </c>
      <c r="B3190" s="944" t="s">
        <v>3901</v>
      </c>
      <c r="C3190" s="919" t="s">
        <v>3902</v>
      </c>
      <c r="D3190" s="919" t="s">
        <v>4352</v>
      </c>
      <c r="E3190" s="920">
        <v>2700</v>
      </c>
      <c r="F3190" s="919" t="s">
        <v>9643</v>
      </c>
      <c r="G3190" s="919" t="s">
        <v>9644</v>
      </c>
      <c r="H3190" s="919" t="s">
        <v>4352</v>
      </c>
      <c r="I3190" s="919" t="s">
        <v>3724</v>
      </c>
      <c r="J3190" s="919"/>
      <c r="K3190" s="920">
        <v>1</v>
      </c>
      <c r="L3190" s="920">
        <v>12</v>
      </c>
      <c r="M3190" s="920">
        <f t="shared" si="98"/>
        <v>32400</v>
      </c>
      <c r="N3190" s="919"/>
      <c r="O3190" s="919"/>
      <c r="P3190" s="921">
        <f t="shared" si="99"/>
        <v>0</v>
      </c>
    </row>
    <row r="3191" spans="1:16" ht="20.100000000000001" customHeight="1" x14ac:dyDescent="0.25">
      <c r="A3191" s="918" t="s">
        <v>490</v>
      </c>
      <c r="B3191" s="944" t="s">
        <v>3901</v>
      </c>
      <c r="C3191" s="919" t="s">
        <v>3902</v>
      </c>
      <c r="D3191" s="919" t="s">
        <v>4449</v>
      </c>
      <c r="E3191" s="920">
        <v>2200</v>
      </c>
      <c r="F3191" s="919" t="s">
        <v>9645</v>
      </c>
      <c r="G3191" s="919" t="s">
        <v>9646</v>
      </c>
      <c r="H3191" s="919" t="s">
        <v>4449</v>
      </c>
      <c r="I3191" s="919" t="s">
        <v>3724</v>
      </c>
      <c r="J3191" s="919"/>
      <c r="K3191" s="920">
        <v>1</v>
      </c>
      <c r="L3191" s="920">
        <v>12</v>
      </c>
      <c r="M3191" s="920">
        <f t="shared" si="98"/>
        <v>26400</v>
      </c>
      <c r="N3191" s="919"/>
      <c r="O3191" s="919"/>
      <c r="P3191" s="921">
        <f t="shared" si="99"/>
        <v>0</v>
      </c>
    </row>
    <row r="3192" spans="1:16" ht="20.100000000000001" customHeight="1" x14ac:dyDescent="0.25">
      <c r="A3192" s="918" t="s">
        <v>490</v>
      </c>
      <c r="B3192" s="944" t="s">
        <v>3901</v>
      </c>
      <c r="C3192" s="919" t="s">
        <v>3902</v>
      </c>
      <c r="D3192" s="919" t="s">
        <v>6120</v>
      </c>
      <c r="E3192" s="920">
        <v>4300</v>
      </c>
      <c r="F3192" s="919" t="s">
        <v>9647</v>
      </c>
      <c r="G3192" s="919" t="s">
        <v>9648</v>
      </c>
      <c r="H3192" s="919" t="s">
        <v>6120</v>
      </c>
      <c r="I3192" s="919" t="s">
        <v>3724</v>
      </c>
      <c r="J3192" s="919"/>
      <c r="K3192" s="920">
        <v>1</v>
      </c>
      <c r="L3192" s="920">
        <v>12</v>
      </c>
      <c r="M3192" s="920">
        <f t="shared" si="98"/>
        <v>51600</v>
      </c>
      <c r="N3192" s="919"/>
      <c r="O3192" s="919"/>
      <c r="P3192" s="921">
        <f t="shared" si="99"/>
        <v>0</v>
      </c>
    </row>
    <row r="3193" spans="1:16" ht="20.100000000000001" customHeight="1" x14ac:dyDescent="0.25">
      <c r="A3193" s="918" t="s">
        <v>490</v>
      </c>
      <c r="B3193" s="944" t="s">
        <v>3901</v>
      </c>
      <c r="C3193" s="919" t="s">
        <v>3902</v>
      </c>
      <c r="D3193" s="919" t="s">
        <v>3999</v>
      </c>
      <c r="E3193" s="920">
        <v>2700</v>
      </c>
      <c r="F3193" s="919" t="s">
        <v>9649</v>
      </c>
      <c r="G3193" s="919" t="s">
        <v>9650</v>
      </c>
      <c r="H3193" s="919" t="s">
        <v>3999</v>
      </c>
      <c r="I3193" s="919" t="s">
        <v>3724</v>
      </c>
      <c r="J3193" s="919"/>
      <c r="K3193" s="920">
        <v>1</v>
      </c>
      <c r="L3193" s="920">
        <v>12</v>
      </c>
      <c r="M3193" s="920">
        <f t="shared" si="98"/>
        <v>32400</v>
      </c>
      <c r="N3193" s="919"/>
      <c r="O3193" s="919"/>
      <c r="P3193" s="921">
        <f t="shared" si="99"/>
        <v>0</v>
      </c>
    </row>
    <row r="3194" spans="1:16" ht="20.100000000000001" customHeight="1" x14ac:dyDescent="0.25">
      <c r="A3194" s="918" t="s">
        <v>490</v>
      </c>
      <c r="B3194" s="944" t="s">
        <v>3901</v>
      </c>
      <c r="C3194" s="919" t="s">
        <v>3902</v>
      </c>
      <c r="D3194" s="919" t="s">
        <v>3999</v>
      </c>
      <c r="E3194" s="920">
        <v>2700</v>
      </c>
      <c r="F3194" s="919" t="s">
        <v>9651</v>
      </c>
      <c r="G3194" s="919" t="s">
        <v>9652</v>
      </c>
      <c r="H3194" s="919" t="s">
        <v>3999</v>
      </c>
      <c r="I3194" s="919" t="s">
        <v>3724</v>
      </c>
      <c r="J3194" s="919"/>
      <c r="K3194" s="920">
        <v>1</v>
      </c>
      <c r="L3194" s="920">
        <v>12</v>
      </c>
      <c r="M3194" s="920">
        <f t="shared" si="98"/>
        <v>32400</v>
      </c>
      <c r="N3194" s="919"/>
      <c r="O3194" s="919"/>
      <c r="P3194" s="921">
        <f t="shared" si="99"/>
        <v>0</v>
      </c>
    </row>
    <row r="3195" spans="1:16" ht="20.100000000000001" customHeight="1" x14ac:dyDescent="0.25">
      <c r="A3195" s="918" t="s">
        <v>490</v>
      </c>
      <c r="B3195" s="944" t="s">
        <v>3901</v>
      </c>
      <c r="C3195" s="919" t="s">
        <v>3902</v>
      </c>
      <c r="D3195" s="919" t="s">
        <v>3999</v>
      </c>
      <c r="E3195" s="920">
        <v>2500</v>
      </c>
      <c r="F3195" s="919" t="s">
        <v>9653</v>
      </c>
      <c r="G3195" s="919" t="s">
        <v>9654</v>
      </c>
      <c r="H3195" s="919" t="s">
        <v>3999</v>
      </c>
      <c r="I3195" s="919" t="s">
        <v>3724</v>
      </c>
      <c r="J3195" s="919"/>
      <c r="K3195" s="920">
        <v>1</v>
      </c>
      <c r="L3195" s="920">
        <v>12</v>
      </c>
      <c r="M3195" s="920">
        <f t="shared" si="98"/>
        <v>30000</v>
      </c>
      <c r="N3195" s="919"/>
      <c r="O3195" s="919"/>
      <c r="P3195" s="921">
        <f t="shared" si="99"/>
        <v>0</v>
      </c>
    </row>
    <row r="3196" spans="1:16" ht="20.100000000000001" customHeight="1" x14ac:dyDescent="0.25">
      <c r="A3196" s="918" t="s">
        <v>490</v>
      </c>
      <c r="B3196" s="944" t="s">
        <v>3901</v>
      </c>
      <c r="C3196" s="919" t="s">
        <v>3902</v>
      </c>
      <c r="D3196" s="919" t="s">
        <v>4449</v>
      </c>
      <c r="E3196" s="920">
        <v>2000</v>
      </c>
      <c r="F3196" s="919" t="s">
        <v>9655</v>
      </c>
      <c r="G3196" s="919" t="s">
        <v>9656</v>
      </c>
      <c r="H3196" s="919" t="s">
        <v>4449</v>
      </c>
      <c r="I3196" s="919" t="s">
        <v>3724</v>
      </c>
      <c r="J3196" s="919"/>
      <c r="K3196" s="920">
        <v>1</v>
      </c>
      <c r="L3196" s="920">
        <v>12</v>
      </c>
      <c r="M3196" s="920">
        <f t="shared" si="98"/>
        <v>24000</v>
      </c>
      <c r="N3196" s="919"/>
      <c r="O3196" s="919"/>
      <c r="P3196" s="921">
        <f t="shared" si="99"/>
        <v>0</v>
      </c>
    </row>
    <row r="3197" spans="1:16" ht="20.100000000000001" customHeight="1" x14ac:dyDescent="0.25">
      <c r="A3197" s="918" t="s">
        <v>490</v>
      </c>
      <c r="B3197" s="944" t="s">
        <v>3901</v>
      </c>
      <c r="C3197" s="919" t="s">
        <v>3902</v>
      </c>
      <c r="D3197" s="919" t="s">
        <v>3999</v>
      </c>
      <c r="E3197" s="920">
        <v>2500</v>
      </c>
      <c r="F3197" s="919" t="s">
        <v>9657</v>
      </c>
      <c r="G3197" s="919" t="s">
        <v>9658</v>
      </c>
      <c r="H3197" s="919" t="s">
        <v>3999</v>
      </c>
      <c r="I3197" s="919" t="s">
        <v>3724</v>
      </c>
      <c r="J3197" s="919"/>
      <c r="K3197" s="920">
        <v>1</v>
      </c>
      <c r="L3197" s="920">
        <v>12</v>
      </c>
      <c r="M3197" s="920">
        <f t="shared" si="98"/>
        <v>30000</v>
      </c>
      <c r="N3197" s="919"/>
      <c r="O3197" s="919"/>
      <c r="P3197" s="921">
        <f t="shared" si="99"/>
        <v>0</v>
      </c>
    </row>
    <row r="3198" spans="1:16" ht="20.100000000000001" customHeight="1" x14ac:dyDescent="0.25">
      <c r="A3198" s="918" t="s">
        <v>490</v>
      </c>
      <c r="B3198" s="944" t="s">
        <v>3901</v>
      </c>
      <c r="C3198" s="919" t="s">
        <v>3902</v>
      </c>
      <c r="D3198" s="919" t="s">
        <v>4449</v>
      </c>
      <c r="E3198" s="920">
        <v>2000</v>
      </c>
      <c r="F3198" s="919" t="s">
        <v>9659</v>
      </c>
      <c r="G3198" s="919" t="s">
        <v>9660</v>
      </c>
      <c r="H3198" s="919" t="s">
        <v>4449</v>
      </c>
      <c r="I3198" s="919" t="s">
        <v>3724</v>
      </c>
      <c r="J3198" s="919"/>
      <c r="K3198" s="920">
        <v>1</v>
      </c>
      <c r="L3198" s="920">
        <v>12</v>
      </c>
      <c r="M3198" s="920">
        <f t="shared" si="98"/>
        <v>24000</v>
      </c>
      <c r="N3198" s="919"/>
      <c r="O3198" s="919"/>
      <c r="P3198" s="921">
        <f t="shared" si="99"/>
        <v>0</v>
      </c>
    </row>
    <row r="3199" spans="1:16" ht="20.100000000000001" customHeight="1" x14ac:dyDescent="0.25">
      <c r="A3199" s="918" t="s">
        <v>490</v>
      </c>
      <c r="B3199" s="944" t="s">
        <v>3901</v>
      </c>
      <c r="C3199" s="919" t="s">
        <v>3902</v>
      </c>
      <c r="D3199" s="919" t="s">
        <v>4382</v>
      </c>
      <c r="E3199" s="920">
        <v>2500</v>
      </c>
      <c r="F3199" s="919" t="s">
        <v>9661</v>
      </c>
      <c r="G3199" s="919" t="s">
        <v>9662</v>
      </c>
      <c r="H3199" s="919" t="s">
        <v>4382</v>
      </c>
      <c r="I3199" s="919" t="s">
        <v>3724</v>
      </c>
      <c r="J3199" s="919"/>
      <c r="K3199" s="920">
        <v>1</v>
      </c>
      <c r="L3199" s="920">
        <v>12</v>
      </c>
      <c r="M3199" s="920">
        <f t="shared" si="98"/>
        <v>30000</v>
      </c>
      <c r="N3199" s="919"/>
      <c r="O3199" s="919"/>
      <c r="P3199" s="921">
        <f t="shared" si="99"/>
        <v>0</v>
      </c>
    </row>
    <row r="3200" spans="1:16" ht="20.100000000000001" customHeight="1" x14ac:dyDescent="0.25">
      <c r="A3200" s="918" t="s">
        <v>490</v>
      </c>
      <c r="B3200" s="944" t="s">
        <v>3901</v>
      </c>
      <c r="C3200" s="919" t="s">
        <v>3902</v>
      </c>
      <c r="D3200" s="919" t="s">
        <v>3999</v>
      </c>
      <c r="E3200" s="920">
        <v>2500</v>
      </c>
      <c r="F3200" s="919" t="s">
        <v>9663</v>
      </c>
      <c r="G3200" s="919" t="s">
        <v>9664</v>
      </c>
      <c r="H3200" s="919" t="s">
        <v>3999</v>
      </c>
      <c r="I3200" s="919" t="s">
        <v>3724</v>
      </c>
      <c r="J3200" s="919"/>
      <c r="K3200" s="920">
        <v>1</v>
      </c>
      <c r="L3200" s="920">
        <v>12</v>
      </c>
      <c r="M3200" s="920">
        <f t="shared" si="98"/>
        <v>30000</v>
      </c>
      <c r="N3200" s="919"/>
      <c r="O3200" s="919"/>
      <c r="P3200" s="921">
        <f t="shared" si="99"/>
        <v>0</v>
      </c>
    </row>
    <row r="3201" spans="1:16" ht="20.100000000000001" customHeight="1" x14ac:dyDescent="0.25">
      <c r="A3201" s="918" t="s">
        <v>490</v>
      </c>
      <c r="B3201" s="944" t="s">
        <v>3901</v>
      </c>
      <c r="C3201" s="919" t="s">
        <v>3902</v>
      </c>
      <c r="D3201" s="919" t="s">
        <v>6120</v>
      </c>
      <c r="E3201" s="920">
        <v>4500</v>
      </c>
      <c r="F3201" s="919" t="s">
        <v>9665</v>
      </c>
      <c r="G3201" s="919" t="s">
        <v>9666</v>
      </c>
      <c r="H3201" s="919" t="s">
        <v>6120</v>
      </c>
      <c r="I3201" s="919" t="s">
        <v>3724</v>
      </c>
      <c r="J3201" s="919"/>
      <c r="K3201" s="920">
        <v>1</v>
      </c>
      <c r="L3201" s="920">
        <v>12</v>
      </c>
      <c r="M3201" s="920">
        <f t="shared" si="98"/>
        <v>54000</v>
      </c>
      <c r="N3201" s="919"/>
      <c r="O3201" s="919"/>
      <c r="P3201" s="921">
        <f t="shared" si="99"/>
        <v>0</v>
      </c>
    </row>
    <row r="3202" spans="1:16" ht="20.100000000000001" customHeight="1" x14ac:dyDescent="0.25">
      <c r="A3202" s="918" t="s">
        <v>490</v>
      </c>
      <c r="B3202" s="944" t="s">
        <v>3901</v>
      </c>
      <c r="C3202" s="919" t="s">
        <v>3902</v>
      </c>
      <c r="D3202" s="919" t="s">
        <v>4382</v>
      </c>
      <c r="E3202" s="920">
        <v>2500</v>
      </c>
      <c r="F3202" s="919" t="s">
        <v>9667</v>
      </c>
      <c r="G3202" s="919" t="s">
        <v>9668</v>
      </c>
      <c r="H3202" s="919" t="s">
        <v>4382</v>
      </c>
      <c r="I3202" s="919" t="s">
        <v>3724</v>
      </c>
      <c r="J3202" s="919"/>
      <c r="K3202" s="920">
        <v>1</v>
      </c>
      <c r="L3202" s="920">
        <v>12</v>
      </c>
      <c r="M3202" s="920">
        <f t="shared" si="98"/>
        <v>30000</v>
      </c>
      <c r="N3202" s="919"/>
      <c r="O3202" s="919"/>
      <c r="P3202" s="921">
        <f t="shared" si="99"/>
        <v>0</v>
      </c>
    </row>
    <row r="3203" spans="1:16" ht="20.100000000000001" customHeight="1" x14ac:dyDescent="0.25">
      <c r="A3203" s="918" t="s">
        <v>490</v>
      </c>
      <c r="B3203" s="944" t="s">
        <v>3901</v>
      </c>
      <c r="C3203" s="919" t="s">
        <v>3902</v>
      </c>
      <c r="D3203" s="919" t="s">
        <v>6120</v>
      </c>
      <c r="E3203" s="920">
        <v>6500</v>
      </c>
      <c r="F3203" s="919" t="s">
        <v>9669</v>
      </c>
      <c r="G3203" s="919" t="s">
        <v>9670</v>
      </c>
      <c r="H3203" s="919" t="s">
        <v>6120</v>
      </c>
      <c r="I3203" s="919" t="s">
        <v>3724</v>
      </c>
      <c r="J3203" s="919"/>
      <c r="K3203" s="920">
        <v>1</v>
      </c>
      <c r="L3203" s="920">
        <v>12</v>
      </c>
      <c r="M3203" s="920">
        <f t="shared" si="98"/>
        <v>78000</v>
      </c>
      <c r="N3203" s="919"/>
      <c r="O3203" s="919"/>
      <c r="P3203" s="921">
        <f t="shared" si="99"/>
        <v>0</v>
      </c>
    </row>
    <row r="3204" spans="1:16" ht="20.100000000000001" customHeight="1" x14ac:dyDescent="0.25">
      <c r="A3204" s="918" t="s">
        <v>490</v>
      </c>
      <c r="B3204" s="944" t="s">
        <v>3901</v>
      </c>
      <c r="C3204" s="919" t="s">
        <v>3902</v>
      </c>
      <c r="D3204" s="919" t="s">
        <v>3999</v>
      </c>
      <c r="E3204" s="920">
        <v>2500</v>
      </c>
      <c r="F3204" s="919" t="s">
        <v>9671</v>
      </c>
      <c r="G3204" s="919" t="s">
        <v>9672</v>
      </c>
      <c r="H3204" s="919" t="s">
        <v>3999</v>
      </c>
      <c r="I3204" s="919" t="s">
        <v>3724</v>
      </c>
      <c r="J3204" s="919"/>
      <c r="K3204" s="920">
        <v>1</v>
      </c>
      <c r="L3204" s="920">
        <v>12</v>
      </c>
      <c r="M3204" s="920">
        <f t="shared" si="98"/>
        <v>30000</v>
      </c>
      <c r="N3204" s="919"/>
      <c r="O3204" s="919"/>
      <c r="P3204" s="921">
        <f t="shared" si="99"/>
        <v>0</v>
      </c>
    </row>
    <row r="3205" spans="1:16" ht="20.100000000000001" customHeight="1" x14ac:dyDescent="0.25">
      <c r="A3205" s="918" t="s">
        <v>490</v>
      </c>
      <c r="B3205" s="944" t="s">
        <v>3901</v>
      </c>
      <c r="C3205" s="919" t="s">
        <v>3902</v>
      </c>
      <c r="D3205" s="919" t="s">
        <v>3999</v>
      </c>
      <c r="E3205" s="920">
        <v>2500</v>
      </c>
      <c r="F3205" s="919" t="s">
        <v>9673</v>
      </c>
      <c r="G3205" s="919" t="s">
        <v>9674</v>
      </c>
      <c r="H3205" s="919" t="s">
        <v>3999</v>
      </c>
      <c r="I3205" s="919" t="s">
        <v>3724</v>
      </c>
      <c r="J3205" s="919"/>
      <c r="K3205" s="920">
        <v>1</v>
      </c>
      <c r="L3205" s="920">
        <v>12</v>
      </c>
      <c r="M3205" s="920">
        <f t="shared" si="98"/>
        <v>30000</v>
      </c>
      <c r="N3205" s="919"/>
      <c r="O3205" s="919"/>
      <c r="P3205" s="921">
        <f t="shared" si="99"/>
        <v>0</v>
      </c>
    </row>
    <row r="3206" spans="1:16" ht="20.100000000000001" customHeight="1" x14ac:dyDescent="0.25">
      <c r="A3206" s="918" t="s">
        <v>490</v>
      </c>
      <c r="B3206" s="944" t="s">
        <v>3901</v>
      </c>
      <c r="C3206" s="919" t="s">
        <v>3902</v>
      </c>
      <c r="D3206" s="919" t="s">
        <v>4449</v>
      </c>
      <c r="E3206" s="920">
        <v>2500</v>
      </c>
      <c r="F3206" s="919" t="s">
        <v>9675</v>
      </c>
      <c r="G3206" s="919" t="s">
        <v>9676</v>
      </c>
      <c r="H3206" s="919" t="s">
        <v>4449</v>
      </c>
      <c r="I3206" s="919" t="s">
        <v>3724</v>
      </c>
      <c r="J3206" s="919"/>
      <c r="K3206" s="920">
        <v>1</v>
      </c>
      <c r="L3206" s="920">
        <v>12</v>
      </c>
      <c r="M3206" s="920">
        <f t="shared" ref="M3206:M3269" si="100">E3206*L3206</f>
        <v>30000</v>
      </c>
      <c r="N3206" s="919"/>
      <c r="O3206" s="919"/>
      <c r="P3206" s="921">
        <f t="shared" ref="P3206:P3269" si="101">E3206*O3206</f>
        <v>0</v>
      </c>
    </row>
    <row r="3207" spans="1:16" ht="20.100000000000001" customHeight="1" x14ac:dyDescent="0.25">
      <c r="A3207" s="918" t="s">
        <v>490</v>
      </c>
      <c r="B3207" s="944" t="s">
        <v>3901</v>
      </c>
      <c r="C3207" s="919" t="s">
        <v>3902</v>
      </c>
      <c r="D3207" s="919" t="s">
        <v>3999</v>
      </c>
      <c r="E3207" s="920">
        <v>2500</v>
      </c>
      <c r="F3207" s="919" t="s">
        <v>9677</v>
      </c>
      <c r="G3207" s="919" t="s">
        <v>9678</v>
      </c>
      <c r="H3207" s="919" t="s">
        <v>3999</v>
      </c>
      <c r="I3207" s="919" t="s">
        <v>3724</v>
      </c>
      <c r="J3207" s="919"/>
      <c r="K3207" s="920">
        <v>1</v>
      </c>
      <c r="L3207" s="920">
        <v>12</v>
      </c>
      <c r="M3207" s="920">
        <f t="shared" si="100"/>
        <v>30000</v>
      </c>
      <c r="N3207" s="919"/>
      <c r="O3207" s="919"/>
      <c r="P3207" s="921">
        <f t="shared" si="101"/>
        <v>0</v>
      </c>
    </row>
    <row r="3208" spans="1:16" ht="20.100000000000001" customHeight="1" x14ac:dyDescent="0.25">
      <c r="A3208" s="918" t="s">
        <v>490</v>
      </c>
      <c r="B3208" s="944" t="s">
        <v>3901</v>
      </c>
      <c r="C3208" s="919" t="s">
        <v>3902</v>
      </c>
      <c r="D3208" s="919" t="s">
        <v>6120</v>
      </c>
      <c r="E3208" s="920">
        <v>3300</v>
      </c>
      <c r="F3208" s="919" t="s">
        <v>9679</v>
      </c>
      <c r="G3208" s="919" t="s">
        <v>9680</v>
      </c>
      <c r="H3208" s="919" t="s">
        <v>6120</v>
      </c>
      <c r="I3208" s="919" t="s">
        <v>3724</v>
      </c>
      <c r="J3208" s="919"/>
      <c r="K3208" s="920">
        <v>1</v>
      </c>
      <c r="L3208" s="920">
        <v>12</v>
      </c>
      <c r="M3208" s="920">
        <f t="shared" si="100"/>
        <v>39600</v>
      </c>
      <c r="N3208" s="919"/>
      <c r="O3208" s="919"/>
      <c r="P3208" s="921">
        <f t="shared" si="101"/>
        <v>0</v>
      </c>
    </row>
    <row r="3209" spans="1:16" ht="20.100000000000001" customHeight="1" x14ac:dyDescent="0.25">
      <c r="A3209" s="918" t="s">
        <v>490</v>
      </c>
      <c r="B3209" s="944" t="s">
        <v>3901</v>
      </c>
      <c r="C3209" s="919" t="s">
        <v>3902</v>
      </c>
      <c r="D3209" s="919" t="s">
        <v>3999</v>
      </c>
      <c r="E3209" s="920">
        <v>2500</v>
      </c>
      <c r="F3209" s="919" t="s">
        <v>9681</v>
      </c>
      <c r="G3209" s="919" t="s">
        <v>9682</v>
      </c>
      <c r="H3209" s="919" t="s">
        <v>3999</v>
      </c>
      <c r="I3209" s="919" t="s">
        <v>3724</v>
      </c>
      <c r="J3209" s="919"/>
      <c r="K3209" s="920">
        <v>1</v>
      </c>
      <c r="L3209" s="920">
        <v>12</v>
      </c>
      <c r="M3209" s="920">
        <f t="shared" si="100"/>
        <v>30000</v>
      </c>
      <c r="N3209" s="919"/>
      <c r="O3209" s="919"/>
      <c r="P3209" s="921">
        <f t="shared" si="101"/>
        <v>0</v>
      </c>
    </row>
    <row r="3210" spans="1:16" ht="20.100000000000001" customHeight="1" x14ac:dyDescent="0.25">
      <c r="A3210" s="918" t="s">
        <v>490</v>
      </c>
      <c r="B3210" s="944" t="s">
        <v>3901</v>
      </c>
      <c r="C3210" s="919" t="s">
        <v>3902</v>
      </c>
      <c r="D3210" s="919" t="s">
        <v>4352</v>
      </c>
      <c r="E3210" s="920">
        <v>2700</v>
      </c>
      <c r="F3210" s="919" t="s">
        <v>9683</v>
      </c>
      <c r="G3210" s="919" t="s">
        <v>9684</v>
      </c>
      <c r="H3210" s="919" t="s">
        <v>4352</v>
      </c>
      <c r="I3210" s="919" t="s">
        <v>3724</v>
      </c>
      <c r="J3210" s="919"/>
      <c r="K3210" s="920">
        <v>1</v>
      </c>
      <c r="L3210" s="920">
        <v>12</v>
      </c>
      <c r="M3210" s="920">
        <f t="shared" si="100"/>
        <v>32400</v>
      </c>
      <c r="N3210" s="919"/>
      <c r="O3210" s="919"/>
      <c r="P3210" s="921">
        <f t="shared" si="101"/>
        <v>0</v>
      </c>
    </row>
    <row r="3211" spans="1:16" ht="20.100000000000001" customHeight="1" x14ac:dyDescent="0.25">
      <c r="A3211" s="918" t="s">
        <v>490</v>
      </c>
      <c r="B3211" s="944" t="s">
        <v>3901</v>
      </c>
      <c r="C3211" s="919" t="s">
        <v>3902</v>
      </c>
      <c r="D3211" s="919" t="s">
        <v>6120</v>
      </c>
      <c r="E3211" s="920">
        <v>6500</v>
      </c>
      <c r="F3211" s="919" t="s">
        <v>9685</v>
      </c>
      <c r="G3211" s="919" t="s">
        <v>9686</v>
      </c>
      <c r="H3211" s="919" t="s">
        <v>6120</v>
      </c>
      <c r="I3211" s="919" t="s">
        <v>3724</v>
      </c>
      <c r="J3211" s="919"/>
      <c r="K3211" s="920">
        <v>1</v>
      </c>
      <c r="L3211" s="920">
        <v>12</v>
      </c>
      <c r="M3211" s="920">
        <f t="shared" si="100"/>
        <v>78000</v>
      </c>
      <c r="N3211" s="919"/>
      <c r="O3211" s="919"/>
      <c r="P3211" s="921">
        <f t="shared" si="101"/>
        <v>0</v>
      </c>
    </row>
    <row r="3212" spans="1:16" ht="20.100000000000001" customHeight="1" x14ac:dyDescent="0.25">
      <c r="A3212" s="918" t="s">
        <v>490</v>
      </c>
      <c r="B3212" s="944" t="s">
        <v>3901</v>
      </c>
      <c r="C3212" s="919" t="s">
        <v>3902</v>
      </c>
      <c r="D3212" s="919" t="s">
        <v>6120</v>
      </c>
      <c r="E3212" s="920">
        <v>4300</v>
      </c>
      <c r="F3212" s="919" t="s">
        <v>9687</v>
      </c>
      <c r="G3212" s="919" t="s">
        <v>9688</v>
      </c>
      <c r="H3212" s="919" t="s">
        <v>6120</v>
      </c>
      <c r="I3212" s="919" t="s">
        <v>3724</v>
      </c>
      <c r="J3212" s="919"/>
      <c r="K3212" s="920">
        <v>1</v>
      </c>
      <c r="L3212" s="920">
        <v>12</v>
      </c>
      <c r="M3212" s="920">
        <f t="shared" si="100"/>
        <v>51600</v>
      </c>
      <c r="N3212" s="919"/>
      <c r="O3212" s="919"/>
      <c r="P3212" s="921">
        <f t="shared" si="101"/>
        <v>0</v>
      </c>
    </row>
    <row r="3213" spans="1:16" ht="20.100000000000001" customHeight="1" x14ac:dyDescent="0.25">
      <c r="A3213" s="918" t="s">
        <v>490</v>
      </c>
      <c r="B3213" s="944" t="s">
        <v>3901</v>
      </c>
      <c r="C3213" s="919" t="s">
        <v>3902</v>
      </c>
      <c r="D3213" s="919" t="s">
        <v>3999</v>
      </c>
      <c r="E3213" s="920">
        <v>2500</v>
      </c>
      <c r="F3213" s="919" t="s">
        <v>9689</v>
      </c>
      <c r="G3213" s="919" t="s">
        <v>9690</v>
      </c>
      <c r="H3213" s="919" t="s">
        <v>3999</v>
      </c>
      <c r="I3213" s="919" t="s">
        <v>3724</v>
      </c>
      <c r="J3213" s="919"/>
      <c r="K3213" s="920">
        <v>1</v>
      </c>
      <c r="L3213" s="920">
        <v>12</v>
      </c>
      <c r="M3213" s="920">
        <f t="shared" si="100"/>
        <v>30000</v>
      </c>
      <c r="N3213" s="919"/>
      <c r="O3213" s="919"/>
      <c r="P3213" s="921">
        <f t="shared" si="101"/>
        <v>0</v>
      </c>
    </row>
    <row r="3214" spans="1:16" ht="20.100000000000001" customHeight="1" x14ac:dyDescent="0.25">
      <c r="A3214" s="918" t="s">
        <v>490</v>
      </c>
      <c r="B3214" s="944" t="s">
        <v>3901</v>
      </c>
      <c r="C3214" s="919" t="s">
        <v>3902</v>
      </c>
      <c r="D3214" s="919" t="s">
        <v>6120</v>
      </c>
      <c r="E3214" s="920">
        <v>3300</v>
      </c>
      <c r="F3214" s="919" t="s">
        <v>9691</v>
      </c>
      <c r="G3214" s="919" t="s">
        <v>9692</v>
      </c>
      <c r="H3214" s="919" t="s">
        <v>6120</v>
      </c>
      <c r="I3214" s="919" t="s">
        <v>3724</v>
      </c>
      <c r="J3214" s="919"/>
      <c r="K3214" s="920">
        <v>1</v>
      </c>
      <c r="L3214" s="920">
        <v>12</v>
      </c>
      <c r="M3214" s="920">
        <f t="shared" si="100"/>
        <v>39600</v>
      </c>
      <c r="N3214" s="919"/>
      <c r="O3214" s="919"/>
      <c r="P3214" s="921">
        <f t="shared" si="101"/>
        <v>0</v>
      </c>
    </row>
    <row r="3215" spans="1:16" ht="20.100000000000001" customHeight="1" x14ac:dyDescent="0.25">
      <c r="A3215" s="918" t="s">
        <v>490</v>
      </c>
      <c r="B3215" s="944" t="s">
        <v>3901</v>
      </c>
      <c r="C3215" s="919" t="s">
        <v>3902</v>
      </c>
      <c r="D3215" s="919" t="s">
        <v>6120</v>
      </c>
      <c r="E3215" s="920">
        <v>8000</v>
      </c>
      <c r="F3215" s="919" t="s">
        <v>9693</v>
      </c>
      <c r="G3215" s="919" t="s">
        <v>9694</v>
      </c>
      <c r="H3215" s="919" t="s">
        <v>6120</v>
      </c>
      <c r="I3215" s="919" t="s">
        <v>3724</v>
      </c>
      <c r="J3215" s="919"/>
      <c r="K3215" s="920">
        <v>1</v>
      </c>
      <c r="L3215" s="920">
        <v>12</v>
      </c>
      <c r="M3215" s="920">
        <f t="shared" si="100"/>
        <v>96000</v>
      </c>
      <c r="N3215" s="919"/>
      <c r="O3215" s="919"/>
      <c r="P3215" s="921">
        <f t="shared" si="101"/>
        <v>0</v>
      </c>
    </row>
    <row r="3216" spans="1:16" ht="20.100000000000001" customHeight="1" x14ac:dyDescent="0.25">
      <c r="A3216" s="918" t="s">
        <v>490</v>
      </c>
      <c r="B3216" s="944" t="s">
        <v>3901</v>
      </c>
      <c r="C3216" s="919" t="s">
        <v>3902</v>
      </c>
      <c r="D3216" s="919" t="s">
        <v>6120</v>
      </c>
      <c r="E3216" s="920">
        <v>3300</v>
      </c>
      <c r="F3216" s="919" t="s">
        <v>9695</v>
      </c>
      <c r="G3216" s="919" t="s">
        <v>9696</v>
      </c>
      <c r="H3216" s="919" t="s">
        <v>6120</v>
      </c>
      <c r="I3216" s="919" t="s">
        <v>3724</v>
      </c>
      <c r="J3216" s="919"/>
      <c r="K3216" s="920">
        <v>1</v>
      </c>
      <c r="L3216" s="920">
        <v>12</v>
      </c>
      <c r="M3216" s="920">
        <f t="shared" si="100"/>
        <v>39600</v>
      </c>
      <c r="N3216" s="919"/>
      <c r="O3216" s="919"/>
      <c r="P3216" s="921">
        <f t="shared" si="101"/>
        <v>0</v>
      </c>
    </row>
    <row r="3217" spans="1:16" ht="20.100000000000001" customHeight="1" x14ac:dyDescent="0.25">
      <c r="A3217" s="918" t="s">
        <v>490</v>
      </c>
      <c r="B3217" s="944" t="s">
        <v>3901</v>
      </c>
      <c r="C3217" s="919" t="s">
        <v>3902</v>
      </c>
      <c r="D3217" s="919" t="s">
        <v>6120</v>
      </c>
      <c r="E3217" s="920">
        <v>3000</v>
      </c>
      <c r="F3217" s="919" t="s">
        <v>9697</v>
      </c>
      <c r="G3217" s="919" t="s">
        <v>9698</v>
      </c>
      <c r="H3217" s="919" t="s">
        <v>6120</v>
      </c>
      <c r="I3217" s="919" t="s">
        <v>3724</v>
      </c>
      <c r="J3217" s="919"/>
      <c r="K3217" s="920">
        <v>1</v>
      </c>
      <c r="L3217" s="920">
        <v>12</v>
      </c>
      <c r="M3217" s="920">
        <f t="shared" si="100"/>
        <v>36000</v>
      </c>
      <c r="N3217" s="919"/>
      <c r="O3217" s="919"/>
      <c r="P3217" s="921">
        <f t="shared" si="101"/>
        <v>0</v>
      </c>
    </row>
    <row r="3218" spans="1:16" ht="20.100000000000001" customHeight="1" x14ac:dyDescent="0.25">
      <c r="A3218" s="918" t="s">
        <v>490</v>
      </c>
      <c r="B3218" s="944" t="s">
        <v>3901</v>
      </c>
      <c r="C3218" s="919" t="s">
        <v>3902</v>
      </c>
      <c r="D3218" s="919" t="s">
        <v>3999</v>
      </c>
      <c r="E3218" s="920">
        <v>2700</v>
      </c>
      <c r="F3218" s="919" t="s">
        <v>9699</v>
      </c>
      <c r="G3218" s="919" t="s">
        <v>9700</v>
      </c>
      <c r="H3218" s="919" t="s">
        <v>3999</v>
      </c>
      <c r="I3218" s="919" t="s">
        <v>3724</v>
      </c>
      <c r="J3218" s="919"/>
      <c r="K3218" s="920">
        <v>1</v>
      </c>
      <c r="L3218" s="920">
        <v>12</v>
      </c>
      <c r="M3218" s="920">
        <f t="shared" si="100"/>
        <v>32400</v>
      </c>
      <c r="N3218" s="919"/>
      <c r="O3218" s="919"/>
      <c r="P3218" s="921">
        <f t="shared" si="101"/>
        <v>0</v>
      </c>
    </row>
    <row r="3219" spans="1:16" ht="20.100000000000001" customHeight="1" x14ac:dyDescent="0.25">
      <c r="A3219" s="918" t="s">
        <v>490</v>
      </c>
      <c r="B3219" s="944" t="s">
        <v>3901</v>
      </c>
      <c r="C3219" s="919" t="s">
        <v>3902</v>
      </c>
      <c r="D3219" s="919" t="s">
        <v>4352</v>
      </c>
      <c r="E3219" s="920">
        <v>2200</v>
      </c>
      <c r="F3219" s="919" t="s">
        <v>9701</v>
      </c>
      <c r="G3219" s="919" t="s">
        <v>9702</v>
      </c>
      <c r="H3219" s="919" t="s">
        <v>4352</v>
      </c>
      <c r="I3219" s="919" t="s">
        <v>3724</v>
      </c>
      <c r="J3219" s="919"/>
      <c r="K3219" s="920">
        <v>1</v>
      </c>
      <c r="L3219" s="920">
        <v>12</v>
      </c>
      <c r="M3219" s="920">
        <f t="shared" si="100"/>
        <v>26400</v>
      </c>
      <c r="N3219" s="919"/>
      <c r="O3219" s="919"/>
      <c r="P3219" s="921">
        <f t="shared" si="101"/>
        <v>0</v>
      </c>
    </row>
    <row r="3220" spans="1:16" ht="20.100000000000001" customHeight="1" x14ac:dyDescent="0.25">
      <c r="A3220" s="918" t="s">
        <v>490</v>
      </c>
      <c r="B3220" s="944" t="s">
        <v>3901</v>
      </c>
      <c r="C3220" s="919" t="s">
        <v>3902</v>
      </c>
      <c r="D3220" s="919" t="s">
        <v>3999</v>
      </c>
      <c r="E3220" s="920">
        <v>3000</v>
      </c>
      <c r="F3220" s="919" t="s">
        <v>9703</v>
      </c>
      <c r="G3220" s="919" t="s">
        <v>9704</v>
      </c>
      <c r="H3220" s="919" t="s">
        <v>3999</v>
      </c>
      <c r="I3220" s="919" t="s">
        <v>3724</v>
      </c>
      <c r="J3220" s="919"/>
      <c r="K3220" s="920">
        <v>1</v>
      </c>
      <c r="L3220" s="920">
        <v>12</v>
      </c>
      <c r="M3220" s="920">
        <f t="shared" si="100"/>
        <v>36000</v>
      </c>
      <c r="N3220" s="919"/>
      <c r="O3220" s="919"/>
      <c r="P3220" s="921">
        <f t="shared" si="101"/>
        <v>0</v>
      </c>
    </row>
    <row r="3221" spans="1:16" ht="20.100000000000001" customHeight="1" x14ac:dyDescent="0.25">
      <c r="A3221" s="918" t="s">
        <v>490</v>
      </c>
      <c r="B3221" s="944" t="s">
        <v>3901</v>
      </c>
      <c r="C3221" s="919" t="s">
        <v>3902</v>
      </c>
      <c r="D3221" s="919" t="s">
        <v>3999</v>
      </c>
      <c r="E3221" s="920">
        <v>2000</v>
      </c>
      <c r="F3221" s="919" t="s">
        <v>9705</v>
      </c>
      <c r="G3221" s="919" t="s">
        <v>9706</v>
      </c>
      <c r="H3221" s="919" t="s">
        <v>3999</v>
      </c>
      <c r="I3221" s="919" t="s">
        <v>3724</v>
      </c>
      <c r="J3221" s="919"/>
      <c r="K3221" s="920">
        <v>1</v>
      </c>
      <c r="L3221" s="920">
        <v>12</v>
      </c>
      <c r="M3221" s="920">
        <f t="shared" si="100"/>
        <v>24000</v>
      </c>
      <c r="N3221" s="919"/>
      <c r="O3221" s="919"/>
      <c r="P3221" s="921">
        <f t="shared" si="101"/>
        <v>0</v>
      </c>
    </row>
    <row r="3222" spans="1:16" ht="20.100000000000001" customHeight="1" x14ac:dyDescent="0.25">
      <c r="A3222" s="918" t="s">
        <v>490</v>
      </c>
      <c r="B3222" s="944" t="s">
        <v>3901</v>
      </c>
      <c r="C3222" s="919" t="s">
        <v>3902</v>
      </c>
      <c r="D3222" s="919" t="s">
        <v>6120</v>
      </c>
      <c r="E3222" s="920">
        <v>4300</v>
      </c>
      <c r="F3222" s="919" t="s">
        <v>4041</v>
      </c>
      <c r="G3222" s="919" t="s">
        <v>4042</v>
      </c>
      <c r="H3222" s="919" t="s">
        <v>6120</v>
      </c>
      <c r="I3222" s="919" t="s">
        <v>3724</v>
      </c>
      <c r="J3222" s="919"/>
      <c r="K3222" s="920">
        <v>1</v>
      </c>
      <c r="L3222" s="920">
        <v>12</v>
      </c>
      <c r="M3222" s="920">
        <f t="shared" si="100"/>
        <v>51600</v>
      </c>
      <c r="N3222" s="919"/>
      <c r="O3222" s="919"/>
      <c r="P3222" s="921">
        <f t="shared" si="101"/>
        <v>0</v>
      </c>
    </row>
    <row r="3223" spans="1:16" ht="20.100000000000001" customHeight="1" x14ac:dyDescent="0.25">
      <c r="A3223" s="918" t="s">
        <v>490</v>
      </c>
      <c r="B3223" s="944" t="s">
        <v>3901</v>
      </c>
      <c r="C3223" s="919" t="s">
        <v>3902</v>
      </c>
      <c r="D3223" s="919" t="s">
        <v>6120</v>
      </c>
      <c r="E3223" s="920">
        <v>4300</v>
      </c>
      <c r="F3223" s="919" t="s">
        <v>4041</v>
      </c>
      <c r="G3223" s="919" t="s">
        <v>4042</v>
      </c>
      <c r="H3223" s="919" t="s">
        <v>6120</v>
      </c>
      <c r="I3223" s="919" t="s">
        <v>3724</v>
      </c>
      <c r="J3223" s="919"/>
      <c r="K3223" s="920">
        <v>1</v>
      </c>
      <c r="L3223" s="920">
        <v>12</v>
      </c>
      <c r="M3223" s="920">
        <f t="shared" si="100"/>
        <v>51600</v>
      </c>
      <c r="N3223" s="919"/>
      <c r="O3223" s="919"/>
      <c r="P3223" s="921">
        <f t="shared" si="101"/>
        <v>0</v>
      </c>
    </row>
    <row r="3224" spans="1:16" ht="20.100000000000001" customHeight="1" x14ac:dyDescent="0.25">
      <c r="A3224" s="918" t="s">
        <v>490</v>
      </c>
      <c r="B3224" s="944" t="s">
        <v>3901</v>
      </c>
      <c r="C3224" s="919" t="s">
        <v>3902</v>
      </c>
      <c r="D3224" s="919" t="s">
        <v>4449</v>
      </c>
      <c r="E3224" s="920">
        <v>2200</v>
      </c>
      <c r="F3224" s="919" t="s">
        <v>4041</v>
      </c>
      <c r="G3224" s="919" t="s">
        <v>4042</v>
      </c>
      <c r="H3224" s="919" t="s">
        <v>4449</v>
      </c>
      <c r="I3224" s="919" t="s">
        <v>3724</v>
      </c>
      <c r="J3224" s="919"/>
      <c r="K3224" s="920">
        <v>1</v>
      </c>
      <c r="L3224" s="920">
        <v>12</v>
      </c>
      <c r="M3224" s="920">
        <f t="shared" si="100"/>
        <v>26400</v>
      </c>
      <c r="N3224" s="919"/>
      <c r="O3224" s="919"/>
      <c r="P3224" s="921">
        <f t="shared" si="101"/>
        <v>0</v>
      </c>
    </row>
    <row r="3225" spans="1:16" ht="20.100000000000001" customHeight="1" x14ac:dyDescent="0.25">
      <c r="A3225" s="918" t="s">
        <v>490</v>
      </c>
      <c r="B3225" s="944" t="s">
        <v>3901</v>
      </c>
      <c r="C3225" s="919" t="s">
        <v>3902</v>
      </c>
      <c r="D3225" s="919" t="s">
        <v>4352</v>
      </c>
      <c r="E3225" s="920">
        <v>2000</v>
      </c>
      <c r="F3225" s="919" t="s">
        <v>9707</v>
      </c>
      <c r="G3225" s="919" t="s">
        <v>9708</v>
      </c>
      <c r="H3225" s="919" t="s">
        <v>4352</v>
      </c>
      <c r="I3225" s="919" t="s">
        <v>3724</v>
      </c>
      <c r="J3225" s="919"/>
      <c r="K3225" s="920">
        <v>1</v>
      </c>
      <c r="L3225" s="920">
        <v>12</v>
      </c>
      <c r="M3225" s="920">
        <f t="shared" si="100"/>
        <v>24000</v>
      </c>
      <c r="N3225" s="919"/>
      <c r="O3225" s="919"/>
      <c r="P3225" s="921">
        <f t="shared" si="101"/>
        <v>0</v>
      </c>
    </row>
    <row r="3226" spans="1:16" ht="20.100000000000001" customHeight="1" x14ac:dyDescent="0.25">
      <c r="A3226" s="918" t="s">
        <v>490</v>
      </c>
      <c r="B3226" s="944" t="s">
        <v>3901</v>
      </c>
      <c r="C3226" s="919" t="s">
        <v>3902</v>
      </c>
      <c r="D3226" s="919" t="s">
        <v>4352</v>
      </c>
      <c r="E3226" s="920">
        <v>2700</v>
      </c>
      <c r="F3226" s="919" t="s">
        <v>9709</v>
      </c>
      <c r="G3226" s="919" t="s">
        <v>9710</v>
      </c>
      <c r="H3226" s="919" t="s">
        <v>4352</v>
      </c>
      <c r="I3226" s="919" t="s">
        <v>3724</v>
      </c>
      <c r="J3226" s="919"/>
      <c r="K3226" s="920">
        <v>1</v>
      </c>
      <c r="L3226" s="920">
        <v>12</v>
      </c>
      <c r="M3226" s="920">
        <f t="shared" si="100"/>
        <v>32400</v>
      </c>
      <c r="N3226" s="919"/>
      <c r="O3226" s="919"/>
      <c r="P3226" s="921">
        <f t="shared" si="101"/>
        <v>0</v>
      </c>
    </row>
    <row r="3227" spans="1:16" ht="20.100000000000001" customHeight="1" x14ac:dyDescent="0.25">
      <c r="A3227" s="918" t="s">
        <v>490</v>
      </c>
      <c r="B3227" s="944" t="s">
        <v>3901</v>
      </c>
      <c r="C3227" s="919" t="s">
        <v>3902</v>
      </c>
      <c r="D3227" s="919" t="s">
        <v>6120</v>
      </c>
      <c r="E3227" s="920">
        <v>8000</v>
      </c>
      <c r="F3227" s="919" t="s">
        <v>4041</v>
      </c>
      <c r="G3227" s="919" t="s">
        <v>4042</v>
      </c>
      <c r="H3227" s="919" t="s">
        <v>6120</v>
      </c>
      <c r="I3227" s="919" t="s">
        <v>3724</v>
      </c>
      <c r="J3227" s="919"/>
      <c r="K3227" s="920">
        <v>1</v>
      </c>
      <c r="L3227" s="920">
        <v>12</v>
      </c>
      <c r="M3227" s="920">
        <f t="shared" si="100"/>
        <v>96000</v>
      </c>
      <c r="N3227" s="919"/>
      <c r="O3227" s="919"/>
      <c r="P3227" s="921">
        <f t="shared" si="101"/>
        <v>0</v>
      </c>
    </row>
    <row r="3228" spans="1:16" ht="20.100000000000001" customHeight="1" x14ac:dyDescent="0.25">
      <c r="A3228" s="918" t="s">
        <v>490</v>
      </c>
      <c r="B3228" s="944" t="s">
        <v>3901</v>
      </c>
      <c r="C3228" s="919" t="s">
        <v>3902</v>
      </c>
      <c r="D3228" s="919" t="s">
        <v>3999</v>
      </c>
      <c r="E3228" s="920">
        <v>2700</v>
      </c>
      <c r="F3228" s="919" t="s">
        <v>9711</v>
      </c>
      <c r="G3228" s="919" t="s">
        <v>9712</v>
      </c>
      <c r="H3228" s="919" t="s">
        <v>3999</v>
      </c>
      <c r="I3228" s="919" t="s">
        <v>3724</v>
      </c>
      <c r="J3228" s="919"/>
      <c r="K3228" s="920">
        <v>1</v>
      </c>
      <c r="L3228" s="920">
        <v>12</v>
      </c>
      <c r="M3228" s="920">
        <f t="shared" si="100"/>
        <v>32400</v>
      </c>
      <c r="N3228" s="919"/>
      <c r="O3228" s="919"/>
      <c r="P3228" s="921">
        <f t="shared" si="101"/>
        <v>0</v>
      </c>
    </row>
    <row r="3229" spans="1:16" ht="20.100000000000001" customHeight="1" x14ac:dyDescent="0.25">
      <c r="A3229" s="918" t="s">
        <v>490</v>
      </c>
      <c r="B3229" s="944" t="s">
        <v>3901</v>
      </c>
      <c r="C3229" s="919" t="s">
        <v>3902</v>
      </c>
      <c r="D3229" s="919" t="s">
        <v>6120</v>
      </c>
      <c r="E3229" s="920">
        <v>3000</v>
      </c>
      <c r="F3229" s="919" t="s">
        <v>9713</v>
      </c>
      <c r="G3229" s="919" t="s">
        <v>9714</v>
      </c>
      <c r="H3229" s="919" t="s">
        <v>6120</v>
      </c>
      <c r="I3229" s="919" t="s">
        <v>3724</v>
      </c>
      <c r="J3229" s="919"/>
      <c r="K3229" s="920">
        <v>1</v>
      </c>
      <c r="L3229" s="920">
        <v>12</v>
      </c>
      <c r="M3229" s="920">
        <f t="shared" si="100"/>
        <v>36000</v>
      </c>
      <c r="N3229" s="919"/>
      <c r="O3229" s="919"/>
      <c r="P3229" s="921">
        <f t="shared" si="101"/>
        <v>0</v>
      </c>
    </row>
    <row r="3230" spans="1:16" ht="20.100000000000001" customHeight="1" x14ac:dyDescent="0.25">
      <c r="A3230" s="918" t="s">
        <v>490</v>
      </c>
      <c r="B3230" s="944" t="s">
        <v>3901</v>
      </c>
      <c r="C3230" s="919" t="s">
        <v>3902</v>
      </c>
      <c r="D3230" s="919" t="s">
        <v>3999</v>
      </c>
      <c r="E3230" s="920">
        <v>2500</v>
      </c>
      <c r="F3230" s="919" t="s">
        <v>9715</v>
      </c>
      <c r="G3230" s="919" t="s">
        <v>9716</v>
      </c>
      <c r="H3230" s="919" t="s">
        <v>3999</v>
      </c>
      <c r="I3230" s="919" t="s">
        <v>3724</v>
      </c>
      <c r="J3230" s="919"/>
      <c r="K3230" s="920">
        <v>1</v>
      </c>
      <c r="L3230" s="920">
        <v>12</v>
      </c>
      <c r="M3230" s="920">
        <f t="shared" si="100"/>
        <v>30000</v>
      </c>
      <c r="N3230" s="919"/>
      <c r="O3230" s="919"/>
      <c r="P3230" s="921">
        <f t="shared" si="101"/>
        <v>0</v>
      </c>
    </row>
    <row r="3231" spans="1:16" ht="20.100000000000001" customHeight="1" x14ac:dyDescent="0.25">
      <c r="A3231" s="918" t="s">
        <v>490</v>
      </c>
      <c r="B3231" s="944" t="s">
        <v>3901</v>
      </c>
      <c r="C3231" s="919" t="s">
        <v>3902</v>
      </c>
      <c r="D3231" s="919" t="s">
        <v>6120</v>
      </c>
      <c r="E3231" s="920">
        <v>3700</v>
      </c>
      <c r="F3231" s="919" t="s">
        <v>4041</v>
      </c>
      <c r="G3231" s="919" t="s">
        <v>4042</v>
      </c>
      <c r="H3231" s="919" t="s">
        <v>6120</v>
      </c>
      <c r="I3231" s="919" t="s">
        <v>3724</v>
      </c>
      <c r="J3231" s="919"/>
      <c r="K3231" s="920">
        <v>1</v>
      </c>
      <c r="L3231" s="920">
        <v>12</v>
      </c>
      <c r="M3231" s="920">
        <f t="shared" si="100"/>
        <v>44400</v>
      </c>
      <c r="N3231" s="919"/>
      <c r="O3231" s="919"/>
      <c r="P3231" s="921">
        <f t="shared" si="101"/>
        <v>0</v>
      </c>
    </row>
    <row r="3232" spans="1:16" ht="20.100000000000001" customHeight="1" x14ac:dyDescent="0.25">
      <c r="A3232" s="918" t="s">
        <v>490</v>
      </c>
      <c r="B3232" s="944" t="s">
        <v>3901</v>
      </c>
      <c r="C3232" s="919" t="s">
        <v>3902</v>
      </c>
      <c r="D3232" s="919" t="s">
        <v>4382</v>
      </c>
      <c r="E3232" s="920">
        <v>2500</v>
      </c>
      <c r="F3232" s="919" t="s">
        <v>9717</v>
      </c>
      <c r="G3232" s="919" t="s">
        <v>9718</v>
      </c>
      <c r="H3232" s="919" t="s">
        <v>4382</v>
      </c>
      <c r="I3232" s="919" t="s">
        <v>3724</v>
      </c>
      <c r="J3232" s="919"/>
      <c r="K3232" s="920">
        <v>1</v>
      </c>
      <c r="L3232" s="920">
        <v>12</v>
      </c>
      <c r="M3232" s="920">
        <f t="shared" si="100"/>
        <v>30000</v>
      </c>
      <c r="N3232" s="919"/>
      <c r="O3232" s="919"/>
      <c r="P3232" s="921">
        <f t="shared" si="101"/>
        <v>0</v>
      </c>
    </row>
    <row r="3233" spans="1:16" ht="20.100000000000001" customHeight="1" x14ac:dyDescent="0.25">
      <c r="A3233" s="918" t="s">
        <v>490</v>
      </c>
      <c r="B3233" s="944" t="s">
        <v>3901</v>
      </c>
      <c r="C3233" s="919" t="s">
        <v>3902</v>
      </c>
      <c r="D3233" s="919" t="s">
        <v>3999</v>
      </c>
      <c r="E3233" s="920">
        <v>2500</v>
      </c>
      <c r="F3233" s="919" t="s">
        <v>9719</v>
      </c>
      <c r="G3233" s="919" t="s">
        <v>9720</v>
      </c>
      <c r="H3233" s="919" t="s">
        <v>3999</v>
      </c>
      <c r="I3233" s="919" t="s">
        <v>3724</v>
      </c>
      <c r="J3233" s="919"/>
      <c r="K3233" s="920">
        <v>1</v>
      </c>
      <c r="L3233" s="920">
        <v>12</v>
      </c>
      <c r="M3233" s="920">
        <f t="shared" si="100"/>
        <v>30000</v>
      </c>
      <c r="N3233" s="919"/>
      <c r="O3233" s="919"/>
      <c r="P3233" s="921">
        <f t="shared" si="101"/>
        <v>0</v>
      </c>
    </row>
    <row r="3234" spans="1:16" ht="20.100000000000001" customHeight="1" x14ac:dyDescent="0.25">
      <c r="A3234" s="918" t="s">
        <v>490</v>
      </c>
      <c r="B3234" s="944" t="s">
        <v>3901</v>
      </c>
      <c r="C3234" s="919" t="s">
        <v>3902</v>
      </c>
      <c r="D3234" s="919" t="s">
        <v>4352</v>
      </c>
      <c r="E3234" s="920">
        <v>2700</v>
      </c>
      <c r="F3234" s="919" t="s">
        <v>9721</v>
      </c>
      <c r="G3234" s="919" t="s">
        <v>9722</v>
      </c>
      <c r="H3234" s="919" t="s">
        <v>4352</v>
      </c>
      <c r="I3234" s="919" t="s">
        <v>3724</v>
      </c>
      <c r="J3234" s="919"/>
      <c r="K3234" s="920">
        <v>1</v>
      </c>
      <c r="L3234" s="920">
        <v>12</v>
      </c>
      <c r="M3234" s="920">
        <f t="shared" si="100"/>
        <v>32400</v>
      </c>
      <c r="N3234" s="919"/>
      <c r="O3234" s="919"/>
      <c r="P3234" s="921">
        <f t="shared" si="101"/>
        <v>0</v>
      </c>
    </row>
    <row r="3235" spans="1:16" ht="20.100000000000001" customHeight="1" x14ac:dyDescent="0.25">
      <c r="A3235" s="918" t="s">
        <v>490</v>
      </c>
      <c r="B3235" s="944" t="s">
        <v>3901</v>
      </c>
      <c r="C3235" s="919" t="s">
        <v>3902</v>
      </c>
      <c r="D3235" s="919" t="s">
        <v>4449</v>
      </c>
      <c r="E3235" s="920">
        <v>2200</v>
      </c>
      <c r="F3235" s="919" t="s">
        <v>9723</v>
      </c>
      <c r="G3235" s="919" t="s">
        <v>9724</v>
      </c>
      <c r="H3235" s="919" t="s">
        <v>4449</v>
      </c>
      <c r="I3235" s="919" t="s">
        <v>3724</v>
      </c>
      <c r="J3235" s="919"/>
      <c r="K3235" s="920">
        <v>1</v>
      </c>
      <c r="L3235" s="920">
        <v>12</v>
      </c>
      <c r="M3235" s="920">
        <f t="shared" si="100"/>
        <v>26400</v>
      </c>
      <c r="N3235" s="919"/>
      <c r="O3235" s="919"/>
      <c r="P3235" s="921">
        <f t="shared" si="101"/>
        <v>0</v>
      </c>
    </row>
    <row r="3236" spans="1:16" ht="20.100000000000001" customHeight="1" x14ac:dyDescent="0.25">
      <c r="A3236" s="918" t="s">
        <v>490</v>
      </c>
      <c r="B3236" s="944" t="s">
        <v>3901</v>
      </c>
      <c r="C3236" s="919" t="s">
        <v>3902</v>
      </c>
      <c r="D3236" s="919" t="s">
        <v>4449</v>
      </c>
      <c r="E3236" s="920">
        <v>3000</v>
      </c>
      <c r="F3236" s="919" t="s">
        <v>9725</v>
      </c>
      <c r="G3236" s="919" t="s">
        <v>9726</v>
      </c>
      <c r="H3236" s="919" t="s">
        <v>4449</v>
      </c>
      <c r="I3236" s="919" t="s">
        <v>3724</v>
      </c>
      <c r="J3236" s="919"/>
      <c r="K3236" s="920">
        <v>1</v>
      </c>
      <c r="L3236" s="920">
        <v>12</v>
      </c>
      <c r="M3236" s="920">
        <f t="shared" si="100"/>
        <v>36000</v>
      </c>
      <c r="N3236" s="919"/>
      <c r="O3236" s="919"/>
      <c r="P3236" s="921">
        <f t="shared" si="101"/>
        <v>0</v>
      </c>
    </row>
    <row r="3237" spans="1:16" ht="20.100000000000001" customHeight="1" x14ac:dyDescent="0.25">
      <c r="A3237" s="918" t="s">
        <v>490</v>
      </c>
      <c r="B3237" s="944" t="s">
        <v>3901</v>
      </c>
      <c r="C3237" s="919" t="s">
        <v>3902</v>
      </c>
      <c r="D3237" s="919" t="s">
        <v>3999</v>
      </c>
      <c r="E3237" s="920">
        <v>2000</v>
      </c>
      <c r="F3237" s="919" t="s">
        <v>9727</v>
      </c>
      <c r="G3237" s="919" t="s">
        <v>9728</v>
      </c>
      <c r="H3237" s="919" t="s">
        <v>3999</v>
      </c>
      <c r="I3237" s="919" t="s">
        <v>3724</v>
      </c>
      <c r="J3237" s="919"/>
      <c r="K3237" s="920">
        <v>1</v>
      </c>
      <c r="L3237" s="920">
        <v>12</v>
      </c>
      <c r="M3237" s="920">
        <f t="shared" si="100"/>
        <v>24000</v>
      </c>
      <c r="N3237" s="919"/>
      <c r="O3237" s="919"/>
      <c r="P3237" s="921">
        <f t="shared" si="101"/>
        <v>0</v>
      </c>
    </row>
    <row r="3238" spans="1:16" ht="20.100000000000001" customHeight="1" x14ac:dyDescent="0.25">
      <c r="A3238" s="918" t="s">
        <v>490</v>
      </c>
      <c r="B3238" s="944" t="s">
        <v>3901</v>
      </c>
      <c r="C3238" s="919" t="s">
        <v>3902</v>
      </c>
      <c r="D3238" s="919" t="s">
        <v>3999</v>
      </c>
      <c r="E3238" s="920">
        <v>2300</v>
      </c>
      <c r="F3238" s="919" t="s">
        <v>9729</v>
      </c>
      <c r="G3238" s="919" t="s">
        <v>9730</v>
      </c>
      <c r="H3238" s="919" t="s">
        <v>3999</v>
      </c>
      <c r="I3238" s="919" t="s">
        <v>3724</v>
      </c>
      <c r="J3238" s="919"/>
      <c r="K3238" s="920">
        <v>1</v>
      </c>
      <c r="L3238" s="920">
        <v>12</v>
      </c>
      <c r="M3238" s="920">
        <f t="shared" si="100"/>
        <v>27600</v>
      </c>
      <c r="N3238" s="919"/>
      <c r="O3238" s="919"/>
      <c r="P3238" s="921">
        <f t="shared" si="101"/>
        <v>0</v>
      </c>
    </row>
    <row r="3239" spans="1:16" ht="20.100000000000001" customHeight="1" x14ac:dyDescent="0.25">
      <c r="A3239" s="918" t="s">
        <v>490</v>
      </c>
      <c r="B3239" s="944" t="s">
        <v>3901</v>
      </c>
      <c r="C3239" s="919" t="s">
        <v>3902</v>
      </c>
      <c r="D3239" s="919" t="s">
        <v>3999</v>
      </c>
      <c r="E3239" s="920">
        <v>2200</v>
      </c>
      <c r="F3239" s="919" t="s">
        <v>9731</v>
      </c>
      <c r="G3239" s="919" t="s">
        <v>9732</v>
      </c>
      <c r="H3239" s="919" t="s">
        <v>3999</v>
      </c>
      <c r="I3239" s="919" t="s">
        <v>3724</v>
      </c>
      <c r="J3239" s="919"/>
      <c r="K3239" s="920">
        <v>1</v>
      </c>
      <c r="L3239" s="920">
        <v>12</v>
      </c>
      <c r="M3239" s="920">
        <f t="shared" si="100"/>
        <v>26400</v>
      </c>
      <c r="N3239" s="919"/>
      <c r="O3239" s="919"/>
      <c r="P3239" s="921">
        <f t="shared" si="101"/>
        <v>0</v>
      </c>
    </row>
    <row r="3240" spans="1:16" ht="20.100000000000001" customHeight="1" x14ac:dyDescent="0.25">
      <c r="A3240" s="918" t="s">
        <v>490</v>
      </c>
      <c r="B3240" s="944" t="s">
        <v>3901</v>
      </c>
      <c r="C3240" s="919" t="s">
        <v>3902</v>
      </c>
      <c r="D3240" s="919" t="s">
        <v>4382</v>
      </c>
      <c r="E3240" s="920">
        <v>2500</v>
      </c>
      <c r="F3240" s="919" t="s">
        <v>9733</v>
      </c>
      <c r="G3240" s="919" t="s">
        <v>9734</v>
      </c>
      <c r="H3240" s="919" t="s">
        <v>4382</v>
      </c>
      <c r="I3240" s="919" t="s">
        <v>3724</v>
      </c>
      <c r="J3240" s="919"/>
      <c r="K3240" s="920">
        <v>1</v>
      </c>
      <c r="L3240" s="920">
        <v>12</v>
      </c>
      <c r="M3240" s="920">
        <f t="shared" si="100"/>
        <v>30000</v>
      </c>
      <c r="N3240" s="919"/>
      <c r="O3240" s="919"/>
      <c r="P3240" s="921">
        <f t="shared" si="101"/>
        <v>0</v>
      </c>
    </row>
    <row r="3241" spans="1:16" ht="20.100000000000001" customHeight="1" x14ac:dyDescent="0.25">
      <c r="A3241" s="918" t="s">
        <v>490</v>
      </c>
      <c r="B3241" s="944" t="s">
        <v>3901</v>
      </c>
      <c r="C3241" s="919" t="s">
        <v>3902</v>
      </c>
      <c r="D3241" s="919" t="s">
        <v>4382</v>
      </c>
      <c r="E3241" s="920">
        <v>2300</v>
      </c>
      <c r="F3241" s="919" t="s">
        <v>9735</v>
      </c>
      <c r="G3241" s="919" t="s">
        <v>9736</v>
      </c>
      <c r="H3241" s="919" t="s">
        <v>4382</v>
      </c>
      <c r="I3241" s="919" t="s">
        <v>3724</v>
      </c>
      <c r="J3241" s="919"/>
      <c r="K3241" s="920">
        <v>1</v>
      </c>
      <c r="L3241" s="920">
        <v>12</v>
      </c>
      <c r="M3241" s="920">
        <f t="shared" si="100"/>
        <v>27600</v>
      </c>
      <c r="N3241" s="919"/>
      <c r="O3241" s="919"/>
      <c r="P3241" s="921">
        <f t="shared" si="101"/>
        <v>0</v>
      </c>
    </row>
    <row r="3242" spans="1:16" ht="20.100000000000001" customHeight="1" x14ac:dyDescent="0.25">
      <c r="A3242" s="918" t="s">
        <v>490</v>
      </c>
      <c r="B3242" s="944" t="s">
        <v>3901</v>
      </c>
      <c r="C3242" s="919" t="s">
        <v>3902</v>
      </c>
      <c r="D3242" s="919" t="s">
        <v>6315</v>
      </c>
      <c r="E3242" s="920">
        <v>2500</v>
      </c>
      <c r="F3242" s="919" t="s">
        <v>4041</v>
      </c>
      <c r="G3242" s="919" t="s">
        <v>4062</v>
      </c>
      <c r="H3242" s="919" t="s">
        <v>6315</v>
      </c>
      <c r="I3242" s="919" t="s">
        <v>3724</v>
      </c>
      <c r="J3242" s="919"/>
      <c r="K3242" s="920">
        <v>1</v>
      </c>
      <c r="L3242" s="920">
        <v>12</v>
      </c>
      <c r="M3242" s="920">
        <f t="shared" si="100"/>
        <v>30000</v>
      </c>
      <c r="N3242" s="919"/>
      <c r="O3242" s="919"/>
      <c r="P3242" s="921">
        <f t="shared" si="101"/>
        <v>0</v>
      </c>
    </row>
    <row r="3243" spans="1:16" ht="20.100000000000001" customHeight="1" x14ac:dyDescent="0.25">
      <c r="A3243" s="918" t="s">
        <v>490</v>
      </c>
      <c r="B3243" s="944" t="s">
        <v>3901</v>
      </c>
      <c r="C3243" s="919" t="s">
        <v>3902</v>
      </c>
      <c r="D3243" s="919" t="s">
        <v>6083</v>
      </c>
      <c r="E3243" s="920">
        <v>930</v>
      </c>
      <c r="F3243" s="919" t="s">
        <v>4041</v>
      </c>
      <c r="G3243" s="919" t="s">
        <v>4062</v>
      </c>
      <c r="H3243" s="919" t="s">
        <v>6083</v>
      </c>
      <c r="I3243" s="919" t="s">
        <v>3686</v>
      </c>
      <c r="J3243" s="919"/>
      <c r="K3243" s="920">
        <v>1</v>
      </c>
      <c r="L3243" s="920">
        <v>12</v>
      </c>
      <c r="M3243" s="920">
        <f t="shared" si="100"/>
        <v>11160</v>
      </c>
      <c r="N3243" s="919"/>
      <c r="O3243" s="919"/>
      <c r="P3243" s="921">
        <f t="shared" si="101"/>
        <v>0</v>
      </c>
    </row>
    <row r="3244" spans="1:16" ht="20.100000000000001" customHeight="1" x14ac:dyDescent="0.25">
      <c r="A3244" s="918" t="s">
        <v>490</v>
      </c>
      <c r="B3244" s="944" t="s">
        <v>3901</v>
      </c>
      <c r="C3244" s="919" t="s">
        <v>3902</v>
      </c>
      <c r="D3244" s="919" t="s">
        <v>6074</v>
      </c>
      <c r="E3244" s="920">
        <v>1300</v>
      </c>
      <c r="F3244" s="919" t="s">
        <v>9737</v>
      </c>
      <c r="G3244" s="919" t="s">
        <v>9738</v>
      </c>
      <c r="H3244" s="919" t="s">
        <v>6074</v>
      </c>
      <c r="I3244" s="919" t="s">
        <v>3686</v>
      </c>
      <c r="J3244" s="919"/>
      <c r="K3244" s="920">
        <v>1</v>
      </c>
      <c r="L3244" s="920">
        <v>12</v>
      </c>
      <c r="M3244" s="920">
        <f t="shared" si="100"/>
        <v>15600</v>
      </c>
      <c r="N3244" s="919"/>
      <c r="O3244" s="919"/>
      <c r="P3244" s="921">
        <f t="shared" si="101"/>
        <v>0</v>
      </c>
    </row>
    <row r="3245" spans="1:16" ht="20.100000000000001" customHeight="1" x14ac:dyDescent="0.25">
      <c r="A3245" s="918" t="s">
        <v>490</v>
      </c>
      <c r="B3245" s="944" t="s">
        <v>3901</v>
      </c>
      <c r="C3245" s="919" t="s">
        <v>3902</v>
      </c>
      <c r="D3245" s="919" t="s">
        <v>6115</v>
      </c>
      <c r="E3245" s="920">
        <v>2700</v>
      </c>
      <c r="F3245" s="919" t="s">
        <v>9739</v>
      </c>
      <c r="G3245" s="919" t="s">
        <v>9740</v>
      </c>
      <c r="H3245" s="919" t="s">
        <v>6115</v>
      </c>
      <c r="I3245" s="919" t="s">
        <v>3679</v>
      </c>
      <c r="J3245" s="919"/>
      <c r="K3245" s="920">
        <v>1</v>
      </c>
      <c r="L3245" s="920">
        <v>12</v>
      </c>
      <c r="M3245" s="920">
        <f t="shared" si="100"/>
        <v>32400</v>
      </c>
      <c r="N3245" s="919"/>
      <c r="O3245" s="919"/>
      <c r="P3245" s="921">
        <f t="shared" si="101"/>
        <v>0</v>
      </c>
    </row>
    <row r="3246" spans="1:16" ht="20.100000000000001" customHeight="1" x14ac:dyDescent="0.25">
      <c r="A3246" s="918" t="s">
        <v>490</v>
      </c>
      <c r="B3246" s="944" t="s">
        <v>3901</v>
      </c>
      <c r="C3246" s="919" t="s">
        <v>3902</v>
      </c>
      <c r="D3246" s="919" t="s">
        <v>6203</v>
      </c>
      <c r="E3246" s="920">
        <v>2700</v>
      </c>
      <c r="F3246" s="919" t="s">
        <v>9741</v>
      </c>
      <c r="G3246" s="919" t="s">
        <v>9742</v>
      </c>
      <c r="H3246" s="919" t="s">
        <v>6203</v>
      </c>
      <c r="I3246" s="919" t="s">
        <v>3724</v>
      </c>
      <c r="J3246" s="919"/>
      <c r="K3246" s="920">
        <v>1</v>
      </c>
      <c r="L3246" s="920">
        <v>12</v>
      </c>
      <c r="M3246" s="920">
        <f t="shared" si="100"/>
        <v>32400</v>
      </c>
      <c r="N3246" s="919"/>
      <c r="O3246" s="919"/>
      <c r="P3246" s="921">
        <f t="shared" si="101"/>
        <v>0</v>
      </c>
    </row>
    <row r="3247" spans="1:16" ht="20.100000000000001" customHeight="1" x14ac:dyDescent="0.25">
      <c r="A3247" s="918" t="s">
        <v>490</v>
      </c>
      <c r="B3247" s="944" t="s">
        <v>3901</v>
      </c>
      <c r="C3247" s="919" t="s">
        <v>3902</v>
      </c>
      <c r="D3247" s="919" t="s">
        <v>6203</v>
      </c>
      <c r="E3247" s="920">
        <v>2200</v>
      </c>
      <c r="F3247" s="919" t="s">
        <v>9743</v>
      </c>
      <c r="G3247" s="919" t="s">
        <v>9744</v>
      </c>
      <c r="H3247" s="919" t="s">
        <v>6203</v>
      </c>
      <c r="I3247" s="919" t="s">
        <v>3724</v>
      </c>
      <c r="J3247" s="919"/>
      <c r="K3247" s="920">
        <v>1</v>
      </c>
      <c r="L3247" s="920">
        <v>12</v>
      </c>
      <c r="M3247" s="920">
        <f t="shared" si="100"/>
        <v>26400</v>
      </c>
      <c r="N3247" s="919"/>
      <c r="O3247" s="919"/>
      <c r="P3247" s="921">
        <f t="shared" si="101"/>
        <v>0</v>
      </c>
    </row>
    <row r="3248" spans="1:16" ht="20.100000000000001" customHeight="1" x14ac:dyDescent="0.25">
      <c r="A3248" s="918" t="s">
        <v>490</v>
      </c>
      <c r="B3248" s="944" t="s">
        <v>3901</v>
      </c>
      <c r="C3248" s="919" t="s">
        <v>3902</v>
      </c>
      <c r="D3248" s="919" t="s">
        <v>4383</v>
      </c>
      <c r="E3248" s="920">
        <v>2500</v>
      </c>
      <c r="F3248" s="919" t="s">
        <v>9745</v>
      </c>
      <c r="G3248" s="919" t="s">
        <v>9746</v>
      </c>
      <c r="H3248" s="919" t="s">
        <v>4383</v>
      </c>
      <c r="I3248" s="919" t="s">
        <v>3724</v>
      </c>
      <c r="J3248" s="919"/>
      <c r="K3248" s="920">
        <v>1</v>
      </c>
      <c r="L3248" s="920">
        <v>12</v>
      </c>
      <c r="M3248" s="920">
        <f t="shared" si="100"/>
        <v>30000</v>
      </c>
      <c r="N3248" s="919"/>
      <c r="O3248" s="919"/>
      <c r="P3248" s="921">
        <f t="shared" si="101"/>
        <v>0</v>
      </c>
    </row>
    <row r="3249" spans="1:16" ht="20.100000000000001" customHeight="1" x14ac:dyDescent="0.25">
      <c r="A3249" s="918" t="s">
        <v>490</v>
      </c>
      <c r="B3249" s="944" t="s">
        <v>3901</v>
      </c>
      <c r="C3249" s="919" t="s">
        <v>3902</v>
      </c>
      <c r="D3249" s="919" t="s">
        <v>6203</v>
      </c>
      <c r="E3249" s="920">
        <v>2000</v>
      </c>
      <c r="F3249" s="919" t="s">
        <v>4041</v>
      </c>
      <c r="G3249" s="919" t="s">
        <v>4042</v>
      </c>
      <c r="H3249" s="919" t="s">
        <v>6203</v>
      </c>
      <c r="I3249" s="919" t="s">
        <v>3724</v>
      </c>
      <c r="J3249" s="919"/>
      <c r="K3249" s="920">
        <v>1</v>
      </c>
      <c r="L3249" s="920">
        <v>12</v>
      </c>
      <c r="M3249" s="920">
        <f t="shared" si="100"/>
        <v>24000</v>
      </c>
      <c r="N3249" s="919"/>
      <c r="O3249" s="919"/>
      <c r="P3249" s="921">
        <f t="shared" si="101"/>
        <v>0</v>
      </c>
    </row>
    <row r="3250" spans="1:16" ht="20.100000000000001" customHeight="1" x14ac:dyDescent="0.25">
      <c r="A3250" s="918" t="s">
        <v>490</v>
      </c>
      <c r="B3250" s="944" t="s">
        <v>3901</v>
      </c>
      <c r="C3250" s="919" t="s">
        <v>3902</v>
      </c>
      <c r="D3250" s="919" t="s">
        <v>6115</v>
      </c>
      <c r="E3250" s="920">
        <v>2700</v>
      </c>
      <c r="F3250" s="919" t="s">
        <v>9747</v>
      </c>
      <c r="G3250" s="919" t="s">
        <v>9748</v>
      </c>
      <c r="H3250" s="919" t="s">
        <v>6115</v>
      </c>
      <c r="I3250" s="919" t="s">
        <v>3679</v>
      </c>
      <c r="J3250" s="919"/>
      <c r="K3250" s="920">
        <v>1</v>
      </c>
      <c r="L3250" s="920">
        <v>12</v>
      </c>
      <c r="M3250" s="920">
        <f t="shared" si="100"/>
        <v>32400</v>
      </c>
      <c r="N3250" s="919"/>
      <c r="O3250" s="919"/>
      <c r="P3250" s="921">
        <f t="shared" si="101"/>
        <v>0</v>
      </c>
    </row>
    <row r="3251" spans="1:16" ht="20.100000000000001" customHeight="1" x14ac:dyDescent="0.25">
      <c r="A3251" s="918" t="s">
        <v>490</v>
      </c>
      <c r="B3251" s="944" t="s">
        <v>3901</v>
      </c>
      <c r="C3251" s="919" t="s">
        <v>3902</v>
      </c>
      <c r="D3251" s="919" t="s">
        <v>4383</v>
      </c>
      <c r="E3251" s="920">
        <v>2000</v>
      </c>
      <c r="F3251" s="919" t="s">
        <v>9749</v>
      </c>
      <c r="G3251" s="919" t="s">
        <v>9750</v>
      </c>
      <c r="H3251" s="919" t="s">
        <v>4383</v>
      </c>
      <c r="I3251" s="919" t="s">
        <v>3724</v>
      </c>
      <c r="J3251" s="919"/>
      <c r="K3251" s="920">
        <v>1</v>
      </c>
      <c r="L3251" s="920">
        <v>12</v>
      </c>
      <c r="M3251" s="920">
        <f t="shared" si="100"/>
        <v>24000</v>
      </c>
      <c r="N3251" s="919"/>
      <c r="O3251" s="919"/>
      <c r="P3251" s="921">
        <f t="shared" si="101"/>
        <v>0</v>
      </c>
    </row>
    <row r="3252" spans="1:16" ht="20.100000000000001" customHeight="1" x14ac:dyDescent="0.25">
      <c r="A3252" s="918" t="s">
        <v>490</v>
      </c>
      <c r="B3252" s="944" t="s">
        <v>3901</v>
      </c>
      <c r="C3252" s="919" t="s">
        <v>3902</v>
      </c>
      <c r="D3252" s="919" t="s">
        <v>3955</v>
      </c>
      <c r="E3252" s="920">
        <v>4500</v>
      </c>
      <c r="F3252" s="919" t="s">
        <v>4041</v>
      </c>
      <c r="G3252" s="919" t="s">
        <v>4042</v>
      </c>
      <c r="H3252" s="919" t="s">
        <v>3955</v>
      </c>
      <c r="I3252" s="919" t="s">
        <v>3679</v>
      </c>
      <c r="J3252" s="919"/>
      <c r="K3252" s="920">
        <v>1</v>
      </c>
      <c r="L3252" s="920">
        <v>12</v>
      </c>
      <c r="M3252" s="920">
        <f t="shared" si="100"/>
        <v>54000</v>
      </c>
      <c r="N3252" s="919"/>
      <c r="O3252" s="919"/>
      <c r="P3252" s="921">
        <f t="shared" si="101"/>
        <v>0</v>
      </c>
    </row>
    <row r="3253" spans="1:16" ht="20.100000000000001" customHeight="1" x14ac:dyDescent="0.25">
      <c r="A3253" s="918" t="s">
        <v>490</v>
      </c>
      <c r="B3253" s="944" t="s">
        <v>3901</v>
      </c>
      <c r="C3253" s="919" t="s">
        <v>3902</v>
      </c>
      <c r="D3253" s="919" t="s">
        <v>4383</v>
      </c>
      <c r="E3253" s="920">
        <v>2700</v>
      </c>
      <c r="F3253" s="919" t="s">
        <v>9751</v>
      </c>
      <c r="G3253" s="919" t="s">
        <v>9752</v>
      </c>
      <c r="H3253" s="919" t="s">
        <v>4383</v>
      </c>
      <c r="I3253" s="919" t="s">
        <v>3724</v>
      </c>
      <c r="J3253" s="919"/>
      <c r="K3253" s="920">
        <v>1</v>
      </c>
      <c r="L3253" s="920">
        <v>12</v>
      </c>
      <c r="M3253" s="920">
        <f t="shared" si="100"/>
        <v>32400</v>
      </c>
      <c r="N3253" s="919"/>
      <c r="O3253" s="919"/>
      <c r="P3253" s="921">
        <f t="shared" si="101"/>
        <v>0</v>
      </c>
    </row>
    <row r="3254" spans="1:16" ht="20.100000000000001" customHeight="1" x14ac:dyDescent="0.25">
      <c r="A3254" s="918" t="s">
        <v>490</v>
      </c>
      <c r="B3254" s="944" t="s">
        <v>3901</v>
      </c>
      <c r="C3254" s="919" t="s">
        <v>3902</v>
      </c>
      <c r="D3254" s="919" t="s">
        <v>4391</v>
      </c>
      <c r="E3254" s="920">
        <v>2000</v>
      </c>
      <c r="F3254" s="919" t="s">
        <v>4041</v>
      </c>
      <c r="G3254" s="919" t="s">
        <v>4062</v>
      </c>
      <c r="H3254" s="919" t="s">
        <v>4391</v>
      </c>
      <c r="I3254" s="919" t="s">
        <v>3686</v>
      </c>
      <c r="J3254" s="919"/>
      <c r="K3254" s="920">
        <v>1</v>
      </c>
      <c r="L3254" s="920">
        <v>12</v>
      </c>
      <c r="M3254" s="920">
        <f t="shared" si="100"/>
        <v>24000</v>
      </c>
      <c r="N3254" s="919"/>
      <c r="O3254" s="919"/>
      <c r="P3254" s="921">
        <f t="shared" si="101"/>
        <v>0</v>
      </c>
    </row>
    <row r="3255" spans="1:16" ht="20.100000000000001" customHeight="1" x14ac:dyDescent="0.25">
      <c r="A3255" s="918" t="s">
        <v>490</v>
      </c>
      <c r="B3255" s="944" t="s">
        <v>3901</v>
      </c>
      <c r="C3255" s="919" t="s">
        <v>3902</v>
      </c>
      <c r="D3255" s="919" t="s">
        <v>4462</v>
      </c>
      <c r="E3255" s="920">
        <v>2000</v>
      </c>
      <c r="F3255" s="919" t="s">
        <v>4041</v>
      </c>
      <c r="G3255" s="919" t="s">
        <v>4062</v>
      </c>
      <c r="H3255" s="919" t="s">
        <v>4462</v>
      </c>
      <c r="I3255" s="919" t="s">
        <v>3686</v>
      </c>
      <c r="J3255" s="919"/>
      <c r="K3255" s="920">
        <v>1</v>
      </c>
      <c r="L3255" s="920">
        <v>12</v>
      </c>
      <c r="M3255" s="920">
        <f t="shared" si="100"/>
        <v>24000</v>
      </c>
      <c r="N3255" s="919"/>
      <c r="O3255" s="919"/>
      <c r="P3255" s="921">
        <f t="shared" si="101"/>
        <v>0</v>
      </c>
    </row>
    <row r="3256" spans="1:16" ht="20.100000000000001" customHeight="1" x14ac:dyDescent="0.25">
      <c r="A3256" s="918" t="s">
        <v>490</v>
      </c>
      <c r="B3256" s="944" t="s">
        <v>3901</v>
      </c>
      <c r="C3256" s="919" t="s">
        <v>3902</v>
      </c>
      <c r="D3256" s="919" t="s">
        <v>4462</v>
      </c>
      <c r="E3256" s="920">
        <v>2000</v>
      </c>
      <c r="F3256" s="919" t="s">
        <v>4041</v>
      </c>
      <c r="G3256" s="919" t="s">
        <v>4062</v>
      </c>
      <c r="H3256" s="919" t="s">
        <v>4462</v>
      </c>
      <c r="I3256" s="919" t="s">
        <v>3686</v>
      </c>
      <c r="J3256" s="919"/>
      <c r="K3256" s="920">
        <v>1</v>
      </c>
      <c r="L3256" s="920">
        <v>12</v>
      </c>
      <c r="M3256" s="920">
        <f t="shared" si="100"/>
        <v>24000</v>
      </c>
      <c r="N3256" s="919"/>
      <c r="O3256" s="919"/>
      <c r="P3256" s="921">
        <f t="shared" si="101"/>
        <v>0</v>
      </c>
    </row>
    <row r="3257" spans="1:16" ht="20.100000000000001" customHeight="1" x14ac:dyDescent="0.25">
      <c r="A3257" s="918" t="s">
        <v>490</v>
      </c>
      <c r="B3257" s="944" t="s">
        <v>3901</v>
      </c>
      <c r="C3257" s="919" t="s">
        <v>3902</v>
      </c>
      <c r="D3257" s="919" t="s">
        <v>4038</v>
      </c>
      <c r="E3257" s="920">
        <v>2000</v>
      </c>
      <c r="F3257" s="919" t="s">
        <v>4041</v>
      </c>
      <c r="G3257" s="919" t="s">
        <v>4062</v>
      </c>
      <c r="H3257" s="919" t="s">
        <v>4038</v>
      </c>
      <c r="I3257" s="919" t="s">
        <v>3686</v>
      </c>
      <c r="J3257" s="919"/>
      <c r="K3257" s="920">
        <v>1</v>
      </c>
      <c r="L3257" s="920">
        <v>12</v>
      </c>
      <c r="M3257" s="920">
        <f t="shared" si="100"/>
        <v>24000</v>
      </c>
      <c r="N3257" s="919"/>
      <c r="O3257" s="919"/>
      <c r="P3257" s="921">
        <f t="shared" si="101"/>
        <v>0</v>
      </c>
    </row>
    <row r="3258" spans="1:16" ht="20.100000000000001" customHeight="1" x14ac:dyDescent="0.25">
      <c r="A3258" s="918" t="s">
        <v>490</v>
      </c>
      <c r="B3258" s="944" t="s">
        <v>3901</v>
      </c>
      <c r="C3258" s="919" t="s">
        <v>3902</v>
      </c>
      <c r="D3258" s="919" t="s">
        <v>4038</v>
      </c>
      <c r="E3258" s="920">
        <v>2000</v>
      </c>
      <c r="F3258" s="919" t="s">
        <v>4041</v>
      </c>
      <c r="G3258" s="919" t="s">
        <v>4062</v>
      </c>
      <c r="H3258" s="919" t="s">
        <v>4038</v>
      </c>
      <c r="I3258" s="919" t="s">
        <v>3686</v>
      </c>
      <c r="J3258" s="919"/>
      <c r="K3258" s="920">
        <v>1</v>
      </c>
      <c r="L3258" s="920">
        <v>12</v>
      </c>
      <c r="M3258" s="920">
        <f t="shared" si="100"/>
        <v>24000</v>
      </c>
      <c r="N3258" s="919"/>
      <c r="O3258" s="919"/>
      <c r="P3258" s="921">
        <f t="shared" si="101"/>
        <v>0</v>
      </c>
    </row>
    <row r="3259" spans="1:16" ht="20.100000000000001" customHeight="1" x14ac:dyDescent="0.25">
      <c r="A3259" s="918" t="s">
        <v>490</v>
      </c>
      <c r="B3259" s="944" t="s">
        <v>3901</v>
      </c>
      <c r="C3259" s="919" t="s">
        <v>3902</v>
      </c>
      <c r="D3259" s="919" t="s">
        <v>6366</v>
      </c>
      <c r="E3259" s="920">
        <v>1500</v>
      </c>
      <c r="F3259" s="919" t="s">
        <v>4041</v>
      </c>
      <c r="G3259" s="919" t="s">
        <v>4062</v>
      </c>
      <c r="H3259" s="919" t="s">
        <v>6366</v>
      </c>
      <c r="I3259" s="919" t="s">
        <v>3686</v>
      </c>
      <c r="J3259" s="919"/>
      <c r="K3259" s="920">
        <v>1</v>
      </c>
      <c r="L3259" s="920">
        <v>12</v>
      </c>
      <c r="M3259" s="920">
        <f t="shared" si="100"/>
        <v>18000</v>
      </c>
      <c r="N3259" s="919"/>
      <c r="O3259" s="919"/>
      <c r="P3259" s="921">
        <f t="shared" si="101"/>
        <v>0</v>
      </c>
    </row>
    <row r="3260" spans="1:16" ht="20.100000000000001" customHeight="1" x14ac:dyDescent="0.25">
      <c r="A3260" s="918" t="s">
        <v>490</v>
      </c>
      <c r="B3260" s="944" t="s">
        <v>3901</v>
      </c>
      <c r="C3260" s="919" t="s">
        <v>3902</v>
      </c>
      <c r="D3260" s="919" t="s">
        <v>6366</v>
      </c>
      <c r="E3260" s="920">
        <v>1500</v>
      </c>
      <c r="F3260" s="919" t="s">
        <v>4041</v>
      </c>
      <c r="G3260" s="919" t="s">
        <v>4062</v>
      </c>
      <c r="H3260" s="919" t="s">
        <v>6366</v>
      </c>
      <c r="I3260" s="919" t="s">
        <v>3686</v>
      </c>
      <c r="J3260" s="919"/>
      <c r="K3260" s="920">
        <v>1</v>
      </c>
      <c r="L3260" s="920">
        <v>12</v>
      </c>
      <c r="M3260" s="920">
        <f t="shared" si="100"/>
        <v>18000</v>
      </c>
      <c r="N3260" s="919"/>
      <c r="O3260" s="919"/>
      <c r="P3260" s="921">
        <f t="shared" si="101"/>
        <v>0</v>
      </c>
    </row>
    <row r="3261" spans="1:16" ht="20.100000000000001" customHeight="1" x14ac:dyDescent="0.25">
      <c r="A3261" s="918" t="s">
        <v>490</v>
      </c>
      <c r="B3261" s="944" t="s">
        <v>3901</v>
      </c>
      <c r="C3261" s="919" t="s">
        <v>3902</v>
      </c>
      <c r="D3261" s="919" t="s">
        <v>6366</v>
      </c>
      <c r="E3261" s="920">
        <v>1500</v>
      </c>
      <c r="F3261" s="919" t="s">
        <v>4041</v>
      </c>
      <c r="G3261" s="919" t="s">
        <v>4062</v>
      </c>
      <c r="H3261" s="919" t="s">
        <v>6366</v>
      </c>
      <c r="I3261" s="919" t="s">
        <v>3686</v>
      </c>
      <c r="J3261" s="919"/>
      <c r="K3261" s="920">
        <v>1</v>
      </c>
      <c r="L3261" s="920">
        <v>12</v>
      </c>
      <c r="M3261" s="920">
        <f t="shared" si="100"/>
        <v>18000</v>
      </c>
      <c r="N3261" s="919"/>
      <c r="O3261" s="919"/>
      <c r="P3261" s="921">
        <f t="shared" si="101"/>
        <v>0</v>
      </c>
    </row>
    <row r="3262" spans="1:16" ht="20.100000000000001" customHeight="1" x14ac:dyDescent="0.25">
      <c r="A3262" s="918" t="s">
        <v>490</v>
      </c>
      <c r="B3262" s="944" t="s">
        <v>3901</v>
      </c>
      <c r="C3262" s="919" t="s">
        <v>3902</v>
      </c>
      <c r="D3262" s="919" t="s">
        <v>6366</v>
      </c>
      <c r="E3262" s="920">
        <v>1500</v>
      </c>
      <c r="F3262" s="919" t="s">
        <v>4041</v>
      </c>
      <c r="G3262" s="919" t="s">
        <v>4062</v>
      </c>
      <c r="H3262" s="919" t="s">
        <v>6366</v>
      </c>
      <c r="I3262" s="919" t="s">
        <v>3686</v>
      </c>
      <c r="J3262" s="919"/>
      <c r="K3262" s="920">
        <v>1</v>
      </c>
      <c r="L3262" s="920">
        <v>12</v>
      </c>
      <c r="M3262" s="920">
        <f t="shared" si="100"/>
        <v>18000</v>
      </c>
      <c r="N3262" s="919"/>
      <c r="O3262" s="919"/>
      <c r="P3262" s="921">
        <f t="shared" si="101"/>
        <v>0</v>
      </c>
    </row>
    <row r="3263" spans="1:16" ht="20.100000000000001" customHeight="1" x14ac:dyDescent="0.25">
      <c r="A3263" s="918" t="s">
        <v>475</v>
      </c>
      <c r="B3263" s="944" t="s">
        <v>3901</v>
      </c>
      <c r="C3263" s="919" t="s">
        <v>3902</v>
      </c>
      <c r="D3263" s="919" t="s">
        <v>9753</v>
      </c>
      <c r="E3263" s="920">
        <v>1500</v>
      </c>
      <c r="F3263" s="919" t="s">
        <v>9754</v>
      </c>
      <c r="G3263" s="919" t="s">
        <v>9755</v>
      </c>
      <c r="H3263" s="919" t="s">
        <v>9753</v>
      </c>
      <c r="I3263" s="919" t="s">
        <v>3686</v>
      </c>
      <c r="J3263" s="919"/>
      <c r="K3263" s="920"/>
      <c r="L3263" s="920"/>
      <c r="M3263" s="920">
        <f t="shared" si="100"/>
        <v>0</v>
      </c>
      <c r="N3263" s="919">
        <v>1</v>
      </c>
      <c r="O3263" s="919">
        <v>1</v>
      </c>
      <c r="P3263" s="921">
        <f t="shared" si="101"/>
        <v>1500</v>
      </c>
    </row>
    <row r="3264" spans="1:16" ht="20.100000000000001" customHeight="1" x14ac:dyDescent="0.25">
      <c r="A3264" s="918" t="s">
        <v>475</v>
      </c>
      <c r="B3264" s="944" t="s">
        <v>3901</v>
      </c>
      <c r="C3264" s="919" t="s">
        <v>3902</v>
      </c>
      <c r="D3264" s="919" t="s">
        <v>9756</v>
      </c>
      <c r="E3264" s="920">
        <v>1500</v>
      </c>
      <c r="F3264" s="919" t="s">
        <v>9757</v>
      </c>
      <c r="G3264" s="919" t="s">
        <v>9758</v>
      </c>
      <c r="H3264" s="919" t="s">
        <v>9756</v>
      </c>
      <c r="I3264" s="919" t="s">
        <v>3686</v>
      </c>
      <c r="J3264" s="919"/>
      <c r="K3264" s="920">
        <v>1</v>
      </c>
      <c r="L3264" s="920">
        <v>12</v>
      </c>
      <c r="M3264" s="920">
        <f t="shared" si="100"/>
        <v>18000</v>
      </c>
      <c r="N3264" s="919"/>
      <c r="O3264" s="919"/>
      <c r="P3264" s="921">
        <f t="shared" si="101"/>
        <v>0</v>
      </c>
    </row>
    <row r="3265" spans="1:16" ht="20.100000000000001" customHeight="1" x14ac:dyDescent="0.25">
      <c r="A3265" s="918" t="s">
        <v>475</v>
      </c>
      <c r="B3265" s="944" t="s">
        <v>3901</v>
      </c>
      <c r="C3265" s="919" t="s">
        <v>3902</v>
      </c>
      <c r="D3265" s="919" t="s">
        <v>3991</v>
      </c>
      <c r="E3265" s="920">
        <v>1500</v>
      </c>
      <c r="F3265" s="919" t="s">
        <v>9759</v>
      </c>
      <c r="G3265" s="919" t="s">
        <v>9760</v>
      </c>
      <c r="H3265" s="919" t="s">
        <v>3991</v>
      </c>
      <c r="I3265" s="919" t="s">
        <v>3686</v>
      </c>
      <c r="J3265" s="919"/>
      <c r="K3265" s="920">
        <v>1</v>
      </c>
      <c r="L3265" s="920">
        <v>12</v>
      </c>
      <c r="M3265" s="920">
        <f t="shared" si="100"/>
        <v>18000</v>
      </c>
      <c r="N3265" s="919"/>
      <c r="O3265" s="919"/>
      <c r="P3265" s="921">
        <f t="shared" si="101"/>
        <v>0</v>
      </c>
    </row>
    <row r="3266" spans="1:16" ht="20.100000000000001" customHeight="1" x14ac:dyDescent="0.25">
      <c r="A3266" s="918" t="s">
        <v>475</v>
      </c>
      <c r="B3266" s="944" t="s">
        <v>3901</v>
      </c>
      <c r="C3266" s="919" t="s">
        <v>3902</v>
      </c>
      <c r="D3266" s="919" t="s">
        <v>4250</v>
      </c>
      <c r="E3266" s="920">
        <v>3500</v>
      </c>
      <c r="F3266" s="919" t="s">
        <v>4041</v>
      </c>
      <c r="G3266" s="919" t="s">
        <v>4042</v>
      </c>
      <c r="H3266" s="919" t="s">
        <v>4250</v>
      </c>
      <c r="I3266" s="919" t="s">
        <v>3679</v>
      </c>
      <c r="J3266" s="919"/>
      <c r="K3266" s="920">
        <v>1</v>
      </c>
      <c r="L3266" s="920">
        <v>12</v>
      </c>
      <c r="M3266" s="920">
        <f t="shared" si="100"/>
        <v>42000</v>
      </c>
      <c r="N3266" s="919"/>
      <c r="O3266" s="919"/>
      <c r="P3266" s="921">
        <f t="shared" si="101"/>
        <v>0</v>
      </c>
    </row>
    <row r="3267" spans="1:16" ht="20.100000000000001" customHeight="1" x14ac:dyDescent="0.25">
      <c r="A3267" s="918" t="s">
        <v>475</v>
      </c>
      <c r="B3267" s="944" t="s">
        <v>3901</v>
      </c>
      <c r="C3267" s="919" t="s">
        <v>3902</v>
      </c>
      <c r="D3267" s="919" t="s">
        <v>4492</v>
      </c>
      <c r="E3267" s="920">
        <v>2800</v>
      </c>
      <c r="F3267" s="919" t="s">
        <v>9761</v>
      </c>
      <c r="G3267" s="919" t="s">
        <v>9762</v>
      </c>
      <c r="H3267" s="919" t="s">
        <v>4492</v>
      </c>
      <c r="I3267" s="919" t="s">
        <v>3679</v>
      </c>
      <c r="J3267" s="919"/>
      <c r="K3267" s="920"/>
      <c r="L3267" s="920"/>
      <c r="M3267" s="920">
        <f t="shared" si="100"/>
        <v>0</v>
      </c>
      <c r="N3267" s="919">
        <v>1</v>
      </c>
      <c r="O3267" s="919">
        <v>4</v>
      </c>
      <c r="P3267" s="921">
        <f t="shared" si="101"/>
        <v>11200</v>
      </c>
    </row>
    <row r="3268" spans="1:16" ht="20.100000000000001" customHeight="1" x14ac:dyDescent="0.25">
      <c r="A3268" s="918" t="s">
        <v>475</v>
      </c>
      <c r="B3268" s="944" t="s">
        <v>3901</v>
      </c>
      <c r="C3268" s="919" t="s">
        <v>3902</v>
      </c>
      <c r="D3268" s="919" t="s">
        <v>4492</v>
      </c>
      <c r="E3268" s="920">
        <v>2800</v>
      </c>
      <c r="F3268" s="919" t="s">
        <v>9763</v>
      </c>
      <c r="G3268" s="919" t="s">
        <v>9764</v>
      </c>
      <c r="H3268" s="919" t="s">
        <v>4492</v>
      </c>
      <c r="I3268" s="919" t="s">
        <v>3679</v>
      </c>
      <c r="J3268" s="919"/>
      <c r="K3268" s="920"/>
      <c r="L3268" s="920"/>
      <c r="M3268" s="920">
        <f t="shared" si="100"/>
        <v>0</v>
      </c>
      <c r="N3268" s="919">
        <v>1</v>
      </c>
      <c r="O3268" s="919">
        <v>4</v>
      </c>
      <c r="P3268" s="921">
        <f t="shared" si="101"/>
        <v>11200</v>
      </c>
    </row>
    <row r="3269" spans="1:16" ht="20.100000000000001" customHeight="1" x14ac:dyDescent="0.25">
      <c r="A3269" s="918" t="s">
        <v>475</v>
      </c>
      <c r="B3269" s="944" t="s">
        <v>3901</v>
      </c>
      <c r="C3269" s="919" t="s">
        <v>3902</v>
      </c>
      <c r="D3269" s="919" t="s">
        <v>4492</v>
      </c>
      <c r="E3269" s="920">
        <v>2800</v>
      </c>
      <c r="F3269" s="919" t="s">
        <v>4041</v>
      </c>
      <c r="G3269" s="919" t="s">
        <v>4062</v>
      </c>
      <c r="H3269" s="919" t="s">
        <v>4492</v>
      </c>
      <c r="I3269" s="919" t="s">
        <v>3679</v>
      </c>
      <c r="J3269" s="919"/>
      <c r="K3269" s="920">
        <v>1</v>
      </c>
      <c r="L3269" s="920">
        <v>12</v>
      </c>
      <c r="M3269" s="920">
        <f t="shared" si="100"/>
        <v>33600</v>
      </c>
      <c r="N3269" s="919"/>
      <c r="O3269" s="919"/>
      <c r="P3269" s="921">
        <f t="shared" si="101"/>
        <v>0</v>
      </c>
    </row>
    <row r="3270" spans="1:16" ht="20.100000000000001" customHeight="1" x14ac:dyDescent="0.25">
      <c r="A3270" s="918" t="s">
        <v>475</v>
      </c>
      <c r="B3270" s="944" t="s">
        <v>3901</v>
      </c>
      <c r="C3270" s="919" t="s">
        <v>3902</v>
      </c>
      <c r="D3270" s="919" t="s">
        <v>5448</v>
      </c>
      <c r="E3270" s="920">
        <v>4500</v>
      </c>
      <c r="F3270" s="919" t="s">
        <v>9765</v>
      </c>
      <c r="G3270" s="919" t="s">
        <v>9766</v>
      </c>
      <c r="H3270" s="919" t="s">
        <v>5448</v>
      </c>
      <c r="I3270" s="919" t="s">
        <v>3679</v>
      </c>
      <c r="J3270" s="919"/>
      <c r="K3270" s="920"/>
      <c r="L3270" s="920"/>
      <c r="M3270" s="920">
        <f t="shared" ref="M3270:M3333" si="102">E3270*L3270</f>
        <v>0</v>
      </c>
      <c r="N3270" s="919">
        <v>1</v>
      </c>
      <c r="O3270" s="919">
        <v>4</v>
      </c>
      <c r="P3270" s="921">
        <f t="shared" ref="P3270:P3333" si="103">E3270*O3270</f>
        <v>18000</v>
      </c>
    </row>
    <row r="3271" spans="1:16" ht="20.100000000000001" customHeight="1" x14ac:dyDescent="0.25">
      <c r="A3271" s="918" t="s">
        <v>475</v>
      </c>
      <c r="B3271" s="944" t="s">
        <v>3901</v>
      </c>
      <c r="C3271" s="919" t="s">
        <v>3902</v>
      </c>
      <c r="D3271" s="919" t="s">
        <v>5448</v>
      </c>
      <c r="E3271" s="920">
        <v>4500</v>
      </c>
      <c r="F3271" s="919" t="s">
        <v>9767</v>
      </c>
      <c r="G3271" s="919" t="s">
        <v>9768</v>
      </c>
      <c r="H3271" s="919" t="s">
        <v>5448</v>
      </c>
      <c r="I3271" s="919" t="s">
        <v>3679</v>
      </c>
      <c r="J3271" s="919"/>
      <c r="K3271" s="920"/>
      <c r="L3271" s="920"/>
      <c r="M3271" s="920">
        <f t="shared" si="102"/>
        <v>0</v>
      </c>
      <c r="N3271" s="919">
        <v>1</v>
      </c>
      <c r="O3271" s="919">
        <v>4</v>
      </c>
      <c r="P3271" s="921">
        <f t="shared" si="103"/>
        <v>18000</v>
      </c>
    </row>
    <row r="3272" spans="1:16" ht="20.100000000000001" customHeight="1" x14ac:dyDescent="0.25">
      <c r="A3272" s="918" t="s">
        <v>475</v>
      </c>
      <c r="B3272" s="944" t="s">
        <v>3901</v>
      </c>
      <c r="C3272" s="919" t="s">
        <v>3902</v>
      </c>
      <c r="D3272" s="919" t="s">
        <v>5448</v>
      </c>
      <c r="E3272" s="920">
        <v>4500</v>
      </c>
      <c r="F3272" s="919" t="s">
        <v>9769</v>
      </c>
      <c r="G3272" s="919" t="s">
        <v>9770</v>
      </c>
      <c r="H3272" s="919" t="s">
        <v>5448</v>
      </c>
      <c r="I3272" s="919" t="s">
        <v>3679</v>
      </c>
      <c r="J3272" s="919"/>
      <c r="K3272" s="920"/>
      <c r="L3272" s="920"/>
      <c r="M3272" s="920">
        <f t="shared" si="102"/>
        <v>0</v>
      </c>
      <c r="N3272" s="919">
        <v>1</v>
      </c>
      <c r="O3272" s="919">
        <v>4</v>
      </c>
      <c r="P3272" s="921">
        <f t="shared" si="103"/>
        <v>18000</v>
      </c>
    </row>
    <row r="3273" spans="1:16" ht="20.100000000000001" customHeight="1" x14ac:dyDescent="0.25">
      <c r="A3273" s="918" t="s">
        <v>475</v>
      </c>
      <c r="B3273" s="944" t="s">
        <v>3901</v>
      </c>
      <c r="C3273" s="919" t="s">
        <v>3902</v>
      </c>
      <c r="D3273" s="919" t="s">
        <v>4774</v>
      </c>
      <c r="E3273" s="920">
        <v>2000</v>
      </c>
      <c r="F3273" s="919" t="s">
        <v>9771</v>
      </c>
      <c r="G3273" s="919" t="s">
        <v>9772</v>
      </c>
      <c r="H3273" s="919" t="s">
        <v>4774</v>
      </c>
      <c r="I3273" s="919" t="s">
        <v>3679</v>
      </c>
      <c r="J3273" s="919"/>
      <c r="K3273" s="920"/>
      <c r="L3273" s="920"/>
      <c r="M3273" s="920">
        <f t="shared" si="102"/>
        <v>0</v>
      </c>
      <c r="N3273" s="919">
        <v>1</v>
      </c>
      <c r="O3273" s="919">
        <v>4</v>
      </c>
      <c r="P3273" s="921">
        <f t="shared" si="103"/>
        <v>8000</v>
      </c>
    </row>
    <row r="3274" spans="1:16" ht="20.100000000000001" customHeight="1" x14ac:dyDescent="0.25">
      <c r="A3274" s="918" t="s">
        <v>475</v>
      </c>
      <c r="B3274" s="944" t="s">
        <v>3901</v>
      </c>
      <c r="C3274" s="919" t="s">
        <v>3902</v>
      </c>
      <c r="D3274" s="919" t="s">
        <v>4774</v>
      </c>
      <c r="E3274" s="920">
        <v>2000</v>
      </c>
      <c r="F3274" s="919" t="s">
        <v>9773</v>
      </c>
      <c r="G3274" s="919" t="s">
        <v>9774</v>
      </c>
      <c r="H3274" s="919" t="s">
        <v>4774</v>
      </c>
      <c r="I3274" s="919" t="s">
        <v>3679</v>
      </c>
      <c r="J3274" s="919"/>
      <c r="K3274" s="920"/>
      <c r="L3274" s="920"/>
      <c r="M3274" s="920">
        <f t="shared" si="102"/>
        <v>0</v>
      </c>
      <c r="N3274" s="919">
        <v>1</v>
      </c>
      <c r="O3274" s="919">
        <v>4</v>
      </c>
      <c r="P3274" s="921">
        <f t="shared" si="103"/>
        <v>8000</v>
      </c>
    </row>
    <row r="3275" spans="1:16" ht="20.100000000000001" customHeight="1" x14ac:dyDescent="0.25">
      <c r="A3275" s="918" t="s">
        <v>475</v>
      </c>
      <c r="B3275" s="944" t="s">
        <v>3901</v>
      </c>
      <c r="C3275" s="919" t="s">
        <v>3902</v>
      </c>
      <c r="D3275" s="919" t="s">
        <v>4774</v>
      </c>
      <c r="E3275" s="920">
        <v>2000</v>
      </c>
      <c r="F3275" s="919" t="s">
        <v>9775</v>
      </c>
      <c r="G3275" s="919" t="s">
        <v>9776</v>
      </c>
      <c r="H3275" s="919" t="s">
        <v>4774</v>
      </c>
      <c r="I3275" s="919" t="s">
        <v>3679</v>
      </c>
      <c r="J3275" s="919"/>
      <c r="K3275" s="920"/>
      <c r="L3275" s="920"/>
      <c r="M3275" s="920">
        <f t="shared" si="102"/>
        <v>0</v>
      </c>
      <c r="N3275" s="919">
        <v>1</v>
      </c>
      <c r="O3275" s="919">
        <v>4</v>
      </c>
      <c r="P3275" s="921">
        <f t="shared" si="103"/>
        <v>8000</v>
      </c>
    </row>
    <row r="3276" spans="1:16" ht="20.100000000000001" customHeight="1" x14ac:dyDescent="0.25">
      <c r="A3276" s="918" t="s">
        <v>475</v>
      </c>
      <c r="B3276" s="944" t="s">
        <v>3901</v>
      </c>
      <c r="C3276" s="919" t="s">
        <v>3902</v>
      </c>
      <c r="D3276" s="919" t="s">
        <v>4499</v>
      </c>
      <c r="E3276" s="920">
        <v>2500</v>
      </c>
      <c r="F3276" s="919" t="s">
        <v>9777</v>
      </c>
      <c r="G3276" s="919" t="s">
        <v>9778</v>
      </c>
      <c r="H3276" s="919" t="s">
        <v>4499</v>
      </c>
      <c r="I3276" s="919" t="s">
        <v>3679</v>
      </c>
      <c r="J3276" s="919"/>
      <c r="K3276" s="920"/>
      <c r="L3276" s="920"/>
      <c r="M3276" s="920">
        <f t="shared" si="102"/>
        <v>0</v>
      </c>
      <c r="N3276" s="919">
        <v>1</v>
      </c>
      <c r="O3276" s="919">
        <v>4</v>
      </c>
      <c r="P3276" s="921">
        <f t="shared" si="103"/>
        <v>10000</v>
      </c>
    </row>
    <row r="3277" spans="1:16" ht="20.100000000000001" customHeight="1" x14ac:dyDescent="0.25">
      <c r="A3277" s="918" t="s">
        <v>475</v>
      </c>
      <c r="B3277" s="944" t="s">
        <v>3901</v>
      </c>
      <c r="C3277" s="919" t="s">
        <v>3902</v>
      </c>
      <c r="D3277" s="919" t="s">
        <v>4502</v>
      </c>
      <c r="E3277" s="920">
        <v>1150</v>
      </c>
      <c r="F3277" s="919" t="s">
        <v>9779</v>
      </c>
      <c r="G3277" s="919" t="s">
        <v>9780</v>
      </c>
      <c r="H3277" s="919" t="s">
        <v>4502</v>
      </c>
      <c r="I3277" s="919" t="s">
        <v>3686</v>
      </c>
      <c r="J3277" s="919"/>
      <c r="K3277" s="920"/>
      <c r="L3277" s="920"/>
      <c r="M3277" s="920">
        <f t="shared" si="102"/>
        <v>0</v>
      </c>
      <c r="N3277" s="919">
        <v>1</v>
      </c>
      <c r="O3277" s="919">
        <v>4</v>
      </c>
      <c r="P3277" s="921">
        <f t="shared" si="103"/>
        <v>4600</v>
      </c>
    </row>
    <row r="3278" spans="1:16" ht="20.100000000000001" customHeight="1" x14ac:dyDescent="0.25">
      <c r="A3278" s="918" t="s">
        <v>475</v>
      </c>
      <c r="B3278" s="944" t="s">
        <v>3901</v>
      </c>
      <c r="C3278" s="919" t="s">
        <v>3902</v>
      </c>
      <c r="D3278" s="919" t="s">
        <v>4502</v>
      </c>
      <c r="E3278" s="920">
        <v>1150</v>
      </c>
      <c r="F3278" s="919" t="s">
        <v>9781</v>
      </c>
      <c r="G3278" s="919" t="s">
        <v>9782</v>
      </c>
      <c r="H3278" s="919" t="s">
        <v>4502</v>
      </c>
      <c r="I3278" s="919" t="s">
        <v>3686</v>
      </c>
      <c r="J3278" s="919"/>
      <c r="K3278" s="920"/>
      <c r="L3278" s="920"/>
      <c r="M3278" s="920">
        <f t="shared" si="102"/>
        <v>0</v>
      </c>
      <c r="N3278" s="919">
        <v>1</v>
      </c>
      <c r="O3278" s="919">
        <v>4</v>
      </c>
      <c r="P3278" s="921">
        <f t="shared" si="103"/>
        <v>4600</v>
      </c>
    </row>
    <row r="3279" spans="1:16" ht="20.100000000000001" customHeight="1" x14ac:dyDescent="0.25">
      <c r="A3279" s="918" t="s">
        <v>475</v>
      </c>
      <c r="B3279" s="944" t="s">
        <v>3901</v>
      </c>
      <c r="C3279" s="919" t="s">
        <v>3902</v>
      </c>
      <c r="D3279" s="919" t="s">
        <v>4502</v>
      </c>
      <c r="E3279" s="920">
        <v>1150</v>
      </c>
      <c r="F3279" s="919" t="s">
        <v>9783</v>
      </c>
      <c r="G3279" s="919" t="s">
        <v>9784</v>
      </c>
      <c r="H3279" s="919" t="s">
        <v>4502</v>
      </c>
      <c r="I3279" s="919" t="s">
        <v>3686</v>
      </c>
      <c r="J3279" s="919"/>
      <c r="K3279" s="920"/>
      <c r="L3279" s="920"/>
      <c r="M3279" s="920">
        <f t="shared" si="102"/>
        <v>0</v>
      </c>
      <c r="N3279" s="919">
        <v>1</v>
      </c>
      <c r="O3279" s="919">
        <v>4</v>
      </c>
      <c r="P3279" s="921">
        <f t="shared" si="103"/>
        <v>4600</v>
      </c>
    </row>
    <row r="3280" spans="1:16" ht="20.100000000000001" customHeight="1" x14ac:dyDescent="0.25">
      <c r="A3280" s="918" t="s">
        <v>475</v>
      </c>
      <c r="B3280" s="944" t="s">
        <v>3901</v>
      </c>
      <c r="C3280" s="919" t="s">
        <v>3902</v>
      </c>
      <c r="D3280" s="919" t="s">
        <v>4502</v>
      </c>
      <c r="E3280" s="920">
        <v>1150</v>
      </c>
      <c r="F3280" s="919" t="s">
        <v>9785</v>
      </c>
      <c r="G3280" s="919" t="s">
        <v>9786</v>
      </c>
      <c r="H3280" s="919" t="s">
        <v>4502</v>
      </c>
      <c r="I3280" s="919" t="s">
        <v>3686</v>
      </c>
      <c r="J3280" s="919"/>
      <c r="K3280" s="920"/>
      <c r="L3280" s="920"/>
      <c r="M3280" s="920">
        <f t="shared" si="102"/>
        <v>0</v>
      </c>
      <c r="N3280" s="919">
        <v>1</v>
      </c>
      <c r="O3280" s="919">
        <v>4</v>
      </c>
      <c r="P3280" s="921">
        <f t="shared" si="103"/>
        <v>4600</v>
      </c>
    </row>
    <row r="3281" spans="1:16" ht="20.100000000000001" customHeight="1" x14ac:dyDescent="0.25">
      <c r="A3281" s="918" t="s">
        <v>475</v>
      </c>
      <c r="B3281" s="944" t="s">
        <v>3901</v>
      </c>
      <c r="C3281" s="919" t="s">
        <v>3902</v>
      </c>
      <c r="D3281" s="919" t="s">
        <v>4502</v>
      </c>
      <c r="E3281" s="920">
        <v>1150</v>
      </c>
      <c r="F3281" s="919" t="s">
        <v>9787</v>
      </c>
      <c r="G3281" s="919" t="s">
        <v>9788</v>
      </c>
      <c r="H3281" s="919" t="s">
        <v>4502</v>
      </c>
      <c r="I3281" s="919" t="s">
        <v>3686</v>
      </c>
      <c r="J3281" s="919"/>
      <c r="K3281" s="920"/>
      <c r="L3281" s="920"/>
      <c r="M3281" s="920">
        <f t="shared" si="102"/>
        <v>0</v>
      </c>
      <c r="N3281" s="919">
        <v>1</v>
      </c>
      <c r="O3281" s="919">
        <v>4</v>
      </c>
      <c r="P3281" s="921">
        <f t="shared" si="103"/>
        <v>4600</v>
      </c>
    </row>
    <row r="3282" spans="1:16" ht="20.100000000000001" customHeight="1" x14ac:dyDescent="0.25">
      <c r="A3282" s="918" t="s">
        <v>475</v>
      </c>
      <c r="B3282" s="944" t="s">
        <v>3901</v>
      </c>
      <c r="C3282" s="919" t="s">
        <v>3902</v>
      </c>
      <c r="D3282" s="919" t="s">
        <v>4502</v>
      </c>
      <c r="E3282" s="920">
        <v>1150</v>
      </c>
      <c r="F3282" s="919" t="s">
        <v>9789</v>
      </c>
      <c r="G3282" s="919" t="s">
        <v>9790</v>
      </c>
      <c r="H3282" s="919" t="s">
        <v>4502</v>
      </c>
      <c r="I3282" s="919" t="s">
        <v>3686</v>
      </c>
      <c r="J3282" s="919"/>
      <c r="K3282" s="920"/>
      <c r="L3282" s="920"/>
      <c r="M3282" s="920">
        <f t="shared" si="102"/>
        <v>0</v>
      </c>
      <c r="N3282" s="919">
        <v>1</v>
      </c>
      <c r="O3282" s="919">
        <v>1</v>
      </c>
      <c r="P3282" s="921">
        <f t="shared" si="103"/>
        <v>1150</v>
      </c>
    </row>
    <row r="3283" spans="1:16" ht="20.100000000000001" customHeight="1" x14ac:dyDescent="0.25">
      <c r="A3283" s="918" t="s">
        <v>475</v>
      </c>
      <c r="B3283" s="944" t="s">
        <v>3901</v>
      </c>
      <c r="C3283" s="919" t="s">
        <v>3902</v>
      </c>
      <c r="D3283" s="919" t="s">
        <v>4531</v>
      </c>
      <c r="E3283" s="920">
        <v>1800</v>
      </c>
      <c r="F3283" s="919" t="s">
        <v>9791</v>
      </c>
      <c r="G3283" s="919" t="s">
        <v>9792</v>
      </c>
      <c r="H3283" s="919" t="s">
        <v>4531</v>
      </c>
      <c r="I3283" s="919" t="s">
        <v>3679</v>
      </c>
      <c r="J3283" s="919"/>
      <c r="K3283" s="920"/>
      <c r="L3283" s="920"/>
      <c r="M3283" s="920">
        <f t="shared" si="102"/>
        <v>0</v>
      </c>
      <c r="N3283" s="919">
        <v>1</v>
      </c>
      <c r="O3283" s="919">
        <v>1</v>
      </c>
      <c r="P3283" s="921">
        <f t="shared" si="103"/>
        <v>1800</v>
      </c>
    </row>
    <row r="3284" spans="1:16" ht="20.100000000000001" customHeight="1" x14ac:dyDescent="0.25">
      <c r="A3284" s="918" t="s">
        <v>475</v>
      </c>
      <c r="B3284" s="944" t="s">
        <v>3901</v>
      </c>
      <c r="C3284" s="919" t="s">
        <v>3902</v>
      </c>
      <c r="D3284" s="919" t="s">
        <v>4531</v>
      </c>
      <c r="E3284" s="920">
        <v>1800</v>
      </c>
      <c r="F3284" s="919" t="s">
        <v>9793</v>
      </c>
      <c r="G3284" s="919" t="s">
        <v>9794</v>
      </c>
      <c r="H3284" s="919" t="s">
        <v>4531</v>
      </c>
      <c r="I3284" s="919" t="s">
        <v>3679</v>
      </c>
      <c r="J3284" s="919"/>
      <c r="K3284" s="920"/>
      <c r="L3284" s="920"/>
      <c r="M3284" s="920">
        <f t="shared" si="102"/>
        <v>0</v>
      </c>
      <c r="N3284" s="919">
        <v>1</v>
      </c>
      <c r="O3284" s="919">
        <v>1</v>
      </c>
      <c r="P3284" s="921">
        <f t="shared" si="103"/>
        <v>1800</v>
      </c>
    </row>
    <row r="3285" spans="1:16" ht="20.100000000000001" customHeight="1" x14ac:dyDescent="0.25">
      <c r="A3285" s="918" t="s">
        <v>475</v>
      </c>
      <c r="B3285" s="944" t="s">
        <v>3901</v>
      </c>
      <c r="C3285" s="919" t="s">
        <v>3902</v>
      </c>
      <c r="D3285" s="919" t="s">
        <v>4531</v>
      </c>
      <c r="E3285" s="920">
        <v>1800</v>
      </c>
      <c r="F3285" s="919" t="s">
        <v>9795</v>
      </c>
      <c r="G3285" s="919" t="s">
        <v>9796</v>
      </c>
      <c r="H3285" s="919" t="s">
        <v>4531</v>
      </c>
      <c r="I3285" s="919" t="s">
        <v>3679</v>
      </c>
      <c r="J3285" s="919"/>
      <c r="K3285" s="920"/>
      <c r="L3285" s="920"/>
      <c r="M3285" s="920">
        <f t="shared" si="102"/>
        <v>0</v>
      </c>
      <c r="N3285" s="919">
        <v>1</v>
      </c>
      <c r="O3285" s="919">
        <v>3</v>
      </c>
      <c r="P3285" s="921">
        <f t="shared" si="103"/>
        <v>5400</v>
      </c>
    </row>
    <row r="3286" spans="1:16" ht="20.100000000000001" customHeight="1" x14ac:dyDescent="0.25">
      <c r="A3286" s="918" t="s">
        <v>475</v>
      </c>
      <c r="B3286" s="944" t="s">
        <v>3901</v>
      </c>
      <c r="C3286" s="919" t="s">
        <v>3902</v>
      </c>
      <c r="D3286" s="919" t="s">
        <v>4531</v>
      </c>
      <c r="E3286" s="920">
        <v>1800</v>
      </c>
      <c r="F3286" s="919" t="s">
        <v>9797</v>
      </c>
      <c r="G3286" s="919" t="s">
        <v>9798</v>
      </c>
      <c r="H3286" s="919" t="s">
        <v>4531</v>
      </c>
      <c r="I3286" s="919" t="s">
        <v>3679</v>
      </c>
      <c r="J3286" s="919"/>
      <c r="K3286" s="920"/>
      <c r="L3286" s="920"/>
      <c r="M3286" s="920">
        <f t="shared" si="102"/>
        <v>0</v>
      </c>
      <c r="N3286" s="919">
        <v>1</v>
      </c>
      <c r="O3286" s="919">
        <v>1</v>
      </c>
      <c r="P3286" s="921">
        <f t="shared" si="103"/>
        <v>1800</v>
      </c>
    </row>
    <row r="3287" spans="1:16" ht="20.100000000000001" customHeight="1" x14ac:dyDescent="0.25">
      <c r="A3287" s="918" t="s">
        <v>475</v>
      </c>
      <c r="B3287" s="944" t="s">
        <v>3901</v>
      </c>
      <c r="C3287" s="919" t="s">
        <v>3902</v>
      </c>
      <c r="D3287" s="919" t="s">
        <v>4531</v>
      </c>
      <c r="E3287" s="920">
        <v>1800</v>
      </c>
      <c r="F3287" s="919" t="s">
        <v>9799</v>
      </c>
      <c r="G3287" s="919" t="s">
        <v>9800</v>
      </c>
      <c r="H3287" s="919" t="s">
        <v>4531</v>
      </c>
      <c r="I3287" s="919" t="s">
        <v>3679</v>
      </c>
      <c r="J3287" s="919"/>
      <c r="K3287" s="920"/>
      <c r="L3287" s="920"/>
      <c r="M3287" s="920">
        <f t="shared" si="102"/>
        <v>0</v>
      </c>
      <c r="N3287" s="919">
        <v>1</v>
      </c>
      <c r="O3287" s="919">
        <v>4</v>
      </c>
      <c r="P3287" s="921">
        <f t="shared" si="103"/>
        <v>7200</v>
      </c>
    </row>
    <row r="3288" spans="1:16" ht="20.100000000000001" customHeight="1" x14ac:dyDescent="0.25">
      <c r="A3288" s="918" t="s">
        <v>475</v>
      </c>
      <c r="B3288" s="944" t="s">
        <v>3901</v>
      </c>
      <c r="C3288" s="919" t="s">
        <v>3902</v>
      </c>
      <c r="D3288" s="919" t="s">
        <v>4531</v>
      </c>
      <c r="E3288" s="920">
        <v>1800</v>
      </c>
      <c r="F3288" s="919" t="s">
        <v>9801</v>
      </c>
      <c r="G3288" s="919" t="s">
        <v>9802</v>
      </c>
      <c r="H3288" s="919" t="s">
        <v>4531</v>
      </c>
      <c r="I3288" s="919" t="s">
        <v>3679</v>
      </c>
      <c r="J3288" s="919"/>
      <c r="K3288" s="920"/>
      <c r="L3288" s="920"/>
      <c r="M3288" s="920">
        <f t="shared" si="102"/>
        <v>0</v>
      </c>
      <c r="N3288" s="919">
        <v>1</v>
      </c>
      <c r="O3288" s="919">
        <v>4</v>
      </c>
      <c r="P3288" s="921">
        <f t="shared" si="103"/>
        <v>7200</v>
      </c>
    </row>
    <row r="3289" spans="1:16" ht="20.100000000000001" customHeight="1" x14ac:dyDescent="0.25">
      <c r="A3289" s="918" t="s">
        <v>475</v>
      </c>
      <c r="B3289" s="944" t="s">
        <v>3901</v>
      </c>
      <c r="C3289" s="919" t="s">
        <v>3902</v>
      </c>
      <c r="D3289" s="919" t="s">
        <v>4531</v>
      </c>
      <c r="E3289" s="920">
        <v>1800</v>
      </c>
      <c r="F3289" s="919" t="s">
        <v>9803</v>
      </c>
      <c r="G3289" s="919" t="s">
        <v>9804</v>
      </c>
      <c r="H3289" s="919" t="s">
        <v>4531</v>
      </c>
      <c r="I3289" s="919" t="s">
        <v>3679</v>
      </c>
      <c r="J3289" s="919"/>
      <c r="K3289" s="920"/>
      <c r="L3289" s="920"/>
      <c r="M3289" s="920">
        <f t="shared" si="102"/>
        <v>0</v>
      </c>
      <c r="N3289" s="919">
        <v>1</v>
      </c>
      <c r="O3289" s="919">
        <v>3</v>
      </c>
      <c r="P3289" s="921">
        <f t="shared" si="103"/>
        <v>5400</v>
      </c>
    </row>
    <row r="3290" spans="1:16" ht="20.100000000000001" customHeight="1" x14ac:dyDescent="0.25">
      <c r="A3290" s="918" t="s">
        <v>475</v>
      </c>
      <c r="B3290" s="944" t="s">
        <v>3901</v>
      </c>
      <c r="C3290" s="919" t="s">
        <v>3902</v>
      </c>
      <c r="D3290" s="919" t="s">
        <v>4382</v>
      </c>
      <c r="E3290" s="920">
        <v>2500</v>
      </c>
      <c r="F3290" s="919" t="s">
        <v>9805</v>
      </c>
      <c r="G3290" s="919" t="s">
        <v>9806</v>
      </c>
      <c r="H3290" s="919" t="s">
        <v>4382</v>
      </c>
      <c r="I3290" s="919" t="s">
        <v>3679</v>
      </c>
      <c r="J3290" s="919"/>
      <c r="K3290" s="920"/>
      <c r="L3290" s="920"/>
      <c r="M3290" s="920">
        <f t="shared" si="102"/>
        <v>0</v>
      </c>
      <c r="N3290" s="919">
        <v>1</v>
      </c>
      <c r="O3290" s="919">
        <v>1</v>
      </c>
      <c r="P3290" s="921">
        <f t="shared" si="103"/>
        <v>2500</v>
      </c>
    </row>
    <row r="3291" spans="1:16" ht="20.100000000000001" customHeight="1" x14ac:dyDescent="0.25">
      <c r="A3291" s="918" t="s">
        <v>475</v>
      </c>
      <c r="B3291" s="944" t="s">
        <v>3901</v>
      </c>
      <c r="C3291" s="919" t="s">
        <v>3902</v>
      </c>
      <c r="D3291" s="919" t="s">
        <v>4382</v>
      </c>
      <c r="E3291" s="920">
        <v>2500</v>
      </c>
      <c r="F3291" s="919" t="s">
        <v>9807</v>
      </c>
      <c r="G3291" s="919" t="s">
        <v>9808</v>
      </c>
      <c r="H3291" s="919" t="s">
        <v>4382</v>
      </c>
      <c r="I3291" s="919" t="s">
        <v>3679</v>
      </c>
      <c r="J3291" s="919"/>
      <c r="K3291" s="920"/>
      <c r="L3291" s="920"/>
      <c r="M3291" s="920">
        <f t="shared" si="102"/>
        <v>0</v>
      </c>
      <c r="N3291" s="919">
        <v>1</v>
      </c>
      <c r="O3291" s="919">
        <v>4</v>
      </c>
      <c r="P3291" s="921">
        <f t="shared" si="103"/>
        <v>10000</v>
      </c>
    </row>
    <row r="3292" spans="1:16" ht="20.100000000000001" customHeight="1" x14ac:dyDescent="0.25">
      <c r="A3292" s="918" t="s">
        <v>475</v>
      </c>
      <c r="B3292" s="944" t="s">
        <v>3901</v>
      </c>
      <c r="C3292" s="919" t="s">
        <v>3902</v>
      </c>
      <c r="D3292" s="919" t="s">
        <v>4382</v>
      </c>
      <c r="E3292" s="920">
        <v>2500</v>
      </c>
      <c r="F3292" s="919" t="s">
        <v>9809</v>
      </c>
      <c r="G3292" s="919" t="s">
        <v>9810</v>
      </c>
      <c r="H3292" s="919" t="s">
        <v>4382</v>
      </c>
      <c r="I3292" s="919" t="s">
        <v>3679</v>
      </c>
      <c r="J3292" s="919"/>
      <c r="K3292" s="920"/>
      <c r="L3292" s="920"/>
      <c r="M3292" s="920">
        <f t="shared" si="102"/>
        <v>0</v>
      </c>
      <c r="N3292" s="919">
        <v>1</v>
      </c>
      <c r="O3292" s="919">
        <v>1</v>
      </c>
      <c r="P3292" s="921">
        <f t="shared" si="103"/>
        <v>2500</v>
      </c>
    </row>
    <row r="3293" spans="1:16" ht="20.100000000000001" customHeight="1" x14ac:dyDescent="0.25">
      <c r="A3293" s="918" t="s">
        <v>475</v>
      </c>
      <c r="B3293" s="944" t="s">
        <v>3901</v>
      </c>
      <c r="C3293" s="919" t="s">
        <v>3902</v>
      </c>
      <c r="D3293" s="919" t="s">
        <v>4382</v>
      </c>
      <c r="E3293" s="920">
        <v>2500</v>
      </c>
      <c r="F3293" s="919" t="s">
        <v>4041</v>
      </c>
      <c r="G3293" s="919" t="s">
        <v>4042</v>
      </c>
      <c r="H3293" s="919" t="s">
        <v>4382</v>
      </c>
      <c r="I3293" s="919" t="s">
        <v>3679</v>
      </c>
      <c r="J3293" s="919"/>
      <c r="K3293" s="920">
        <v>1</v>
      </c>
      <c r="L3293" s="920">
        <v>12</v>
      </c>
      <c r="M3293" s="920">
        <f t="shared" si="102"/>
        <v>30000</v>
      </c>
      <c r="N3293" s="919"/>
      <c r="O3293" s="919"/>
      <c r="P3293" s="921">
        <f t="shared" si="103"/>
        <v>0</v>
      </c>
    </row>
    <row r="3294" spans="1:16" ht="20.100000000000001" customHeight="1" x14ac:dyDescent="0.25">
      <c r="A3294" s="918" t="s">
        <v>475</v>
      </c>
      <c r="B3294" s="944" t="s">
        <v>3901</v>
      </c>
      <c r="C3294" s="919" t="s">
        <v>3902</v>
      </c>
      <c r="D3294" s="919" t="s">
        <v>4382</v>
      </c>
      <c r="E3294" s="920">
        <v>2500</v>
      </c>
      <c r="F3294" s="919" t="s">
        <v>9811</v>
      </c>
      <c r="G3294" s="919" t="s">
        <v>9812</v>
      </c>
      <c r="H3294" s="919" t="s">
        <v>4382</v>
      </c>
      <c r="I3294" s="919" t="s">
        <v>3679</v>
      </c>
      <c r="J3294" s="919"/>
      <c r="K3294" s="920"/>
      <c r="L3294" s="920"/>
      <c r="M3294" s="920">
        <f t="shared" si="102"/>
        <v>0</v>
      </c>
      <c r="N3294" s="919">
        <v>1</v>
      </c>
      <c r="O3294" s="919">
        <v>4</v>
      </c>
      <c r="P3294" s="921">
        <f t="shared" si="103"/>
        <v>10000</v>
      </c>
    </row>
    <row r="3295" spans="1:16" ht="20.100000000000001" customHeight="1" x14ac:dyDescent="0.25">
      <c r="A3295" s="918" t="s">
        <v>475</v>
      </c>
      <c r="B3295" s="944" t="s">
        <v>3901</v>
      </c>
      <c r="C3295" s="919" t="s">
        <v>3902</v>
      </c>
      <c r="D3295" s="919" t="s">
        <v>4382</v>
      </c>
      <c r="E3295" s="920">
        <v>2500</v>
      </c>
      <c r="F3295" s="919" t="s">
        <v>9813</v>
      </c>
      <c r="G3295" s="919" t="s">
        <v>9814</v>
      </c>
      <c r="H3295" s="919" t="s">
        <v>4382</v>
      </c>
      <c r="I3295" s="919" t="s">
        <v>3679</v>
      </c>
      <c r="J3295" s="919"/>
      <c r="K3295" s="920"/>
      <c r="L3295" s="920"/>
      <c r="M3295" s="920">
        <f t="shared" si="102"/>
        <v>0</v>
      </c>
      <c r="N3295" s="919">
        <v>1</v>
      </c>
      <c r="O3295" s="919">
        <v>1</v>
      </c>
      <c r="P3295" s="921">
        <f t="shared" si="103"/>
        <v>2500</v>
      </c>
    </row>
    <row r="3296" spans="1:16" ht="20.100000000000001" customHeight="1" x14ac:dyDescent="0.25">
      <c r="A3296" s="918" t="s">
        <v>475</v>
      </c>
      <c r="B3296" s="944" t="s">
        <v>3901</v>
      </c>
      <c r="C3296" s="919" t="s">
        <v>3902</v>
      </c>
      <c r="D3296" s="919" t="s">
        <v>4382</v>
      </c>
      <c r="E3296" s="920">
        <v>2500</v>
      </c>
      <c r="F3296" s="919" t="s">
        <v>9815</v>
      </c>
      <c r="G3296" s="919" t="s">
        <v>9816</v>
      </c>
      <c r="H3296" s="919" t="s">
        <v>4382</v>
      </c>
      <c r="I3296" s="919" t="s">
        <v>3679</v>
      </c>
      <c r="J3296" s="919"/>
      <c r="K3296" s="920"/>
      <c r="L3296" s="920"/>
      <c r="M3296" s="920">
        <f t="shared" si="102"/>
        <v>0</v>
      </c>
      <c r="N3296" s="919">
        <v>1</v>
      </c>
      <c r="O3296" s="919">
        <v>1</v>
      </c>
      <c r="P3296" s="921">
        <f t="shared" si="103"/>
        <v>2500</v>
      </c>
    </row>
    <row r="3297" spans="1:16" ht="20.100000000000001" customHeight="1" x14ac:dyDescent="0.25">
      <c r="A3297" s="918" t="s">
        <v>475</v>
      </c>
      <c r="B3297" s="944" t="s">
        <v>3901</v>
      </c>
      <c r="C3297" s="919" t="s">
        <v>3902</v>
      </c>
      <c r="D3297" s="919" t="s">
        <v>4592</v>
      </c>
      <c r="E3297" s="920">
        <v>1150</v>
      </c>
      <c r="F3297" s="919" t="s">
        <v>9817</v>
      </c>
      <c r="G3297" s="919" t="s">
        <v>9818</v>
      </c>
      <c r="H3297" s="919" t="s">
        <v>4592</v>
      </c>
      <c r="I3297" s="919" t="s">
        <v>3686</v>
      </c>
      <c r="J3297" s="919"/>
      <c r="K3297" s="920"/>
      <c r="L3297" s="920"/>
      <c r="M3297" s="920">
        <f t="shared" si="102"/>
        <v>0</v>
      </c>
      <c r="N3297" s="919">
        <v>1</v>
      </c>
      <c r="O3297" s="919">
        <v>3</v>
      </c>
      <c r="P3297" s="921">
        <f t="shared" si="103"/>
        <v>3450</v>
      </c>
    </row>
    <row r="3298" spans="1:16" ht="20.100000000000001" customHeight="1" x14ac:dyDescent="0.25">
      <c r="A3298" s="918" t="s">
        <v>475</v>
      </c>
      <c r="B3298" s="944" t="s">
        <v>3901</v>
      </c>
      <c r="C3298" s="919" t="s">
        <v>3902</v>
      </c>
      <c r="D3298" s="919" t="s">
        <v>4592</v>
      </c>
      <c r="E3298" s="920">
        <v>1150</v>
      </c>
      <c r="F3298" s="919" t="s">
        <v>9819</v>
      </c>
      <c r="G3298" s="919" t="s">
        <v>9820</v>
      </c>
      <c r="H3298" s="919" t="s">
        <v>4592</v>
      </c>
      <c r="I3298" s="919" t="s">
        <v>3686</v>
      </c>
      <c r="J3298" s="919"/>
      <c r="K3298" s="920"/>
      <c r="L3298" s="920"/>
      <c r="M3298" s="920">
        <f t="shared" si="102"/>
        <v>0</v>
      </c>
      <c r="N3298" s="919">
        <v>1</v>
      </c>
      <c r="O3298" s="919">
        <v>3</v>
      </c>
      <c r="P3298" s="921">
        <f t="shared" si="103"/>
        <v>3450</v>
      </c>
    </row>
    <row r="3299" spans="1:16" ht="20.100000000000001" customHeight="1" x14ac:dyDescent="0.25">
      <c r="A3299" s="918" t="s">
        <v>475</v>
      </c>
      <c r="B3299" s="944" t="s">
        <v>3901</v>
      </c>
      <c r="C3299" s="919" t="s">
        <v>3902</v>
      </c>
      <c r="D3299" s="919" t="s">
        <v>4592</v>
      </c>
      <c r="E3299" s="920">
        <v>1150</v>
      </c>
      <c r="F3299" s="919" t="s">
        <v>9821</v>
      </c>
      <c r="G3299" s="919" t="s">
        <v>9822</v>
      </c>
      <c r="H3299" s="919" t="s">
        <v>4592</v>
      </c>
      <c r="I3299" s="919" t="s">
        <v>3686</v>
      </c>
      <c r="J3299" s="919"/>
      <c r="K3299" s="920"/>
      <c r="L3299" s="920"/>
      <c r="M3299" s="920">
        <f t="shared" si="102"/>
        <v>0</v>
      </c>
      <c r="N3299" s="919">
        <v>1</v>
      </c>
      <c r="O3299" s="919">
        <v>4</v>
      </c>
      <c r="P3299" s="921">
        <f t="shared" si="103"/>
        <v>4600</v>
      </c>
    </row>
    <row r="3300" spans="1:16" ht="20.100000000000001" customHeight="1" x14ac:dyDescent="0.25">
      <c r="A3300" s="918" t="s">
        <v>475</v>
      </c>
      <c r="B3300" s="944" t="s">
        <v>3901</v>
      </c>
      <c r="C3300" s="919" t="s">
        <v>3902</v>
      </c>
      <c r="D3300" s="919" t="s">
        <v>4592</v>
      </c>
      <c r="E3300" s="920">
        <v>1150</v>
      </c>
      <c r="F3300" s="919" t="s">
        <v>4041</v>
      </c>
      <c r="G3300" s="919" t="s">
        <v>4062</v>
      </c>
      <c r="H3300" s="919" t="s">
        <v>4592</v>
      </c>
      <c r="I3300" s="919" t="s">
        <v>3686</v>
      </c>
      <c r="J3300" s="919"/>
      <c r="K3300" s="920">
        <v>1</v>
      </c>
      <c r="L3300" s="920">
        <v>12</v>
      </c>
      <c r="M3300" s="920">
        <f t="shared" si="102"/>
        <v>13800</v>
      </c>
      <c r="N3300" s="919"/>
      <c r="O3300" s="919"/>
      <c r="P3300" s="921">
        <f t="shared" si="103"/>
        <v>0</v>
      </c>
    </row>
    <row r="3301" spans="1:16" ht="20.100000000000001" customHeight="1" x14ac:dyDescent="0.25">
      <c r="A3301" s="918" t="s">
        <v>475</v>
      </c>
      <c r="B3301" s="944" t="s">
        <v>3901</v>
      </c>
      <c r="C3301" s="919" t="s">
        <v>3902</v>
      </c>
      <c r="D3301" s="919" t="s">
        <v>4592</v>
      </c>
      <c r="E3301" s="920">
        <v>1150</v>
      </c>
      <c r="F3301" s="919" t="s">
        <v>9823</v>
      </c>
      <c r="G3301" s="919" t="s">
        <v>9824</v>
      </c>
      <c r="H3301" s="919" t="s">
        <v>4592</v>
      </c>
      <c r="I3301" s="919" t="s">
        <v>3686</v>
      </c>
      <c r="J3301" s="919"/>
      <c r="K3301" s="920"/>
      <c r="L3301" s="920"/>
      <c r="M3301" s="920">
        <f t="shared" si="102"/>
        <v>0</v>
      </c>
      <c r="N3301" s="919">
        <v>1</v>
      </c>
      <c r="O3301" s="919">
        <v>3</v>
      </c>
      <c r="P3301" s="921">
        <f t="shared" si="103"/>
        <v>3450</v>
      </c>
    </row>
    <row r="3302" spans="1:16" ht="20.100000000000001" customHeight="1" x14ac:dyDescent="0.25">
      <c r="A3302" s="918" t="s">
        <v>475</v>
      </c>
      <c r="B3302" s="944" t="s">
        <v>3901</v>
      </c>
      <c r="C3302" s="919" t="s">
        <v>3902</v>
      </c>
      <c r="D3302" s="919" t="s">
        <v>4592</v>
      </c>
      <c r="E3302" s="920">
        <v>1150</v>
      </c>
      <c r="F3302" s="919" t="s">
        <v>9825</v>
      </c>
      <c r="G3302" s="919" t="s">
        <v>9826</v>
      </c>
      <c r="H3302" s="919" t="s">
        <v>4592</v>
      </c>
      <c r="I3302" s="919" t="s">
        <v>3686</v>
      </c>
      <c r="J3302" s="919"/>
      <c r="K3302" s="920"/>
      <c r="L3302" s="920"/>
      <c r="M3302" s="920">
        <f t="shared" si="102"/>
        <v>0</v>
      </c>
      <c r="N3302" s="919">
        <v>1</v>
      </c>
      <c r="O3302" s="919">
        <v>4</v>
      </c>
      <c r="P3302" s="921">
        <f t="shared" si="103"/>
        <v>4600</v>
      </c>
    </row>
    <row r="3303" spans="1:16" ht="20.100000000000001" customHeight="1" x14ac:dyDescent="0.25">
      <c r="A3303" s="918" t="s">
        <v>475</v>
      </c>
      <c r="B3303" s="944" t="s">
        <v>3901</v>
      </c>
      <c r="C3303" s="919" t="s">
        <v>3902</v>
      </c>
      <c r="D3303" s="919" t="s">
        <v>4592</v>
      </c>
      <c r="E3303" s="920">
        <v>1150</v>
      </c>
      <c r="F3303" s="919" t="s">
        <v>9827</v>
      </c>
      <c r="G3303" s="919" t="s">
        <v>9828</v>
      </c>
      <c r="H3303" s="919" t="s">
        <v>4592</v>
      </c>
      <c r="I3303" s="919" t="s">
        <v>3686</v>
      </c>
      <c r="J3303" s="919"/>
      <c r="K3303" s="920"/>
      <c r="L3303" s="920"/>
      <c r="M3303" s="920">
        <f t="shared" si="102"/>
        <v>0</v>
      </c>
      <c r="N3303" s="919">
        <v>1</v>
      </c>
      <c r="O3303" s="919">
        <v>4</v>
      </c>
      <c r="P3303" s="921">
        <f t="shared" si="103"/>
        <v>4600</v>
      </c>
    </row>
    <row r="3304" spans="1:16" ht="20.100000000000001" customHeight="1" x14ac:dyDescent="0.25">
      <c r="A3304" s="918" t="s">
        <v>475</v>
      </c>
      <c r="B3304" s="944" t="s">
        <v>3901</v>
      </c>
      <c r="C3304" s="919" t="s">
        <v>3902</v>
      </c>
      <c r="D3304" s="919" t="s">
        <v>4592</v>
      </c>
      <c r="E3304" s="920">
        <v>1150</v>
      </c>
      <c r="F3304" s="919" t="s">
        <v>9829</v>
      </c>
      <c r="G3304" s="919" t="s">
        <v>9830</v>
      </c>
      <c r="H3304" s="919" t="s">
        <v>4592</v>
      </c>
      <c r="I3304" s="919" t="s">
        <v>3686</v>
      </c>
      <c r="J3304" s="919"/>
      <c r="K3304" s="920"/>
      <c r="L3304" s="920"/>
      <c r="M3304" s="920">
        <f t="shared" si="102"/>
        <v>0</v>
      </c>
      <c r="N3304" s="919">
        <v>1</v>
      </c>
      <c r="O3304" s="919">
        <v>1</v>
      </c>
      <c r="P3304" s="921">
        <f t="shared" si="103"/>
        <v>1150</v>
      </c>
    </row>
    <row r="3305" spans="1:16" ht="20.100000000000001" customHeight="1" x14ac:dyDescent="0.25">
      <c r="A3305" s="918" t="s">
        <v>475</v>
      </c>
      <c r="B3305" s="944" t="s">
        <v>3901</v>
      </c>
      <c r="C3305" s="919" t="s">
        <v>3902</v>
      </c>
      <c r="D3305" s="919" t="s">
        <v>4109</v>
      </c>
      <c r="E3305" s="920">
        <v>1400</v>
      </c>
      <c r="F3305" s="919" t="s">
        <v>9831</v>
      </c>
      <c r="G3305" s="919" t="s">
        <v>9832</v>
      </c>
      <c r="H3305" s="919" t="s">
        <v>4109</v>
      </c>
      <c r="I3305" s="919" t="s">
        <v>3686</v>
      </c>
      <c r="J3305" s="919"/>
      <c r="K3305" s="920"/>
      <c r="L3305" s="920"/>
      <c r="M3305" s="920">
        <f t="shared" si="102"/>
        <v>0</v>
      </c>
      <c r="N3305" s="919">
        <v>1</v>
      </c>
      <c r="O3305" s="919">
        <v>4</v>
      </c>
      <c r="P3305" s="921">
        <f t="shared" si="103"/>
        <v>5600</v>
      </c>
    </row>
    <row r="3306" spans="1:16" ht="20.100000000000001" customHeight="1" x14ac:dyDescent="0.25">
      <c r="A3306" s="918" t="s">
        <v>475</v>
      </c>
      <c r="B3306" s="944" t="s">
        <v>3901</v>
      </c>
      <c r="C3306" s="919" t="s">
        <v>3902</v>
      </c>
      <c r="D3306" s="919" t="s">
        <v>4109</v>
      </c>
      <c r="E3306" s="920">
        <v>1400</v>
      </c>
      <c r="F3306" s="919" t="s">
        <v>9833</v>
      </c>
      <c r="G3306" s="919" t="s">
        <v>9834</v>
      </c>
      <c r="H3306" s="919" t="s">
        <v>4109</v>
      </c>
      <c r="I3306" s="919" t="s">
        <v>3686</v>
      </c>
      <c r="J3306" s="919"/>
      <c r="K3306" s="920"/>
      <c r="L3306" s="920"/>
      <c r="M3306" s="920">
        <f t="shared" si="102"/>
        <v>0</v>
      </c>
      <c r="N3306" s="919">
        <v>1</v>
      </c>
      <c r="O3306" s="919">
        <v>4</v>
      </c>
      <c r="P3306" s="921">
        <f t="shared" si="103"/>
        <v>5600</v>
      </c>
    </row>
    <row r="3307" spans="1:16" ht="20.100000000000001" customHeight="1" x14ac:dyDescent="0.25">
      <c r="A3307" s="918" t="s">
        <v>475</v>
      </c>
      <c r="B3307" s="944" t="s">
        <v>3901</v>
      </c>
      <c r="C3307" s="919" t="s">
        <v>3902</v>
      </c>
      <c r="D3307" s="919" t="s">
        <v>4109</v>
      </c>
      <c r="E3307" s="920">
        <v>1400</v>
      </c>
      <c r="F3307" s="919" t="s">
        <v>9835</v>
      </c>
      <c r="G3307" s="919" t="s">
        <v>9836</v>
      </c>
      <c r="H3307" s="919" t="s">
        <v>4109</v>
      </c>
      <c r="I3307" s="919" t="s">
        <v>3686</v>
      </c>
      <c r="J3307" s="919"/>
      <c r="K3307" s="920"/>
      <c r="L3307" s="920"/>
      <c r="M3307" s="920">
        <f t="shared" si="102"/>
        <v>0</v>
      </c>
      <c r="N3307" s="919">
        <v>1</v>
      </c>
      <c r="O3307" s="919">
        <v>4</v>
      </c>
      <c r="P3307" s="921">
        <f t="shared" si="103"/>
        <v>5600</v>
      </c>
    </row>
    <row r="3308" spans="1:16" ht="20.100000000000001" customHeight="1" x14ac:dyDescent="0.25">
      <c r="A3308" s="918" t="s">
        <v>475</v>
      </c>
      <c r="B3308" s="944" t="s">
        <v>3901</v>
      </c>
      <c r="C3308" s="919" t="s">
        <v>3902</v>
      </c>
      <c r="D3308" s="919" t="s">
        <v>4109</v>
      </c>
      <c r="E3308" s="920">
        <v>1400</v>
      </c>
      <c r="F3308" s="919" t="s">
        <v>9837</v>
      </c>
      <c r="G3308" s="919" t="s">
        <v>9838</v>
      </c>
      <c r="H3308" s="919" t="s">
        <v>4109</v>
      </c>
      <c r="I3308" s="919" t="s">
        <v>3686</v>
      </c>
      <c r="J3308" s="919"/>
      <c r="K3308" s="920"/>
      <c r="L3308" s="920"/>
      <c r="M3308" s="920">
        <f t="shared" si="102"/>
        <v>0</v>
      </c>
      <c r="N3308" s="919">
        <v>1</v>
      </c>
      <c r="O3308" s="919">
        <v>4</v>
      </c>
      <c r="P3308" s="921">
        <f t="shared" si="103"/>
        <v>5600</v>
      </c>
    </row>
    <row r="3309" spans="1:16" ht="20.100000000000001" customHeight="1" x14ac:dyDescent="0.25">
      <c r="A3309" s="918" t="s">
        <v>475</v>
      </c>
      <c r="B3309" s="944" t="s">
        <v>3901</v>
      </c>
      <c r="C3309" s="919" t="s">
        <v>3902</v>
      </c>
      <c r="D3309" s="919" t="s">
        <v>4109</v>
      </c>
      <c r="E3309" s="920">
        <v>1400</v>
      </c>
      <c r="F3309" s="919" t="s">
        <v>9839</v>
      </c>
      <c r="G3309" s="919" t="s">
        <v>9840</v>
      </c>
      <c r="H3309" s="919" t="s">
        <v>4109</v>
      </c>
      <c r="I3309" s="919" t="s">
        <v>3686</v>
      </c>
      <c r="J3309" s="919"/>
      <c r="K3309" s="920"/>
      <c r="L3309" s="920"/>
      <c r="M3309" s="920">
        <f t="shared" si="102"/>
        <v>0</v>
      </c>
      <c r="N3309" s="919">
        <v>1</v>
      </c>
      <c r="O3309" s="919">
        <v>4</v>
      </c>
      <c r="P3309" s="921">
        <f t="shared" si="103"/>
        <v>5600</v>
      </c>
    </row>
    <row r="3310" spans="1:16" ht="20.100000000000001" customHeight="1" x14ac:dyDescent="0.25">
      <c r="A3310" s="918" t="s">
        <v>475</v>
      </c>
      <c r="B3310" s="944" t="s">
        <v>3901</v>
      </c>
      <c r="C3310" s="919" t="s">
        <v>3902</v>
      </c>
      <c r="D3310" s="919" t="s">
        <v>4109</v>
      </c>
      <c r="E3310" s="920">
        <v>1400</v>
      </c>
      <c r="F3310" s="919" t="s">
        <v>9841</v>
      </c>
      <c r="G3310" s="919" t="s">
        <v>9842</v>
      </c>
      <c r="H3310" s="919" t="s">
        <v>4109</v>
      </c>
      <c r="I3310" s="919" t="s">
        <v>3686</v>
      </c>
      <c r="J3310" s="919"/>
      <c r="K3310" s="920"/>
      <c r="L3310" s="920"/>
      <c r="M3310" s="920">
        <f t="shared" si="102"/>
        <v>0</v>
      </c>
      <c r="N3310" s="919">
        <v>1</v>
      </c>
      <c r="O3310" s="919">
        <v>4</v>
      </c>
      <c r="P3310" s="921">
        <f t="shared" si="103"/>
        <v>5600</v>
      </c>
    </row>
    <row r="3311" spans="1:16" ht="20.100000000000001" customHeight="1" x14ac:dyDescent="0.25">
      <c r="A3311" s="918" t="s">
        <v>475</v>
      </c>
      <c r="B3311" s="944" t="s">
        <v>3901</v>
      </c>
      <c r="C3311" s="919" t="s">
        <v>3902</v>
      </c>
      <c r="D3311" s="919" t="s">
        <v>4109</v>
      </c>
      <c r="E3311" s="920">
        <v>1400</v>
      </c>
      <c r="F3311" s="919" t="s">
        <v>9843</v>
      </c>
      <c r="G3311" s="919" t="s">
        <v>9844</v>
      </c>
      <c r="H3311" s="919" t="s">
        <v>4109</v>
      </c>
      <c r="I3311" s="919" t="s">
        <v>3686</v>
      </c>
      <c r="J3311" s="919"/>
      <c r="K3311" s="920"/>
      <c r="L3311" s="920"/>
      <c r="M3311" s="920">
        <f t="shared" si="102"/>
        <v>0</v>
      </c>
      <c r="N3311" s="919">
        <v>1</v>
      </c>
      <c r="O3311" s="919">
        <v>4</v>
      </c>
      <c r="P3311" s="921">
        <f t="shared" si="103"/>
        <v>5600</v>
      </c>
    </row>
    <row r="3312" spans="1:16" ht="20.100000000000001" customHeight="1" x14ac:dyDescent="0.25">
      <c r="A3312" s="918" t="s">
        <v>475</v>
      </c>
      <c r="B3312" s="944" t="s">
        <v>3901</v>
      </c>
      <c r="C3312" s="919" t="s">
        <v>3902</v>
      </c>
      <c r="D3312" s="919" t="s">
        <v>4657</v>
      </c>
      <c r="E3312" s="920">
        <v>1150</v>
      </c>
      <c r="F3312" s="919" t="s">
        <v>9845</v>
      </c>
      <c r="G3312" s="919" t="s">
        <v>9846</v>
      </c>
      <c r="H3312" s="919" t="s">
        <v>4657</v>
      </c>
      <c r="I3312" s="919" t="s">
        <v>3686</v>
      </c>
      <c r="J3312" s="919"/>
      <c r="K3312" s="920"/>
      <c r="L3312" s="920"/>
      <c r="M3312" s="920">
        <f t="shared" si="102"/>
        <v>0</v>
      </c>
      <c r="N3312" s="919">
        <v>1</v>
      </c>
      <c r="O3312" s="919">
        <v>4</v>
      </c>
      <c r="P3312" s="921">
        <f t="shared" si="103"/>
        <v>4600</v>
      </c>
    </row>
    <row r="3313" spans="1:16" ht="20.100000000000001" customHeight="1" x14ac:dyDescent="0.25">
      <c r="A3313" s="918" t="s">
        <v>475</v>
      </c>
      <c r="B3313" s="944" t="s">
        <v>3901</v>
      </c>
      <c r="C3313" s="919" t="s">
        <v>3902</v>
      </c>
      <c r="D3313" s="919" t="s">
        <v>4657</v>
      </c>
      <c r="E3313" s="920">
        <v>1150</v>
      </c>
      <c r="F3313" s="919" t="s">
        <v>4041</v>
      </c>
      <c r="G3313" s="919" t="s">
        <v>4042</v>
      </c>
      <c r="H3313" s="919" t="s">
        <v>4657</v>
      </c>
      <c r="I3313" s="919" t="s">
        <v>3686</v>
      </c>
      <c r="J3313" s="919"/>
      <c r="K3313" s="920">
        <v>1</v>
      </c>
      <c r="L3313" s="920">
        <v>12</v>
      </c>
      <c r="M3313" s="920">
        <f t="shared" si="102"/>
        <v>13800</v>
      </c>
      <c r="N3313" s="919"/>
      <c r="O3313" s="919"/>
      <c r="P3313" s="921">
        <f t="shared" si="103"/>
        <v>0</v>
      </c>
    </row>
    <row r="3314" spans="1:16" ht="20.100000000000001" customHeight="1" x14ac:dyDescent="0.25">
      <c r="A3314" s="918" t="s">
        <v>475</v>
      </c>
      <c r="B3314" s="944" t="s">
        <v>3901</v>
      </c>
      <c r="C3314" s="919" t="s">
        <v>3902</v>
      </c>
      <c r="D3314" s="919" t="s">
        <v>4657</v>
      </c>
      <c r="E3314" s="920">
        <v>1150</v>
      </c>
      <c r="F3314" s="919" t="s">
        <v>9847</v>
      </c>
      <c r="G3314" s="919" t="s">
        <v>9848</v>
      </c>
      <c r="H3314" s="919" t="s">
        <v>4657</v>
      </c>
      <c r="I3314" s="919" t="s">
        <v>3686</v>
      </c>
      <c r="J3314" s="919"/>
      <c r="K3314" s="920"/>
      <c r="L3314" s="920"/>
      <c r="M3314" s="920">
        <f t="shared" si="102"/>
        <v>0</v>
      </c>
      <c r="N3314" s="919">
        <v>1</v>
      </c>
      <c r="O3314" s="919">
        <v>4</v>
      </c>
      <c r="P3314" s="921">
        <f t="shared" si="103"/>
        <v>4600</v>
      </c>
    </row>
    <row r="3315" spans="1:16" ht="20.100000000000001" customHeight="1" x14ac:dyDescent="0.25">
      <c r="A3315" s="918" t="s">
        <v>475</v>
      </c>
      <c r="B3315" s="944" t="s">
        <v>3901</v>
      </c>
      <c r="C3315" s="919" t="s">
        <v>3902</v>
      </c>
      <c r="D3315" s="919" t="s">
        <v>4657</v>
      </c>
      <c r="E3315" s="920">
        <v>1150</v>
      </c>
      <c r="F3315" s="919" t="s">
        <v>9849</v>
      </c>
      <c r="G3315" s="919" t="s">
        <v>9850</v>
      </c>
      <c r="H3315" s="919" t="s">
        <v>4657</v>
      </c>
      <c r="I3315" s="919" t="s">
        <v>3686</v>
      </c>
      <c r="J3315" s="919"/>
      <c r="K3315" s="920"/>
      <c r="L3315" s="920"/>
      <c r="M3315" s="920">
        <f t="shared" si="102"/>
        <v>0</v>
      </c>
      <c r="N3315" s="919">
        <v>1</v>
      </c>
      <c r="O3315" s="919">
        <v>4</v>
      </c>
      <c r="P3315" s="921">
        <f t="shared" si="103"/>
        <v>4600</v>
      </c>
    </row>
    <row r="3316" spans="1:16" ht="20.100000000000001" customHeight="1" x14ac:dyDescent="0.25">
      <c r="A3316" s="918" t="s">
        <v>475</v>
      </c>
      <c r="B3316" s="944" t="s">
        <v>3901</v>
      </c>
      <c r="C3316" s="919" t="s">
        <v>3902</v>
      </c>
      <c r="D3316" s="919" t="s">
        <v>4502</v>
      </c>
      <c r="E3316" s="920">
        <v>1150</v>
      </c>
      <c r="F3316" s="919" t="s">
        <v>4041</v>
      </c>
      <c r="G3316" s="919" t="s">
        <v>4042</v>
      </c>
      <c r="H3316" s="919" t="s">
        <v>4502</v>
      </c>
      <c r="I3316" s="919" t="s">
        <v>3686</v>
      </c>
      <c r="J3316" s="919"/>
      <c r="K3316" s="920">
        <v>1</v>
      </c>
      <c r="L3316" s="920">
        <v>12</v>
      </c>
      <c r="M3316" s="920">
        <f t="shared" si="102"/>
        <v>13800</v>
      </c>
      <c r="N3316" s="919"/>
      <c r="O3316" s="919"/>
      <c r="P3316" s="921">
        <f t="shared" si="103"/>
        <v>0</v>
      </c>
    </row>
    <row r="3317" spans="1:16" ht="20.100000000000001" customHeight="1" x14ac:dyDescent="0.25">
      <c r="A3317" s="918" t="s">
        <v>475</v>
      </c>
      <c r="B3317" s="944" t="s">
        <v>3901</v>
      </c>
      <c r="C3317" s="919" t="s">
        <v>3902</v>
      </c>
      <c r="D3317" s="919" t="s">
        <v>4502</v>
      </c>
      <c r="E3317" s="920">
        <v>1150</v>
      </c>
      <c r="F3317" s="919" t="s">
        <v>9851</v>
      </c>
      <c r="G3317" s="919" t="s">
        <v>9852</v>
      </c>
      <c r="H3317" s="919" t="s">
        <v>4502</v>
      </c>
      <c r="I3317" s="919" t="s">
        <v>3686</v>
      </c>
      <c r="J3317" s="919"/>
      <c r="K3317" s="920"/>
      <c r="L3317" s="920"/>
      <c r="M3317" s="920">
        <f t="shared" si="102"/>
        <v>0</v>
      </c>
      <c r="N3317" s="919">
        <v>1</v>
      </c>
      <c r="O3317" s="919">
        <v>4</v>
      </c>
      <c r="P3317" s="921">
        <f t="shared" si="103"/>
        <v>4600</v>
      </c>
    </row>
    <row r="3318" spans="1:16" ht="20.100000000000001" customHeight="1" x14ac:dyDescent="0.25">
      <c r="A3318" s="918" t="s">
        <v>475</v>
      </c>
      <c r="B3318" s="944" t="s">
        <v>3901</v>
      </c>
      <c r="C3318" s="919" t="s">
        <v>3902</v>
      </c>
      <c r="D3318" s="919" t="s">
        <v>4502</v>
      </c>
      <c r="E3318" s="920">
        <v>1150</v>
      </c>
      <c r="F3318" s="919" t="s">
        <v>9853</v>
      </c>
      <c r="G3318" s="919" t="s">
        <v>9854</v>
      </c>
      <c r="H3318" s="919" t="s">
        <v>4502</v>
      </c>
      <c r="I3318" s="919" t="s">
        <v>3686</v>
      </c>
      <c r="J3318" s="919"/>
      <c r="K3318" s="920"/>
      <c r="L3318" s="920"/>
      <c r="M3318" s="920">
        <f t="shared" si="102"/>
        <v>0</v>
      </c>
      <c r="N3318" s="919">
        <v>1</v>
      </c>
      <c r="O3318" s="919">
        <v>4</v>
      </c>
      <c r="P3318" s="921">
        <f t="shared" si="103"/>
        <v>4600</v>
      </c>
    </row>
    <row r="3319" spans="1:16" ht="20.100000000000001" customHeight="1" x14ac:dyDescent="0.25">
      <c r="A3319" s="918" t="s">
        <v>475</v>
      </c>
      <c r="B3319" s="944" t="s">
        <v>3901</v>
      </c>
      <c r="C3319" s="919" t="s">
        <v>3902</v>
      </c>
      <c r="D3319" s="919" t="s">
        <v>4502</v>
      </c>
      <c r="E3319" s="920">
        <v>1150</v>
      </c>
      <c r="F3319" s="919" t="s">
        <v>9855</v>
      </c>
      <c r="G3319" s="919" t="s">
        <v>9856</v>
      </c>
      <c r="H3319" s="919" t="s">
        <v>4502</v>
      </c>
      <c r="I3319" s="919" t="s">
        <v>3686</v>
      </c>
      <c r="J3319" s="919"/>
      <c r="K3319" s="920"/>
      <c r="L3319" s="920"/>
      <c r="M3319" s="920">
        <f t="shared" si="102"/>
        <v>0</v>
      </c>
      <c r="N3319" s="919">
        <v>1</v>
      </c>
      <c r="O3319" s="919">
        <v>4</v>
      </c>
      <c r="P3319" s="921">
        <f t="shared" si="103"/>
        <v>4600</v>
      </c>
    </row>
    <row r="3320" spans="1:16" ht="20.100000000000001" customHeight="1" x14ac:dyDescent="0.25">
      <c r="A3320" s="918" t="s">
        <v>475</v>
      </c>
      <c r="B3320" s="944" t="s">
        <v>3901</v>
      </c>
      <c r="C3320" s="919" t="s">
        <v>3902</v>
      </c>
      <c r="D3320" s="919" t="s">
        <v>4502</v>
      </c>
      <c r="E3320" s="920">
        <v>1150</v>
      </c>
      <c r="F3320" s="919" t="s">
        <v>9857</v>
      </c>
      <c r="G3320" s="919" t="s">
        <v>9858</v>
      </c>
      <c r="H3320" s="919" t="s">
        <v>4502</v>
      </c>
      <c r="I3320" s="919" t="s">
        <v>3686</v>
      </c>
      <c r="J3320" s="919"/>
      <c r="K3320" s="920"/>
      <c r="L3320" s="920"/>
      <c r="M3320" s="920">
        <f t="shared" si="102"/>
        <v>0</v>
      </c>
      <c r="N3320" s="919">
        <v>1</v>
      </c>
      <c r="O3320" s="919">
        <v>4</v>
      </c>
      <c r="P3320" s="921">
        <f t="shared" si="103"/>
        <v>4600</v>
      </c>
    </row>
    <row r="3321" spans="1:16" ht="20.100000000000001" customHeight="1" x14ac:dyDescent="0.25">
      <c r="A3321" s="918" t="s">
        <v>475</v>
      </c>
      <c r="B3321" s="944" t="s">
        <v>3901</v>
      </c>
      <c r="C3321" s="919" t="s">
        <v>3902</v>
      </c>
      <c r="D3321" s="919" t="s">
        <v>4502</v>
      </c>
      <c r="E3321" s="920">
        <v>1150</v>
      </c>
      <c r="F3321" s="919" t="s">
        <v>9859</v>
      </c>
      <c r="G3321" s="919" t="s">
        <v>9860</v>
      </c>
      <c r="H3321" s="919" t="s">
        <v>4502</v>
      </c>
      <c r="I3321" s="919" t="s">
        <v>3686</v>
      </c>
      <c r="J3321" s="919"/>
      <c r="K3321" s="920"/>
      <c r="L3321" s="920"/>
      <c r="M3321" s="920">
        <f t="shared" si="102"/>
        <v>0</v>
      </c>
      <c r="N3321" s="919">
        <v>1</v>
      </c>
      <c r="O3321" s="919">
        <v>4</v>
      </c>
      <c r="P3321" s="921">
        <f t="shared" si="103"/>
        <v>4600</v>
      </c>
    </row>
    <row r="3322" spans="1:16" ht="20.100000000000001" customHeight="1" x14ac:dyDescent="0.25">
      <c r="A3322" s="918" t="s">
        <v>475</v>
      </c>
      <c r="B3322" s="944" t="s">
        <v>3901</v>
      </c>
      <c r="C3322" s="919" t="s">
        <v>3902</v>
      </c>
      <c r="D3322" s="919" t="s">
        <v>4502</v>
      </c>
      <c r="E3322" s="920">
        <v>1150</v>
      </c>
      <c r="F3322" s="919" t="s">
        <v>9861</v>
      </c>
      <c r="G3322" s="919" t="s">
        <v>9862</v>
      </c>
      <c r="H3322" s="919" t="s">
        <v>4502</v>
      </c>
      <c r="I3322" s="919" t="s">
        <v>3686</v>
      </c>
      <c r="J3322" s="919"/>
      <c r="K3322" s="920"/>
      <c r="L3322" s="920"/>
      <c r="M3322" s="920">
        <f t="shared" si="102"/>
        <v>0</v>
      </c>
      <c r="N3322" s="919">
        <v>1</v>
      </c>
      <c r="O3322" s="919">
        <v>4</v>
      </c>
      <c r="P3322" s="921">
        <f t="shared" si="103"/>
        <v>4600</v>
      </c>
    </row>
    <row r="3323" spans="1:16" ht="20.100000000000001" customHeight="1" x14ac:dyDescent="0.25">
      <c r="A3323" s="918" t="s">
        <v>475</v>
      </c>
      <c r="B3323" s="944" t="s">
        <v>3901</v>
      </c>
      <c r="C3323" s="919" t="s">
        <v>3902</v>
      </c>
      <c r="D3323" s="919" t="s">
        <v>4502</v>
      </c>
      <c r="E3323" s="920">
        <v>1150</v>
      </c>
      <c r="F3323" s="919" t="s">
        <v>9863</v>
      </c>
      <c r="G3323" s="919" t="s">
        <v>9864</v>
      </c>
      <c r="H3323" s="919" t="s">
        <v>4502</v>
      </c>
      <c r="I3323" s="919" t="s">
        <v>3686</v>
      </c>
      <c r="J3323" s="919"/>
      <c r="K3323" s="920"/>
      <c r="L3323" s="920"/>
      <c r="M3323" s="920">
        <f t="shared" si="102"/>
        <v>0</v>
      </c>
      <c r="N3323" s="919">
        <v>1</v>
      </c>
      <c r="O3323" s="919">
        <v>4</v>
      </c>
      <c r="P3323" s="921">
        <f t="shared" si="103"/>
        <v>4600</v>
      </c>
    </row>
    <row r="3324" spans="1:16" ht="20.100000000000001" customHeight="1" x14ac:dyDescent="0.25">
      <c r="A3324" s="918" t="s">
        <v>475</v>
      </c>
      <c r="B3324" s="944" t="s">
        <v>3901</v>
      </c>
      <c r="C3324" s="919" t="s">
        <v>3902</v>
      </c>
      <c r="D3324" s="919" t="s">
        <v>4502</v>
      </c>
      <c r="E3324" s="920">
        <v>1150</v>
      </c>
      <c r="F3324" s="919" t="s">
        <v>9865</v>
      </c>
      <c r="G3324" s="919" t="s">
        <v>9866</v>
      </c>
      <c r="H3324" s="919" t="s">
        <v>4502</v>
      </c>
      <c r="I3324" s="919" t="s">
        <v>3686</v>
      </c>
      <c r="J3324" s="919"/>
      <c r="K3324" s="920"/>
      <c r="L3324" s="920"/>
      <c r="M3324" s="920">
        <f t="shared" si="102"/>
        <v>0</v>
      </c>
      <c r="N3324" s="919">
        <v>1</v>
      </c>
      <c r="O3324" s="919">
        <v>4</v>
      </c>
      <c r="P3324" s="921">
        <f t="shared" si="103"/>
        <v>4600</v>
      </c>
    </row>
    <row r="3325" spans="1:16" ht="20.100000000000001" customHeight="1" x14ac:dyDescent="0.25">
      <c r="A3325" s="918" t="s">
        <v>475</v>
      </c>
      <c r="B3325" s="944" t="s">
        <v>3901</v>
      </c>
      <c r="C3325" s="919" t="s">
        <v>3902</v>
      </c>
      <c r="D3325" s="919" t="s">
        <v>4502</v>
      </c>
      <c r="E3325" s="920">
        <v>1150</v>
      </c>
      <c r="F3325" s="919" t="s">
        <v>9867</v>
      </c>
      <c r="G3325" s="919" t="s">
        <v>9868</v>
      </c>
      <c r="H3325" s="919" t="s">
        <v>4502</v>
      </c>
      <c r="I3325" s="919" t="s">
        <v>3686</v>
      </c>
      <c r="J3325" s="919"/>
      <c r="K3325" s="920"/>
      <c r="L3325" s="920"/>
      <c r="M3325" s="920">
        <f t="shared" si="102"/>
        <v>0</v>
      </c>
      <c r="N3325" s="919">
        <v>1</v>
      </c>
      <c r="O3325" s="919">
        <v>4</v>
      </c>
      <c r="P3325" s="921">
        <f t="shared" si="103"/>
        <v>4600</v>
      </c>
    </row>
    <row r="3326" spans="1:16" ht="20.100000000000001" customHeight="1" x14ac:dyDescent="0.25">
      <c r="A3326" s="918" t="s">
        <v>475</v>
      </c>
      <c r="B3326" s="944" t="s">
        <v>3901</v>
      </c>
      <c r="C3326" s="919" t="s">
        <v>3902</v>
      </c>
      <c r="D3326" s="919" t="s">
        <v>4502</v>
      </c>
      <c r="E3326" s="920">
        <v>1150</v>
      </c>
      <c r="F3326" s="919" t="s">
        <v>9869</v>
      </c>
      <c r="G3326" s="919" t="s">
        <v>9870</v>
      </c>
      <c r="H3326" s="919" t="s">
        <v>4502</v>
      </c>
      <c r="I3326" s="919" t="s">
        <v>3686</v>
      </c>
      <c r="J3326" s="919"/>
      <c r="K3326" s="920"/>
      <c r="L3326" s="920"/>
      <c r="M3326" s="920">
        <f t="shared" si="102"/>
        <v>0</v>
      </c>
      <c r="N3326" s="919">
        <v>1</v>
      </c>
      <c r="O3326" s="919">
        <v>4</v>
      </c>
      <c r="P3326" s="921">
        <f t="shared" si="103"/>
        <v>4600</v>
      </c>
    </row>
    <row r="3327" spans="1:16" ht="20.100000000000001" customHeight="1" x14ac:dyDescent="0.25">
      <c r="A3327" s="918" t="s">
        <v>475</v>
      </c>
      <c r="B3327" s="944" t="s">
        <v>3901</v>
      </c>
      <c r="C3327" s="919" t="s">
        <v>3902</v>
      </c>
      <c r="D3327" s="919" t="s">
        <v>4502</v>
      </c>
      <c r="E3327" s="920">
        <v>1150</v>
      </c>
      <c r="F3327" s="919" t="s">
        <v>9871</v>
      </c>
      <c r="G3327" s="919" t="s">
        <v>9872</v>
      </c>
      <c r="H3327" s="919" t="s">
        <v>4502</v>
      </c>
      <c r="I3327" s="919" t="s">
        <v>3686</v>
      </c>
      <c r="J3327" s="919"/>
      <c r="K3327" s="920"/>
      <c r="L3327" s="920"/>
      <c r="M3327" s="920">
        <f t="shared" si="102"/>
        <v>0</v>
      </c>
      <c r="N3327" s="919">
        <v>1</v>
      </c>
      <c r="O3327" s="919">
        <v>4</v>
      </c>
      <c r="P3327" s="921">
        <f t="shared" si="103"/>
        <v>4600</v>
      </c>
    </row>
    <row r="3328" spans="1:16" ht="20.100000000000001" customHeight="1" x14ac:dyDescent="0.25">
      <c r="A3328" s="918" t="s">
        <v>475</v>
      </c>
      <c r="B3328" s="944" t="s">
        <v>3901</v>
      </c>
      <c r="C3328" s="919" t="s">
        <v>3902</v>
      </c>
      <c r="D3328" s="919" t="s">
        <v>4502</v>
      </c>
      <c r="E3328" s="920">
        <v>1150</v>
      </c>
      <c r="F3328" s="919" t="s">
        <v>9873</v>
      </c>
      <c r="G3328" s="919" t="s">
        <v>9874</v>
      </c>
      <c r="H3328" s="919" t="s">
        <v>4502</v>
      </c>
      <c r="I3328" s="919" t="s">
        <v>3686</v>
      </c>
      <c r="J3328" s="919"/>
      <c r="K3328" s="920"/>
      <c r="L3328" s="920"/>
      <c r="M3328" s="920">
        <f t="shared" si="102"/>
        <v>0</v>
      </c>
      <c r="N3328" s="919">
        <v>1</v>
      </c>
      <c r="O3328" s="919">
        <v>4</v>
      </c>
      <c r="P3328" s="921">
        <f t="shared" si="103"/>
        <v>4600</v>
      </c>
    </row>
    <row r="3329" spans="1:16" ht="20.100000000000001" customHeight="1" x14ac:dyDescent="0.25">
      <c r="A3329" s="918" t="s">
        <v>475</v>
      </c>
      <c r="B3329" s="944" t="s">
        <v>3901</v>
      </c>
      <c r="C3329" s="919" t="s">
        <v>3902</v>
      </c>
      <c r="D3329" s="919" t="s">
        <v>4502</v>
      </c>
      <c r="E3329" s="920">
        <v>1150</v>
      </c>
      <c r="F3329" s="919" t="s">
        <v>9875</v>
      </c>
      <c r="G3329" s="919" t="s">
        <v>9876</v>
      </c>
      <c r="H3329" s="919" t="s">
        <v>4502</v>
      </c>
      <c r="I3329" s="919" t="s">
        <v>3686</v>
      </c>
      <c r="J3329" s="919"/>
      <c r="K3329" s="920"/>
      <c r="L3329" s="920"/>
      <c r="M3329" s="920">
        <f t="shared" si="102"/>
        <v>0</v>
      </c>
      <c r="N3329" s="919">
        <v>1</v>
      </c>
      <c r="O3329" s="919">
        <v>4</v>
      </c>
      <c r="P3329" s="921">
        <f t="shared" si="103"/>
        <v>4600</v>
      </c>
    </row>
    <row r="3330" spans="1:16" ht="20.100000000000001" customHeight="1" x14ac:dyDescent="0.25">
      <c r="A3330" s="918" t="s">
        <v>475</v>
      </c>
      <c r="B3330" s="944" t="s">
        <v>3901</v>
      </c>
      <c r="C3330" s="919" t="s">
        <v>3902</v>
      </c>
      <c r="D3330" s="919" t="s">
        <v>4502</v>
      </c>
      <c r="E3330" s="920">
        <v>1150</v>
      </c>
      <c r="F3330" s="919" t="s">
        <v>9877</v>
      </c>
      <c r="G3330" s="919" t="s">
        <v>9878</v>
      </c>
      <c r="H3330" s="919" t="s">
        <v>4502</v>
      </c>
      <c r="I3330" s="919" t="s">
        <v>3686</v>
      </c>
      <c r="J3330" s="919"/>
      <c r="K3330" s="920"/>
      <c r="L3330" s="920"/>
      <c r="M3330" s="920">
        <f t="shared" si="102"/>
        <v>0</v>
      </c>
      <c r="N3330" s="919">
        <v>1</v>
      </c>
      <c r="O3330" s="919">
        <v>4</v>
      </c>
      <c r="P3330" s="921">
        <f t="shared" si="103"/>
        <v>4600</v>
      </c>
    </row>
    <row r="3331" spans="1:16" ht="20.100000000000001" customHeight="1" x14ac:dyDescent="0.25">
      <c r="A3331" s="918" t="s">
        <v>475</v>
      </c>
      <c r="B3331" s="944" t="s">
        <v>3901</v>
      </c>
      <c r="C3331" s="919" t="s">
        <v>3902</v>
      </c>
      <c r="D3331" s="919" t="s">
        <v>4502</v>
      </c>
      <c r="E3331" s="920">
        <v>1150</v>
      </c>
      <c r="F3331" s="919" t="s">
        <v>9879</v>
      </c>
      <c r="G3331" s="919" t="s">
        <v>9880</v>
      </c>
      <c r="H3331" s="919" t="s">
        <v>4502</v>
      </c>
      <c r="I3331" s="919" t="s">
        <v>3686</v>
      </c>
      <c r="J3331" s="919"/>
      <c r="K3331" s="920"/>
      <c r="L3331" s="920"/>
      <c r="M3331" s="920">
        <f t="shared" si="102"/>
        <v>0</v>
      </c>
      <c r="N3331" s="919">
        <v>1</v>
      </c>
      <c r="O3331" s="919">
        <v>3</v>
      </c>
      <c r="P3331" s="921">
        <f t="shared" si="103"/>
        <v>3450</v>
      </c>
    </row>
    <row r="3332" spans="1:16" ht="20.100000000000001" customHeight="1" x14ac:dyDescent="0.25">
      <c r="A3332" s="918" t="s">
        <v>475</v>
      </c>
      <c r="B3332" s="944" t="s">
        <v>3901</v>
      </c>
      <c r="C3332" s="919" t="s">
        <v>3902</v>
      </c>
      <c r="D3332" s="919" t="s">
        <v>4502</v>
      </c>
      <c r="E3332" s="920">
        <v>1150</v>
      </c>
      <c r="F3332" s="919" t="s">
        <v>9881</v>
      </c>
      <c r="G3332" s="919" t="s">
        <v>9882</v>
      </c>
      <c r="H3332" s="919" t="s">
        <v>4502</v>
      </c>
      <c r="I3332" s="919" t="s">
        <v>3686</v>
      </c>
      <c r="J3332" s="919"/>
      <c r="K3332" s="920"/>
      <c r="L3332" s="920"/>
      <c r="M3332" s="920">
        <f t="shared" si="102"/>
        <v>0</v>
      </c>
      <c r="N3332" s="919">
        <v>1</v>
      </c>
      <c r="O3332" s="919">
        <v>4</v>
      </c>
      <c r="P3332" s="921">
        <f t="shared" si="103"/>
        <v>4600</v>
      </c>
    </row>
    <row r="3333" spans="1:16" ht="20.100000000000001" customHeight="1" x14ac:dyDescent="0.25">
      <c r="A3333" s="918" t="s">
        <v>475</v>
      </c>
      <c r="B3333" s="944" t="s">
        <v>3901</v>
      </c>
      <c r="C3333" s="919" t="s">
        <v>3902</v>
      </c>
      <c r="D3333" s="919" t="s">
        <v>4502</v>
      </c>
      <c r="E3333" s="920">
        <v>1150</v>
      </c>
      <c r="F3333" s="919" t="s">
        <v>9883</v>
      </c>
      <c r="G3333" s="919" t="s">
        <v>9884</v>
      </c>
      <c r="H3333" s="919" t="s">
        <v>4502</v>
      </c>
      <c r="I3333" s="919" t="s">
        <v>3686</v>
      </c>
      <c r="J3333" s="919"/>
      <c r="K3333" s="920"/>
      <c r="L3333" s="920"/>
      <c r="M3333" s="920">
        <f t="shared" si="102"/>
        <v>0</v>
      </c>
      <c r="N3333" s="919">
        <v>1</v>
      </c>
      <c r="O3333" s="919">
        <v>4</v>
      </c>
      <c r="P3333" s="921">
        <f t="shared" si="103"/>
        <v>4600</v>
      </c>
    </row>
    <row r="3334" spans="1:16" ht="20.100000000000001" customHeight="1" x14ac:dyDescent="0.25">
      <c r="A3334" s="918" t="s">
        <v>475</v>
      </c>
      <c r="B3334" s="944" t="s">
        <v>3901</v>
      </c>
      <c r="C3334" s="919" t="s">
        <v>3902</v>
      </c>
      <c r="D3334" s="919" t="s">
        <v>4502</v>
      </c>
      <c r="E3334" s="920">
        <v>1150</v>
      </c>
      <c r="F3334" s="919" t="s">
        <v>9885</v>
      </c>
      <c r="G3334" s="919" t="s">
        <v>9886</v>
      </c>
      <c r="H3334" s="919" t="s">
        <v>4502</v>
      </c>
      <c r="I3334" s="919" t="s">
        <v>3686</v>
      </c>
      <c r="J3334" s="919"/>
      <c r="K3334" s="920"/>
      <c r="L3334" s="920"/>
      <c r="M3334" s="920">
        <f t="shared" ref="M3334:M3397" si="104">E3334*L3334</f>
        <v>0</v>
      </c>
      <c r="N3334" s="919">
        <v>1</v>
      </c>
      <c r="O3334" s="919">
        <v>4</v>
      </c>
      <c r="P3334" s="921">
        <f t="shared" ref="P3334:P3397" si="105">E3334*O3334</f>
        <v>4600</v>
      </c>
    </row>
    <row r="3335" spans="1:16" ht="20.100000000000001" customHeight="1" x14ac:dyDescent="0.25">
      <c r="A3335" s="918" t="s">
        <v>475</v>
      </c>
      <c r="B3335" s="944" t="s">
        <v>3901</v>
      </c>
      <c r="C3335" s="919" t="s">
        <v>3902</v>
      </c>
      <c r="D3335" s="919" t="s">
        <v>4502</v>
      </c>
      <c r="E3335" s="920">
        <v>1150</v>
      </c>
      <c r="F3335" s="919" t="s">
        <v>9887</v>
      </c>
      <c r="G3335" s="919" t="s">
        <v>9888</v>
      </c>
      <c r="H3335" s="919" t="s">
        <v>4502</v>
      </c>
      <c r="I3335" s="919" t="s">
        <v>3686</v>
      </c>
      <c r="J3335" s="919"/>
      <c r="K3335" s="920"/>
      <c r="L3335" s="920"/>
      <c r="M3335" s="920">
        <f t="shared" si="104"/>
        <v>0</v>
      </c>
      <c r="N3335" s="919">
        <v>1</v>
      </c>
      <c r="O3335" s="919">
        <v>4</v>
      </c>
      <c r="P3335" s="921">
        <f t="shared" si="105"/>
        <v>4600</v>
      </c>
    </row>
    <row r="3336" spans="1:16" ht="20.100000000000001" customHeight="1" x14ac:dyDescent="0.25">
      <c r="A3336" s="918" t="s">
        <v>475</v>
      </c>
      <c r="B3336" s="944" t="s">
        <v>3901</v>
      </c>
      <c r="C3336" s="919" t="s">
        <v>3902</v>
      </c>
      <c r="D3336" s="919" t="s">
        <v>4502</v>
      </c>
      <c r="E3336" s="920">
        <v>1150</v>
      </c>
      <c r="F3336" s="919" t="s">
        <v>9889</v>
      </c>
      <c r="G3336" s="919" t="s">
        <v>9890</v>
      </c>
      <c r="H3336" s="919" t="s">
        <v>4502</v>
      </c>
      <c r="I3336" s="919" t="s">
        <v>3686</v>
      </c>
      <c r="J3336" s="919"/>
      <c r="K3336" s="920"/>
      <c r="L3336" s="920"/>
      <c r="M3336" s="920">
        <f t="shared" si="104"/>
        <v>0</v>
      </c>
      <c r="N3336" s="919">
        <v>1</v>
      </c>
      <c r="O3336" s="919">
        <v>4</v>
      </c>
      <c r="P3336" s="921">
        <f t="shared" si="105"/>
        <v>4600</v>
      </c>
    </row>
    <row r="3337" spans="1:16" ht="20.100000000000001" customHeight="1" x14ac:dyDescent="0.25">
      <c r="A3337" s="918" t="s">
        <v>475</v>
      </c>
      <c r="B3337" s="944" t="s">
        <v>3901</v>
      </c>
      <c r="C3337" s="919" t="s">
        <v>3902</v>
      </c>
      <c r="D3337" s="919" t="s">
        <v>4777</v>
      </c>
      <c r="E3337" s="920">
        <v>2000</v>
      </c>
      <c r="F3337" s="919" t="s">
        <v>9891</v>
      </c>
      <c r="G3337" s="919" t="s">
        <v>9892</v>
      </c>
      <c r="H3337" s="919" t="s">
        <v>4777</v>
      </c>
      <c r="I3337" s="919" t="s">
        <v>3679</v>
      </c>
      <c r="J3337" s="919"/>
      <c r="K3337" s="920"/>
      <c r="L3337" s="920"/>
      <c r="M3337" s="920">
        <f t="shared" si="104"/>
        <v>0</v>
      </c>
      <c r="N3337" s="919">
        <v>1</v>
      </c>
      <c r="O3337" s="919">
        <v>4</v>
      </c>
      <c r="P3337" s="921">
        <f t="shared" si="105"/>
        <v>8000</v>
      </c>
    </row>
    <row r="3338" spans="1:16" ht="20.100000000000001" customHeight="1" x14ac:dyDescent="0.25">
      <c r="A3338" s="918" t="s">
        <v>475</v>
      </c>
      <c r="B3338" s="944" t="s">
        <v>3901</v>
      </c>
      <c r="C3338" s="919" t="s">
        <v>3902</v>
      </c>
      <c r="D3338" s="919" t="s">
        <v>4777</v>
      </c>
      <c r="E3338" s="920">
        <v>2000</v>
      </c>
      <c r="F3338" s="919" t="s">
        <v>9893</v>
      </c>
      <c r="G3338" s="919" t="s">
        <v>9894</v>
      </c>
      <c r="H3338" s="919" t="s">
        <v>4777</v>
      </c>
      <c r="I3338" s="919" t="s">
        <v>3679</v>
      </c>
      <c r="J3338" s="919"/>
      <c r="K3338" s="920"/>
      <c r="L3338" s="920"/>
      <c r="M3338" s="920">
        <f t="shared" si="104"/>
        <v>0</v>
      </c>
      <c r="N3338" s="919">
        <v>1</v>
      </c>
      <c r="O3338" s="919">
        <v>4</v>
      </c>
      <c r="P3338" s="921">
        <f t="shared" si="105"/>
        <v>8000</v>
      </c>
    </row>
    <row r="3339" spans="1:16" ht="20.100000000000001" customHeight="1" x14ac:dyDescent="0.25">
      <c r="A3339" s="918" t="s">
        <v>475</v>
      </c>
      <c r="B3339" s="944" t="s">
        <v>3901</v>
      </c>
      <c r="C3339" s="919" t="s">
        <v>3902</v>
      </c>
      <c r="D3339" s="919" t="s">
        <v>4777</v>
      </c>
      <c r="E3339" s="920">
        <v>2000</v>
      </c>
      <c r="F3339" s="919" t="s">
        <v>9895</v>
      </c>
      <c r="G3339" s="919" t="s">
        <v>9896</v>
      </c>
      <c r="H3339" s="919" t="s">
        <v>4777</v>
      </c>
      <c r="I3339" s="919" t="s">
        <v>3679</v>
      </c>
      <c r="J3339" s="919"/>
      <c r="K3339" s="920"/>
      <c r="L3339" s="920"/>
      <c r="M3339" s="920">
        <f t="shared" si="104"/>
        <v>0</v>
      </c>
      <c r="N3339" s="919">
        <v>1</v>
      </c>
      <c r="O3339" s="919">
        <v>4</v>
      </c>
      <c r="P3339" s="921">
        <f t="shared" si="105"/>
        <v>8000</v>
      </c>
    </row>
    <row r="3340" spans="1:16" ht="20.100000000000001" customHeight="1" x14ac:dyDescent="0.25">
      <c r="A3340" s="918" t="s">
        <v>475</v>
      </c>
      <c r="B3340" s="944" t="s">
        <v>3901</v>
      </c>
      <c r="C3340" s="919" t="s">
        <v>3902</v>
      </c>
      <c r="D3340" s="919" t="s">
        <v>4777</v>
      </c>
      <c r="E3340" s="920">
        <v>2000</v>
      </c>
      <c r="F3340" s="919" t="s">
        <v>9897</v>
      </c>
      <c r="G3340" s="919" t="s">
        <v>9898</v>
      </c>
      <c r="H3340" s="919" t="s">
        <v>4777</v>
      </c>
      <c r="I3340" s="919" t="s">
        <v>3679</v>
      </c>
      <c r="J3340" s="919"/>
      <c r="K3340" s="920"/>
      <c r="L3340" s="920"/>
      <c r="M3340" s="920">
        <f t="shared" si="104"/>
        <v>0</v>
      </c>
      <c r="N3340" s="919">
        <v>1</v>
      </c>
      <c r="O3340" s="919">
        <v>4</v>
      </c>
      <c r="P3340" s="921">
        <f t="shared" si="105"/>
        <v>8000</v>
      </c>
    </row>
    <row r="3341" spans="1:16" ht="20.100000000000001" customHeight="1" x14ac:dyDescent="0.25">
      <c r="A3341" s="918" t="s">
        <v>475</v>
      </c>
      <c r="B3341" s="944" t="s">
        <v>3901</v>
      </c>
      <c r="C3341" s="919" t="s">
        <v>3902</v>
      </c>
      <c r="D3341" s="919" t="s">
        <v>4774</v>
      </c>
      <c r="E3341" s="920">
        <v>2000</v>
      </c>
      <c r="F3341" s="919" t="s">
        <v>9899</v>
      </c>
      <c r="G3341" s="919" t="s">
        <v>9900</v>
      </c>
      <c r="H3341" s="919" t="s">
        <v>4774</v>
      </c>
      <c r="I3341" s="919" t="s">
        <v>3679</v>
      </c>
      <c r="J3341" s="919"/>
      <c r="K3341" s="920"/>
      <c r="L3341" s="920"/>
      <c r="M3341" s="920">
        <f t="shared" si="104"/>
        <v>0</v>
      </c>
      <c r="N3341" s="919">
        <v>1</v>
      </c>
      <c r="O3341" s="919">
        <v>4</v>
      </c>
      <c r="P3341" s="921">
        <f t="shared" si="105"/>
        <v>8000</v>
      </c>
    </row>
    <row r="3342" spans="1:16" ht="20.100000000000001" customHeight="1" x14ac:dyDescent="0.25">
      <c r="A3342" s="918" t="s">
        <v>475</v>
      </c>
      <c r="B3342" s="944" t="s">
        <v>3901</v>
      </c>
      <c r="C3342" s="919" t="s">
        <v>3902</v>
      </c>
      <c r="D3342" s="919" t="s">
        <v>4777</v>
      </c>
      <c r="E3342" s="920">
        <v>2000</v>
      </c>
      <c r="F3342" s="919" t="s">
        <v>9901</v>
      </c>
      <c r="G3342" s="919" t="s">
        <v>9902</v>
      </c>
      <c r="H3342" s="919" t="s">
        <v>4777</v>
      </c>
      <c r="I3342" s="919" t="s">
        <v>3679</v>
      </c>
      <c r="J3342" s="919"/>
      <c r="K3342" s="920"/>
      <c r="L3342" s="920"/>
      <c r="M3342" s="920">
        <f t="shared" si="104"/>
        <v>0</v>
      </c>
      <c r="N3342" s="919">
        <v>1</v>
      </c>
      <c r="O3342" s="919">
        <v>4</v>
      </c>
      <c r="P3342" s="921">
        <f t="shared" si="105"/>
        <v>8000</v>
      </c>
    </row>
    <row r="3343" spans="1:16" ht="20.100000000000001" customHeight="1" x14ac:dyDescent="0.25">
      <c r="A3343" s="918" t="s">
        <v>475</v>
      </c>
      <c r="B3343" s="944" t="s">
        <v>3901</v>
      </c>
      <c r="C3343" s="919" t="s">
        <v>3902</v>
      </c>
      <c r="D3343" s="919" t="s">
        <v>4777</v>
      </c>
      <c r="E3343" s="920">
        <v>2000</v>
      </c>
      <c r="F3343" s="919" t="s">
        <v>9903</v>
      </c>
      <c r="G3343" s="919" t="s">
        <v>9904</v>
      </c>
      <c r="H3343" s="919" t="s">
        <v>4777</v>
      </c>
      <c r="I3343" s="919" t="s">
        <v>3679</v>
      </c>
      <c r="J3343" s="919"/>
      <c r="K3343" s="920"/>
      <c r="L3343" s="920"/>
      <c r="M3343" s="920">
        <f t="shared" si="104"/>
        <v>0</v>
      </c>
      <c r="N3343" s="919">
        <v>1</v>
      </c>
      <c r="O3343" s="919">
        <v>4</v>
      </c>
      <c r="P3343" s="921">
        <f t="shared" si="105"/>
        <v>8000</v>
      </c>
    </row>
    <row r="3344" spans="1:16" ht="20.100000000000001" customHeight="1" x14ac:dyDescent="0.25">
      <c r="A3344" s="918" t="s">
        <v>475</v>
      </c>
      <c r="B3344" s="944" t="s">
        <v>3901</v>
      </c>
      <c r="C3344" s="919" t="s">
        <v>3902</v>
      </c>
      <c r="D3344" s="919" t="s">
        <v>4382</v>
      </c>
      <c r="E3344" s="920">
        <v>2500</v>
      </c>
      <c r="F3344" s="919" t="s">
        <v>9905</v>
      </c>
      <c r="G3344" s="919" t="s">
        <v>9906</v>
      </c>
      <c r="H3344" s="919" t="s">
        <v>4382</v>
      </c>
      <c r="I3344" s="919" t="s">
        <v>3679</v>
      </c>
      <c r="J3344" s="919"/>
      <c r="K3344" s="920"/>
      <c r="L3344" s="920"/>
      <c r="M3344" s="920">
        <f t="shared" si="104"/>
        <v>0</v>
      </c>
      <c r="N3344" s="919">
        <v>1</v>
      </c>
      <c r="O3344" s="919">
        <v>1</v>
      </c>
      <c r="P3344" s="921">
        <f t="shared" si="105"/>
        <v>2500</v>
      </c>
    </row>
    <row r="3345" spans="1:16" ht="20.100000000000001" customHeight="1" x14ac:dyDescent="0.25">
      <c r="A3345" s="918" t="s">
        <v>475</v>
      </c>
      <c r="B3345" s="944" t="s">
        <v>3901</v>
      </c>
      <c r="C3345" s="919" t="s">
        <v>3902</v>
      </c>
      <c r="D3345" s="919" t="s">
        <v>7795</v>
      </c>
      <c r="E3345" s="920">
        <v>2000</v>
      </c>
      <c r="F3345" s="919" t="s">
        <v>9907</v>
      </c>
      <c r="G3345" s="919" t="s">
        <v>9908</v>
      </c>
      <c r="H3345" s="919" t="s">
        <v>7795</v>
      </c>
      <c r="I3345" s="919" t="s">
        <v>3679</v>
      </c>
      <c r="J3345" s="919"/>
      <c r="K3345" s="920"/>
      <c r="L3345" s="920"/>
      <c r="M3345" s="920">
        <f t="shared" si="104"/>
        <v>0</v>
      </c>
      <c r="N3345" s="919">
        <v>1</v>
      </c>
      <c r="O3345" s="919">
        <v>1</v>
      </c>
      <c r="P3345" s="921">
        <f t="shared" si="105"/>
        <v>2000</v>
      </c>
    </row>
    <row r="3346" spans="1:16" ht="20.100000000000001" customHeight="1" x14ac:dyDescent="0.25">
      <c r="A3346" s="918" t="s">
        <v>475</v>
      </c>
      <c r="B3346" s="944" t="s">
        <v>3901</v>
      </c>
      <c r="C3346" s="919" t="s">
        <v>3902</v>
      </c>
      <c r="D3346" s="919" t="s">
        <v>4347</v>
      </c>
      <c r="E3346" s="920">
        <v>3000</v>
      </c>
      <c r="F3346" s="919" t="s">
        <v>9909</v>
      </c>
      <c r="G3346" s="919" t="s">
        <v>9910</v>
      </c>
      <c r="H3346" s="919" t="s">
        <v>4347</v>
      </c>
      <c r="I3346" s="919" t="s">
        <v>3679</v>
      </c>
      <c r="J3346" s="919"/>
      <c r="K3346" s="920"/>
      <c r="L3346" s="920"/>
      <c r="M3346" s="920">
        <f t="shared" si="104"/>
        <v>0</v>
      </c>
      <c r="N3346" s="919">
        <v>1</v>
      </c>
      <c r="O3346" s="919">
        <v>1</v>
      </c>
      <c r="P3346" s="921">
        <f t="shared" si="105"/>
        <v>3000</v>
      </c>
    </row>
    <row r="3347" spans="1:16" ht="20.100000000000001" customHeight="1" x14ac:dyDescent="0.25">
      <c r="A3347" s="918" t="s">
        <v>475</v>
      </c>
      <c r="B3347" s="944" t="s">
        <v>3901</v>
      </c>
      <c r="C3347" s="919" t="s">
        <v>3902</v>
      </c>
      <c r="D3347" s="919" t="s">
        <v>4820</v>
      </c>
      <c r="E3347" s="920">
        <v>2600</v>
      </c>
      <c r="F3347" s="919" t="s">
        <v>9911</v>
      </c>
      <c r="G3347" s="919" t="s">
        <v>9912</v>
      </c>
      <c r="H3347" s="919" t="s">
        <v>4820</v>
      </c>
      <c r="I3347" s="919" t="s">
        <v>3679</v>
      </c>
      <c r="J3347" s="919"/>
      <c r="K3347" s="920"/>
      <c r="L3347" s="920"/>
      <c r="M3347" s="920">
        <f t="shared" si="104"/>
        <v>0</v>
      </c>
      <c r="N3347" s="919">
        <v>1</v>
      </c>
      <c r="O3347" s="919">
        <v>1</v>
      </c>
      <c r="P3347" s="921">
        <f t="shared" si="105"/>
        <v>2600</v>
      </c>
    </row>
    <row r="3348" spans="1:16" ht="20.100000000000001" customHeight="1" x14ac:dyDescent="0.25">
      <c r="A3348" s="918" t="s">
        <v>475</v>
      </c>
      <c r="B3348" s="944" t="s">
        <v>3901</v>
      </c>
      <c r="C3348" s="919" t="s">
        <v>3902</v>
      </c>
      <c r="D3348" s="919" t="s">
        <v>4823</v>
      </c>
      <c r="E3348" s="920">
        <v>2600</v>
      </c>
      <c r="F3348" s="919" t="s">
        <v>9913</v>
      </c>
      <c r="G3348" s="919" t="s">
        <v>9914</v>
      </c>
      <c r="H3348" s="919" t="s">
        <v>4823</v>
      </c>
      <c r="I3348" s="919" t="s">
        <v>3679</v>
      </c>
      <c r="J3348" s="919"/>
      <c r="K3348" s="920"/>
      <c r="L3348" s="920"/>
      <c r="M3348" s="920">
        <f t="shared" si="104"/>
        <v>0</v>
      </c>
      <c r="N3348" s="919">
        <v>1</v>
      </c>
      <c r="O3348" s="919">
        <v>3</v>
      </c>
      <c r="P3348" s="921">
        <f t="shared" si="105"/>
        <v>7800</v>
      </c>
    </row>
    <row r="3349" spans="1:16" ht="20.100000000000001" customHeight="1" x14ac:dyDescent="0.25">
      <c r="A3349" s="918" t="s">
        <v>475</v>
      </c>
      <c r="B3349" s="944" t="s">
        <v>3901</v>
      </c>
      <c r="C3349" s="919" t="s">
        <v>3902</v>
      </c>
      <c r="D3349" s="919" t="s">
        <v>4823</v>
      </c>
      <c r="E3349" s="920">
        <v>2600</v>
      </c>
      <c r="F3349" s="919" t="s">
        <v>9915</v>
      </c>
      <c r="G3349" s="919" t="s">
        <v>9916</v>
      </c>
      <c r="H3349" s="919" t="s">
        <v>4823</v>
      </c>
      <c r="I3349" s="919" t="s">
        <v>3679</v>
      </c>
      <c r="J3349" s="919"/>
      <c r="K3349" s="920"/>
      <c r="L3349" s="920"/>
      <c r="M3349" s="920">
        <f t="shared" si="104"/>
        <v>0</v>
      </c>
      <c r="N3349" s="919">
        <v>1</v>
      </c>
      <c r="O3349" s="919">
        <v>1</v>
      </c>
      <c r="P3349" s="921">
        <f t="shared" si="105"/>
        <v>2600</v>
      </c>
    </row>
    <row r="3350" spans="1:16" ht="20.100000000000001" customHeight="1" x14ac:dyDescent="0.25">
      <c r="A3350" s="918" t="s">
        <v>475</v>
      </c>
      <c r="B3350" s="944" t="s">
        <v>3901</v>
      </c>
      <c r="C3350" s="919" t="s">
        <v>3902</v>
      </c>
      <c r="D3350" s="919" t="s">
        <v>4832</v>
      </c>
      <c r="E3350" s="920">
        <v>4000</v>
      </c>
      <c r="F3350" s="919" t="s">
        <v>9917</v>
      </c>
      <c r="G3350" s="919" t="s">
        <v>9918</v>
      </c>
      <c r="H3350" s="919" t="s">
        <v>4832</v>
      </c>
      <c r="I3350" s="919" t="s">
        <v>3679</v>
      </c>
      <c r="J3350" s="919"/>
      <c r="K3350" s="920"/>
      <c r="L3350" s="920"/>
      <c r="M3350" s="920">
        <f t="shared" si="104"/>
        <v>0</v>
      </c>
      <c r="N3350" s="919">
        <v>1</v>
      </c>
      <c r="O3350" s="919">
        <v>3</v>
      </c>
      <c r="P3350" s="921">
        <f t="shared" si="105"/>
        <v>12000</v>
      </c>
    </row>
    <row r="3351" spans="1:16" ht="20.100000000000001" customHeight="1" x14ac:dyDescent="0.25">
      <c r="A3351" s="918" t="s">
        <v>475</v>
      </c>
      <c r="B3351" s="944" t="s">
        <v>3901</v>
      </c>
      <c r="C3351" s="919" t="s">
        <v>3902</v>
      </c>
      <c r="D3351" s="919" t="s">
        <v>4835</v>
      </c>
      <c r="E3351" s="920">
        <v>4000</v>
      </c>
      <c r="F3351" s="919" t="s">
        <v>9919</v>
      </c>
      <c r="G3351" s="919" t="s">
        <v>9920</v>
      </c>
      <c r="H3351" s="919" t="s">
        <v>4835</v>
      </c>
      <c r="I3351" s="919" t="s">
        <v>3679</v>
      </c>
      <c r="J3351" s="919"/>
      <c r="K3351" s="920"/>
      <c r="L3351" s="920"/>
      <c r="M3351" s="920">
        <f t="shared" si="104"/>
        <v>0</v>
      </c>
      <c r="N3351" s="919">
        <v>1</v>
      </c>
      <c r="O3351" s="919">
        <v>4</v>
      </c>
      <c r="P3351" s="921">
        <f t="shared" si="105"/>
        <v>16000</v>
      </c>
    </row>
    <row r="3352" spans="1:16" ht="20.100000000000001" customHeight="1" x14ac:dyDescent="0.25">
      <c r="A3352" s="918" t="s">
        <v>475</v>
      </c>
      <c r="B3352" s="944" t="s">
        <v>3901</v>
      </c>
      <c r="C3352" s="919" t="s">
        <v>3902</v>
      </c>
      <c r="D3352" s="919" t="s">
        <v>4835</v>
      </c>
      <c r="E3352" s="920">
        <v>4000</v>
      </c>
      <c r="F3352" s="919" t="s">
        <v>9921</v>
      </c>
      <c r="G3352" s="919" t="s">
        <v>9922</v>
      </c>
      <c r="H3352" s="919" t="s">
        <v>4835</v>
      </c>
      <c r="I3352" s="919" t="s">
        <v>3679</v>
      </c>
      <c r="J3352" s="919"/>
      <c r="K3352" s="920"/>
      <c r="L3352" s="920"/>
      <c r="M3352" s="920">
        <f t="shared" si="104"/>
        <v>0</v>
      </c>
      <c r="N3352" s="919">
        <v>1</v>
      </c>
      <c r="O3352" s="919">
        <v>4</v>
      </c>
      <c r="P3352" s="921">
        <f t="shared" si="105"/>
        <v>16000</v>
      </c>
    </row>
    <row r="3353" spans="1:16" ht="20.100000000000001" customHeight="1" x14ac:dyDescent="0.25">
      <c r="A3353" s="918" t="s">
        <v>475</v>
      </c>
      <c r="B3353" s="944" t="s">
        <v>3901</v>
      </c>
      <c r="C3353" s="919" t="s">
        <v>3902</v>
      </c>
      <c r="D3353" s="919" t="s">
        <v>4835</v>
      </c>
      <c r="E3353" s="920">
        <v>4000</v>
      </c>
      <c r="F3353" s="919" t="s">
        <v>9923</v>
      </c>
      <c r="G3353" s="919" t="s">
        <v>9924</v>
      </c>
      <c r="H3353" s="919" t="s">
        <v>4835</v>
      </c>
      <c r="I3353" s="919" t="s">
        <v>3679</v>
      </c>
      <c r="J3353" s="919"/>
      <c r="K3353" s="920"/>
      <c r="L3353" s="920"/>
      <c r="M3353" s="920">
        <f t="shared" si="104"/>
        <v>0</v>
      </c>
      <c r="N3353" s="919">
        <v>1</v>
      </c>
      <c r="O3353" s="919">
        <v>4</v>
      </c>
      <c r="P3353" s="921">
        <f t="shared" si="105"/>
        <v>16000</v>
      </c>
    </row>
    <row r="3354" spans="1:16" ht="20.100000000000001" customHeight="1" x14ac:dyDescent="0.25">
      <c r="A3354" s="918" t="s">
        <v>475</v>
      </c>
      <c r="B3354" s="944" t="s">
        <v>3901</v>
      </c>
      <c r="C3354" s="919" t="s">
        <v>3902</v>
      </c>
      <c r="D3354" s="919" t="s">
        <v>4835</v>
      </c>
      <c r="E3354" s="920">
        <v>4000</v>
      </c>
      <c r="F3354" s="919" t="s">
        <v>9925</v>
      </c>
      <c r="G3354" s="919" t="s">
        <v>9926</v>
      </c>
      <c r="H3354" s="919" t="s">
        <v>4835</v>
      </c>
      <c r="I3354" s="919" t="s">
        <v>3679</v>
      </c>
      <c r="J3354" s="919"/>
      <c r="K3354" s="920"/>
      <c r="L3354" s="920"/>
      <c r="M3354" s="920">
        <f t="shared" si="104"/>
        <v>0</v>
      </c>
      <c r="N3354" s="919">
        <v>1</v>
      </c>
      <c r="O3354" s="919">
        <v>4</v>
      </c>
      <c r="P3354" s="921">
        <f t="shared" si="105"/>
        <v>16000</v>
      </c>
    </row>
    <row r="3355" spans="1:16" ht="20.100000000000001" customHeight="1" x14ac:dyDescent="0.25">
      <c r="A3355" s="918" t="s">
        <v>475</v>
      </c>
      <c r="B3355" s="944" t="s">
        <v>3901</v>
      </c>
      <c r="C3355" s="919" t="s">
        <v>3902</v>
      </c>
      <c r="D3355" s="919" t="s">
        <v>4840</v>
      </c>
      <c r="E3355" s="920">
        <v>3700</v>
      </c>
      <c r="F3355" s="919" t="s">
        <v>9927</v>
      </c>
      <c r="G3355" s="919" t="s">
        <v>9928</v>
      </c>
      <c r="H3355" s="919" t="s">
        <v>4840</v>
      </c>
      <c r="I3355" s="919" t="s">
        <v>3679</v>
      </c>
      <c r="J3355" s="919"/>
      <c r="K3355" s="920"/>
      <c r="L3355" s="920"/>
      <c r="M3355" s="920">
        <f t="shared" si="104"/>
        <v>0</v>
      </c>
      <c r="N3355" s="919">
        <v>1</v>
      </c>
      <c r="O3355" s="919">
        <v>4</v>
      </c>
      <c r="P3355" s="921">
        <f t="shared" si="105"/>
        <v>14800</v>
      </c>
    </row>
    <row r="3356" spans="1:16" ht="20.100000000000001" customHeight="1" x14ac:dyDescent="0.25">
      <c r="A3356" s="918" t="s">
        <v>475</v>
      </c>
      <c r="B3356" s="944" t="s">
        <v>3901</v>
      </c>
      <c r="C3356" s="919" t="s">
        <v>9929</v>
      </c>
      <c r="D3356" s="919" t="s">
        <v>9930</v>
      </c>
      <c r="E3356" s="920">
        <v>700</v>
      </c>
      <c r="F3356" s="919" t="s">
        <v>4041</v>
      </c>
      <c r="G3356" s="919" t="s">
        <v>4062</v>
      </c>
      <c r="H3356" s="919" t="s">
        <v>9930</v>
      </c>
      <c r="I3356" s="919" t="s">
        <v>3693</v>
      </c>
      <c r="J3356" s="919"/>
      <c r="K3356" s="920">
        <v>1</v>
      </c>
      <c r="L3356" s="920">
        <v>12</v>
      </c>
      <c r="M3356" s="920">
        <f t="shared" si="104"/>
        <v>8400</v>
      </c>
      <c r="N3356" s="919"/>
      <c r="O3356" s="919"/>
      <c r="P3356" s="921">
        <f t="shared" si="105"/>
        <v>0</v>
      </c>
    </row>
    <row r="3357" spans="1:16" ht="20.100000000000001" customHeight="1" x14ac:dyDescent="0.25">
      <c r="A3357" s="918" t="s">
        <v>475</v>
      </c>
      <c r="B3357" s="944" t="s">
        <v>3901</v>
      </c>
      <c r="C3357" s="919" t="s">
        <v>9929</v>
      </c>
      <c r="D3357" s="919" t="s">
        <v>9930</v>
      </c>
      <c r="E3357" s="920">
        <v>700</v>
      </c>
      <c r="F3357" s="919" t="s">
        <v>4041</v>
      </c>
      <c r="G3357" s="919" t="s">
        <v>4062</v>
      </c>
      <c r="H3357" s="919" t="s">
        <v>9930</v>
      </c>
      <c r="I3357" s="919" t="s">
        <v>3693</v>
      </c>
      <c r="J3357" s="919"/>
      <c r="K3357" s="920">
        <v>1</v>
      </c>
      <c r="L3357" s="920">
        <v>12</v>
      </c>
      <c r="M3357" s="920">
        <f t="shared" si="104"/>
        <v>8400</v>
      </c>
      <c r="N3357" s="919"/>
      <c r="O3357" s="919"/>
      <c r="P3357" s="921">
        <f t="shared" si="105"/>
        <v>0</v>
      </c>
    </row>
    <row r="3358" spans="1:16" ht="20.100000000000001" customHeight="1" x14ac:dyDescent="0.25">
      <c r="A3358" s="918" t="s">
        <v>475</v>
      </c>
      <c r="B3358" s="944" t="s">
        <v>3901</v>
      </c>
      <c r="C3358" s="919" t="s">
        <v>9929</v>
      </c>
      <c r="D3358" s="919" t="s">
        <v>9930</v>
      </c>
      <c r="E3358" s="920">
        <v>700</v>
      </c>
      <c r="F3358" s="919" t="s">
        <v>4041</v>
      </c>
      <c r="G3358" s="919" t="s">
        <v>4062</v>
      </c>
      <c r="H3358" s="919" t="s">
        <v>9930</v>
      </c>
      <c r="I3358" s="919" t="s">
        <v>3693</v>
      </c>
      <c r="J3358" s="919"/>
      <c r="K3358" s="920">
        <v>1</v>
      </c>
      <c r="L3358" s="920">
        <v>12</v>
      </c>
      <c r="M3358" s="920">
        <f t="shared" si="104"/>
        <v>8400</v>
      </c>
      <c r="N3358" s="919"/>
      <c r="O3358" s="919"/>
      <c r="P3358" s="921">
        <f t="shared" si="105"/>
        <v>0</v>
      </c>
    </row>
    <row r="3359" spans="1:16" ht="20.100000000000001" customHeight="1" x14ac:dyDescent="0.25">
      <c r="A3359" s="918" t="s">
        <v>475</v>
      </c>
      <c r="B3359" s="944" t="s">
        <v>3901</v>
      </c>
      <c r="C3359" s="919" t="s">
        <v>9929</v>
      </c>
      <c r="D3359" s="919" t="s">
        <v>9930</v>
      </c>
      <c r="E3359" s="920">
        <v>700</v>
      </c>
      <c r="F3359" s="919" t="s">
        <v>4041</v>
      </c>
      <c r="G3359" s="919" t="s">
        <v>4062</v>
      </c>
      <c r="H3359" s="919" t="s">
        <v>9930</v>
      </c>
      <c r="I3359" s="919" t="s">
        <v>3693</v>
      </c>
      <c r="J3359" s="919"/>
      <c r="K3359" s="920">
        <v>1</v>
      </c>
      <c r="L3359" s="920">
        <v>12</v>
      </c>
      <c r="M3359" s="920">
        <f t="shared" si="104"/>
        <v>8400</v>
      </c>
      <c r="N3359" s="919"/>
      <c r="O3359" s="919"/>
      <c r="P3359" s="921">
        <f t="shared" si="105"/>
        <v>0</v>
      </c>
    </row>
    <row r="3360" spans="1:16" ht="20.100000000000001" customHeight="1" x14ac:dyDescent="0.25">
      <c r="A3360" s="918" t="s">
        <v>475</v>
      </c>
      <c r="B3360" s="944" t="s">
        <v>3901</v>
      </c>
      <c r="C3360" s="919" t="s">
        <v>9929</v>
      </c>
      <c r="D3360" s="919" t="s">
        <v>9930</v>
      </c>
      <c r="E3360" s="920">
        <v>700</v>
      </c>
      <c r="F3360" s="919" t="s">
        <v>4041</v>
      </c>
      <c r="G3360" s="919" t="s">
        <v>4062</v>
      </c>
      <c r="H3360" s="919" t="s">
        <v>9930</v>
      </c>
      <c r="I3360" s="919" t="s">
        <v>3693</v>
      </c>
      <c r="J3360" s="919"/>
      <c r="K3360" s="920">
        <v>1</v>
      </c>
      <c r="L3360" s="920">
        <v>12</v>
      </c>
      <c r="M3360" s="920">
        <f t="shared" si="104"/>
        <v>8400</v>
      </c>
      <c r="N3360" s="919"/>
      <c r="O3360" s="919"/>
      <c r="P3360" s="921">
        <f t="shared" si="105"/>
        <v>0</v>
      </c>
    </row>
    <row r="3361" spans="1:16" ht="20.100000000000001" customHeight="1" x14ac:dyDescent="0.25">
      <c r="A3361" s="918" t="s">
        <v>475</v>
      </c>
      <c r="B3361" s="944" t="s">
        <v>3901</v>
      </c>
      <c r="C3361" s="919" t="s">
        <v>9929</v>
      </c>
      <c r="D3361" s="919" t="s">
        <v>9930</v>
      </c>
      <c r="E3361" s="920">
        <v>700</v>
      </c>
      <c r="F3361" s="919" t="s">
        <v>4041</v>
      </c>
      <c r="G3361" s="919" t="s">
        <v>4062</v>
      </c>
      <c r="H3361" s="919" t="s">
        <v>9930</v>
      </c>
      <c r="I3361" s="919" t="s">
        <v>3693</v>
      </c>
      <c r="J3361" s="919"/>
      <c r="K3361" s="920">
        <v>1</v>
      </c>
      <c r="L3361" s="920">
        <v>12</v>
      </c>
      <c r="M3361" s="920">
        <f t="shared" si="104"/>
        <v>8400</v>
      </c>
      <c r="N3361" s="919"/>
      <c r="O3361" s="919"/>
      <c r="P3361" s="921">
        <f t="shared" si="105"/>
        <v>0</v>
      </c>
    </row>
    <row r="3362" spans="1:16" ht="20.100000000000001" customHeight="1" x14ac:dyDescent="0.25">
      <c r="A3362" s="918" t="s">
        <v>475</v>
      </c>
      <c r="B3362" s="944" t="s">
        <v>3901</v>
      </c>
      <c r="C3362" s="919" t="s">
        <v>9929</v>
      </c>
      <c r="D3362" s="919" t="s">
        <v>9930</v>
      </c>
      <c r="E3362" s="920">
        <v>700</v>
      </c>
      <c r="F3362" s="919" t="s">
        <v>4041</v>
      </c>
      <c r="G3362" s="919" t="s">
        <v>4062</v>
      </c>
      <c r="H3362" s="919" t="s">
        <v>9930</v>
      </c>
      <c r="I3362" s="919" t="s">
        <v>3693</v>
      </c>
      <c r="J3362" s="919"/>
      <c r="K3362" s="920">
        <v>1</v>
      </c>
      <c r="L3362" s="920">
        <v>12</v>
      </c>
      <c r="M3362" s="920">
        <f t="shared" si="104"/>
        <v>8400</v>
      </c>
      <c r="N3362" s="919"/>
      <c r="O3362" s="919"/>
      <c r="P3362" s="921">
        <f t="shared" si="105"/>
        <v>0</v>
      </c>
    </row>
    <row r="3363" spans="1:16" ht="20.100000000000001" customHeight="1" x14ac:dyDescent="0.25">
      <c r="A3363" s="918" t="s">
        <v>475</v>
      </c>
      <c r="B3363" s="944" t="s">
        <v>3901</v>
      </c>
      <c r="C3363" s="919" t="s">
        <v>9929</v>
      </c>
      <c r="D3363" s="919" t="s">
        <v>9930</v>
      </c>
      <c r="E3363" s="920">
        <v>700</v>
      </c>
      <c r="F3363" s="919" t="s">
        <v>4041</v>
      </c>
      <c r="G3363" s="919" t="s">
        <v>4062</v>
      </c>
      <c r="H3363" s="919" t="s">
        <v>9930</v>
      </c>
      <c r="I3363" s="919" t="s">
        <v>3693</v>
      </c>
      <c r="J3363" s="919"/>
      <c r="K3363" s="920">
        <v>1</v>
      </c>
      <c r="L3363" s="920">
        <v>12</v>
      </c>
      <c r="M3363" s="920">
        <f t="shared" si="104"/>
        <v>8400</v>
      </c>
      <c r="N3363" s="919"/>
      <c r="O3363" s="919"/>
      <c r="P3363" s="921">
        <f t="shared" si="105"/>
        <v>0</v>
      </c>
    </row>
    <row r="3364" spans="1:16" ht="20.100000000000001" customHeight="1" x14ac:dyDescent="0.25">
      <c r="A3364" s="918" t="s">
        <v>475</v>
      </c>
      <c r="B3364" s="944" t="s">
        <v>3901</v>
      </c>
      <c r="C3364" s="919" t="s">
        <v>9929</v>
      </c>
      <c r="D3364" s="919" t="s">
        <v>9930</v>
      </c>
      <c r="E3364" s="920">
        <v>700</v>
      </c>
      <c r="F3364" s="919" t="s">
        <v>4041</v>
      </c>
      <c r="G3364" s="919" t="s">
        <v>4062</v>
      </c>
      <c r="H3364" s="919" t="s">
        <v>9930</v>
      </c>
      <c r="I3364" s="919" t="s">
        <v>3693</v>
      </c>
      <c r="J3364" s="919"/>
      <c r="K3364" s="920">
        <v>1</v>
      </c>
      <c r="L3364" s="920">
        <v>12</v>
      </c>
      <c r="M3364" s="920">
        <f t="shared" si="104"/>
        <v>8400</v>
      </c>
      <c r="N3364" s="919"/>
      <c r="O3364" s="919"/>
      <c r="P3364" s="921">
        <f t="shared" si="105"/>
        <v>0</v>
      </c>
    </row>
    <row r="3365" spans="1:16" ht="20.100000000000001" customHeight="1" x14ac:dyDescent="0.25">
      <c r="A3365" s="918" t="s">
        <v>475</v>
      </c>
      <c r="B3365" s="944" t="s">
        <v>3901</v>
      </c>
      <c r="C3365" s="919" t="s">
        <v>9929</v>
      </c>
      <c r="D3365" s="919" t="s">
        <v>9930</v>
      </c>
      <c r="E3365" s="920">
        <v>700</v>
      </c>
      <c r="F3365" s="919" t="s">
        <v>4041</v>
      </c>
      <c r="G3365" s="919" t="s">
        <v>4062</v>
      </c>
      <c r="H3365" s="919" t="s">
        <v>9930</v>
      </c>
      <c r="I3365" s="919" t="s">
        <v>3693</v>
      </c>
      <c r="J3365" s="919"/>
      <c r="K3365" s="920">
        <v>1</v>
      </c>
      <c r="L3365" s="920">
        <v>12</v>
      </c>
      <c r="M3365" s="920">
        <f t="shared" si="104"/>
        <v>8400</v>
      </c>
      <c r="N3365" s="919"/>
      <c r="O3365" s="919"/>
      <c r="P3365" s="921">
        <f t="shared" si="105"/>
        <v>0</v>
      </c>
    </row>
    <row r="3366" spans="1:16" ht="20.100000000000001" customHeight="1" x14ac:dyDescent="0.25">
      <c r="A3366" s="918" t="s">
        <v>475</v>
      </c>
      <c r="B3366" s="944" t="s">
        <v>3901</v>
      </c>
      <c r="C3366" s="919" t="s">
        <v>9929</v>
      </c>
      <c r="D3366" s="919" t="s">
        <v>9930</v>
      </c>
      <c r="E3366" s="920">
        <v>700</v>
      </c>
      <c r="F3366" s="919" t="s">
        <v>4041</v>
      </c>
      <c r="G3366" s="919" t="s">
        <v>4062</v>
      </c>
      <c r="H3366" s="919" t="s">
        <v>9930</v>
      </c>
      <c r="I3366" s="919" t="s">
        <v>3693</v>
      </c>
      <c r="J3366" s="919"/>
      <c r="K3366" s="920">
        <v>1</v>
      </c>
      <c r="L3366" s="920">
        <v>12</v>
      </c>
      <c r="M3366" s="920">
        <f t="shared" si="104"/>
        <v>8400</v>
      </c>
      <c r="N3366" s="919"/>
      <c r="O3366" s="919"/>
      <c r="P3366" s="921">
        <f t="shared" si="105"/>
        <v>0</v>
      </c>
    </row>
    <row r="3367" spans="1:16" ht="20.100000000000001" customHeight="1" x14ac:dyDescent="0.25">
      <c r="A3367" s="918" t="s">
        <v>475</v>
      </c>
      <c r="B3367" s="944" t="s">
        <v>3901</v>
      </c>
      <c r="C3367" s="919" t="s">
        <v>9929</v>
      </c>
      <c r="D3367" s="919" t="s">
        <v>9930</v>
      </c>
      <c r="E3367" s="920">
        <v>700</v>
      </c>
      <c r="F3367" s="919" t="s">
        <v>4041</v>
      </c>
      <c r="G3367" s="919" t="s">
        <v>4062</v>
      </c>
      <c r="H3367" s="919" t="s">
        <v>9930</v>
      </c>
      <c r="I3367" s="919" t="s">
        <v>3693</v>
      </c>
      <c r="J3367" s="919"/>
      <c r="K3367" s="920">
        <v>1</v>
      </c>
      <c r="L3367" s="920">
        <v>12</v>
      </c>
      <c r="M3367" s="920">
        <f t="shared" si="104"/>
        <v>8400</v>
      </c>
      <c r="N3367" s="919"/>
      <c r="O3367" s="919"/>
      <c r="P3367" s="921">
        <f t="shared" si="105"/>
        <v>0</v>
      </c>
    </row>
    <row r="3368" spans="1:16" ht="20.100000000000001" customHeight="1" x14ac:dyDescent="0.25">
      <c r="A3368" s="918" t="s">
        <v>475</v>
      </c>
      <c r="B3368" s="944" t="s">
        <v>3901</v>
      </c>
      <c r="C3368" s="919" t="s">
        <v>9929</v>
      </c>
      <c r="D3368" s="919" t="s">
        <v>9930</v>
      </c>
      <c r="E3368" s="920">
        <v>700</v>
      </c>
      <c r="F3368" s="919" t="s">
        <v>4041</v>
      </c>
      <c r="G3368" s="919" t="s">
        <v>4062</v>
      </c>
      <c r="H3368" s="919" t="s">
        <v>9930</v>
      </c>
      <c r="I3368" s="919" t="s">
        <v>3693</v>
      </c>
      <c r="J3368" s="919"/>
      <c r="K3368" s="920">
        <v>1</v>
      </c>
      <c r="L3368" s="920">
        <v>12</v>
      </c>
      <c r="M3368" s="920">
        <f t="shared" si="104"/>
        <v>8400</v>
      </c>
      <c r="N3368" s="919"/>
      <c r="O3368" s="919"/>
      <c r="P3368" s="921">
        <f t="shared" si="105"/>
        <v>0</v>
      </c>
    </row>
    <row r="3369" spans="1:16" ht="20.100000000000001" customHeight="1" x14ac:dyDescent="0.25">
      <c r="A3369" s="918" t="s">
        <v>475</v>
      </c>
      <c r="B3369" s="944" t="s">
        <v>3901</v>
      </c>
      <c r="C3369" s="919" t="s">
        <v>9929</v>
      </c>
      <c r="D3369" s="919" t="s">
        <v>9930</v>
      </c>
      <c r="E3369" s="920">
        <v>700</v>
      </c>
      <c r="F3369" s="919" t="s">
        <v>4041</v>
      </c>
      <c r="G3369" s="919" t="s">
        <v>4062</v>
      </c>
      <c r="H3369" s="919" t="s">
        <v>9930</v>
      </c>
      <c r="I3369" s="919" t="s">
        <v>3693</v>
      </c>
      <c r="J3369" s="919"/>
      <c r="K3369" s="920">
        <v>1</v>
      </c>
      <c r="L3369" s="920">
        <v>12</v>
      </c>
      <c r="M3369" s="920">
        <f t="shared" si="104"/>
        <v>8400</v>
      </c>
      <c r="N3369" s="919"/>
      <c r="O3369" s="919"/>
      <c r="P3369" s="921">
        <f t="shared" si="105"/>
        <v>0</v>
      </c>
    </row>
    <row r="3370" spans="1:16" ht="20.100000000000001" customHeight="1" x14ac:dyDescent="0.25">
      <c r="A3370" s="918" t="s">
        <v>475</v>
      </c>
      <c r="B3370" s="944" t="s">
        <v>3901</v>
      </c>
      <c r="C3370" s="919" t="s">
        <v>9929</v>
      </c>
      <c r="D3370" s="919" t="s">
        <v>9930</v>
      </c>
      <c r="E3370" s="920">
        <v>700</v>
      </c>
      <c r="F3370" s="919" t="s">
        <v>4041</v>
      </c>
      <c r="G3370" s="919" t="s">
        <v>4062</v>
      </c>
      <c r="H3370" s="919" t="s">
        <v>9930</v>
      </c>
      <c r="I3370" s="919" t="s">
        <v>3693</v>
      </c>
      <c r="J3370" s="919"/>
      <c r="K3370" s="920">
        <v>1</v>
      </c>
      <c r="L3370" s="920">
        <v>12</v>
      </c>
      <c r="M3370" s="920">
        <f t="shared" si="104"/>
        <v>8400</v>
      </c>
      <c r="N3370" s="919"/>
      <c r="O3370" s="919"/>
      <c r="P3370" s="921">
        <f t="shared" si="105"/>
        <v>0</v>
      </c>
    </row>
    <row r="3371" spans="1:16" ht="20.100000000000001" customHeight="1" x14ac:dyDescent="0.25">
      <c r="A3371" s="918" t="s">
        <v>475</v>
      </c>
      <c r="B3371" s="944" t="s">
        <v>3901</v>
      </c>
      <c r="C3371" s="919" t="s">
        <v>9929</v>
      </c>
      <c r="D3371" s="919" t="s">
        <v>9930</v>
      </c>
      <c r="E3371" s="920">
        <v>700</v>
      </c>
      <c r="F3371" s="919" t="s">
        <v>4041</v>
      </c>
      <c r="G3371" s="919" t="s">
        <v>4062</v>
      </c>
      <c r="H3371" s="919" t="s">
        <v>9930</v>
      </c>
      <c r="I3371" s="919" t="s">
        <v>3693</v>
      </c>
      <c r="J3371" s="919"/>
      <c r="K3371" s="920">
        <v>1</v>
      </c>
      <c r="L3371" s="920">
        <v>12</v>
      </c>
      <c r="M3371" s="920">
        <f t="shared" si="104"/>
        <v>8400</v>
      </c>
      <c r="N3371" s="919"/>
      <c r="O3371" s="919"/>
      <c r="P3371" s="921">
        <f t="shared" si="105"/>
        <v>0</v>
      </c>
    </row>
    <row r="3372" spans="1:16" ht="20.100000000000001" customHeight="1" x14ac:dyDescent="0.25">
      <c r="A3372" s="918" t="s">
        <v>475</v>
      </c>
      <c r="B3372" s="944" t="s">
        <v>3901</v>
      </c>
      <c r="C3372" s="919" t="s">
        <v>9929</v>
      </c>
      <c r="D3372" s="919" t="s">
        <v>9930</v>
      </c>
      <c r="E3372" s="920">
        <v>700</v>
      </c>
      <c r="F3372" s="919" t="s">
        <v>4041</v>
      </c>
      <c r="G3372" s="919" t="s">
        <v>4062</v>
      </c>
      <c r="H3372" s="919" t="s">
        <v>9930</v>
      </c>
      <c r="I3372" s="919" t="s">
        <v>3693</v>
      </c>
      <c r="J3372" s="919"/>
      <c r="K3372" s="920">
        <v>1</v>
      </c>
      <c r="L3372" s="920">
        <v>12</v>
      </c>
      <c r="M3372" s="920">
        <f t="shared" si="104"/>
        <v>8400</v>
      </c>
      <c r="N3372" s="919"/>
      <c r="O3372" s="919"/>
      <c r="P3372" s="921">
        <f t="shared" si="105"/>
        <v>0</v>
      </c>
    </row>
    <row r="3373" spans="1:16" ht="20.100000000000001" customHeight="1" x14ac:dyDescent="0.25">
      <c r="A3373" s="918" t="s">
        <v>475</v>
      </c>
      <c r="B3373" s="944" t="s">
        <v>3901</v>
      </c>
      <c r="C3373" s="919" t="s">
        <v>9929</v>
      </c>
      <c r="D3373" s="919" t="s">
        <v>9930</v>
      </c>
      <c r="E3373" s="920">
        <v>700</v>
      </c>
      <c r="F3373" s="919" t="s">
        <v>4041</v>
      </c>
      <c r="G3373" s="919" t="s">
        <v>4062</v>
      </c>
      <c r="H3373" s="919" t="s">
        <v>9930</v>
      </c>
      <c r="I3373" s="919" t="s">
        <v>3693</v>
      </c>
      <c r="J3373" s="919"/>
      <c r="K3373" s="920">
        <v>1</v>
      </c>
      <c r="L3373" s="920">
        <v>12</v>
      </c>
      <c r="M3373" s="920">
        <f t="shared" si="104"/>
        <v>8400</v>
      </c>
      <c r="N3373" s="919"/>
      <c r="O3373" s="919"/>
      <c r="P3373" s="921">
        <f t="shared" si="105"/>
        <v>0</v>
      </c>
    </row>
    <row r="3374" spans="1:16" ht="20.100000000000001" customHeight="1" x14ac:dyDescent="0.25">
      <c r="A3374" s="918" t="s">
        <v>475</v>
      </c>
      <c r="B3374" s="944" t="s">
        <v>3901</v>
      </c>
      <c r="C3374" s="919" t="s">
        <v>9929</v>
      </c>
      <c r="D3374" s="919" t="s">
        <v>9930</v>
      </c>
      <c r="E3374" s="920">
        <v>700</v>
      </c>
      <c r="F3374" s="919" t="s">
        <v>4041</v>
      </c>
      <c r="G3374" s="919" t="s">
        <v>4062</v>
      </c>
      <c r="H3374" s="919" t="s">
        <v>9930</v>
      </c>
      <c r="I3374" s="919" t="s">
        <v>3693</v>
      </c>
      <c r="J3374" s="919"/>
      <c r="K3374" s="920">
        <v>1</v>
      </c>
      <c r="L3374" s="920">
        <v>12</v>
      </c>
      <c r="M3374" s="920">
        <f t="shared" si="104"/>
        <v>8400</v>
      </c>
      <c r="N3374" s="919"/>
      <c r="O3374" s="919"/>
      <c r="P3374" s="921">
        <f t="shared" si="105"/>
        <v>0</v>
      </c>
    </row>
    <row r="3375" spans="1:16" ht="20.100000000000001" customHeight="1" x14ac:dyDescent="0.25">
      <c r="A3375" s="918" t="s">
        <v>475</v>
      </c>
      <c r="B3375" s="944" t="s">
        <v>3901</v>
      </c>
      <c r="C3375" s="919" t="s">
        <v>9929</v>
      </c>
      <c r="D3375" s="919" t="s">
        <v>9930</v>
      </c>
      <c r="E3375" s="920">
        <v>700</v>
      </c>
      <c r="F3375" s="919" t="s">
        <v>4041</v>
      </c>
      <c r="G3375" s="919" t="s">
        <v>4062</v>
      </c>
      <c r="H3375" s="919" t="s">
        <v>9930</v>
      </c>
      <c r="I3375" s="919" t="s">
        <v>3693</v>
      </c>
      <c r="J3375" s="919"/>
      <c r="K3375" s="920">
        <v>1</v>
      </c>
      <c r="L3375" s="920">
        <v>12</v>
      </c>
      <c r="M3375" s="920">
        <f t="shared" si="104"/>
        <v>8400</v>
      </c>
      <c r="N3375" s="919"/>
      <c r="O3375" s="919"/>
      <c r="P3375" s="921">
        <f t="shared" si="105"/>
        <v>0</v>
      </c>
    </row>
    <row r="3376" spans="1:16" ht="20.100000000000001" customHeight="1" x14ac:dyDescent="0.25">
      <c r="A3376" s="918" t="s">
        <v>475</v>
      </c>
      <c r="B3376" s="944" t="s">
        <v>3901</v>
      </c>
      <c r="C3376" s="919" t="s">
        <v>9929</v>
      </c>
      <c r="D3376" s="919" t="s">
        <v>9930</v>
      </c>
      <c r="E3376" s="920">
        <v>700</v>
      </c>
      <c r="F3376" s="919" t="s">
        <v>4041</v>
      </c>
      <c r="G3376" s="919" t="s">
        <v>4062</v>
      </c>
      <c r="H3376" s="919" t="s">
        <v>9930</v>
      </c>
      <c r="I3376" s="919" t="s">
        <v>3693</v>
      </c>
      <c r="J3376" s="919"/>
      <c r="K3376" s="920">
        <v>1</v>
      </c>
      <c r="L3376" s="920">
        <v>12</v>
      </c>
      <c r="M3376" s="920">
        <f t="shared" si="104"/>
        <v>8400</v>
      </c>
      <c r="N3376" s="919"/>
      <c r="O3376" s="919"/>
      <c r="P3376" s="921">
        <f t="shared" si="105"/>
        <v>0</v>
      </c>
    </row>
    <row r="3377" spans="1:16" ht="20.100000000000001" customHeight="1" x14ac:dyDescent="0.25">
      <c r="A3377" s="918" t="s">
        <v>475</v>
      </c>
      <c r="B3377" s="944" t="s">
        <v>3901</v>
      </c>
      <c r="C3377" s="919" t="s">
        <v>9929</v>
      </c>
      <c r="D3377" s="919" t="s">
        <v>9930</v>
      </c>
      <c r="E3377" s="920">
        <v>700</v>
      </c>
      <c r="F3377" s="919" t="s">
        <v>4041</v>
      </c>
      <c r="G3377" s="919" t="s">
        <v>4062</v>
      </c>
      <c r="H3377" s="919" t="s">
        <v>9930</v>
      </c>
      <c r="I3377" s="919" t="s">
        <v>3693</v>
      </c>
      <c r="J3377" s="919"/>
      <c r="K3377" s="920">
        <v>1</v>
      </c>
      <c r="L3377" s="920">
        <v>12</v>
      </c>
      <c r="M3377" s="920">
        <f t="shared" si="104"/>
        <v>8400</v>
      </c>
      <c r="N3377" s="919"/>
      <c r="O3377" s="919"/>
      <c r="P3377" s="921">
        <f t="shared" si="105"/>
        <v>0</v>
      </c>
    </row>
    <row r="3378" spans="1:16" ht="20.100000000000001" customHeight="1" x14ac:dyDescent="0.25">
      <c r="A3378" s="918" t="s">
        <v>475</v>
      </c>
      <c r="B3378" s="944" t="s">
        <v>3901</v>
      </c>
      <c r="C3378" s="919" t="s">
        <v>9929</v>
      </c>
      <c r="D3378" s="919" t="s">
        <v>9930</v>
      </c>
      <c r="E3378" s="920">
        <v>700</v>
      </c>
      <c r="F3378" s="919" t="s">
        <v>4041</v>
      </c>
      <c r="G3378" s="919" t="s">
        <v>4062</v>
      </c>
      <c r="H3378" s="919" t="s">
        <v>9930</v>
      </c>
      <c r="I3378" s="919" t="s">
        <v>3693</v>
      </c>
      <c r="J3378" s="919"/>
      <c r="K3378" s="920">
        <v>1</v>
      </c>
      <c r="L3378" s="920">
        <v>12</v>
      </c>
      <c r="M3378" s="920">
        <f t="shared" si="104"/>
        <v>8400</v>
      </c>
      <c r="N3378" s="919"/>
      <c r="O3378" s="919"/>
      <c r="P3378" s="921">
        <f t="shared" si="105"/>
        <v>0</v>
      </c>
    </row>
    <row r="3379" spans="1:16" ht="20.100000000000001" customHeight="1" x14ac:dyDescent="0.25">
      <c r="A3379" s="918" t="s">
        <v>475</v>
      </c>
      <c r="B3379" s="944" t="s">
        <v>3901</v>
      </c>
      <c r="C3379" s="919" t="s">
        <v>9929</v>
      </c>
      <c r="D3379" s="919" t="s">
        <v>9930</v>
      </c>
      <c r="E3379" s="920">
        <v>700</v>
      </c>
      <c r="F3379" s="919" t="s">
        <v>4041</v>
      </c>
      <c r="G3379" s="919" t="s">
        <v>4062</v>
      </c>
      <c r="H3379" s="919" t="s">
        <v>9930</v>
      </c>
      <c r="I3379" s="919" t="s">
        <v>3693</v>
      </c>
      <c r="J3379" s="919"/>
      <c r="K3379" s="920">
        <v>1</v>
      </c>
      <c r="L3379" s="920">
        <v>12</v>
      </c>
      <c r="M3379" s="920">
        <f t="shared" si="104"/>
        <v>8400</v>
      </c>
      <c r="N3379" s="919"/>
      <c r="O3379" s="919"/>
      <c r="P3379" s="921">
        <f t="shared" si="105"/>
        <v>0</v>
      </c>
    </row>
    <row r="3380" spans="1:16" ht="20.100000000000001" customHeight="1" x14ac:dyDescent="0.25">
      <c r="A3380" s="918" t="s">
        <v>475</v>
      </c>
      <c r="B3380" s="944" t="s">
        <v>3901</v>
      </c>
      <c r="C3380" s="919" t="s">
        <v>9929</v>
      </c>
      <c r="D3380" s="919" t="s">
        <v>9930</v>
      </c>
      <c r="E3380" s="920">
        <v>700</v>
      </c>
      <c r="F3380" s="919" t="s">
        <v>4041</v>
      </c>
      <c r="G3380" s="919" t="s">
        <v>4062</v>
      </c>
      <c r="H3380" s="919" t="s">
        <v>9930</v>
      </c>
      <c r="I3380" s="919" t="s">
        <v>3693</v>
      </c>
      <c r="J3380" s="919"/>
      <c r="K3380" s="920">
        <v>1</v>
      </c>
      <c r="L3380" s="920">
        <v>12</v>
      </c>
      <c r="M3380" s="920">
        <f t="shared" si="104"/>
        <v>8400</v>
      </c>
      <c r="N3380" s="919"/>
      <c r="O3380" s="919"/>
      <c r="P3380" s="921">
        <f t="shared" si="105"/>
        <v>0</v>
      </c>
    </row>
    <row r="3381" spans="1:16" ht="20.100000000000001" customHeight="1" x14ac:dyDescent="0.25">
      <c r="A3381" s="918" t="s">
        <v>475</v>
      </c>
      <c r="B3381" s="944" t="s">
        <v>3901</v>
      </c>
      <c r="C3381" s="919" t="s">
        <v>9929</v>
      </c>
      <c r="D3381" s="919" t="s">
        <v>9930</v>
      </c>
      <c r="E3381" s="920">
        <v>700</v>
      </c>
      <c r="F3381" s="919" t="s">
        <v>4041</v>
      </c>
      <c r="G3381" s="919" t="s">
        <v>4062</v>
      </c>
      <c r="H3381" s="919" t="s">
        <v>9930</v>
      </c>
      <c r="I3381" s="919" t="s">
        <v>3693</v>
      </c>
      <c r="J3381" s="919"/>
      <c r="K3381" s="920">
        <v>1</v>
      </c>
      <c r="L3381" s="920">
        <v>12</v>
      </c>
      <c r="M3381" s="920">
        <f t="shared" si="104"/>
        <v>8400</v>
      </c>
      <c r="N3381" s="919"/>
      <c r="O3381" s="919"/>
      <c r="P3381" s="921">
        <f t="shared" si="105"/>
        <v>0</v>
      </c>
    </row>
    <row r="3382" spans="1:16" ht="20.100000000000001" customHeight="1" x14ac:dyDescent="0.25">
      <c r="A3382" s="918" t="s">
        <v>475</v>
      </c>
      <c r="B3382" s="944" t="s">
        <v>3901</v>
      </c>
      <c r="C3382" s="919" t="s">
        <v>9929</v>
      </c>
      <c r="D3382" s="919" t="s">
        <v>9930</v>
      </c>
      <c r="E3382" s="920">
        <v>700</v>
      </c>
      <c r="F3382" s="919" t="s">
        <v>4041</v>
      </c>
      <c r="G3382" s="919" t="s">
        <v>4062</v>
      </c>
      <c r="H3382" s="919" t="s">
        <v>9930</v>
      </c>
      <c r="I3382" s="919" t="s">
        <v>3693</v>
      </c>
      <c r="J3382" s="919"/>
      <c r="K3382" s="920">
        <v>1</v>
      </c>
      <c r="L3382" s="920">
        <v>12</v>
      </c>
      <c r="M3382" s="920">
        <f t="shared" si="104"/>
        <v>8400</v>
      </c>
      <c r="N3382" s="919"/>
      <c r="O3382" s="919"/>
      <c r="P3382" s="921">
        <f t="shared" si="105"/>
        <v>0</v>
      </c>
    </row>
    <row r="3383" spans="1:16" ht="20.100000000000001" customHeight="1" x14ac:dyDescent="0.25">
      <c r="A3383" s="918" t="s">
        <v>475</v>
      </c>
      <c r="B3383" s="944" t="s">
        <v>3901</v>
      </c>
      <c r="C3383" s="919" t="s">
        <v>9929</v>
      </c>
      <c r="D3383" s="919" t="s">
        <v>9930</v>
      </c>
      <c r="E3383" s="920">
        <v>700</v>
      </c>
      <c r="F3383" s="919" t="s">
        <v>4041</v>
      </c>
      <c r="G3383" s="919" t="s">
        <v>4062</v>
      </c>
      <c r="H3383" s="919" t="s">
        <v>9930</v>
      </c>
      <c r="I3383" s="919" t="s">
        <v>3693</v>
      </c>
      <c r="J3383" s="919"/>
      <c r="K3383" s="920">
        <v>1</v>
      </c>
      <c r="L3383" s="920">
        <v>12</v>
      </c>
      <c r="M3383" s="920">
        <f t="shared" si="104"/>
        <v>8400</v>
      </c>
      <c r="N3383" s="919"/>
      <c r="O3383" s="919"/>
      <c r="P3383" s="921">
        <f t="shared" si="105"/>
        <v>0</v>
      </c>
    </row>
    <row r="3384" spans="1:16" ht="20.100000000000001" customHeight="1" x14ac:dyDescent="0.25">
      <c r="A3384" s="918" t="s">
        <v>475</v>
      </c>
      <c r="B3384" s="944" t="s">
        <v>3901</v>
      </c>
      <c r="C3384" s="919" t="s">
        <v>9929</v>
      </c>
      <c r="D3384" s="919" t="s">
        <v>9930</v>
      </c>
      <c r="E3384" s="920">
        <v>700</v>
      </c>
      <c r="F3384" s="919" t="s">
        <v>4041</v>
      </c>
      <c r="G3384" s="919" t="s">
        <v>4062</v>
      </c>
      <c r="H3384" s="919" t="s">
        <v>9930</v>
      </c>
      <c r="I3384" s="919" t="s">
        <v>3693</v>
      </c>
      <c r="J3384" s="919"/>
      <c r="K3384" s="920">
        <v>1</v>
      </c>
      <c r="L3384" s="920">
        <v>12</v>
      </c>
      <c r="M3384" s="920">
        <f t="shared" si="104"/>
        <v>8400</v>
      </c>
      <c r="N3384" s="919"/>
      <c r="O3384" s="919"/>
      <c r="P3384" s="921">
        <f t="shared" si="105"/>
        <v>0</v>
      </c>
    </row>
    <row r="3385" spans="1:16" ht="20.100000000000001" customHeight="1" x14ac:dyDescent="0.25">
      <c r="A3385" s="918" t="s">
        <v>475</v>
      </c>
      <c r="B3385" s="944" t="s">
        <v>3901</v>
      </c>
      <c r="C3385" s="919" t="s">
        <v>9929</v>
      </c>
      <c r="D3385" s="919" t="s">
        <v>9930</v>
      </c>
      <c r="E3385" s="920">
        <v>700</v>
      </c>
      <c r="F3385" s="919" t="s">
        <v>4041</v>
      </c>
      <c r="G3385" s="919" t="s">
        <v>4062</v>
      </c>
      <c r="H3385" s="919" t="s">
        <v>9930</v>
      </c>
      <c r="I3385" s="919" t="s">
        <v>3693</v>
      </c>
      <c r="J3385" s="919"/>
      <c r="K3385" s="920">
        <v>1</v>
      </c>
      <c r="L3385" s="920">
        <v>12</v>
      </c>
      <c r="M3385" s="920">
        <f t="shared" si="104"/>
        <v>8400</v>
      </c>
      <c r="N3385" s="919"/>
      <c r="O3385" s="919"/>
      <c r="P3385" s="921">
        <f t="shared" si="105"/>
        <v>0</v>
      </c>
    </row>
    <row r="3386" spans="1:16" ht="20.100000000000001" customHeight="1" x14ac:dyDescent="0.25">
      <c r="A3386" s="918" t="s">
        <v>475</v>
      </c>
      <c r="B3386" s="944" t="s">
        <v>3901</v>
      </c>
      <c r="C3386" s="919" t="s">
        <v>9929</v>
      </c>
      <c r="D3386" s="919" t="s">
        <v>9930</v>
      </c>
      <c r="E3386" s="920">
        <v>700</v>
      </c>
      <c r="F3386" s="919" t="s">
        <v>4041</v>
      </c>
      <c r="G3386" s="919" t="s">
        <v>4062</v>
      </c>
      <c r="H3386" s="919" t="s">
        <v>9930</v>
      </c>
      <c r="I3386" s="919" t="s">
        <v>3693</v>
      </c>
      <c r="J3386" s="919"/>
      <c r="K3386" s="920">
        <v>1</v>
      </c>
      <c r="L3386" s="920">
        <v>12</v>
      </c>
      <c r="M3386" s="920">
        <f t="shared" si="104"/>
        <v>8400</v>
      </c>
      <c r="N3386" s="919"/>
      <c r="O3386" s="919"/>
      <c r="P3386" s="921">
        <f t="shared" si="105"/>
        <v>0</v>
      </c>
    </row>
    <row r="3387" spans="1:16" ht="20.100000000000001" customHeight="1" x14ac:dyDescent="0.25">
      <c r="A3387" s="918" t="s">
        <v>475</v>
      </c>
      <c r="B3387" s="944" t="s">
        <v>3901</v>
      </c>
      <c r="C3387" s="919" t="s">
        <v>9929</v>
      </c>
      <c r="D3387" s="919" t="s">
        <v>9930</v>
      </c>
      <c r="E3387" s="920">
        <v>700</v>
      </c>
      <c r="F3387" s="919" t="s">
        <v>4041</v>
      </c>
      <c r="G3387" s="919" t="s">
        <v>4062</v>
      </c>
      <c r="H3387" s="919" t="s">
        <v>9930</v>
      </c>
      <c r="I3387" s="919" t="s">
        <v>3693</v>
      </c>
      <c r="J3387" s="919"/>
      <c r="K3387" s="920">
        <v>1</v>
      </c>
      <c r="L3387" s="920">
        <v>12</v>
      </c>
      <c r="M3387" s="920">
        <f t="shared" si="104"/>
        <v>8400</v>
      </c>
      <c r="N3387" s="919"/>
      <c r="O3387" s="919"/>
      <c r="P3387" s="921">
        <f t="shared" si="105"/>
        <v>0</v>
      </c>
    </row>
    <row r="3388" spans="1:16" ht="20.100000000000001" customHeight="1" x14ac:dyDescent="0.25">
      <c r="A3388" s="918" t="s">
        <v>475</v>
      </c>
      <c r="B3388" s="944" t="s">
        <v>3901</v>
      </c>
      <c r="C3388" s="919" t="s">
        <v>9929</v>
      </c>
      <c r="D3388" s="919" t="s">
        <v>9930</v>
      </c>
      <c r="E3388" s="920">
        <v>700</v>
      </c>
      <c r="F3388" s="919" t="s">
        <v>4041</v>
      </c>
      <c r="G3388" s="919" t="s">
        <v>4062</v>
      </c>
      <c r="H3388" s="919" t="s">
        <v>9930</v>
      </c>
      <c r="I3388" s="919" t="s">
        <v>3693</v>
      </c>
      <c r="J3388" s="919"/>
      <c r="K3388" s="920">
        <v>1</v>
      </c>
      <c r="L3388" s="920">
        <v>12</v>
      </c>
      <c r="M3388" s="920">
        <f t="shared" si="104"/>
        <v>8400</v>
      </c>
      <c r="N3388" s="919"/>
      <c r="O3388" s="919"/>
      <c r="P3388" s="921">
        <f t="shared" si="105"/>
        <v>0</v>
      </c>
    </row>
    <row r="3389" spans="1:16" ht="20.100000000000001" customHeight="1" x14ac:dyDescent="0.25">
      <c r="A3389" s="918" t="s">
        <v>475</v>
      </c>
      <c r="B3389" s="944" t="s">
        <v>3901</v>
      </c>
      <c r="C3389" s="919" t="s">
        <v>9929</v>
      </c>
      <c r="D3389" s="919" t="s">
        <v>9930</v>
      </c>
      <c r="E3389" s="920">
        <v>700</v>
      </c>
      <c r="F3389" s="919" t="s">
        <v>4041</v>
      </c>
      <c r="G3389" s="919" t="s">
        <v>4062</v>
      </c>
      <c r="H3389" s="919" t="s">
        <v>9930</v>
      </c>
      <c r="I3389" s="919" t="s">
        <v>3693</v>
      </c>
      <c r="J3389" s="919"/>
      <c r="K3389" s="920">
        <v>1</v>
      </c>
      <c r="L3389" s="920">
        <v>12</v>
      </c>
      <c r="M3389" s="920">
        <f t="shared" si="104"/>
        <v>8400</v>
      </c>
      <c r="N3389" s="919"/>
      <c r="O3389" s="919"/>
      <c r="P3389" s="921">
        <f t="shared" si="105"/>
        <v>0</v>
      </c>
    </row>
    <row r="3390" spans="1:16" ht="20.100000000000001" customHeight="1" x14ac:dyDescent="0.25">
      <c r="A3390" s="918" t="s">
        <v>475</v>
      </c>
      <c r="B3390" s="944" t="s">
        <v>3901</v>
      </c>
      <c r="C3390" s="919" t="s">
        <v>9929</v>
      </c>
      <c r="D3390" s="919" t="s">
        <v>9930</v>
      </c>
      <c r="E3390" s="920">
        <v>700</v>
      </c>
      <c r="F3390" s="919" t="s">
        <v>4041</v>
      </c>
      <c r="G3390" s="919" t="s">
        <v>4062</v>
      </c>
      <c r="H3390" s="919" t="s">
        <v>9930</v>
      </c>
      <c r="I3390" s="919" t="s">
        <v>3693</v>
      </c>
      <c r="J3390" s="919"/>
      <c r="K3390" s="920">
        <v>1</v>
      </c>
      <c r="L3390" s="920">
        <v>12</v>
      </c>
      <c r="M3390" s="920">
        <f t="shared" si="104"/>
        <v>8400</v>
      </c>
      <c r="N3390" s="919"/>
      <c r="O3390" s="919"/>
      <c r="P3390" s="921">
        <f t="shared" si="105"/>
        <v>0</v>
      </c>
    </row>
    <row r="3391" spans="1:16" ht="20.100000000000001" customHeight="1" x14ac:dyDescent="0.25">
      <c r="A3391" s="918" t="s">
        <v>475</v>
      </c>
      <c r="B3391" s="944" t="s">
        <v>3901</v>
      </c>
      <c r="C3391" s="919" t="s">
        <v>9929</v>
      </c>
      <c r="D3391" s="919" t="s">
        <v>9930</v>
      </c>
      <c r="E3391" s="920">
        <v>700</v>
      </c>
      <c r="F3391" s="919" t="s">
        <v>4041</v>
      </c>
      <c r="G3391" s="919" t="s">
        <v>4062</v>
      </c>
      <c r="H3391" s="919" t="s">
        <v>9930</v>
      </c>
      <c r="I3391" s="919" t="s">
        <v>3693</v>
      </c>
      <c r="J3391" s="919"/>
      <c r="K3391" s="920">
        <v>1</v>
      </c>
      <c r="L3391" s="920">
        <v>12</v>
      </c>
      <c r="M3391" s="920">
        <f t="shared" si="104"/>
        <v>8400</v>
      </c>
      <c r="N3391" s="919"/>
      <c r="O3391" s="919"/>
      <c r="P3391" s="921">
        <f t="shared" si="105"/>
        <v>0</v>
      </c>
    </row>
    <row r="3392" spans="1:16" ht="20.100000000000001" customHeight="1" x14ac:dyDescent="0.25">
      <c r="A3392" s="918" t="s">
        <v>475</v>
      </c>
      <c r="B3392" s="944" t="s">
        <v>3901</v>
      </c>
      <c r="C3392" s="919" t="s">
        <v>9929</v>
      </c>
      <c r="D3392" s="919" t="s">
        <v>9930</v>
      </c>
      <c r="E3392" s="920">
        <v>700</v>
      </c>
      <c r="F3392" s="919" t="s">
        <v>4041</v>
      </c>
      <c r="G3392" s="919" t="s">
        <v>4062</v>
      </c>
      <c r="H3392" s="919" t="s">
        <v>9930</v>
      </c>
      <c r="I3392" s="919" t="s">
        <v>3693</v>
      </c>
      <c r="J3392" s="919"/>
      <c r="K3392" s="920">
        <v>1</v>
      </c>
      <c r="L3392" s="920">
        <v>12</v>
      </c>
      <c r="M3392" s="920">
        <f t="shared" si="104"/>
        <v>8400</v>
      </c>
      <c r="N3392" s="919"/>
      <c r="O3392" s="919"/>
      <c r="P3392" s="921">
        <f t="shared" si="105"/>
        <v>0</v>
      </c>
    </row>
    <row r="3393" spans="1:16" ht="20.100000000000001" customHeight="1" x14ac:dyDescent="0.25">
      <c r="A3393" s="918" t="s">
        <v>475</v>
      </c>
      <c r="B3393" s="944" t="s">
        <v>3901</v>
      </c>
      <c r="C3393" s="919" t="s">
        <v>9929</v>
      </c>
      <c r="D3393" s="919" t="s">
        <v>9930</v>
      </c>
      <c r="E3393" s="920">
        <v>700</v>
      </c>
      <c r="F3393" s="919" t="s">
        <v>4041</v>
      </c>
      <c r="G3393" s="919" t="s">
        <v>4062</v>
      </c>
      <c r="H3393" s="919" t="s">
        <v>9930</v>
      </c>
      <c r="I3393" s="919" t="s">
        <v>3693</v>
      </c>
      <c r="J3393" s="919"/>
      <c r="K3393" s="920">
        <v>1</v>
      </c>
      <c r="L3393" s="920">
        <v>12</v>
      </c>
      <c r="M3393" s="920">
        <f t="shared" si="104"/>
        <v>8400</v>
      </c>
      <c r="N3393" s="919"/>
      <c r="O3393" s="919"/>
      <c r="P3393" s="921">
        <f t="shared" si="105"/>
        <v>0</v>
      </c>
    </row>
    <row r="3394" spans="1:16" ht="20.100000000000001" customHeight="1" x14ac:dyDescent="0.25">
      <c r="A3394" s="918" t="s">
        <v>475</v>
      </c>
      <c r="B3394" s="944" t="s">
        <v>3901</v>
      </c>
      <c r="C3394" s="919" t="s">
        <v>9929</v>
      </c>
      <c r="D3394" s="919" t="s">
        <v>9930</v>
      </c>
      <c r="E3394" s="920">
        <v>700</v>
      </c>
      <c r="F3394" s="919" t="s">
        <v>4041</v>
      </c>
      <c r="G3394" s="919" t="s">
        <v>4062</v>
      </c>
      <c r="H3394" s="919" t="s">
        <v>9930</v>
      </c>
      <c r="I3394" s="919" t="s">
        <v>3693</v>
      </c>
      <c r="J3394" s="919"/>
      <c r="K3394" s="920">
        <v>1</v>
      </c>
      <c r="L3394" s="920">
        <v>12</v>
      </c>
      <c r="M3394" s="920">
        <f t="shared" si="104"/>
        <v>8400</v>
      </c>
      <c r="N3394" s="919"/>
      <c r="O3394" s="919"/>
      <c r="P3394" s="921">
        <f t="shared" si="105"/>
        <v>0</v>
      </c>
    </row>
    <row r="3395" spans="1:16" ht="20.100000000000001" customHeight="1" x14ac:dyDescent="0.25">
      <c r="A3395" s="918" t="s">
        <v>475</v>
      </c>
      <c r="B3395" s="944" t="s">
        <v>3901</v>
      </c>
      <c r="C3395" s="919" t="s">
        <v>9929</v>
      </c>
      <c r="D3395" s="919" t="s">
        <v>9930</v>
      </c>
      <c r="E3395" s="920">
        <v>700</v>
      </c>
      <c r="F3395" s="919" t="s">
        <v>4041</v>
      </c>
      <c r="G3395" s="919" t="s">
        <v>4062</v>
      </c>
      <c r="H3395" s="919" t="s">
        <v>9930</v>
      </c>
      <c r="I3395" s="919" t="s">
        <v>3693</v>
      </c>
      <c r="J3395" s="919"/>
      <c r="K3395" s="920">
        <v>1</v>
      </c>
      <c r="L3395" s="920">
        <v>12</v>
      </c>
      <c r="M3395" s="920">
        <f t="shared" si="104"/>
        <v>8400</v>
      </c>
      <c r="N3395" s="919"/>
      <c r="O3395" s="919"/>
      <c r="P3395" s="921">
        <f t="shared" si="105"/>
        <v>0</v>
      </c>
    </row>
    <row r="3396" spans="1:16" ht="20.100000000000001" customHeight="1" x14ac:dyDescent="0.25">
      <c r="A3396" s="918" t="s">
        <v>475</v>
      </c>
      <c r="B3396" s="944" t="s">
        <v>3901</v>
      </c>
      <c r="C3396" s="919" t="s">
        <v>9929</v>
      </c>
      <c r="D3396" s="919" t="s">
        <v>9930</v>
      </c>
      <c r="E3396" s="920">
        <v>700</v>
      </c>
      <c r="F3396" s="919" t="s">
        <v>4041</v>
      </c>
      <c r="G3396" s="919" t="s">
        <v>4062</v>
      </c>
      <c r="H3396" s="919" t="s">
        <v>9930</v>
      </c>
      <c r="I3396" s="919" t="s">
        <v>3693</v>
      </c>
      <c r="J3396" s="919"/>
      <c r="K3396" s="920">
        <v>1</v>
      </c>
      <c r="L3396" s="920">
        <v>12</v>
      </c>
      <c r="M3396" s="920">
        <f t="shared" si="104"/>
        <v>8400</v>
      </c>
      <c r="N3396" s="919"/>
      <c r="O3396" s="919"/>
      <c r="P3396" s="921">
        <f t="shared" si="105"/>
        <v>0</v>
      </c>
    </row>
    <row r="3397" spans="1:16" ht="20.100000000000001" customHeight="1" x14ac:dyDescent="0.25">
      <c r="A3397" s="918" t="s">
        <v>475</v>
      </c>
      <c r="B3397" s="944" t="s">
        <v>3901</v>
      </c>
      <c r="C3397" s="919" t="s">
        <v>9929</v>
      </c>
      <c r="D3397" s="919" t="s">
        <v>9930</v>
      </c>
      <c r="E3397" s="920">
        <v>700</v>
      </c>
      <c r="F3397" s="919" t="s">
        <v>4041</v>
      </c>
      <c r="G3397" s="919" t="s">
        <v>4062</v>
      </c>
      <c r="H3397" s="919" t="s">
        <v>9930</v>
      </c>
      <c r="I3397" s="919" t="s">
        <v>3693</v>
      </c>
      <c r="J3397" s="919"/>
      <c r="K3397" s="920">
        <v>1</v>
      </c>
      <c r="L3397" s="920">
        <v>12</v>
      </c>
      <c r="M3397" s="920">
        <f t="shared" si="104"/>
        <v>8400</v>
      </c>
      <c r="N3397" s="919"/>
      <c r="O3397" s="919"/>
      <c r="P3397" s="921">
        <f t="shared" si="105"/>
        <v>0</v>
      </c>
    </row>
    <row r="3398" spans="1:16" ht="20.100000000000001" customHeight="1" x14ac:dyDescent="0.25">
      <c r="A3398" s="918" t="s">
        <v>475</v>
      </c>
      <c r="B3398" s="944" t="s">
        <v>3901</v>
      </c>
      <c r="C3398" s="919" t="s">
        <v>9929</v>
      </c>
      <c r="D3398" s="919" t="s">
        <v>9930</v>
      </c>
      <c r="E3398" s="920">
        <v>700</v>
      </c>
      <c r="F3398" s="919" t="s">
        <v>4041</v>
      </c>
      <c r="G3398" s="919" t="s">
        <v>4062</v>
      </c>
      <c r="H3398" s="919" t="s">
        <v>9930</v>
      </c>
      <c r="I3398" s="919" t="s">
        <v>3693</v>
      </c>
      <c r="J3398" s="919"/>
      <c r="K3398" s="920">
        <v>1</v>
      </c>
      <c r="L3398" s="920">
        <v>12</v>
      </c>
      <c r="M3398" s="920">
        <f t="shared" ref="M3398:M3461" si="106">E3398*L3398</f>
        <v>8400</v>
      </c>
      <c r="N3398" s="919"/>
      <c r="O3398" s="919"/>
      <c r="P3398" s="921">
        <f t="shared" ref="P3398:P3461" si="107">E3398*O3398</f>
        <v>0</v>
      </c>
    </row>
    <row r="3399" spans="1:16" ht="20.100000000000001" customHeight="1" x14ac:dyDescent="0.25">
      <c r="A3399" s="918" t="s">
        <v>475</v>
      </c>
      <c r="B3399" s="944" t="s">
        <v>3901</v>
      </c>
      <c r="C3399" s="919" t="s">
        <v>9929</v>
      </c>
      <c r="D3399" s="919" t="s">
        <v>9930</v>
      </c>
      <c r="E3399" s="920">
        <v>700</v>
      </c>
      <c r="F3399" s="919" t="s">
        <v>4041</v>
      </c>
      <c r="G3399" s="919" t="s">
        <v>4062</v>
      </c>
      <c r="H3399" s="919" t="s">
        <v>9930</v>
      </c>
      <c r="I3399" s="919" t="s">
        <v>3693</v>
      </c>
      <c r="J3399" s="919"/>
      <c r="K3399" s="920">
        <v>1</v>
      </c>
      <c r="L3399" s="920">
        <v>12</v>
      </c>
      <c r="M3399" s="920">
        <f t="shared" si="106"/>
        <v>8400</v>
      </c>
      <c r="N3399" s="919"/>
      <c r="O3399" s="919"/>
      <c r="P3399" s="921">
        <f t="shared" si="107"/>
        <v>0</v>
      </c>
    </row>
    <row r="3400" spans="1:16" ht="20.100000000000001" customHeight="1" x14ac:dyDescent="0.25">
      <c r="A3400" s="918" t="s">
        <v>475</v>
      </c>
      <c r="B3400" s="944" t="s">
        <v>3901</v>
      </c>
      <c r="C3400" s="919" t="s">
        <v>9929</v>
      </c>
      <c r="D3400" s="919" t="s">
        <v>9930</v>
      </c>
      <c r="E3400" s="920">
        <v>700</v>
      </c>
      <c r="F3400" s="919" t="s">
        <v>4041</v>
      </c>
      <c r="G3400" s="919" t="s">
        <v>4062</v>
      </c>
      <c r="H3400" s="919" t="s">
        <v>9930</v>
      </c>
      <c r="I3400" s="919" t="s">
        <v>3693</v>
      </c>
      <c r="J3400" s="919"/>
      <c r="K3400" s="920">
        <v>1</v>
      </c>
      <c r="L3400" s="920">
        <v>12</v>
      </c>
      <c r="M3400" s="920">
        <f t="shared" si="106"/>
        <v>8400</v>
      </c>
      <c r="N3400" s="919"/>
      <c r="O3400" s="919"/>
      <c r="P3400" s="921">
        <f t="shared" si="107"/>
        <v>0</v>
      </c>
    </row>
    <row r="3401" spans="1:16" ht="20.100000000000001" customHeight="1" x14ac:dyDescent="0.25">
      <c r="A3401" s="918" t="s">
        <v>475</v>
      </c>
      <c r="B3401" s="944" t="s">
        <v>3901</v>
      </c>
      <c r="C3401" s="919" t="s">
        <v>9929</v>
      </c>
      <c r="D3401" s="919" t="s">
        <v>9930</v>
      </c>
      <c r="E3401" s="920">
        <v>700</v>
      </c>
      <c r="F3401" s="919" t="s">
        <v>4041</v>
      </c>
      <c r="G3401" s="919" t="s">
        <v>4062</v>
      </c>
      <c r="H3401" s="919" t="s">
        <v>9930</v>
      </c>
      <c r="I3401" s="919" t="s">
        <v>3693</v>
      </c>
      <c r="J3401" s="919"/>
      <c r="K3401" s="920">
        <v>1</v>
      </c>
      <c r="L3401" s="920">
        <v>12</v>
      </c>
      <c r="M3401" s="920">
        <f t="shared" si="106"/>
        <v>8400</v>
      </c>
      <c r="N3401" s="919"/>
      <c r="O3401" s="919"/>
      <c r="P3401" s="921">
        <f t="shared" si="107"/>
        <v>0</v>
      </c>
    </row>
    <row r="3402" spans="1:16" ht="20.100000000000001" customHeight="1" x14ac:dyDescent="0.25">
      <c r="A3402" s="918" t="s">
        <v>475</v>
      </c>
      <c r="B3402" s="944" t="s">
        <v>3901</v>
      </c>
      <c r="C3402" s="919" t="s">
        <v>9929</v>
      </c>
      <c r="D3402" s="919" t="s">
        <v>9930</v>
      </c>
      <c r="E3402" s="920">
        <v>700</v>
      </c>
      <c r="F3402" s="919" t="s">
        <v>4041</v>
      </c>
      <c r="G3402" s="919" t="s">
        <v>4062</v>
      </c>
      <c r="H3402" s="919" t="s">
        <v>9930</v>
      </c>
      <c r="I3402" s="919" t="s">
        <v>3693</v>
      </c>
      <c r="J3402" s="919"/>
      <c r="K3402" s="920">
        <v>1</v>
      </c>
      <c r="L3402" s="920">
        <v>12</v>
      </c>
      <c r="M3402" s="920">
        <f t="shared" si="106"/>
        <v>8400</v>
      </c>
      <c r="N3402" s="919"/>
      <c r="O3402" s="919"/>
      <c r="P3402" s="921">
        <f t="shared" si="107"/>
        <v>0</v>
      </c>
    </row>
    <row r="3403" spans="1:16" ht="20.100000000000001" customHeight="1" x14ac:dyDescent="0.25">
      <c r="A3403" s="918" t="s">
        <v>475</v>
      </c>
      <c r="B3403" s="944" t="s">
        <v>3901</v>
      </c>
      <c r="C3403" s="919" t="s">
        <v>9929</v>
      </c>
      <c r="D3403" s="919" t="s">
        <v>9930</v>
      </c>
      <c r="E3403" s="920">
        <v>700</v>
      </c>
      <c r="F3403" s="919" t="s">
        <v>4041</v>
      </c>
      <c r="G3403" s="919" t="s">
        <v>4062</v>
      </c>
      <c r="H3403" s="919" t="s">
        <v>9930</v>
      </c>
      <c r="I3403" s="919" t="s">
        <v>3693</v>
      </c>
      <c r="J3403" s="919"/>
      <c r="K3403" s="920">
        <v>1</v>
      </c>
      <c r="L3403" s="920">
        <v>12</v>
      </c>
      <c r="M3403" s="920">
        <f t="shared" si="106"/>
        <v>8400</v>
      </c>
      <c r="N3403" s="919"/>
      <c r="O3403" s="919"/>
      <c r="P3403" s="921">
        <f t="shared" si="107"/>
        <v>0</v>
      </c>
    </row>
    <row r="3404" spans="1:16" ht="20.100000000000001" customHeight="1" x14ac:dyDescent="0.25">
      <c r="A3404" s="918" t="s">
        <v>475</v>
      </c>
      <c r="B3404" s="944" t="s">
        <v>3901</v>
      </c>
      <c r="C3404" s="919" t="s">
        <v>9929</v>
      </c>
      <c r="D3404" s="919" t="s">
        <v>9930</v>
      </c>
      <c r="E3404" s="920">
        <v>700</v>
      </c>
      <c r="F3404" s="919" t="s">
        <v>4041</v>
      </c>
      <c r="G3404" s="919" t="s">
        <v>4062</v>
      </c>
      <c r="H3404" s="919" t="s">
        <v>9930</v>
      </c>
      <c r="I3404" s="919" t="s">
        <v>3693</v>
      </c>
      <c r="J3404" s="919"/>
      <c r="K3404" s="920">
        <v>1</v>
      </c>
      <c r="L3404" s="920">
        <v>12</v>
      </c>
      <c r="M3404" s="920">
        <f t="shared" si="106"/>
        <v>8400</v>
      </c>
      <c r="N3404" s="919"/>
      <c r="O3404" s="919"/>
      <c r="P3404" s="921">
        <f t="shared" si="107"/>
        <v>0</v>
      </c>
    </row>
    <row r="3405" spans="1:16" ht="20.100000000000001" customHeight="1" x14ac:dyDescent="0.25">
      <c r="A3405" s="918" t="s">
        <v>475</v>
      </c>
      <c r="B3405" s="944" t="s">
        <v>3901</v>
      </c>
      <c r="C3405" s="919" t="s">
        <v>9929</v>
      </c>
      <c r="D3405" s="919" t="s">
        <v>9930</v>
      </c>
      <c r="E3405" s="920">
        <v>700</v>
      </c>
      <c r="F3405" s="919" t="s">
        <v>4041</v>
      </c>
      <c r="G3405" s="919" t="s">
        <v>4062</v>
      </c>
      <c r="H3405" s="919" t="s">
        <v>9930</v>
      </c>
      <c r="I3405" s="919" t="s">
        <v>3693</v>
      </c>
      <c r="J3405" s="919"/>
      <c r="K3405" s="920">
        <v>1</v>
      </c>
      <c r="L3405" s="920">
        <v>12</v>
      </c>
      <c r="M3405" s="920">
        <f t="shared" si="106"/>
        <v>8400</v>
      </c>
      <c r="N3405" s="919"/>
      <c r="O3405" s="919"/>
      <c r="P3405" s="921">
        <f t="shared" si="107"/>
        <v>0</v>
      </c>
    </row>
    <row r="3406" spans="1:16" ht="20.100000000000001" customHeight="1" x14ac:dyDescent="0.25">
      <c r="A3406" s="918" t="s">
        <v>475</v>
      </c>
      <c r="B3406" s="944" t="s">
        <v>3901</v>
      </c>
      <c r="C3406" s="919" t="s">
        <v>9929</v>
      </c>
      <c r="D3406" s="919" t="s">
        <v>9930</v>
      </c>
      <c r="E3406" s="920">
        <v>700</v>
      </c>
      <c r="F3406" s="919" t="s">
        <v>4041</v>
      </c>
      <c r="G3406" s="919" t="s">
        <v>4062</v>
      </c>
      <c r="H3406" s="919" t="s">
        <v>9930</v>
      </c>
      <c r="I3406" s="919" t="s">
        <v>3693</v>
      </c>
      <c r="J3406" s="919"/>
      <c r="K3406" s="920">
        <v>1</v>
      </c>
      <c r="L3406" s="920">
        <v>12</v>
      </c>
      <c r="M3406" s="920">
        <f t="shared" si="106"/>
        <v>8400</v>
      </c>
      <c r="N3406" s="919"/>
      <c r="O3406" s="919"/>
      <c r="P3406" s="921">
        <f t="shared" si="107"/>
        <v>0</v>
      </c>
    </row>
    <row r="3407" spans="1:16" ht="20.100000000000001" customHeight="1" x14ac:dyDescent="0.25">
      <c r="A3407" s="918" t="s">
        <v>475</v>
      </c>
      <c r="B3407" s="944" t="s">
        <v>3901</v>
      </c>
      <c r="C3407" s="919" t="s">
        <v>9929</v>
      </c>
      <c r="D3407" s="919" t="s">
        <v>9930</v>
      </c>
      <c r="E3407" s="920">
        <v>700</v>
      </c>
      <c r="F3407" s="919" t="s">
        <v>4041</v>
      </c>
      <c r="G3407" s="919" t="s">
        <v>4062</v>
      </c>
      <c r="H3407" s="919" t="s">
        <v>9930</v>
      </c>
      <c r="I3407" s="919" t="s">
        <v>3693</v>
      </c>
      <c r="J3407" s="919"/>
      <c r="K3407" s="920">
        <v>1</v>
      </c>
      <c r="L3407" s="920">
        <v>12</v>
      </c>
      <c r="M3407" s="920">
        <f t="shared" si="106"/>
        <v>8400</v>
      </c>
      <c r="N3407" s="919"/>
      <c r="O3407" s="919"/>
      <c r="P3407" s="921">
        <f t="shared" si="107"/>
        <v>0</v>
      </c>
    </row>
    <row r="3408" spans="1:16" ht="20.100000000000001" customHeight="1" x14ac:dyDescent="0.25">
      <c r="A3408" s="918" t="s">
        <v>475</v>
      </c>
      <c r="B3408" s="944" t="s">
        <v>3901</v>
      </c>
      <c r="C3408" s="919" t="s">
        <v>9929</v>
      </c>
      <c r="D3408" s="919" t="s">
        <v>9930</v>
      </c>
      <c r="E3408" s="920">
        <v>700</v>
      </c>
      <c r="F3408" s="919" t="s">
        <v>4041</v>
      </c>
      <c r="G3408" s="919" t="s">
        <v>4062</v>
      </c>
      <c r="H3408" s="919" t="s">
        <v>9930</v>
      </c>
      <c r="I3408" s="919" t="s">
        <v>3693</v>
      </c>
      <c r="J3408" s="919"/>
      <c r="K3408" s="920">
        <v>1</v>
      </c>
      <c r="L3408" s="920">
        <v>12</v>
      </c>
      <c r="M3408" s="920">
        <f t="shared" si="106"/>
        <v>8400</v>
      </c>
      <c r="N3408" s="919"/>
      <c r="O3408" s="919"/>
      <c r="P3408" s="921">
        <f t="shared" si="107"/>
        <v>0</v>
      </c>
    </row>
    <row r="3409" spans="1:16" ht="20.100000000000001" customHeight="1" x14ac:dyDescent="0.25">
      <c r="A3409" s="918" t="s">
        <v>475</v>
      </c>
      <c r="B3409" s="944" t="s">
        <v>3901</v>
      </c>
      <c r="C3409" s="919" t="s">
        <v>9929</v>
      </c>
      <c r="D3409" s="919" t="s">
        <v>9930</v>
      </c>
      <c r="E3409" s="920">
        <v>700</v>
      </c>
      <c r="F3409" s="919" t="s">
        <v>4041</v>
      </c>
      <c r="G3409" s="919" t="s">
        <v>4062</v>
      </c>
      <c r="H3409" s="919" t="s">
        <v>9930</v>
      </c>
      <c r="I3409" s="919" t="s">
        <v>3693</v>
      </c>
      <c r="J3409" s="919"/>
      <c r="K3409" s="920">
        <v>1</v>
      </c>
      <c r="L3409" s="920">
        <v>12</v>
      </c>
      <c r="M3409" s="920">
        <f t="shared" si="106"/>
        <v>8400</v>
      </c>
      <c r="N3409" s="919"/>
      <c r="O3409" s="919"/>
      <c r="P3409" s="921">
        <f t="shared" si="107"/>
        <v>0</v>
      </c>
    </row>
    <row r="3410" spans="1:16" ht="20.100000000000001" customHeight="1" x14ac:dyDescent="0.25">
      <c r="A3410" s="918" t="s">
        <v>475</v>
      </c>
      <c r="B3410" s="944" t="s">
        <v>3901</v>
      </c>
      <c r="C3410" s="919" t="s">
        <v>9929</v>
      </c>
      <c r="D3410" s="919" t="s">
        <v>9930</v>
      </c>
      <c r="E3410" s="920">
        <v>700</v>
      </c>
      <c r="F3410" s="919" t="s">
        <v>4041</v>
      </c>
      <c r="G3410" s="919" t="s">
        <v>4062</v>
      </c>
      <c r="H3410" s="919" t="s">
        <v>9930</v>
      </c>
      <c r="I3410" s="919" t="s">
        <v>3693</v>
      </c>
      <c r="J3410" s="919"/>
      <c r="K3410" s="920">
        <v>1</v>
      </c>
      <c r="L3410" s="920">
        <v>12</v>
      </c>
      <c r="M3410" s="920">
        <f t="shared" si="106"/>
        <v>8400</v>
      </c>
      <c r="N3410" s="919"/>
      <c r="O3410" s="919"/>
      <c r="P3410" s="921">
        <f t="shared" si="107"/>
        <v>0</v>
      </c>
    </row>
    <row r="3411" spans="1:16" ht="20.100000000000001" customHeight="1" x14ac:dyDescent="0.25">
      <c r="A3411" s="918" t="s">
        <v>475</v>
      </c>
      <c r="B3411" s="944" t="s">
        <v>3901</v>
      </c>
      <c r="C3411" s="919" t="s">
        <v>9929</v>
      </c>
      <c r="D3411" s="919" t="s">
        <v>9930</v>
      </c>
      <c r="E3411" s="920">
        <v>700</v>
      </c>
      <c r="F3411" s="919" t="s">
        <v>4041</v>
      </c>
      <c r="G3411" s="919" t="s">
        <v>4062</v>
      </c>
      <c r="H3411" s="919" t="s">
        <v>9930</v>
      </c>
      <c r="I3411" s="919" t="s">
        <v>3693</v>
      </c>
      <c r="J3411" s="919"/>
      <c r="K3411" s="920">
        <v>1</v>
      </c>
      <c r="L3411" s="920">
        <v>12</v>
      </c>
      <c r="M3411" s="920">
        <f t="shared" si="106"/>
        <v>8400</v>
      </c>
      <c r="N3411" s="919"/>
      <c r="O3411" s="919"/>
      <c r="P3411" s="921">
        <f t="shared" si="107"/>
        <v>0</v>
      </c>
    </row>
    <row r="3412" spans="1:16" ht="20.100000000000001" customHeight="1" x14ac:dyDescent="0.25">
      <c r="A3412" s="918" t="s">
        <v>475</v>
      </c>
      <c r="B3412" s="944" t="s">
        <v>3901</v>
      </c>
      <c r="C3412" s="919" t="s">
        <v>9929</v>
      </c>
      <c r="D3412" s="919" t="s">
        <v>9930</v>
      </c>
      <c r="E3412" s="920">
        <v>700</v>
      </c>
      <c r="F3412" s="919" t="s">
        <v>4041</v>
      </c>
      <c r="G3412" s="919" t="s">
        <v>4062</v>
      </c>
      <c r="H3412" s="919" t="s">
        <v>9930</v>
      </c>
      <c r="I3412" s="919" t="s">
        <v>3693</v>
      </c>
      <c r="J3412" s="919"/>
      <c r="K3412" s="920">
        <v>1</v>
      </c>
      <c r="L3412" s="920">
        <v>12</v>
      </c>
      <c r="M3412" s="920">
        <f t="shared" si="106"/>
        <v>8400</v>
      </c>
      <c r="N3412" s="919"/>
      <c r="O3412" s="919"/>
      <c r="P3412" s="921">
        <f t="shared" si="107"/>
        <v>0</v>
      </c>
    </row>
    <row r="3413" spans="1:16" ht="20.100000000000001" customHeight="1" x14ac:dyDescent="0.25">
      <c r="A3413" s="918" t="s">
        <v>475</v>
      </c>
      <c r="B3413" s="944" t="s">
        <v>3901</v>
      </c>
      <c r="C3413" s="919" t="s">
        <v>9929</v>
      </c>
      <c r="D3413" s="919" t="s">
        <v>9930</v>
      </c>
      <c r="E3413" s="920">
        <v>700</v>
      </c>
      <c r="F3413" s="919" t="s">
        <v>4041</v>
      </c>
      <c r="G3413" s="919" t="s">
        <v>4062</v>
      </c>
      <c r="H3413" s="919" t="s">
        <v>9930</v>
      </c>
      <c r="I3413" s="919" t="s">
        <v>3693</v>
      </c>
      <c r="J3413" s="919"/>
      <c r="K3413" s="920">
        <v>1</v>
      </c>
      <c r="L3413" s="920">
        <v>12</v>
      </c>
      <c r="M3413" s="920">
        <f t="shared" si="106"/>
        <v>8400</v>
      </c>
      <c r="N3413" s="919"/>
      <c r="O3413" s="919"/>
      <c r="P3413" s="921">
        <f t="shared" si="107"/>
        <v>0</v>
      </c>
    </row>
    <row r="3414" spans="1:16" ht="20.100000000000001" customHeight="1" x14ac:dyDescent="0.25">
      <c r="A3414" s="918" t="s">
        <v>475</v>
      </c>
      <c r="B3414" s="944" t="s">
        <v>3901</v>
      </c>
      <c r="C3414" s="919" t="s">
        <v>9929</v>
      </c>
      <c r="D3414" s="919" t="s">
        <v>9930</v>
      </c>
      <c r="E3414" s="920">
        <v>700</v>
      </c>
      <c r="F3414" s="919" t="s">
        <v>4041</v>
      </c>
      <c r="G3414" s="919" t="s">
        <v>4062</v>
      </c>
      <c r="H3414" s="919" t="s">
        <v>9930</v>
      </c>
      <c r="I3414" s="919" t="s">
        <v>3693</v>
      </c>
      <c r="J3414" s="919"/>
      <c r="K3414" s="920">
        <v>1</v>
      </c>
      <c r="L3414" s="920">
        <v>12</v>
      </c>
      <c r="M3414" s="920">
        <f t="shared" si="106"/>
        <v>8400</v>
      </c>
      <c r="N3414" s="919"/>
      <c r="O3414" s="919"/>
      <c r="P3414" s="921">
        <f t="shared" si="107"/>
        <v>0</v>
      </c>
    </row>
    <row r="3415" spans="1:16" ht="20.100000000000001" customHeight="1" x14ac:dyDescent="0.25">
      <c r="A3415" s="918" t="s">
        <v>475</v>
      </c>
      <c r="B3415" s="944" t="s">
        <v>3901</v>
      </c>
      <c r="C3415" s="919" t="s">
        <v>9929</v>
      </c>
      <c r="D3415" s="919" t="s">
        <v>9930</v>
      </c>
      <c r="E3415" s="920">
        <v>700</v>
      </c>
      <c r="F3415" s="919" t="s">
        <v>4041</v>
      </c>
      <c r="G3415" s="919" t="s">
        <v>4062</v>
      </c>
      <c r="H3415" s="919" t="s">
        <v>9930</v>
      </c>
      <c r="I3415" s="919" t="s">
        <v>3693</v>
      </c>
      <c r="J3415" s="919"/>
      <c r="K3415" s="920">
        <v>1</v>
      </c>
      <c r="L3415" s="920">
        <v>12</v>
      </c>
      <c r="M3415" s="920">
        <f t="shared" si="106"/>
        <v>8400</v>
      </c>
      <c r="N3415" s="919"/>
      <c r="O3415" s="919"/>
      <c r="P3415" s="921">
        <f t="shared" si="107"/>
        <v>0</v>
      </c>
    </row>
    <row r="3416" spans="1:16" ht="20.100000000000001" customHeight="1" x14ac:dyDescent="0.25">
      <c r="A3416" s="918" t="s">
        <v>475</v>
      </c>
      <c r="B3416" s="944" t="s">
        <v>3901</v>
      </c>
      <c r="C3416" s="919" t="s">
        <v>9929</v>
      </c>
      <c r="D3416" s="919" t="s">
        <v>9930</v>
      </c>
      <c r="E3416" s="920">
        <v>700</v>
      </c>
      <c r="F3416" s="919" t="s">
        <v>4041</v>
      </c>
      <c r="G3416" s="919" t="s">
        <v>4062</v>
      </c>
      <c r="H3416" s="919" t="s">
        <v>9930</v>
      </c>
      <c r="I3416" s="919" t="s">
        <v>3693</v>
      </c>
      <c r="J3416" s="919"/>
      <c r="K3416" s="920">
        <v>1</v>
      </c>
      <c r="L3416" s="920">
        <v>12</v>
      </c>
      <c r="M3416" s="920">
        <f t="shared" si="106"/>
        <v>8400</v>
      </c>
      <c r="N3416" s="919"/>
      <c r="O3416" s="919"/>
      <c r="P3416" s="921">
        <f t="shared" si="107"/>
        <v>0</v>
      </c>
    </row>
    <row r="3417" spans="1:16" ht="20.100000000000001" customHeight="1" x14ac:dyDescent="0.25">
      <c r="A3417" s="918" t="s">
        <v>475</v>
      </c>
      <c r="B3417" s="944" t="s">
        <v>3901</v>
      </c>
      <c r="C3417" s="919" t="s">
        <v>9929</v>
      </c>
      <c r="D3417" s="919" t="s">
        <v>9930</v>
      </c>
      <c r="E3417" s="920">
        <v>700</v>
      </c>
      <c r="F3417" s="919" t="s">
        <v>4041</v>
      </c>
      <c r="G3417" s="919" t="s">
        <v>4062</v>
      </c>
      <c r="H3417" s="919" t="s">
        <v>9930</v>
      </c>
      <c r="I3417" s="919" t="s">
        <v>3693</v>
      </c>
      <c r="J3417" s="919"/>
      <c r="K3417" s="920">
        <v>1</v>
      </c>
      <c r="L3417" s="920">
        <v>12</v>
      </c>
      <c r="M3417" s="920">
        <f t="shared" si="106"/>
        <v>8400</v>
      </c>
      <c r="N3417" s="919"/>
      <c r="O3417" s="919"/>
      <c r="P3417" s="921">
        <f t="shared" si="107"/>
        <v>0</v>
      </c>
    </row>
    <row r="3418" spans="1:16" ht="20.100000000000001" customHeight="1" x14ac:dyDescent="0.25">
      <c r="A3418" s="918" t="s">
        <v>475</v>
      </c>
      <c r="B3418" s="944" t="s">
        <v>3901</v>
      </c>
      <c r="C3418" s="919" t="s">
        <v>9929</v>
      </c>
      <c r="D3418" s="919" t="s">
        <v>9930</v>
      </c>
      <c r="E3418" s="920">
        <v>700</v>
      </c>
      <c r="F3418" s="919" t="s">
        <v>4041</v>
      </c>
      <c r="G3418" s="919" t="s">
        <v>4062</v>
      </c>
      <c r="H3418" s="919" t="s">
        <v>9930</v>
      </c>
      <c r="I3418" s="919" t="s">
        <v>3693</v>
      </c>
      <c r="J3418" s="919"/>
      <c r="K3418" s="920">
        <v>1</v>
      </c>
      <c r="L3418" s="920">
        <v>12</v>
      </c>
      <c r="M3418" s="920">
        <f t="shared" si="106"/>
        <v>8400</v>
      </c>
      <c r="N3418" s="919"/>
      <c r="O3418" s="919"/>
      <c r="P3418" s="921">
        <f t="shared" si="107"/>
        <v>0</v>
      </c>
    </row>
    <row r="3419" spans="1:16" ht="20.100000000000001" customHeight="1" x14ac:dyDescent="0.25">
      <c r="A3419" s="918" t="s">
        <v>475</v>
      </c>
      <c r="B3419" s="944" t="s">
        <v>3901</v>
      </c>
      <c r="C3419" s="919" t="s">
        <v>9929</v>
      </c>
      <c r="D3419" s="919" t="s">
        <v>9930</v>
      </c>
      <c r="E3419" s="920">
        <v>700</v>
      </c>
      <c r="F3419" s="919" t="s">
        <v>4041</v>
      </c>
      <c r="G3419" s="919" t="s">
        <v>4062</v>
      </c>
      <c r="H3419" s="919" t="s">
        <v>9930</v>
      </c>
      <c r="I3419" s="919" t="s">
        <v>3693</v>
      </c>
      <c r="J3419" s="919"/>
      <c r="K3419" s="920">
        <v>1</v>
      </c>
      <c r="L3419" s="920">
        <v>12</v>
      </c>
      <c r="M3419" s="920">
        <f t="shared" si="106"/>
        <v>8400</v>
      </c>
      <c r="N3419" s="919"/>
      <c r="O3419" s="919"/>
      <c r="P3419" s="921">
        <f t="shared" si="107"/>
        <v>0</v>
      </c>
    </row>
    <row r="3420" spans="1:16" ht="20.100000000000001" customHeight="1" x14ac:dyDescent="0.25">
      <c r="A3420" s="918" t="s">
        <v>475</v>
      </c>
      <c r="B3420" s="944" t="s">
        <v>3901</v>
      </c>
      <c r="C3420" s="919" t="s">
        <v>9929</v>
      </c>
      <c r="D3420" s="919" t="s">
        <v>9930</v>
      </c>
      <c r="E3420" s="920">
        <v>700</v>
      </c>
      <c r="F3420" s="919" t="s">
        <v>4041</v>
      </c>
      <c r="G3420" s="919" t="s">
        <v>4062</v>
      </c>
      <c r="H3420" s="919" t="s">
        <v>9930</v>
      </c>
      <c r="I3420" s="919" t="s">
        <v>3693</v>
      </c>
      <c r="J3420" s="919"/>
      <c r="K3420" s="920">
        <v>1</v>
      </c>
      <c r="L3420" s="920">
        <v>12</v>
      </c>
      <c r="M3420" s="920">
        <f t="shared" si="106"/>
        <v>8400</v>
      </c>
      <c r="N3420" s="919"/>
      <c r="O3420" s="919"/>
      <c r="P3420" s="921">
        <f t="shared" si="107"/>
        <v>0</v>
      </c>
    </row>
    <row r="3421" spans="1:16" ht="20.100000000000001" customHeight="1" x14ac:dyDescent="0.25">
      <c r="A3421" s="918" t="s">
        <v>475</v>
      </c>
      <c r="B3421" s="944" t="s">
        <v>3901</v>
      </c>
      <c r="C3421" s="919" t="s">
        <v>9929</v>
      </c>
      <c r="D3421" s="919" t="s">
        <v>9930</v>
      </c>
      <c r="E3421" s="920">
        <v>700</v>
      </c>
      <c r="F3421" s="919" t="s">
        <v>4041</v>
      </c>
      <c r="G3421" s="919" t="s">
        <v>4062</v>
      </c>
      <c r="H3421" s="919" t="s">
        <v>9930</v>
      </c>
      <c r="I3421" s="919" t="s">
        <v>3693</v>
      </c>
      <c r="J3421" s="919"/>
      <c r="K3421" s="920">
        <v>1</v>
      </c>
      <c r="L3421" s="920">
        <v>12</v>
      </c>
      <c r="M3421" s="920">
        <f t="shared" si="106"/>
        <v>8400</v>
      </c>
      <c r="N3421" s="919"/>
      <c r="O3421" s="919"/>
      <c r="P3421" s="921">
        <f t="shared" si="107"/>
        <v>0</v>
      </c>
    </row>
    <row r="3422" spans="1:16" ht="20.100000000000001" customHeight="1" x14ac:dyDescent="0.25">
      <c r="A3422" s="918" t="s">
        <v>475</v>
      </c>
      <c r="B3422" s="944" t="s">
        <v>3901</v>
      </c>
      <c r="C3422" s="919" t="s">
        <v>9929</v>
      </c>
      <c r="D3422" s="919" t="s">
        <v>9930</v>
      </c>
      <c r="E3422" s="920">
        <v>700</v>
      </c>
      <c r="F3422" s="919" t="s">
        <v>4041</v>
      </c>
      <c r="G3422" s="919" t="s">
        <v>4062</v>
      </c>
      <c r="H3422" s="919" t="s">
        <v>9930</v>
      </c>
      <c r="I3422" s="919" t="s">
        <v>3693</v>
      </c>
      <c r="J3422" s="919"/>
      <c r="K3422" s="920">
        <v>1</v>
      </c>
      <c r="L3422" s="920">
        <v>12</v>
      </c>
      <c r="M3422" s="920">
        <f t="shared" si="106"/>
        <v>8400</v>
      </c>
      <c r="N3422" s="919"/>
      <c r="O3422" s="919"/>
      <c r="P3422" s="921">
        <f t="shared" si="107"/>
        <v>0</v>
      </c>
    </row>
    <row r="3423" spans="1:16" ht="20.100000000000001" customHeight="1" x14ac:dyDescent="0.25">
      <c r="A3423" s="918" t="s">
        <v>475</v>
      </c>
      <c r="B3423" s="944" t="s">
        <v>3901</v>
      </c>
      <c r="C3423" s="919" t="s">
        <v>9929</v>
      </c>
      <c r="D3423" s="919" t="s">
        <v>9930</v>
      </c>
      <c r="E3423" s="920">
        <v>700</v>
      </c>
      <c r="F3423" s="919" t="s">
        <v>4041</v>
      </c>
      <c r="G3423" s="919" t="s">
        <v>4062</v>
      </c>
      <c r="H3423" s="919" t="s">
        <v>9930</v>
      </c>
      <c r="I3423" s="919" t="s">
        <v>3693</v>
      </c>
      <c r="J3423" s="919"/>
      <c r="K3423" s="920">
        <v>1</v>
      </c>
      <c r="L3423" s="920">
        <v>12</v>
      </c>
      <c r="M3423" s="920">
        <f t="shared" si="106"/>
        <v>8400</v>
      </c>
      <c r="N3423" s="919"/>
      <c r="O3423" s="919"/>
      <c r="P3423" s="921">
        <f t="shared" si="107"/>
        <v>0</v>
      </c>
    </row>
    <row r="3424" spans="1:16" ht="20.100000000000001" customHeight="1" x14ac:dyDescent="0.25">
      <c r="A3424" s="918" t="s">
        <v>475</v>
      </c>
      <c r="B3424" s="944" t="s">
        <v>3901</v>
      </c>
      <c r="C3424" s="919" t="s">
        <v>9929</v>
      </c>
      <c r="D3424" s="919" t="s">
        <v>9930</v>
      </c>
      <c r="E3424" s="920">
        <v>700</v>
      </c>
      <c r="F3424" s="919" t="s">
        <v>4041</v>
      </c>
      <c r="G3424" s="919" t="s">
        <v>4062</v>
      </c>
      <c r="H3424" s="919" t="s">
        <v>9930</v>
      </c>
      <c r="I3424" s="919" t="s">
        <v>3693</v>
      </c>
      <c r="J3424" s="919"/>
      <c r="K3424" s="920">
        <v>1</v>
      </c>
      <c r="L3424" s="920">
        <v>12</v>
      </c>
      <c r="M3424" s="920">
        <f t="shared" si="106"/>
        <v>8400</v>
      </c>
      <c r="N3424" s="919"/>
      <c r="O3424" s="919"/>
      <c r="P3424" s="921">
        <f t="shared" si="107"/>
        <v>0</v>
      </c>
    </row>
    <row r="3425" spans="1:16" ht="20.100000000000001" customHeight="1" x14ac:dyDescent="0.25">
      <c r="A3425" s="918" t="s">
        <v>475</v>
      </c>
      <c r="B3425" s="944" t="s">
        <v>3901</v>
      </c>
      <c r="C3425" s="919" t="s">
        <v>9929</v>
      </c>
      <c r="D3425" s="919" t="s">
        <v>9930</v>
      </c>
      <c r="E3425" s="920">
        <v>700</v>
      </c>
      <c r="F3425" s="919" t="s">
        <v>4041</v>
      </c>
      <c r="G3425" s="919" t="s">
        <v>4062</v>
      </c>
      <c r="H3425" s="919" t="s">
        <v>9930</v>
      </c>
      <c r="I3425" s="919" t="s">
        <v>3693</v>
      </c>
      <c r="J3425" s="919"/>
      <c r="K3425" s="920">
        <v>1</v>
      </c>
      <c r="L3425" s="920">
        <v>12</v>
      </c>
      <c r="M3425" s="920">
        <f t="shared" si="106"/>
        <v>8400</v>
      </c>
      <c r="N3425" s="919"/>
      <c r="O3425" s="919"/>
      <c r="P3425" s="921">
        <f t="shared" si="107"/>
        <v>0</v>
      </c>
    </row>
    <row r="3426" spans="1:16" ht="20.100000000000001" customHeight="1" x14ac:dyDescent="0.25">
      <c r="A3426" s="918" t="s">
        <v>475</v>
      </c>
      <c r="B3426" s="944" t="s">
        <v>3901</v>
      </c>
      <c r="C3426" s="919" t="s">
        <v>9929</v>
      </c>
      <c r="D3426" s="919" t="s">
        <v>9930</v>
      </c>
      <c r="E3426" s="920">
        <v>700</v>
      </c>
      <c r="F3426" s="919" t="s">
        <v>4041</v>
      </c>
      <c r="G3426" s="919" t="s">
        <v>4062</v>
      </c>
      <c r="H3426" s="919" t="s">
        <v>9930</v>
      </c>
      <c r="I3426" s="919" t="s">
        <v>3693</v>
      </c>
      <c r="J3426" s="919"/>
      <c r="K3426" s="920">
        <v>1</v>
      </c>
      <c r="L3426" s="920">
        <v>12</v>
      </c>
      <c r="M3426" s="920">
        <f t="shared" si="106"/>
        <v>8400</v>
      </c>
      <c r="N3426" s="919"/>
      <c r="O3426" s="919"/>
      <c r="P3426" s="921">
        <f t="shared" si="107"/>
        <v>0</v>
      </c>
    </row>
    <row r="3427" spans="1:16" ht="20.100000000000001" customHeight="1" x14ac:dyDescent="0.25">
      <c r="A3427" s="918" t="s">
        <v>475</v>
      </c>
      <c r="B3427" s="944" t="s">
        <v>3901</v>
      </c>
      <c r="C3427" s="919" t="s">
        <v>9929</v>
      </c>
      <c r="D3427" s="919" t="s">
        <v>9930</v>
      </c>
      <c r="E3427" s="920">
        <v>700</v>
      </c>
      <c r="F3427" s="919" t="s">
        <v>4041</v>
      </c>
      <c r="G3427" s="919" t="s">
        <v>4062</v>
      </c>
      <c r="H3427" s="919" t="s">
        <v>9930</v>
      </c>
      <c r="I3427" s="919" t="s">
        <v>3693</v>
      </c>
      <c r="J3427" s="919"/>
      <c r="K3427" s="920">
        <v>1</v>
      </c>
      <c r="L3427" s="920">
        <v>12</v>
      </c>
      <c r="M3427" s="920">
        <f t="shared" si="106"/>
        <v>8400</v>
      </c>
      <c r="N3427" s="919"/>
      <c r="O3427" s="919"/>
      <c r="P3427" s="921">
        <f t="shared" si="107"/>
        <v>0</v>
      </c>
    </row>
    <row r="3428" spans="1:16" ht="20.100000000000001" customHeight="1" x14ac:dyDescent="0.25">
      <c r="A3428" s="918" t="s">
        <v>476</v>
      </c>
      <c r="B3428" s="944" t="s">
        <v>3901</v>
      </c>
      <c r="C3428" s="919" t="s">
        <v>3902</v>
      </c>
      <c r="D3428" s="919" t="s">
        <v>4250</v>
      </c>
      <c r="E3428" s="920">
        <v>3500</v>
      </c>
      <c r="F3428" s="919" t="s">
        <v>4041</v>
      </c>
      <c r="G3428" s="919" t="s">
        <v>4042</v>
      </c>
      <c r="H3428" s="919" t="s">
        <v>4250</v>
      </c>
      <c r="I3428" s="919" t="s">
        <v>3679</v>
      </c>
      <c r="J3428" s="919"/>
      <c r="K3428" s="920">
        <v>1</v>
      </c>
      <c r="L3428" s="920">
        <v>12</v>
      </c>
      <c r="M3428" s="920">
        <f t="shared" si="106"/>
        <v>42000</v>
      </c>
      <c r="N3428" s="919"/>
      <c r="O3428" s="919"/>
      <c r="P3428" s="921">
        <f t="shared" si="107"/>
        <v>0</v>
      </c>
    </row>
    <row r="3429" spans="1:16" ht="20.100000000000001" customHeight="1" x14ac:dyDescent="0.25">
      <c r="A3429" s="918" t="s">
        <v>476</v>
      </c>
      <c r="B3429" s="944" t="s">
        <v>3901</v>
      </c>
      <c r="C3429" s="919" t="s">
        <v>3902</v>
      </c>
      <c r="D3429" s="919" t="s">
        <v>4382</v>
      </c>
      <c r="E3429" s="920">
        <v>2500</v>
      </c>
      <c r="F3429" s="919" t="s">
        <v>4041</v>
      </c>
      <c r="G3429" s="919" t="s">
        <v>4042</v>
      </c>
      <c r="H3429" s="919" t="s">
        <v>4382</v>
      </c>
      <c r="I3429" s="919" t="s">
        <v>3679</v>
      </c>
      <c r="J3429" s="919"/>
      <c r="K3429" s="920">
        <v>1</v>
      </c>
      <c r="L3429" s="920">
        <v>12</v>
      </c>
      <c r="M3429" s="920">
        <f t="shared" si="106"/>
        <v>30000</v>
      </c>
      <c r="N3429" s="919"/>
      <c r="O3429" s="919"/>
      <c r="P3429" s="921">
        <f t="shared" si="107"/>
        <v>0</v>
      </c>
    </row>
    <row r="3430" spans="1:16" ht="20.100000000000001" customHeight="1" x14ac:dyDescent="0.25">
      <c r="A3430" s="918" t="s">
        <v>476</v>
      </c>
      <c r="B3430" s="944" t="s">
        <v>3901</v>
      </c>
      <c r="C3430" s="919" t="s">
        <v>3902</v>
      </c>
      <c r="D3430" s="919" t="s">
        <v>4881</v>
      </c>
      <c r="E3430" s="920">
        <v>3200</v>
      </c>
      <c r="F3430" s="919" t="s">
        <v>9931</v>
      </c>
      <c r="G3430" s="919" t="s">
        <v>9932</v>
      </c>
      <c r="H3430" s="919" t="s">
        <v>4881</v>
      </c>
      <c r="I3430" s="919" t="s">
        <v>3679</v>
      </c>
      <c r="J3430" s="919"/>
      <c r="K3430" s="920"/>
      <c r="L3430" s="920"/>
      <c r="M3430" s="920">
        <f t="shared" si="106"/>
        <v>0</v>
      </c>
      <c r="N3430" s="919">
        <v>1</v>
      </c>
      <c r="O3430" s="919">
        <v>3</v>
      </c>
      <c r="P3430" s="921">
        <f t="shared" si="107"/>
        <v>9600</v>
      </c>
    </row>
    <row r="3431" spans="1:16" ht="20.100000000000001" customHeight="1" x14ac:dyDescent="0.25">
      <c r="A3431" s="918" t="s">
        <v>476</v>
      </c>
      <c r="B3431" s="944" t="s">
        <v>3901</v>
      </c>
      <c r="C3431" s="919" t="s">
        <v>3902</v>
      </c>
      <c r="D3431" s="919" t="s">
        <v>4886</v>
      </c>
      <c r="E3431" s="920">
        <v>2300</v>
      </c>
      <c r="F3431" s="919" t="s">
        <v>9933</v>
      </c>
      <c r="G3431" s="919" t="s">
        <v>9934</v>
      </c>
      <c r="H3431" s="919" t="s">
        <v>4886</v>
      </c>
      <c r="I3431" s="919" t="s">
        <v>3679</v>
      </c>
      <c r="J3431" s="919"/>
      <c r="K3431" s="920"/>
      <c r="L3431" s="920"/>
      <c r="M3431" s="920">
        <f t="shared" si="106"/>
        <v>0</v>
      </c>
      <c r="N3431" s="919">
        <v>1</v>
      </c>
      <c r="O3431" s="919">
        <v>3</v>
      </c>
      <c r="P3431" s="921">
        <f t="shared" si="107"/>
        <v>6900</v>
      </c>
    </row>
    <row r="3432" spans="1:16" ht="20.100000000000001" customHeight="1" x14ac:dyDescent="0.25">
      <c r="A3432" s="918" t="s">
        <v>476</v>
      </c>
      <c r="B3432" s="944" t="s">
        <v>3901</v>
      </c>
      <c r="C3432" s="919" t="s">
        <v>3902</v>
      </c>
      <c r="D3432" s="919" t="s">
        <v>4657</v>
      </c>
      <c r="E3432" s="920">
        <v>1150</v>
      </c>
      <c r="F3432" s="919" t="s">
        <v>4041</v>
      </c>
      <c r="G3432" s="919" t="s">
        <v>4042</v>
      </c>
      <c r="H3432" s="919" t="s">
        <v>4657</v>
      </c>
      <c r="I3432" s="919" t="s">
        <v>3686</v>
      </c>
      <c r="J3432" s="919"/>
      <c r="K3432" s="920">
        <v>1</v>
      </c>
      <c r="L3432" s="920">
        <v>12</v>
      </c>
      <c r="M3432" s="920">
        <f t="shared" si="106"/>
        <v>13800</v>
      </c>
      <c r="N3432" s="919"/>
      <c r="O3432" s="919"/>
      <c r="P3432" s="921">
        <f t="shared" si="107"/>
        <v>0</v>
      </c>
    </row>
    <row r="3433" spans="1:16" ht="20.100000000000001" customHeight="1" x14ac:dyDescent="0.25">
      <c r="A3433" s="918" t="s">
        <v>476</v>
      </c>
      <c r="B3433" s="944" t="s">
        <v>3901</v>
      </c>
      <c r="C3433" s="919" t="s">
        <v>3902</v>
      </c>
      <c r="D3433" s="919" t="s">
        <v>4895</v>
      </c>
      <c r="E3433" s="920">
        <v>1150</v>
      </c>
      <c r="F3433" s="919" t="s">
        <v>4041</v>
      </c>
      <c r="G3433" s="919" t="s">
        <v>4062</v>
      </c>
      <c r="H3433" s="919" t="s">
        <v>4895</v>
      </c>
      <c r="I3433" s="919" t="s">
        <v>3693</v>
      </c>
      <c r="J3433" s="919"/>
      <c r="K3433" s="920">
        <v>1</v>
      </c>
      <c r="L3433" s="920">
        <v>12</v>
      </c>
      <c r="M3433" s="920">
        <f t="shared" si="106"/>
        <v>13800</v>
      </c>
      <c r="N3433" s="919"/>
      <c r="O3433" s="919"/>
      <c r="P3433" s="921">
        <f t="shared" si="107"/>
        <v>0</v>
      </c>
    </row>
    <row r="3434" spans="1:16" ht="20.100000000000001" customHeight="1" x14ac:dyDescent="0.25">
      <c r="A3434" s="918" t="s">
        <v>476</v>
      </c>
      <c r="B3434" s="944" t="s">
        <v>3901</v>
      </c>
      <c r="C3434" s="919" t="s">
        <v>3902</v>
      </c>
      <c r="D3434" s="919" t="s">
        <v>4895</v>
      </c>
      <c r="E3434" s="920">
        <v>1150</v>
      </c>
      <c r="F3434" s="919" t="s">
        <v>9935</v>
      </c>
      <c r="G3434" s="919" t="s">
        <v>9936</v>
      </c>
      <c r="H3434" s="919" t="s">
        <v>4895</v>
      </c>
      <c r="I3434" s="919" t="s">
        <v>3693</v>
      </c>
      <c r="J3434" s="919"/>
      <c r="K3434" s="920"/>
      <c r="L3434" s="920"/>
      <c r="M3434" s="920">
        <f t="shared" si="106"/>
        <v>0</v>
      </c>
      <c r="N3434" s="919">
        <v>1</v>
      </c>
      <c r="O3434" s="919">
        <v>3</v>
      </c>
      <c r="P3434" s="921">
        <f t="shared" si="107"/>
        <v>3450</v>
      </c>
    </row>
    <row r="3435" spans="1:16" ht="20.100000000000001" customHeight="1" x14ac:dyDescent="0.25">
      <c r="A3435" s="918" t="s">
        <v>476</v>
      </c>
      <c r="B3435" s="944" t="s">
        <v>3901</v>
      </c>
      <c r="C3435" s="919" t="s">
        <v>3902</v>
      </c>
      <c r="D3435" s="919" t="s">
        <v>4502</v>
      </c>
      <c r="E3435" s="920">
        <v>1150</v>
      </c>
      <c r="F3435" s="919" t="s">
        <v>9937</v>
      </c>
      <c r="G3435" s="919" t="s">
        <v>9938</v>
      </c>
      <c r="H3435" s="919" t="s">
        <v>4502</v>
      </c>
      <c r="I3435" s="919" t="s">
        <v>3686</v>
      </c>
      <c r="J3435" s="919"/>
      <c r="K3435" s="920"/>
      <c r="L3435" s="920"/>
      <c r="M3435" s="920">
        <f t="shared" si="106"/>
        <v>0</v>
      </c>
      <c r="N3435" s="919">
        <v>1</v>
      </c>
      <c r="O3435" s="919">
        <v>3</v>
      </c>
      <c r="P3435" s="921">
        <f t="shared" si="107"/>
        <v>3450</v>
      </c>
    </row>
    <row r="3436" spans="1:16" ht="20.100000000000001" customHeight="1" x14ac:dyDescent="0.25">
      <c r="A3436" s="918" t="s">
        <v>476</v>
      </c>
      <c r="B3436" s="944" t="s">
        <v>3901</v>
      </c>
      <c r="C3436" s="919" t="s">
        <v>3902</v>
      </c>
      <c r="D3436" s="919" t="s">
        <v>4502</v>
      </c>
      <c r="E3436" s="920">
        <v>1150</v>
      </c>
      <c r="F3436" s="919" t="s">
        <v>9939</v>
      </c>
      <c r="G3436" s="919" t="s">
        <v>9940</v>
      </c>
      <c r="H3436" s="919" t="s">
        <v>4502</v>
      </c>
      <c r="I3436" s="919" t="s">
        <v>3686</v>
      </c>
      <c r="J3436" s="919"/>
      <c r="K3436" s="920"/>
      <c r="L3436" s="920"/>
      <c r="M3436" s="920">
        <f t="shared" si="106"/>
        <v>0</v>
      </c>
      <c r="N3436" s="919">
        <v>1</v>
      </c>
      <c r="O3436" s="919">
        <v>3</v>
      </c>
      <c r="P3436" s="921">
        <f t="shared" si="107"/>
        <v>3450</v>
      </c>
    </row>
    <row r="3437" spans="1:16" ht="20.100000000000001" customHeight="1" x14ac:dyDescent="0.25">
      <c r="A3437" s="918" t="s">
        <v>476</v>
      </c>
      <c r="B3437" s="944" t="s">
        <v>3901</v>
      </c>
      <c r="C3437" s="919" t="s">
        <v>3902</v>
      </c>
      <c r="D3437" s="919" t="s">
        <v>4502</v>
      </c>
      <c r="E3437" s="920">
        <v>1150</v>
      </c>
      <c r="F3437" s="919" t="s">
        <v>9941</v>
      </c>
      <c r="G3437" s="919" t="s">
        <v>9942</v>
      </c>
      <c r="H3437" s="919" t="s">
        <v>4502</v>
      </c>
      <c r="I3437" s="919" t="s">
        <v>3686</v>
      </c>
      <c r="J3437" s="919"/>
      <c r="K3437" s="920"/>
      <c r="L3437" s="920"/>
      <c r="M3437" s="920">
        <f t="shared" si="106"/>
        <v>0</v>
      </c>
      <c r="N3437" s="919">
        <v>1</v>
      </c>
      <c r="O3437" s="919">
        <v>3</v>
      </c>
      <c r="P3437" s="921">
        <f t="shared" si="107"/>
        <v>3450</v>
      </c>
    </row>
    <row r="3438" spans="1:16" ht="20.100000000000001" customHeight="1" x14ac:dyDescent="0.25">
      <c r="A3438" s="918" t="s">
        <v>476</v>
      </c>
      <c r="B3438" s="944" t="s">
        <v>3901</v>
      </c>
      <c r="C3438" s="919" t="s">
        <v>3902</v>
      </c>
      <c r="D3438" s="919" t="s">
        <v>4502</v>
      </c>
      <c r="E3438" s="920">
        <v>1150</v>
      </c>
      <c r="F3438" s="919" t="s">
        <v>9943</v>
      </c>
      <c r="G3438" s="919" t="s">
        <v>9944</v>
      </c>
      <c r="H3438" s="919" t="s">
        <v>4502</v>
      </c>
      <c r="I3438" s="919" t="s">
        <v>3686</v>
      </c>
      <c r="J3438" s="919"/>
      <c r="K3438" s="920"/>
      <c r="L3438" s="920"/>
      <c r="M3438" s="920">
        <f t="shared" si="106"/>
        <v>0</v>
      </c>
      <c r="N3438" s="919">
        <v>1</v>
      </c>
      <c r="O3438" s="919">
        <v>3</v>
      </c>
      <c r="P3438" s="921">
        <f t="shared" si="107"/>
        <v>3450</v>
      </c>
    </row>
    <row r="3439" spans="1:16" ht="20.100000000000001" customHeight="1" x14ac:dyDescent="0.25">
      <c r="A3439" s="918" t="s">
        <v>476</v>
      </c>
      <c r="B3439" s="944" t="s">
        <v>3901</v>
      </c>
      <c r="C3439" s="919" t="s">
        <v>3902</v>
      </c>
      <c r="D3439" s="919" t="s">
        <v>4502</v>
      </c>
      <c r="E3439" s="920">
        <v>1150</v>
      </c>
      <c r="F3439" s="919" t="s">
        <v>9945</v>
      </c>
      <c r="G3439" s="919" t="s">
        <v>9946</v>
      </c>
      <c r="H3439" s="919" t="s">
        <v>4502</v>
      </c>
      <c r="I3439" s="919" t="s">
        <v>3686</v>
      </c>
      <c r="J3439" s="919"/>
      <c r="K3439" s="920"/>
      <c r="L3439" s="920"/>
      <c r="M3439" s="920">
        <f t="shared" si="106"/>
        <v>0</v>
      </c>
      <c r="N3439" s="919">
        <v>1</v>
      </c>
      <c r="O3439" s="919">
        <v>3</v>
      </c>
      <c r="P3439" s="921">
        <f t="shared" si="107"/>
        <v>3450</v>
      </c>
    </row>
    <row r="3440" spans="1:16" ht="20.100000000000001" customHeight="1" x14ac:dyDescent="0.25">
      <c r="A3440" s="918" t="s">
        <v>476</v>
      </c>
      <c r="B3440" s="944" t="s">
        <v>3901</v>
      </c>
      <c r="C3440" s="919" t="s">
        <v>3902</v>
      </c>
      <c r="D3440" s="919" t="s">
        <v>4502</v>
      </c>
      <c r="E3440" s="920">
        <v>1150</v>
      </c>
      <c r="F3440" s="919" t="s">
        <v>9947</v>
      </c>
      <c r="G3440" s="919" t="s">
        <v>9948</v>
      </c>
      <c r="H3440" s="919" t="s">
        <v>4502</v>
      </c>
      <c r="I3440" s="919" t="s">
        <v>3686</v>
      </c>
      <c r="J3440" s="919"/>
      <c r="K3440" s="920"/>
      <c r="L3440" s="920"/>
      <c r="M3440" s="920">
        <f t="shared" si="106"/>
        <v>0</v>
      </c>
      <c r="N3440" s="919">
        <v>1</v>
      </c>
      <c r="O3440" s="919">
        <v>3</v>
      </c>
      <c r="P3440" s="921">
        <f t="shared" si="107"/>
        <v>3450</v>
      </c>
    </row>
    <row r="3441" spans="1:16" ht="20.100000000000001" customHeight="1" x14ac:dyDescent="0.25">
      <c r="A3441" s="918" t="s">
        <v>476</v>
      </c>
      <c r="B3441" s="944" t="s">
        <v>3901</v>
      </c>
      <c r="C3441" s="919" t="s">
        <v>3902</v>
      </c>
      <c r="D3441" s="919" t="s">
        <v>4502</v>
      </c>
      <c r="E3441" s="920">
        <v>1150</v>
      </c>
      <c r="F3441" s="919" t="s">
        <v>9949</v>
      </c>
      <c r="G3441" s="919" t="s">
        <v>9950</v>
      </c>
      <c r="H3441" s="919" t="s">
        <v>4502</v>
      </c>
      <c r="I3441" s="919" t="s">
        <v>3686</v>
      </c>
      <c r="J3441" s="919"/>
      <c r="K3441" s="920"/>
      <c r="L3441" s="920"/>
      <c r="M3441" s="920">
        <f t="shared" si="106"/>
        <v>0</v>
      </c>
      <c r="N3441" s="919">
        <v>1</v>
      </c>
      <c r="O3441" s="919">
        <v>3</v>
      </c>
      <c r="P3441" s="921">
        <f t="shared" si="107"/>
        <v>3450</v>
      </c>
    </row>
    <row r="3442" spans="1:16" ht="20.100000000000001" customHeight="1" x14ac:dyDescent="0.25">
      <c r="A3442" s="918" t="s">
        <v>476</v>
      </c>
      <c r="B3442" s="944" t="s">
        <v>3901</v>
      </c>
      <c r="C3442" s="919" t="s">
        <v>3902</v>
      </c>
      <c r="D3442" s="919" t="s">
        <v>4502</v>
      </c>
      <c r="E3442" s="920">
        <v>1150</v>
      </c>
      <c r="F3442" s="919" t="s">
        <v>9951</v>
      </c>
      <c r="G3442" s="919" t="s">
        <v>9952</v>
      </c>
      <c r="H3442" s="919" t="s">
        <v>4502</v>
      </c>
      <c r="I3442" s="919" t="s">
        <v>3686</v>
      </c>
      <c r="J3442" s="919"/>
      <c r="K3442" s="920"/>
      <c r="L3442" s="920"/>
      <c r="M3442" s="920">
        <f t="shared" si="106"/>
        <v>0</v>
      </c>
      <c r="N3442" s="919">
        <v>1</v>
      </c>
      <c r="O3442" s="919">
        <v>3</v>
      </c>
      <c r="P3442" s="921">
        <f t="shared" si="107"/>
        <v>3450</v>
      </c>
    </row>
    <row r="3443" spans="1:16" ht="20.100000000000001" customHeight="1" x14ac:dyDescent="0.25">
      <c r="A3443" s="918" t="s">
        <v>476</v>
      </c>
      <c r="B3443" s="944" t="s">
        <v>3901</v>
      </c>
      <c r="C3443" s="919" t="s">
        <v>3902</v>
      </c>
      <c r="D3443" s="919" t="s">
        <v>4502</v>
      </c>
      <c r="E3443" s="920">
        <v>1150</v>
      </c>
      <c r="F3443" s="919" t="s">
        <v>4041</v>
      </c>
      <c r="G3443" s="919" t="s">
        <v>4042</v>
      </c>
      <c r="H3443" s="919" t="s">
        <v>4502</v>
      </c>
      <c r="I3443" s="919" t="s">
        <v>3686</v>
      </c>
      <c r="J3443" s="919"/>
      <c r="K3443" s="920">
        <v>1</v>
      </c>
      <c r="L3443" s="920">
        <v>12</v>
      </c>
      <c r="M3443" s="920">
        <f t="shared" si="106"/>
        <v>13800</v>
      </c>
      <c r="N3443" s="919"/>
      <c r="O3443" s="919"/>
      <c r="P3443" s="921">
        <f t="shared" si="107"/>
        <v>0</v>
      </c>
    </row>
    <row r="3444" spans="1:16" ht="20.100000000000001" customHeight="1" x14ac:dyDescent="0.25">
      <c r="A3444" s="918" t="s">
        <v>476</v>
      </c>
      <c r="B3444" s="944" t="s">
        <v>3901</v>
      </c>
      <c r="C3444" s="919" t="s">
        <v>3902</v>
      </c>
      <c r="D3444" s="919" t="s">
        <v>4502</v>
      </c>
      <c r="E3444" s="920">
        <v>1150</v>
      </c>
      <c r="F3444" s="919" t="s">
        <v>9953</v>
      </c>
      <c r="G3444" s="919" t="s">
        <v>9954</v>
      </c>
      <c r="H3444" s="919" t="s">
        <v>4502</v>
      </c>
      <c r="I3444" s="919" t="s">
        <v>3686</v>
      </c>
      <c r="J3444" s="919"/>
      <c r="K3444" s="920"/>
      <c r="L3444" s="920"/>
      <c r="M3444" s="920">
        <f t="shared" si="106"/>
        <v>0</v>
      </c>
      <c r="N3444" s="919">
        <v>1</v>
      </c>
      <c r="O3444" s="919">
        <v>3</v>
      </c>
      <c r="P3444" s="921">
        <f t="shared" si="107"/>
        <v>3450</v>
      </c>
    </row>
    <row r="3445" spans="1:16" ht="20.100000000000001" customHeight="1" x14ac:dyDescent="0.25">
      <c r="A3445" s="918" t="s">
        <v>476</v>
      </c>
      <c r="B3445" s="944" t="s">
        <v>3901</v>
      </c>
      <c r="C3445" s="919" t="s">
        <v>3902</v>
      </c>
      <c r="D3445" s="919" t="s">
        <v>4531</v>
      </c>
      <c r="E3445" s="920">
        <v>1800</v>
      </c>
      <c r="F3445" s="919" t="s">
        <v>9955</v>
      </c>
      <c r="G3445" s="919" t="s">
        <v>9956</v>
      </c>
      <c r="H3445" s="919" t="s">
        <v>4531</v>
      </c>
      <c r="I3445" s="919" t="s">
        <v>3679</v>
      </c>
      <c r="J3445" s="919"/>
      <c r="K3445" s="920"/>
      <c r="L3445" s="920"/>
      <c r="M3445" s="920">
        <f t="shared" si="106"/>
        <v>0</v>
      </c>
      <c r="N3445" s="919">
        <v>1</v>
      </c>
      <c r="O3445" s="919">
        <v>3</v>
      </c>
      <c r="P3445" s="921">
        <f t="shared" si="107"/>
        <v>5400</v>
      </c>
    </row>
    <row r="3446" spans="1:16" ht="20.100000000000001" customHeight="1" x14ac:dyDescent="0.25">
      <c r="A3446" s="918" t="s">
        <v>476</v>
      </c>
      <c r="B3446" s="944" t="s">
        <v>3901</v>
      </c>
      <c r="C3446" s="919" t="s">
        <v>3902</v>
      </c>
      <c r="D3446" s="919" t="s">
        <v>4531</v>
      </c>
      <c r="E3446" s="920">
        <v>1800</v>
      </c>
      <c r="F3446" s="919" t="s">
        <v>9957</v>
      </c>
      <c r="G3446" s="919" t="s">
        <v>9958</v>
      </c>
      <c r="H3446" s="919" t="s">
        <v>4531</v>
      </c>
      <c r="I3446" s="919" t="s">
        <v>3679</v>
      </c>
      <c r="J3446" s="919"/>
      <c r="K3446" s="920"/>
      <c r="L3446" s="920"/>
      <c r="M3446" s="920">
        <f t="shared" si="106"/>
        <v>0</v>
      </c>
      <c r="N3446" s="919">
        <v>1</v>
      </c>
      <c r="O3446" s="919">
        <v>3</v>
      </c>
      <c r="P3446" s="921">
        <f t="shared" si="107"/>
        <v>5400</v>
      </c>
    </row>
    <row r="3447" spans="1:16" ht="20.100000000000001" customHeight="1" x14ac:dyDescent="0.25">
      <c r="A3447" s="918" t="s">
        <v>476</v>
      </c>
      <c r="B3447" s="944" t="s">
        <v>3901</v>
      </c>
      <c r="C3447" s="919" t="s">
        <v>3902</v>
      </c>
      <c r="D3447" s="919" t="s">
        <v>4531</v>
      </c>
      <c r="E3447" s="920">
        <v>1800</v>
      </c>
      <c r="F3447" s="919" t="s">
        <v>9959</v>
      </c>
      <c r="G3447" s="919" t="s">
        <v>9960</v>
      </c>
      <c r="H3447" s="919" t="s">
        <v>4531</v>
      </c>
      <c r="I3447" s="919" t="s">
        <v>3679</v>
      </c>
      <c r="J3447" s="919"/>
      <c r="K3447" s="920"/>
      <c r="L3447" s="920"/>
      <c r="M3447" s="920">
        <f t="shared" si="106"/>
        <v>0</v>
      </c>
      <c r="N3447" s="919">
        <v>1</v>
      </c>
      <c r="O3447" s="919">
        <v>3</v>
      </c>
      <c r="P3447" s="921">
        <f t="shared" si="107"/>
        <v>5400</v>
      </c>
    </row>
    <row r="3448" spans="1:16" ht="20.100000000000001" customHeight="1" x14ac:dyDescent="0.25">
      <c r="A3448" s="918" t="s">
        <v>476</v>
      </c>
      <c r="B3448" s="944" t="s">
        <v>3901</v>
      </c>
      <c r="C3448" s="919" t="s">
        <v>3902</v>
      </c>
      <c r="D3448" s="919" t="s">
        <v>4531</v>
      </c>
      <c r="E3448" s="920">
        <v>1800</v>
      </c>
      <c r="F3448" s="919" t="s">
        <v>9961</v>
      </c>
      <c r="G3448" s="919" t="s">
        <v>9962</v>
      </c>
      <c r="H3448" s="919" t="s">
        <v>4531</v>
      </c>
      <c r="I3448" s="919" t="s">
        <v>3679</v>
      </c>
      <c r="J3448" s="919"/>
      <c r="K3448" s="920"/>
      <c r="L3448" s="920"/>
      <c r="M3448" s="920">
        <f t="shared" si="106"/>
        <v>0</v>
      </c>
      <c r="N3448" s="919">
        <v>1</v>
      </c>
      <c r="O3448" s="919">
        <v>3</v>
      </c>
      <c r="P3448" s="921">
        <f t="shared" si="107"/>
        <v>5400</v>
      </c>
    </row>
    <row r="3449" spans="1:16" ht="20.100000000000001" customHeight="1" x14ac:dyDescent="0.25">
      <c r="A3449" s="918" t="s">
        <v>476</v>
      </c>
      <c r="B3449" s="944" t="s">
        <v>3901</v>
      </c>
      <c r="C3449" s="919" t="s">
        <v>3902</v>
      </c>
      <c r="D3449" s="919" t="s">
        <v>4531</v>
      </c>
      <c r="E3449" s="920">
        <v>1800</v>
      </c>
      <c r="F3449" s="919" t="s">
        <v>9963</v>
      </c>
      <c r="G3449" s="919" t="s">
        <v>9964</v>
      </c>
      <c r="H3449" s="919" t="s">
        <v>4531</v>
      </c>
      <c r="I3449" s="919" t="s">
        <v>3679</v>
      </c>
      <c r="J3449" s="919"/>
      <c r="K3449" s="920"/>
      <c r="L3449" s="920"/>
      <c r="M3449" s="920">
        <f t="shared" si="106"/>
        <v>0</v>
      </c>
      <c r="N3449" s="919">
        <v>1</v>
      </c>
      <c r="O3449" s="919">
        <v>3</v>
      </c>
      <c r="P3449" s="921">
        <f t="shared" si="107"/>
        <v>5400</v>
      </c>
    </row>
    <row r="3450" spans="1:16" ht="20.100000000000001" customHeight="1" x14ac:dyDescent="0.25">
      <c r="A3450" s="918" t="s">
        <v>476</v>
      </c>
      <c r="B3450" s="944" t="s">
        <v>3901</v>
      </c>
      <c r="C3450" s="919" t="s">
        <v>3902</v>
      </c>
      <c r="D3450" s="919" t="s">
        <v>4531</v>
      </c>
      <c r="E3450" s="920">
        <v>1800</v>
      </c>
      <c r="F3450" s="919" t="s">
        <v>9965</v>
      </c>
      <c r="G3450" s="919" t="s">
        <v>9966</v>
      </c>
      <c r="H3450" s="919" t="s">
        <v>4531</v>
      </c>
      <c r="I3450" s="919" t="s">
        <v>3679</v>
      </c>
      <c r="J3450" s="919"/>
      <c r="K3450" s="920"/>
      <c r="L3450" s="920"/>
      <c r="M3450" s="920">
        <f t="shared" si="106"/>
        <v>0</v>
      </c>
      <c r="N3450" s="919">
        <v>1</v>
      </c>
      <c r="O3450" s="919">
        <v>3</v>
      </c>
      <c r="P3450" s="921">
        <f t="shared" si="107"/>
        <v>5400</v>
      </c>
    </row>
    <row r="3451" spans="1:16" ht="20.100000000000001" customHeight="1" x14ac:dyDescent="0.25">
      <c r="A3451" s="918" t="s">
        <v>476</v>
      </c>
      <c r="B3451" s="944" t="s">
        <v>3901</v>
      </c>
      <c r="C3451" s="919" t="s">
        <v>3902</v>
      </c>
      <c r="D3451" s="919" t="s">
        <v>4531</v>
      </c>
      <c r="E3451" s="920">
        <v>1800</v>
      </c>
      <c r="F3451" s="919" t="s">
        <v>9967</v>
      </c>
      <c r="G3451" s="919" t="s">
        <v>9968</v>
      </c>
      <c r="H3451" s="919" t="s">
        <v>4531</v>
      </c>
      <c r="I3451" s="919" t="s">
        <v>3679</v>
      </c>
      <c r="J3451" s="919"/>
      <c r="K3451" s="920"/>
      <c r="L3451" s="920"/>
      <c r="M3451" s="920">
        <f t="shared" si="106"/>
        <v>0</v>
      </c>
      <c r="N3451" s="919">
        <v>1</v>
      </c>
      <c r="O3451" s="919">
        <v>3</v>
      </c>
      <c r="P3451" s="921">
        <f t="shared" si="107"/>
        <v>5400</v>
      </c>
    </row>
    <row r="3452" spans="1:16" ht="20.100000000000001" customHeight="1" x14ac:dyDescent="0.25">
      <c r="A3452" s="918" t="s">
        <v>476</v>
      </c>
      <c r="B3452" s="944" t="s">
        <v>3901</v>
      </c>
      <c r="C3452" s="919" t="s">
        <v>3902</v>
      </c>
      <c r="D3452" s="919" t="s">
        <v>4531</v>
      </c>
      <c r="E3452" s="920">
        <v>1800</v>
      </c>
      <c r="F3452" s="919" t="s">
        <v>9969</v>
      </c>
      <c r="G3452" s="919" t="s">
        <v>9970</v>
      </c>
      <c r="H3452" s="919" t="s">
        <v>4531</v>
      </c>
      <c r="I3452" s="919" t="s">
        <v>3679</v>
      </c>
      <c r="J3452" s="919"/>
      <c r="K3452" s="920"/>
      <c r="L3452" s="920"/>
      <c r="M3452" s="920">
        <f t="shared" si="106"/>
        <v>0</v>
      </c>
      <c r="N3452" s="919">
        <v>1</v>
      </c>
      <c r="O3452" s="919">
        <v>3</v>
      </c>
      <c r="P3452" s="921">
        <f t="shared" si="107"/>
        <v>5400</v>
      </c>
    </row>
    <row r="3453" spans="1:16" ht="20.100000000000001" customHeight="1" x14ac:dyDescent="0.25">
      <c r="A3453" s="918" t="s">
        <v>476</v>
      </c>
      <c r="B3453" s="944" t="s">
        <v>3901</v>
      </c>
      <c r="C3453" s="919" t="s">
        <v>3902</v>
      </c>
      <c r="D3453" s="919" t="s">
        <v>4531</v>
      </c>
      <c r="E3453" s="920">
        <v>1800</v>
      </c>
      <c r="F3453" s="919" t="s">
        <v>9971</v>
      </c>
      <c r="G3453" s="919" t="s">
        <v>9972</v>
      </c>
      <c r="H3453" s="919" t="s">
        <v>4531</v>
      </c>
      <c r="I3453" s="919" t="s">
        <v>3679</v>
      </c>
      <c r="J3453" s="919"/>
      <c r="K3453" s="920"/>
      <c r="L3453" s="920"/>
      <c r="M3453" s="920">
        <f t="shared" si="106"/>
        <v>0</v>
      </c>
      <c r="N3453" s="919">
        <v>1</v>
      </c>
      <c r="O3453" s="919">
        <v>3</v>
      </c>
      <c r="P3453" s="921">
        <f t="shared" si="107"/>
        <v>5400</v>
      </c>
    </row>
    <row r="3454" spans="1:16" ht="20.100000000000001" customHeight="1" x14ac:dyDescent="0.25">
      <c r="A3454" s="918" t="s">
        <v>476</v>
      </c>
      <c r="B3454" s="944" t="s">
        <v>3901</v>
      </c>
      <c r="C3454" s="919" t="s">
        <v>3902</v>
      </c>
      <c r="D3454" s="919" t="s">
        <v>4531</v>
      </c>
      <c r="E3454" s="920">
        <v>1800</v>
      </c>
      <c r="F3454" s="919" t="s">
        <v>9973</v>
      </c>
      <c r="G3454" s="919" t="s">
        <v>9974</v>
      </c>
      <c r="H3454" s="919" t="s">
        <v>4531</v>
      </c>
      <c r="I3454" s="919" t="s">
        <v>3679</v>
      </c>
      <c r="J3454" s="919"/>
      <c r="K3454" s="920"/>
      <c r="L3454" s="920"/>
      <c r="M3454" s="920">
        <f t="shared" si="106"/>
        <v>0</v>
      </c>
      <c r="N3454" s="919">
        <v>1</v>
      </c>
      <c r="O3454" s="919">
        <v>3</v>
      </c>
      <c r="P3454" s="921">
        <f t="shared" si="107"/>
        <v>5400</v>
      </c>
    </row>
    <row r="3455" spans="1:16" ht="20.100000000000001" customHeight="1" x14ac:dyDescent="0.25">
      <c r="A3455" s="918" t="s">
        <v>476</v>
      </c>
      <c r="B3455" s="944" t="s">
        <v>3901</v>
      </c>
      <c r="C3455" s="919" t="s">
        <v>3902</v>
      </c>
      <c r="D3455" s="919" t="s">
        <v>4531</v>
      </c>
      <c r="E3455" s="920">
        <v>1800</v>
      </c>
      <c r="F3455" s="919" t="s">
        <v>9975</v>
      </c>
      <c r="G3455" s="919" t="s">
        <v>9976</v>
      </c>
      <c r="H3455" s="919" t="s">
        <v>4531</v>
      </c>
      <c r="I3455" s="919" t="s">
        <v>3679</v>
      </c>
      <c r="J3455" s="919"/>
      <c r="K3455" s="920"/>
      <c r="L3455" s="920"/>
      <c r="M3455" s="920">
        <f t="shared" si="106"/>
        <v>0</v>
      </c>
      <c r="N3455" s="919">
        <v>1</v>
      </c>
      <c r="O3455" s="919">
        <v>3</v>
      </c>
      <c r="P3455" s="921">
        <f t="shared" si="107"/>
        <v>5400</v>
      </c>
    </row>
    <row r="3456" spans="1:16" ht="20.100000000000001" customHeight="1" x14ac:dyDescent="0.25">
      <c r="A3456" s="918" t="s">
        <v>476</v>
      </c>
      <c r="B3456" s="944" t="s">
        <v>3901</v>
      </c>
      <c r="C3456" s="919" t="s">
        <v>3902</v>
      </c>
      <c r="D3456" s="919" t="s">
        <v>4531</v>
      </c>
      <c r="E3456" s="920">
        <v>1800</v>
      </c>
      <c r="F3456" s="919" t="s">
        <v>9977</v>
      </c>
      <c r="G3456" s="919" t="s">
        <v>9978</v>
      </c>
      <c r="H3456" s="919" t="s">
        <v>4531</v>
      </c>
      <c r="I3456" s="919" t="s">
        <v>3679</v>
      </c>
      <c r="J3456" s="919"/>
      <c r="K3456" s="920"/>
      <c r="L3456" s="920"/>
      <c r="M3456" s="920">
        <f t="shared" si="106"/>
        <v>0</v>
      </c>
      <c r="N3456" s="919">
        <v>1</v>
      </c>
      <c r="O3456" s="919">
        <v>3</v>
      </c>
      <c r="P3456" s="921">
        <f t="shared" si="107"/>
        <v>5400</v>
      </c>
    </row>
    <row r="3457" spans="1:16" ht="20.100000000000001" customHeight="1" x14ac:dyDescent="0.25">
      <c r="A3457" s="918" t="s">
        <v>476</v>
      </c>
      <c r="B3457" s="944" t="s">
        <v>3901</v>
      </c>
      <c r="C3457" s="919" t="s">
        <v>3902</v>
      </c>
      <c r="D3457" s="919" t="s">
        <v>4531</v>
      </c>
      <c r="E3457" s="920">
        <v>1800</v>
      </c>
      <c r="F3457" s="919" t="s">
        <v>9979</v>
      </c>
      <c r="G3457" s="919" t="s">
        <v>9980</v>
      </c>
      <c r="H3457" s="919" t="s">
        <v>4531</v>
      </c>
      <c r="I3457" s="919" t="s">
        <v>3679</v>
      </c>
      <c r="J3457" s="919"/>
      <c r="K3457" s="920"/>
      <c r="L3457" s="920"/>
      <c r="M3457" s="920">
        <f t="shared" si="106"/>
        <v>0</v>
      </c>
      <c r="N3457" s="919">
        <v>1</v>
      </c>
      <c r="O3457" s="919">
        <v>3</v>
      </c>
      <c r="P3457" s="921">
        <f t="shared" si="107"/>
        <v>5400</v>
      </c>
    </row>
    <row r="3458" spans="1:16" ht="20.100000000000001" customHeight="1" x14ac:dyDescent="0.25">
      <c r="A3458" s="918" t="s">
        <v>476</v>
      </c>
      <c r="B3458" s="944" t="s">
        <v>3901</v>
      </c>
      <c r="C3458" s="919" t="s">
        <v>3902</v>
      </c>
      <c r="D3458" s="919" t="s">
        <v>4531</v>
      </c>
      <c r="E3458" s="920">
        <v>1800</v>
      </c>
      <c r="F3458" s="919" t="s">
        <v>9981</v>
      </c>
      <c r="G3458" s="919" t="s">
        <v>9982</v>
      </c>
      <c r="H3458" s="919" t="s">
        <v>4531</v>
      </c>
      <c r="I3458" s="919" t="s">
        <v>3679</v>
      </c>
      <c r="J3458" s="919"/>
      <c r="K3458" s="920"/>
      <c r="L3458" s="920"/>
      <c r="M3458" s="920">
        <f t="shared" si="106"/>
        <v>0</v>
      </c>
      <c r="N3458" s="919">
        <v>1</v>
      </c>
      <c r="O3458" s="919">
        <v>3</v>
      </c>
      <c r="P3458" s="921">
        <f t="shared" si="107"/>
        <v>5400</v>
      </c>
    </row>
    <row r="3459" spans="1:16" ht="20.100000000000001" customHeight="1" x14ac:dyDescent="0.25">
      <c r="A3459" s="918" t="s">
        <v>476</v>
      </c>
      <c r="B3459" s="944" t="s">
        <v>3901</v>
      </c>
      <c r="C3459" s="919" t="s">
        <v>3902</v>
      </c>
      <c r="D3459" s="919" t="s">
        <v>4382</v>
      </c>
      <c r="E3459" s="920">
        <v>2500</v>
      </c>
      <c r="F3459" s="919" t="s">
        <v>9983</v>
      </c>
      <c r="G3459" s="919" t="s">
        <v>9984</v>
      </c>
      <c r="H3459" s="919" t="s">
        <v>4382</v>
      </c>
      <c r="I3459" s="919" t="s">
        <v>3679</v>
      </c>
      <c r="J3459" s="919"/>
      <c r="K3459" s="920"/>
      <c r="L3459" s="920"/>
      <c r="M3459" s="920">
        <f t="shared" si="106"/>
        <v>0</v>
      </c>
      <c r="N3459" s="919">
        <v>1</v>
      </c>
      <c r="O3459" s="919">
        <v>3</v>
      </c>
      <c r="P3459" s="921">
        <f t="shared" si="107"/>
        <v>7500</v>
      </c>
    </row>
    <row r="3460" spans="1:16" ht="20.100000000000001" customHeight="1" x14ac:dyDescent="0.25">
      <c r="A3460" s="918" t="s">
        <v>476</v>
      </c>
      <c r="B3460" s="944" t="s">
        <v>3901</v>
      </c>
      <c r="C3460" s="919" t="s">
        <v>3902</v>
      </c>
      <c r="D3460" s="919" t="s">
        <v>4382</v>
      </c>
      <c r="E3460" s="920">
        <v>2500</v>
      </c>
      <c r="F3460" s="919" t="s">
        <v>9985</v>
      </c>
      <c r="G3460" s="919" t="s">
        <v>9986</v>
      </c>
      <c r="H3460" s="919" t="s">
        <v>4382</v>
      </c>
      <c r="I3460" s="919" t="s">
        <v>3679</v>
      </c>
      <c r="J3460" s="919"/>
      <c r="K3460" s="920"/>
      <c r="L3460" s="920"/>
      <c r="M3460" s="920">
        <f t="shared" si="106"/>
        <v>0</v>
      </c>
      <c r="N3460" s="919">
        <v>1</v>
      </c>
      <c r="O3460" s="919">
        <v>3</v>
      </c>
      <c r="P3460" s="921">
        <f t="shared" si="107"/>
        <v>7500</v>
      </c>
    </row>
    <row r="3461" spans="1:16" ht="20.100000000000001" customHeight="1" x14ac:dyDescent="0.25">
      <c r="A3461" s="918" t="s">
        <v>476</v>
      </c>
      <c r="B3461" s="944" t="s">
        <v>3901</v>
      </c>
      <c r="C3461" s="919" t="s">
        <v>3902</v>
      </c>
      <c r="D3461" s="919" t="s">
        <v>4382</v>
      </c>
      <c r="E3461" s="920">
        <v>2500</v>
      </c>
      <c r="F3461" s="919" t="s">
        <v>9987</v>
      </c>
      <c r="G3461" s="919" t="s">
        <v>9988</v>
      </c>
      <c r="H3461" s="919" t="s">
        <v>4382</v>
      </c>
      <c r="I3461" s="919" t="s">
        <v>3679</v>
      </c>
      <c r="J3461" s="919"/>
      <c r="K3461" s="920"/>
      <c r="L3461" s="920"/>
      <c r="M3461" s="920">
        <f t="shared" si="106"/>
        <v>0</v>
      </c>
      <c r="N3461" s="919">
        <v>1</v>
      </c>
      <c r="O3461" s="919">
        <v>3</v>
      </c>
      <c r="P3461" s="921">
        <f t="shared" si="107"/>
        <v>7500</v>
      </c>
    </row>
    <row r="3462" spans="1:16" ht="20.100000000000001" customHeight="1" x14ac:dyDescent="0.25">
      <c r="A3462" s="918" t="s">
        <v>476</v>
      </c>
      <c r="B3462" s="944" t="s">
        <v>3901</v>
      </c>
      <c r="C3462" s="919" t="s">
        <v>3902</v>
      </c>
      <c r="D3462" s="919" t="s">
        <v>4382</v>
      </c>
      <c r="E3462" s="920">
        <v>2500</v>
      </c>
      <c r="F3462" s="919" t="s">
        <v>9989</v>
      </c>
      <c r="G3462" s="919" t="s">
        <v>9990</v>
      </c>
      <c r="H3462" s="919" t="s">
        <v>4382</v>
      </c>
      <c r="I3462" s="919" t="s">
        <v>3679</v>
      </c>
      <c r="J3462" s="919"/>
      <c r="K3462" s="920"/>
      <c r="L3462" s="920"/>
      <c r="M3462" s="920">
        <f t="shared" ref="M3462:M3525" si="108">E3462*L3462</f>
        <v>0</v>
      </c>
      <c r="N3462" s="919">
        <v>1</v>
      </c>
      <c r="O3462" s="919">
        <v>3</v>
      </c>
      <c r="P3462" s="921">
        <f t="shared" ref="P3462:P3525" si="109">E3462*O3462</f>
        <v>7500</v>
      </c>
    </row>
    <row r="3463" spans="1:16" ht="20.100000000000001" customHeight="1" x14ac:dyDescent="0.25">
      <c r="A3463" s="918" t="s">
        <v>476</v>
      </c>
      <c r="B3463" s="944" t="s">
        <v>3901</v>
      </c>
      <c r="C3463" s="919" t="s">
        <v>3902</v>
      </c>
      <c r="D3463" s="919" t="s">
        <v>4382</v>
      </c>
      <c r="E3463" s="920">
        <v>2500</v>
      </c>
      <c r="F3463" s="919" t="s">
        <v>4041</v>
      </c>
      <c r="G3463" s="919" t="s">
        <v>4062</v>
      </c>
      <c r="H3463" s="919" t="s">
        <v>4382</v>
      </c>
      <c r="I3463" s="919" t="s">
        <v>3679</v>
      </c>
      <c r="J3463" s="919"/>
      <c r="K3463" s="920">
        <v>1</v>
      </c>
      <c r="L3463" s="920">
        <v>12</v>
      </c>
      <c r="M3463" s="920">
        <f t="shared" si="108"/>
        <v>30000</v>
      </c>
      <c r="N3463" s="919"/>
      <c r="O3463" s="919"/>
      <c r="P3463" s="921">
        <f t="shared" si="109"/>
        <v>0</v>
      </c>
    </row>
    <row r="3464" spans="1:16" ht="20.100000000000001" customHeight="1" x14ac:dyDescent="0.25">
      <c r="A3464" s="918" t="s">
        <v>476</v>
      </c>
      <c r="B3464" s="944" t="s">
        <v>3901</v>
      </c>
      <c r="C3464" s="919" t="s">
        <v>3902</v>
      </c>
      <c r="D3464" s="919" t="s">
        <v>4382</v>
      </c>
      <c r="E3464" s="920">
        <v>2500</v>
      </c>
      <c r="F3464" s="919" t="s">
        <v>9991</v>
      </c>
      <c r="G3464" s="919" t="s">
        <v>9992</v>
      </c>
      <c r="H3464" s="919" t="s">
        <v>4382</v>
      </c>
      <c r="I3464" s="919" t="s">
        <v>3679</v>
      </c>
      <c r="J3464" s="919"/>
      <c r="K3464" s="920"/>
      <c r="L3464" s="920"/>
      <c r="M3464" s="920">
        <f t="shared" si="108"/>
        <v>0</v>
      </c>
      <c r="N3464" s="919">
        <v>1</v>
      </c>
      <c r="O3464" s="919">
        <v>3</v>
      </c>
      <c r="P3464" s="921">
        <f t="shared" si="109"/>
        <v>7500</v>
      </c>
    </row>
    <row r="3465" spans="1:16" ht="20.100000000000001" customHeight="1" x14ac:dyDescent="0.25">
      <c r="A3465" s="918" t="s">
        <v>476</v>
      </c>
      <c r="B3465" s="944" t="s">
        <v>3901</v>
      </c>
      <c r="C3465" s="919" t="s">
        <v>3902</v>
      </c>
      <c r="D3465" s="919" t="s">
        <v>4382</v>
      </c>
      <c r="E3465" s="920">
        <v>2500</v>
      </c>
      <c r="F3465" s="919" t="s">
        <v>9993</v>
      </c>
      <c r="G3465" s="919" t="s">
        <v>9994</v>
      </c>
      <c r="H3465" s="919" t="s">
        <v>4382</v>
      </c>
      <c r="I3465" s="919" t="s">
        <v>3679</v>
      </c>
      <c r="J3465" s="919"/>
      <c r="K3465" s="920"/>
      <c r="L3465" s="920"/>
      <c r="M3465" s="920">
        <f t="shared" si="108"/>
        <v>0</v>
      </c>
      <c r="N3465" s="919">
        <v>1</v>
      </c>
      <c r="O3465" s="919">
        <v>3</v>
      </c>
      <c r="P3465" s="921">
        <f t="shared" si="109"/>
        <v>7500</v>
      </c>
    </row>
    <row r="3466" spans="1:16" ht="20.100000000000001" customHeight="1" x14ac:dyDescent="0.25">
      <c r="A3466" s="918" t="s">
        <v>476</v>
      </c>
      <c r="B3466" s="944" t="s">
        <v>3901</v>
      </c>
      <c r="C3466" s="919" t="s">
        <v>3902</v>
      </c>
      <c r="D3466" s="919" t="s">
        <v>4382</v>
      </c>
      <c r="E3466" s="920">
        <v>2500</v>
      </c>
      <c r="F3466" s="919" t="s">
        <v>9995</v>
      </c>
      <c r="G3466" s="919" t="s">
        <v>9996</v>
      </c>
      <c r="H3466" s="919" t="s">
        <v>4382</v>
      </c>
      <c r="I3466" s="919" t="s">
        <v>3679</v>
      </c>
      <c r="J3466" s="919"/>
      <c r="K3466" s="920"/>
      <c r="L3466" s="920"/>
      <c r="M3466" s="920">
        <f t="shared" si="108"/>
        <v>0</v>
      </c>
      <c r="N3466" s="919">
        <v>1</v>
      </c>
      <c r="O3466" s="919">
        <v>3</v>
      </c>
      <c r="P3466" s="921">
        <f t="shared" si="109"/>
        <v>7500</v>
      </c>
    </row>
    <row r="3467" spans="1:16" ht="20.100000000000001" customHeight="1" x14ac:dyDescent="0.25">
      <c r="A3467" s="918" t="s">
        <v>476</v>
      </c>
      <c r="B3467" s="944" t="s">
        <v>3901</v>
      </c>
      <c r="C3467" s="919" t="s">
        <v>3902</v>
      </c>
      <c r="D3467" s="919" t="s">
        <v>4382</v>
      </c>
      <c r="E3467" s="920">
        <v>2500</v>
      </c>
      <c r="F3467" s="919" t="s">
        <v>9997</v>
      </c>
      <c r="G3467" s="919" t="s">
        <v>9998</v>
      </c>
      <c r="H3467" s="919" t="s">
        <v>4382</v>
      </c>
      <c r="I3467" s="919" t="s">
        <v>3679</v>
      </c>
      <c r="J3467" s="919"/>
      <c r="K3467" s="920"/>
      <c r="L3467" s="920"/>
      <c r="M3467" s="920">
        <f t="shared" si="108"/>
        <v>0</v>
      </c>
      <c r="N3467" s="919">
        <v>1</v>
      </c>
      <c r="O3467" s="919">
        <v>3</v>
      </c>
      <c r="P3467" s="921">
        <f t="shared" si="109"/>
        <v>7500</v>
      </c>
    </row>
    <row r="3468" spans="1:16" ht="20.100000000000001" customHeight="1" x14ac:dyDescent="0.25">
      <c r="A3468" s="918" t="s">
        <v>476</v>
      </c>
      <c r="B3468" s="944" t="s">
        <v>3901</v>
      </c>
      <c r="C3468" s="919" t="s">
        <v>3902</v>
      </c>
      <c r="D3468" s="919" t="s">
        <v>4382</v>
      </c>
      <c r="E3468" s="920">
        <v>2500</v>
      </c>
      <c r="F3468" s="919" t="s">
        <v>4041</v>
      </c>
      <c r="G3468" s="919" t="s">
        <v>4062</v>
      </c>
      <c r="H3468" s="919" t="s">
        <v>4382</v>
      </c>
      <c r="I3468" s="919" t="s">
        <v>3679</v>
      </c>
      <c r="J3468" s="919"/>
      <c r="K3468" s="920">
        <v>1</v>
      </c>
      <c r="L3468" s="920">
        <v>12</v>
      </c>
      <c r="M3468" s="920">
        <f t="shared" si="108"/>
        <v>30000</v>
      </c>
      <c r="N3468" s="919"/>
      <c r="O3468" s="919"/>
      <c r="P3468" s="921">
        <f t="shared" si="109"/>
        <v>0</v>
      </c>
    </row>
    <row r="3469" spans="1:16" ht="20.100000000000001" customHeight="1" x14ac:dyDescent="0.25">
      <c r="A3469" s="918" t="s">
        <v>476</v>
      </c>
      <c r="B3469" s="944" t="s">
        <v>3901</v>
      </c>
      <c r="C3469" s="919" t="s">
        <v>3902</v>
      </c>
      <c r="D3469" s="919" t="s">
        <v>4382</v>
      </c>
      <c r="E3469" s="920">
        <v>2500</v>
      </c>
      <c r="F3469" s="919" t="s">
        <v>4041</v>
      </c>
      <c r="G3469" s="919" t="s">
        <v>4062</v>
      </c>
      <c r="H3469" s="919" t="s">
        <v>4382</v>
      </c>
      <c r="I3469" s="919" t="s">
        <v>3679</v>
      </c>
      <c r="J3469" s="919"/>
      <c r="K3469" s="920">
        <v>1</v>
      </c>
      <c r="L3469" s="920">
        <v>12</v>
      </c>
      <c r="M3469" s="920">
        <f t="shared" si="108"/>
        <v>30000</v>
      </c>
      <c r="N3469" s="919"/>
      <c r="O3469" s="919"/>
      <c r="P3469" s="921">
        <f t="shared" si="109"/>
        <v>0</v>
      </c>
    </row>
    <row r="3470" spans="1:16" ht="20.100000000000001" customHeight="1" x14ac:dyDescent="0.25">
      <c r="A3470" s="918" t="s">
        <v>476</v>
      </c>
      <c r="B3470" s="944" t="s">
        <v>3901</v>
      </c>
      <c r="C3470" s="919" t="s">
        <v>3902</v>
      </c>
      <c r="D3470" s="919" t="s">
        <v>4382</v>
      </c>
      <c r="E3470" s="920">
        <v>2500</v>
      </c>
      <c r="F3470" s="919" t="s">
        <v>9999</v>
      </c>
      <c r="G3470" s="919" t="s">
        <v>10000</v>
      </c>
      <c r="H3470" s="919" t="s">
        <v>4382</v>
      </c>
      <c r="I3470" s="919" t="s">
        <v>3679</v>
      </c>
      <c r="J3470" s="919"/>
      <c r="K3470" s="920"/>
      <c r="L3470" s="920"/>
      <c r="M3470" s="920">
        <f t="shared" si="108"/>
        <v>0</v>
      </c>
      <c r="N3470" s="919">
        <v>1</v>
      </c>
      <c r="O3470" s="919">
        <v>3</v>
      </c>
      <c r="P3470" s="921">
        <f t="shared" si="109"/>
        <v>7500</v>
      </c>
    </row>
    <row r="3471" spans="1:16" ht="20.100000000000001" customHeight="1" x14ac:dyDescent="0.25">
      <c r="A3471" s="918" t="s">
        <v>476</v>
      </c>
      <c r="B3471" s="944" t="s">
        <v>3901</v>
      </c>
      <c r="C3471" s="919" t="s">
        <v>3902</v>
      </c>
      <c r="D3471" s="919" t="s">
        <v>4382</v>
      </c>
      <c r="E3471" s="920">
        <v>2500</v>
      </c>
      <c r="F3471" s="919" t="s">
        <v>10001</v>
      </c>
      <c r="G3471" s="919" t="s">
        <v>10002</v>
      </c>
      <c r="H3471" s="919" t="s">
        <v>4382</v>
      </c>
      <c r="I3471" s="919" t="s">
        <v>3679</v>
      </c>
      <c r="J3471" s="919"/>
      <c r="K3471" s="920"/>
      <c r="L3471" s="920"/>
      <c r="M3471" s="920">
        <f t="shared" si="108"/>
        <v>0</v>
      </c>
      <c r="N3471" s="919">
        <v>1</v>
      </c>
      <c r="O3471" s="919">
        <v>3</v>
      </c>
      <c r="P3471" s="921">
        <f t="shared" si="109"/>
        <v>7500</v>
      </c>
    </row>
    <row r="3472" spans="1:16" ht="20.100000000000001" customHeight="1" x14ac:dyDescent="0.25">
      <c r="A3472" s="918" t="s">
        <v>476</v>
      </c>
      <c r="B3472" s="944" t="s">
        <v>3901</v>
      </c>
      <c r="C3472" s="919" t="s">
        <v>3902</v>
      </c>
      <c r="D3472" s="919" t="s">
        <v>4592</v>
      </c>
      <c r="E3472" s="920">
        <v>1150</v>
      </c>
      <c r="F3472" s="919" t="s">
        <v>10003</v>
      </c>
      <c r="G3472" s="919" t="s">
        <v>10004</v>
      </c>
      <c r="H3472" s="919" t="s">
        <v>4592</v>
      </c>
      <c r="I3472" s="919" t="s">
        <v>3686</v>
      </c>
      <c r="J3472" s="919"/>
      <c r="K3472" s="920"/>
      <c r="L3472" s="920"/>
      <c r="M3472" s="920">
        <f t="shared" si="108"/>
        <v>0</v>
      </c>
      <c r="N3472" s="919">
        <v>1</v>
      </c>
      <c r="O3472" s="919">
        <v>3</v>
      </c>
      <c r="P3472" s="921">
        <f t="shared" si="109"/>
        <v>3450</v>
      </c>
    </row>
    <row r="3473" spans="1:16" ht="20.100000000000001" customHeight="1" x14ac:dyDescent="0.25">
      <c r="A3473" s="918" t="s">
        <v>476</v>
      </c>
      <c r="B3473" s="944" t="s">
        <v>3901</v>
      </c>
      <c r="C3473" s="919" t="s">
        <v>3902</v>
      </c>
      <c r="D3473" s="919" t="s">
        <v>4592</v>
      </c>
      <c r="E3473" s="920">
        <v>1150</v>
      </c>
      <c r="F3473" s="919" t="s">
        <v>10005</v>
      </c>
      <c r="G3473" s="919" t="s">
        <v>10006</v>
      </c>
      <c r="H3473" s="919" t="s">
        <v>4592</v>
      </c>
      <c r="I3473" s="919" t="s">
        <v>3686</v>
      </c>
      <c r="J3473" s="919"/>
      <c r="K3473" s="920"/>
      <c r="L3473" s="920"/>
      <c r="M3473" s="920">
        <f t="shared" si="108"/>
        <v>0</v>
      </c>
      <c r="N3473" s="919">
        <v>1</v>
      </c>
      <c r="O3473" s="919">
        <v>3</v>
      </c>
      <c r="P3473" s="921">
        <f t="shared" si="109"/>
        <v>3450</v>
      </c>
    </row>
    <row r="3474" spans="1:16" ht="20.100000000000001" customHeight="1" x14ac:dyDescent="0.25">
      <c r="A3474" s="918" t="s">
        <v>476</v>
      </c>
      <c r="B3474" s="944" t="s">
        <v>3901</v>
      </c>
      <c r="C3474" s="919" t="s">
        <v>3902</v>
      </c>
      <c r="D3474" s="919" t="s">
        <v>4592</v>
      </c>
      <c r="E3474" s="920">
        <v>1150</v>
      </c>
      <c r="F3474" s="919" t="s">
        <v>10007</v>
      </c>
      <c r="G3474" s="919" t="s">
        <v>10008</v>
      </c>
      <c r="H3474" s="919" t="s">
        <v>4592</v>
      </c>
      <c r="I3474" s="919" t="s">
        <v>3686</v>
      </c>
      <c r="J3474" s="919"/>
      <c r="K3474" s="920"/>
      <c r="L3474" s="920"/>
      <c r="M3474" s="920">
        <f t="shared" si="108"/>
        <v>0</v>
      </c>
      <c r="N3474" s="919">
        <v>1</v>
      </c>
      <c r="O3474" s="919">
        <v>3</v>
      </c>
      <c r="P3474" s="921">
        <f t="shared" si="109"/>
        <v>3450</v>
      </c>
    </row>
    <row r="3475" spans="1:16" ht="20.100000000000001" customHeight="1" x14ac:dyDescent="0.25">
      <c r="A3475" s="918" t="s">
        <v>476</v>
      </c>
      <c r="B3475" s="944" t="s">
        <v>3901</v>
      </c>
      <c r="C3475" s="919" t="s">
        <v>3902</v>
      </c>
      <c r="D3475" s="919" t="s">
        <v>4592</v>
      </c>
      <c r="E3475" s="920">
        <v>1150</v>
      </c>
      <c r="F3475" s="919" t="s">
        <v>10009</v>
      </c>
      <c r="G3475" s="919" t="s">
        <v>10010</v>
      </c>
      <c r="H3475" s="919" t="s">
        <v>4592</v>
      </c>
      <c r="I3475" s="919" t="s">
        <v>3686</v>
      </c>
      <c r="J3475" s="919"/>
      <c r="K3475" s="920"/>
      <c r="L3475" s="920"/>
      <c r="M3475" s="920">
        <f t="shared" si="108"/>
        <v>0</v>
      </c>
      <c r="N3475" s="919">
        <v>1</v>
      </c>
      <c r="O3475" s="919">
        <v>3</v>
      </c>
      <c r="P3475" s="921">
        <f t="shared" si="109"/>
        <v>3450</v>
      </c>
    </row>
    <row r="3476" spans="1:16" ht="20.100000000000001" customHeight="1" x14ac:dyDescent="0.25">
      <c r="A3476" s="918" t="s">
        <v>476</v>
      </c>
      <c r="B3476" s="944" t="s">
        <v>3901</v>
      </c>
      <c r="C3476" s="919" t="s">
        <v>3902</v>
      </c>
      <c r="D3476" s="919" t="s">
        <v>4592</v>
      </c>
      <c r="E3476" s="920">
        <v>1150</v>
      </c>
      <c r="F3476" s="919" t="s">
        <v>10011</v>
      </c>
      <c r="G3476" s="919" t="s">
        <v>10012</v>
      </c>
      <c r="H3476" s="919" t="s">
        <v>4592</v>
      </c>
      <c r="I3476" s="919" t="s">
        <v>3686</v>
      </c>
      <c r="J3476" s="919"/>
      <c r="K3476" s="920"/>
      <c r="L3476" s="920"/>
      <c r="M3476" s="920">
        <f t="shared" si="108"/>
        <v>0</v>
      </c>
      <c r="N3476" s="919">
        <v>1</v>
      </c>
      <c r="O3476" s="919">
        <v>3</v>
      </c>
      <c r="P3476" s="921">
        <f t="shared" si="109"/>
        <v>3450</v>
      </c>
    </row>
    <row r="3477" spans="1:16" ht="20.100000000000001" customHeight="1" x14ac:dyDescent="0.25">
      <c r="A3477" s="918" t="s">
        <v>476</v>
      </c>
      <c r="B3477" s="944" t="s">
        <v>3901</v>
      </c>
      <c r="C3477" s="919" t="s">
        <v>3902</v>
      </c>
      <c r="D3477" s="919" t="s">
        <v>4592</v>
      </c>
      <c r="E3477" s="920">
        <v>1150</v>
      </c>
      <c r="F3477" s="919" t="s">
        <v>10013</v>
      </c>
      <c r="G3477" s="919" t="s">
        <v>10014</v>
      </c>
      <c r="H3477" s="919" t="s">
        <v>4592</v>
      </c>
      <c r="I3477" s="919" t="s">
        <v>3686</v>
      </c>
      <c r="J3477" s="919"/>
      <c r="K3477" s="920"/>
      <c r="L3477" s="920"/>
      <c r="M3477" s="920">
        <f t="shared" si="108"/>
        <v>0</v>
      </c>
      <c r="N3477" s="919">
        <v>1</v>
      </c>
      <c r="O3477" s="919">
        <v>3</v>
      </c>
      <c r="P3477" s="921">
        <f t="shared" si="109"/>
        <v>3450</v>
      </c>
    </row>
    <row r="3478" spans="1:16" ht="20.100000000000001" customHeight="1" x14ac:dyDescent="0.25">
      <c r="A3478" s="918" t="s">
        <v>476</v>
      </c>
      <c r="B3478" s="944" t="s">
        <v>3901</v>
      </c>
      <c r="C3478" s="919" t="s">
        <v>3902</v>
      </c>
      <c r="D3478" s="919" t="s">
        <v>4592</v>
      </c>
      <c r="E3478" s="920">
        <v>1150</v>
      </c>
      <c r="F3478" s="919" t="s">
        <v>10015</v>
      </c>
      <c r="G3478" s="919" t="s">
        <v>10016</v>
      </c>
      <c r="H3478" s="919" t="s">
        <v>4592</v>
      </c>
      <c r="I3478" s="919" t="s">
        <v>3686</v>
      </c>
      <c r="J3478" s="919"/>
      <c r="K3478" s="920"/>
      <c r="L3478" s="920"/>
      <c r="M3478" s="920">
        <f t="shared" si="108"/>
        <v>0</v>
      </c>
      <c r="N3478" s="919">
        <v>1</v>
      </c>
      <c r="O3478" s="919">
        <v>3</v>
      </c>
      <c r="P3478" s="921">
        <f t="shared" si="109"/>
        <v>3450</v>
      </c>
    </row>
    <row r="3479" spans="1:16" ht="20.100000000000001" customHeight="1" x14ac:dyDescent="0.25">
      <c r="A3479" s="918" t="s">
        <v>476</v>
      </c>
      <c r="B3479" s="944" t="s">
        <v>3901</v>
      </c>
      <c r="C3479" s="919" t="s">
        <v>3902</v>
      </c>
      <c r="D3479" s="919" t="s">
        <v>4592</v>
      </c>
      <c r="E3479" s="920">
        <v>1150</v>
      </c>
      <c r="F3479" s="919" t="s">
        <v>4041</v>
      </c>
      <c r="G3479" s="919" t="s">
        <v>4062</v>
      </c>
      <c r="H3479" s="919" t="s">
        <v>4592</v>
      </c>
      <c r="I3479" s="919" t="s">
        <v>3686</v>
      </c>
      <c r="J3479" s="919"/>
      <c r="K3479" s="920">
        <v>1</v>
      </c>
      <c r="L3479" s="920">
        <v>12</v>
      </c>
      <c r="M3479" s="920">
        <f t="shared" si="108"/>
        <v>13800</v>
      </c>
      <c r="N3479" s="919"/>
      <c r="O3479" s="919"/>
      <c r="P3479" s="921">
        <f t="shared" si="109"/>
        <v>0</v>
      </c>
    </row>
    <row r="3480" spans="1:16" ht="20.100000000000001" customHeight="1" x14ac:dyDescent="0.25">
      <c r="A3480" s="918" t="s">
        <v>476</v>
      </c>
      <c r="B3480" s="944" t="s">
        <v>3901</v>
      </c>
      <c r="C3480" s="919" t="s">
        <v>3902</v>
      </c>
      <c r="D3480" s="919" t="s">
        <v>4592</v>
      </c>
      <c r="E3480" s="920">
        <v>1150</v>
      </c>
      <c r="F3480" s="919" t="s">
        <v>4041</v>
      </c>
      <c r="G3480" s="919" t="s">
        <v>4062</v>
      </c>
      <c r="H3480" s="919" t="s">
        <v>4592</v>
      </c>
      <c r="I3480" s="919" t="s">
        <v>3686</v>
      </c>
      <c r="J3480" s="919"/>
      <c r="K3480" s="920">
        <v>1</v>
      </c>
      <c r="L3480" s="920">
        <v>12</v>
      </c>
      <c r="M3480" s="920">
        <f t="shared" si="108"/>
        <v>13800</v>
      </c>
      <c r="N3480" s="919"/>
      <c r="O3480" s="919"/>
      <c r="P3480" s="921">
        <f t="shared" si="109"/>
        <v>0</v>
      </c>
    </row>
    <row r="3481" spans="1:16" ht="20.100000000000001" customHeight="1" x14ac:dyDescent="0.25">
      <c r="A3481" s="918" t="s">
        <v>476</v>
      </c>
      <c r="B3481" s="944" t="s">
        <v>3901</v>
      </c>
      <c r="C3481" s="919" t="s">
        <v>3902</v>
      </c>
      <c r="D3481" s="919" t="s">
        <v>4592</v>
      </c>
      <c r="E3481" s="920">
        <v>1150</v>
      </c>
      <c r="F3481" s="919" t="s">
        <v>10017</v>
      </c>
      <c r="G3481" s="919" t="s">
        <v>10018</v>
      </c>
      <c r="H3481" s="919" t="s">
        <v>4592</v>
      </c>
      <c r="I3481" s="919" t="s">
        <v>3686</v>
      </c>
      <c r="J3481" s="919"/>
      <c r="K3481" s="920"/>
      <c r="L3481" s="920"/>
      <c r="M3481" s="920">
        <f t="shared" si="108"/>
        <v>0</v>
      </c>
      <c r="N3481" s="919">
        <v>1</v>
      </c>
      <c r="O3481" s="919">
        <v>3</v>
      </c>
      <c r="P3481" s="921">
        <f t="shared" si="109"/>
        <v>3450</v>
      </c>
    </row>
    <row r="3482" spans="1:16" ht="20.100000000000001" customHeight="1" x14ac:dyDescent="0.25">
      <c r="A3482" s="918" t="s">
        <v>476</v>
      </c>
      <c r="B3482" s="944" t="s">
        <v>3901</v>
      </c>
      <c r="C3482" s="919" t="s">
        <v>3902</v>
      </c>
      <c r="D3482" s="919" t="s">
        <v>4592</v>
      </c>
      <c r="E3482" s="920">
        <v>1150</v>
      </c>
      <c r="F3482" s="919" t="s">
        <v>10019</v>
      </c>
      <c r="G3482" s="919" t="s">
        <v>10020</v>
      </c>
      <c r="H3482" s="919" t="s">
        <v>4592</v>
      </c>
      <c r="I3482" s="919" t="s">
        <v>3686</v>
      </c>
      <c r="J3482" s="919"/>
      <c r="K3482" s="920"/>
      <c r="L3482" s="920"/>
      <c r="M3482" s="920">
        <f t="shared" si="108"/>
        <v>0</v>
      </c>
      <c r="N3482" s="919">
        <v>1</v>
      </c>
      <c r="O3482" s="919">
        <v>3</v>
      </c>
      <c r="P3482" s="921">
        <f t="shared" si="109"/>
        <v>3450</v>
      </c>
    </row>
    <row r="3483" spans="1:16" ht="20.100000000000001" customHeight="1" x14ac:dyDescent="0.25">
      <c r="A3483" s="918" t="s">
        <v>476</v>
      </c>
      <c r="B3483" s="944" t="s">
        <v>3901</v>
      </c>
      <c r="C3483" s="919" t="s">
        <v>3902</v>
      </c>
      <c r="D3483" s="919" t="s">
        <v>4592</v>
      </c>
      <c r="E3483" s="920">
        <v>1150</v>
      </c>
      <c r="F3483" s="919" t="s">
        <v>4041</v>
      </c>
      <c r="G3483" s="919" t="s">
        <v>4062</v>
      </c>
      <c r="H3483" s="919" t="s">
        <v>4592</v>
      </c>
      <c r="I3483" s="919" t="s">
        <v>3686</v>
      </c>
      <c r="J3483" s="919"/>
      <c r="K3483" s="920">
        <v>1</v>
      </c>
      <c r="L3483" s="920">
        <v>12</v>
      </c>
      <c r="M3483" s="920">
        <f t="shared" si="108"/>
        <v>13800</v>
      </c>
      <c r="N3483" s="919"/>
      <c r="O3483" s="919"/>
      <c r="P3483" s="921">
        <f t="shared" si="109"/>
        <v>0</v>
      </c>
    </row>
    <row r="3484" spans="1:16" ht="20.100000000000001" customHeight="1" x14ac:dyDescent="0.25">
      <c r="A3484" s="918" t="s">
        <v>476</v>
      </c>
      <c r="B3484" s="944" t="s">
        <v>3901</v>
      </c>
      <c r="C3484" s="919" t="s">
        <v>3902</v>
      </c>
      <c r="D3484" s="919" t="s">
        <v>4592</v>
      </c>
      <c r="E3484" s="920">
        <v>1150</v>
      </c>
      <c r="F3484" s="919" t="s">
        <v>10021</v>
      </c>
      <c r="G3484" s="919" t="s">
        <v>10022</v>
      </c>
      <c r="H3484" s="919" t="s">
        <v>4592</v>
      </c>
      <c r="I3484" s="919" t="s">
        <v>3686</v>
      </c>
      <c r="J3484" s="919"/>
      <c r="K3484" s="920"/>
      <c r="L3484" s="920"/>
      <c r="M3484" s="920">
        <f t="shared" si="108"/>
        <v>0</v>
      </c>
      <c r="N3484" s="919">
        <v>1</v>
      </c>
      <c r="O3484" s="919">
        <v>3</v>
      </c>
      <c r="P3484" s="921">
        <f t="shared" si="109"/>
        <v>3450</v>
      </c>
    </row>
    <row r="3485" spans="1:16" ht="20.100000000000001" customHeight="1" x14ac:dyDescent="0.25">
      <c r="A3485" s="918" t="s">
        <v>476</v>
      </c>
      <c r="B3485" s="944" t="s">
        <v>3901</v>
      </c>
      <c r="C3485" s="919" t="s">
        <v>3902</v>
      </c>
      <c r="D3485" s="919" t="s">
        <v>4592</v>
      </c>
      <c r="E3485" s="920">
        <v>1150</v>
      </c>
      <c r="F3485" s="919" t="s">
        <v>10023</v>
      </c>
      <c r="G3485" s="919" t="s">
        <v>10024</v>
      </c>
      <c r="H3485" s="919" t="s">
        <v>4592</v>
      </c>
      <c r="I3485" s="919" t="s">
        <v>3686</v>
      </c>
      <c r="J3485" s="919"/>
      <c r="K3485" s="920"/>
      <c r="L3485" s="920"/>
      <c r="M3485" s="920">
        <f t="shared" si="108"/>
        <v>0</v>
      </c>
      <c r="N3485" s="919">
        <v>1</v>
      </c>
      <c r="O3485" s="919">
        <v>3</v>
      </c>
      <c r="P3485" s="921">
        <f t="shared" si="109"/>
        <v>3450</v>
      </c>
    </row>
    <row r="3486" spans="1:16" ht="20.100000000000001" customHeight="1" x14ac:dyDescent="0.25">
      <c r="A3486" s="918" t="s">
        <v>476</v>
      </c>
      <c r="B3486" s="944" t="s">
        <v>3901</v>
      </c>
      <c r="C3486" s="919" t="s">
        <v>3902</v>
      </c>
      <c r="D3486" s="919" t="s">
        <v>4592</v>
      </c>
      <c r="E3486" s="920">
        <v>1150</v>
      </c>
      <c r="F3486" s="919" t="s">
        <v>10025</v>
      </c>
      <c r="G3486" s="919" t="s">
        <v>10026</v>
      </c>
      <c r="H3486" s="919" t="s">
        <v>4592</v>
      </c>
      <c r="I3486" s="919" t="s">
        <v>3686</v>
      </c>
      <c r="J3486" s="919"/>
      <c r="K3486" s="920"/>
      <c r="L3486" s="920"/>
      <c r="M3486" s="920">
        <f t="shared" si="108"/>
        <v>0</v>
      </c>
      <c r="N3486" s="919">
        <v>1</v>
      </c>
      <c r="O3486" s="919">
        <v>3</v>
      </c>
      <c r="P3486" s="921">
        <f t="shared" si="109"/>
        <v>3450</v>
      </c>
    </row>
    <row r="3487" spans="1:16" ht="20.100000000000001" customHeight="1" x14ac:dyDescent="0.25">
      <c r="A3487" s="918" t="s">
        <v>476</v>
      </c>
      <c r="B3487" s="944" t="s">
        <v>3901</v>
      </c>
      <c r="C3487" s="919" t="s">
        <v>3902</v>
      </c>
      <c r="D3487" s="919" t="s">
        <v>4592</v>
      </c>
      <c r="E3487" s="920">
        <v>1150</v>
      </c>
      <c r="F3487" s="919" t="s">
        <v>10027</v>
      </c>
      <c r="G3487" s="919" t="s">
        <v>10028</v>
      </c>
      <c r="H3487" s="919" t="s">
        <v>4592</v>
      </c>
      <c r="I3487" s="919" t="s">
        <v>3686</v>
      </c>
      <c r="J3487" s="919"/>
      <c r="K3487" s="920"/>
      <c r="L3487" s="920"/>
      <c r="M3487" s="920">
        <f t="shared" si="108"/>
        <v>0</v>
      </c>
      <c r="N3487" s="919">
        <v>1</v>
      </c>
      <c r="O3487" s="919">
        <v>3</v>
      </c>
      <c r="P3487" s="921">
        <f t="shared" si="109"/>
        <v>3450</v>
      </c>
    </row>
    <row r="3488" spans="1:16" ht="20.100000000000001" customHeight="1" x14ac:dyDescent="0.25">
      <c r="A3488" s="918" t="s">
        <v>476</v>
      </c>
      <c r="B3488" s="944" t="s">
        <v>3901</v>
      </c>
      <c r="C3488" s="919" t="s">
        <v>3902</v>
      </c>
      <c r="D3488" s="919" t="s">
        <v>4592</v>
      </c>
      <c r="E3488" s="920">
        <v>1150</v>
      </c>
      <c r="F3488" s="919" t="s">
        <v>10029</v>
      </c>
      <c r="G3488" s="919" t="s">
        <v>10030</v>
      </c>
      <c r="H3488" s="919" t="s">
        <v>4592</v>
      </c>
      <c r="I3488" s="919" t="s">
        <v>3686</v>
      </c>
      <c r="J3488" s="919"/>
      <c r="K3488" s="920"/>
      <c r="L3488" s="920"/>
      <c r="M3488" s="920">
        <f t="shared" si="108"/>
        <v>0</v>
      </c>
      <c r="N3488" s="919">
        <v>1</v>
      </c>
      <c r="O3488" s="919">
        <v>3</v>
      </c>
      <c r="P3488" s="921">
        <f t="shared" si="109"/>
        <v>3450</v>
      </c>
    </row>
    <row r="3489" spans="1:16" ht="20.100000000000001" customHeight="1" x14ac:dyDescent="0.25">
      <c r="A3489" s="918" t="s">
        <v>476</v>
      </c>
      <c r="B3489" s="944" t="s">
        <v>3901</v>
      </c>
      <c r="C3489" s="919" t="s">
        <v>3902</v>
      </c>
      <c r="D3489" s="919" t="s">
        <v>4109</v>
      </c>
      <c r="E3489" s="920">
        <v>1400</v>
      </c>
      <c r="F3489" s="919" t="s">
        <v>10031</v>
      </c>
      <c r="G3489" s="919" t="s">
        <v>10032</v>
      </c>
      <c r="H3489" s="919" t="s">
        <v>4109</v>
      </c>
      <c r="I3489" s="919" t="s">
        <v>3686</v>
      </c>
      <c r="J3489" s="919"/>
      <c r="K3489" s="920"/>
      <c r="L3489" s="920"/>
      <c r="M3489" s="920">
        <f t="shared" si="108"/>
        <v>0</v>
      </c>
      <c r="N3489" s="919">
        <v>1</v>
      </c>
      <c r="O3489" s="919">
        <v>3</v>
      </c>
      <c r="P3489" s="921">
        <f t="shared" si="109"/>
        <v>4200</v>
      </c>
    </row>
    <row r="3490" spans="1:16" ht="20.100000000000001" customHeight="1" x14ac:dyDescent="0.25">
      <c r="A3490" s="918" t="s">
        <v>476</v>
      </c>
      <c r="B3490" s="944" t="s">
        <v>3901</v>
      </c>
      <c r="C3490" s="919" t="s">
        <v>3902</v>
      </c>
      <c r="D3490" s="919" t="s">
        <v>4109</v>
      </c>
      <c r="E3490" s="920">
        <v>1400</v>
      </c>
      <c r="F3490" s="919" t="s">
        <v>10033</v>
      </c>
      <c r="G3490" s="919" t="s">
        <v>10034</v>
      </c>
      <c r="H3490" s="919" t="s">
        <v>4109</v>
      </c>
      <c r="I3490" s="919" t="s">
        <v>3686</v>
      </c>
      <c r="J3490" s="919"/>
      <c r="K3490" s="920"/>
      <c r="L3490" s="920"/>
      <c r="M3490" s="920">
        <f t="shared" si="108"/>
        <v>0</v>
      </c>
      <c r="N3490" s="919">
        <v>1</v>
      </c>
      <c r="O3490" s="919">
        <v>3</v>
      </c>
      <c r="P3490" s="921">
        <f t="shared" si="109"/>
        <v>4200</v>
      </c>
    </row>
    <row r="3491" spans="1:16" ht="20.100000000000001" customHeight="1" x14ac:dyDescent="0.25">
      <c r="A3491" s="918" t="s">
        <v>476</v>
      </c>
      <c r="B3491" s="944" t="s">
        <v>3901</v>
      </c>
      <c r="C3491" s="919" t="s">
        <v>3902</v>
      </c>
      <c r="D3491" s="919" t="s">
        <v>4109</v>
      </c>
      <c r="E3491" s="920">
        <v>1400</v>
      </c>
      <c r="F3491" s="919" t="s">
        <v>10035</v>
      </c>
      <c r="G3491" s="919" t="s">
        <v>10036</v>
      </c>
      <c r="H3491" s="919" t="s">
        <v>4109</v>
      </c>
      <c r="I3491" s="919" t="s">
        <v>3686</v>
      </c>
      <c r="J3491" s="919"/>
      <c r="K3491" s="920"/>
      <c r="L3491" s="920"/>
      <c r="M3491" s="920">
        <f t="shared" si="108"/>
        <v>0</v>
      </c>
      <c r="N3491" s="919">
        <v>1</v>
      </c>
      <c r="O3491" s="919">
        <v>3</v>
      </c>
      <c r="P3491" s="921">
        <f t="shared" si="109"/>
        <v>4200</v>
      </c>
    </row>
    <row r="3492" spans="1:16" ht="20.100000000000001" customHeight="1" x14ac:dyDescent="0.25">
      <c r="A3492" s="918" t="s">
        <v>476</v>
      </c>
      <c r="B3492" s="944" t="s">
        <v>3901</v>
      </c>
      <c r="C3492" s="919" t="s">
        <v>3902</v>
      </c>
      <c r="D3492" s="919" t="s">
        <v>4109</v>
      </c>
      <c r="E3492" s="920">
        <v>1400</v>
      </c>
      <c r="F3492" s="919" t="s">
        <v>4041</v>
      </c>
      <c r="G3492" s="919" t="s">
        <v>4062</v>
      </c>
      <c r="H3492" s="919" t="s">
        <v>4109</v>
      </c>
      <c r="I3492" s="919" t="s">
        <v>3686</v>
      </c>
      <c r="J3492" s="919"/>
      <c r="K3492" s="920">
        <v>1</v>
      </c>
      <c r="L3492" s="920">
        <v>12</v>
      </c>
      <c r="M3492" s="920">
        <f t="shared" si="108"/>
        <v>16800</v>
      </c>
      <c r="N3492" s="919"/>
      <c r="O3492" s="919"/>
      <c r="P3492" s="921">
        <f t="shared" si="109"/>
        <v>0</v>
      </c>
    </row>
    <row r="3493" spans="1:16" ht="20.100000000000001" customHeight="1" x14ac:dyDescent="0.25">
      <c r="A3493" s="918" t="s">
        <v>476</v>
      </c>
      <c r="B3493" s="944" t="s">
        <v>3901</v>
      </c>
      <c r="C3493" s="919" t="s">
        <v>3902</v>
      </c>
      <c r="D3493" s="919" t="s">
        <v>4109</v>
      </c>
      <c r="E3493" s="920">
        <v>1400</v>
      </c>
      <c r="F3493" s="919" t="s">
        <v>10037</v>
      </c>
      <c r="G3493" s="919" t="s">
        <v>10038</v>
      </c>
      <c r="H3493" s="919" t="s">
        <v>4109</v>
      </c>
      <c r="I3493" s="919" t="s">
        <v>3686</v>
      </c>
      <c r="J3493" s="919"/>
      <c r="K3493" s="920"/>
      <c r="L3493" s="920"/>
      <c r="M3493" s="920">
        <f t="shared" si="108"/>
        <v>0</v>
      </c>
      <c r="N3493" s="919">
        <v>1</v>
      </c>
      <c r="O3493" s="919">
        <v>3</v>
      </c>
      <c r="P3493" s="921">
        <f t="shared" si="109"/>
        <v>4200</v>
      </c>
    </row>
    <row r="3494" spans="1:16" ht="20.100000000000001" customHeight="1" x14ac:dyDescent="0.25">
      <c r="A3494" s="918" t="s">
        <v>476</v>
      </c>
      <c r="B3494" s="944" t="s">
        <v>3901</v>
      </c>
      <c r="C3494" s="919" t="s">
        <v>3902</v>
      </c>
      <c r="D3494" s="919" t="s">
        <v>4109</v>
      </c>
      <c r="E3494" s="920">
        <v>1400</v>
      </c>
      <c r="F3494" s="919" t="s">
        <v>10039</v>
      </c>
      <c r="G3494" s="919" t="s">
        <v>10040</v>
      </c>
      <c r="H3494" s="919" t="s">
        <v>4109</v>
      </c>
      <c r="I3494" s="919" t="s">
        <v>3686</v>
      </c>
      <c r="J3494" s="919"/>
      <c r="K3494" s="920"/>
      <c r="L3494" s="920"/>
      <c r="M3494" s="920">
        <f t="shared" si="108"/>
        <v>0</v>
      </c>
      <c r="N3494" s="919">
        <v>1</v>
      </c>
      <c r="O3494" s="919">
        <v>3</v>
      </c>
      <c r="P3494" s="921">
        <f t="shared" si="109"/>
        <v>4200</v>
      </c>
    </row>
    <row r="3495" spans="1:16" ht="20.100000000000001" customHeight="1" x14ac:dyDescent="0.25">
      <c r="A3495" s="918" t="s">
        <v>476</v>
      </c>
      <c r="B3495" s="944" t="s">
        <v>3901</v>
      </c>
      <c r="C3495" s="919" t="s">
        <v>3902</v>
      </c>
      <c r="D3495" s="919" t="s">
        <v>4109</v>
      </c>
      <c r="E3495" s="920">
        <v>1400</v>
      </c>
      <c r="F3495" s="919" t="s">
        <v>10041</v>
      </c>
      <c r="G3495" s="919" t="s">
        <v>10042</v>
      </c>
      <c r="H3495" s="919" t="s">
        <v>4109</v>
      </c>
      <c r="I3495" s="919" t="s">
        <v>3686</v>
      </c>
      <c r="J3495" s="919"/>
      <c r="K3495" s="920"/>
      <c r="L3495" s="920"/>
      <c r="M3495" s="920">
        <f t="shared" si="108"/>
        <v>0</v>
      </c>
      <c r="N3495" s="919">
        <v>1</v>
      </c>
      <c r="O3495" s="919">
        <v>3</v>
      </c>
      <c r="P3495" s="921">
        <f t="shared" si="109"/>
        <v>4200</v>
      </c>
    </row>
    <row r="3496" spans="1:16" ht="20.100000000000001" customHeight="1" x14ac:dyDescent="0.25">
      <c r="A3496" s="918" t="s">
        <v>476</v>
      </c>
      <c r="B3496" s="944" t="s">
        <v>3901</v>
      </c>
      <c r="C3496" s="919" t="s">
        <v>3902</v>
      </c>
      <c r="D3496" s="919" t="s">
        <v>4109</v>
      </c>
      <c r="E3496" s="920">
        <v>1400</v>
      </c>
      <c r="F3496" s="919" t="s">
        <v>10043</v>
      </c>
      <c r="G3496" s="919" t="s">
        <v>10044</v>
      </c>
      <c r="H3496" s="919" t="s">
        <v>4109</v>
      </c>
      <c r="I3496" s="919" t="s">
        <v>3686</v>
      </c>
      <c r="J3496" s="919"/>
      <c r="K3496" s="920"/>
      <c r="L3496" s="920"/>
      <c r="M3496" s="920">
        <f t="shared" si="108"/>
        <v>0</v>
      </c>
      <c r="N3496" s="919">
        <v>1</v>
      </c>
      <c r="O3496" s="919">
        <v>3</v>
      </c>
      <c r="P3496" s="921">
        <f t="shared" si="109"/>
        <v>4200</v>
      </c>
    </row>
    <row r="3497" spans="1:16" ht="20.100000000000001" customHeight="1" x14ac:dyDescent="0.25">
      <c r="A3497" s="918" t="s">
        <v>476</v>
      </c>
      <c r="B3497" s="944" t="s">
        <v>3901</v>
      </c>
      <c r="C3497" s="919" t="s">
        <v>3902</v>
      </c>
      <c r="D3497" s="919" t="s">
        <v>4109</v>
      </c>
      <c r="E3497" s="920">
        <v>1400</v>
      </c>
      <c r="F3497" s="919" t="s">
        <v>10045</v>
      </c>
      <c r="G3497" s="919" t="s">
        <v>10046</v>
      </c>
      <c r="H3497" s="919" t="s">
        <v>4109</v>
      </c>
      <c r="I3497" s="919" t="s">
        <v>3686</v>
      </c>
      <c r="J3497" s="919"/>
      <c r="K3497" s="920"/>
      <c r="L3497" s="920"/>
      <c r="M3497" s="920">
        <f t="shared" si="108"/>
        <v>0</v>
      </c>
      <c r="N3497" s="919">
        <v>1</v>
      </c>
      <c r="O3497" s="919">
        <v>3</v>
      </c>
      <c r="P3497" s="921">
        <f t="shared" si="109"/>
        <v>4200</v>
      </c>
    </row>
    <row r="3498" spans="1:16" ht="20.100000000000001" customHeight="1" x14ac:dyDescent="0.25">
      <c r="A3498" s="918" t="s">
        <v>476</v>
      </c>
      <c r="B3498" s="944" t="s">
        <v>3901</v>
      </c>
      <c r="C3498" s="919" t="s">
        <v>3902</v>
      </c>
      <c r="D3498" s="919" t="s">
        <v>4657</v>
      </c>
      <c r="E3498" s="920">
        <v>1150</v>
      </c>
      <c r="F3498" s="919" t="s">
        <v>10047</v>
      </c>
      <c r="G3498" s="919" t="s">
        <v>10048</v>
      </c>
      <c r="H3498" s="919" t="s">
        <v>4657</v>
      </c>
      <c r="I3498" s="919" t="s">
        <v>3686</v>
      </c>
      <c r="J3498" s="919"/>
      <c r="K3498" s="920"/>
      <c r="L3498" s="920"/>
      <c r="M3498" s="920">
        <f t="shared" si="108"/>
        <v>0</v>
      </c>
      <c r="N3498" s="919">
        <v>1</v>
      </c>
      <c r="O3498" s="919">
        <v>3</v>
      </c>
      <c r="P3498" s="921">
        <f t="shared" si="109"/>
        <v>3450</v>
      </c>
    </row>
    <row r="3499" spans="1:16" ht="20.100000000000001" customHeight="1" x14ac:dyDescent="0.25">
      <c r="A3499" s="918" t="s">
        <v>476</v>
      </c>
      <c r="B3499" s="944" t="s">
        <v>3901</v>
      </c>
      <c r="C3499" s="919" t="s">
        <v>3902</v>
      </c>
      <c r="D3499" s="919" t="s">
        <v>4657</v>
      </c>
      <c r="E3499" s="920">
        <v>1150</v>
      </c>
      <c r="F3499" s="919" t="s">
        <v>10049</v>
      </c>
      <c r="G3499" s="919" t="s">
        <v>10050</v>
      </c>
      <c r="H3499" s="919" t="s">
        <v>4657</v>
      </c>
      <c r="I3499" s="919" t="s">
        <v>3686</v>
      </c>
      <c r="J3499" s="919"/>
      <c r="K3499" s="920"/>
      <c r="L3499" s="920"/>
      <c r="M3499" s="920">
        <f t="shared" si="108"/>
        <v>0</v>
      </c>
      <c r="N3499" s="919">
        <v>1</v>
      </c>
      <c r="O3499" s="919">
        <v>3</v>
      </c>
      <c r="P3499" s="921">
        <f t="shared" si="109"/>
        <v>3450</v>
      </c>
    </row>
    <row r="3500" spans="1:16" ht="20.100000000000001" customHeight="1" x14ac:dyDescent="0.25">
      <c r="A3500" s="918" t="s">
        <v>476</v>
      </c>
      <c r="B3500" s="944" t="s">
        <v>3901</v>
      </c>
      <c r="C3500" s="919" t="s">
        <v>3902</v>
      </c>
      <c r="D3500" s="919" t="s">
        <v>4657</v>
      </c>
      <c r="E3500" s="920">
        <v>1150</v>
      </c>
      <c r="F3500" s="919" t="s">
        <v>10051</v>
      </c>
      <c r="G3500" s="919" t="s">
        <v>10052</v>
      </c>
      <c r="H3500" s="919" t="s">
        <v>4657</v>
      </c>
      <c r="I3500" s="919" t="s">
        <v>3686</v>
      </c>
      <c r="J3500" s="919"/>
      <c r="K3500" s="920"/>
      <c r="L3500" s="920"/>
      <c r="M3500" s="920">
        <f t="shared" si="108"/>
        <v>0</v>
      </c>
      <c r="N3500" s="919">
        <v>1</v>
      </c>
      <c r="O3500" s="919">
        <v>3</v>
      </c>
      <c r="P3500" s="921">
        <f t="shared" si="109"/>
        <v>3450</v>
      </c>
    </row>
    <row r="3501" spans="1:16" ht="20.100000000000001" customHeight="1" x14ac:dyDescent="0.25">
      <c r="A3501" s="918" t="s">
        <v>476</v>
      </c>
      <c r="B3501" s="944" t="s">
        <v>3901</v>
      </c>
      <c r="C3501" s="919" t="s">
        <v>3902</v>
      </c>
      <c r="D3501" s="919" t="s">
        <v>4657</v>
      </c>
      <c r="E3501" s="920">
        <v>1150</v>
      </c>
      <c r="F3501" s="919" t="s">
        <v>10053</v>
      </c>
      <c r="G3501" s="919" t="s">
        <v>10054</v>
      </c>
      <c r="H3501" s="919" t="s">
        <v>4657</v>
      </c>
      <c r="I3501" s="919" t="s">
        <v>3686</v>
      </c>
      <c r="J3501" s="919"/>
      <c r="K3501" s="920"/>
      <c r="L3501" s="920"/>
      <c r="M3501" s="920">
        <f t="shared" si="108"/>
        <v>0</v>
      </c>
      <c r="N3501" s="919">
        <v>1</v>
      </c>
      <c r="O3501" s="919">
        <v>3</v>
      </c>
      <c r="P3501" s="921">
        <f t="shared" si="109"/>
        <v>3450</v>
      </c>
    </row>
    <row r="3502" spans="1:16" ht="20.100000000000001" customHeight="1" x14ac:dyDescent="0.25">
      <c r="A3502" s="918" t="s">
        <v>476</v>
      </c>
      <c r="B3502" s="944" t="s">
        <v>3901</v>
      </c>
      <c r="C3502" s="919" t="s">
        <v>3902</v>
      </c>
      <c r="D3502" s="919" t="s">
        <v>4657</v>
      </c>
      <c r="E3502" s="920">
        <v>1150</v>
      </c>
      <c r="F3502" s="919" t="s">
        <v>10055</v>
      </c>
      <c r="G3502" s="919" t="s">
        <v>10056</v>
      </c>
      <c r="H3502" s="919" t="s">
        <v>4657</v>
      </c>
      <c r="I3502" s="919" t="s">
        <v>3686</v>
      </c>
      <c r="J3502" s="919"/>
      <c r="K3502" s="920"/>
      <c r="L3502" s="920"/>
      <c r="M3502" s="920">
        <f t="shared" si="108"/>
        <v>0</v>
      </c>
      <c r="N3502" s="919">
        <v>1</v>
      </c>
      <c r="O3502" s="919">
        <v>3</v>
      </c>
      <c r="P3502" s="921">
        <f t="shared" si="109"/>
        <v>3450</v>
      </c>
    </row>
    <row r="3503" spans="1:16" ht="20.100000000000001" customHeight="1" x14ac:dyDescent="0.25">
      <c r="A3503" s="918" t="s">
        <v>476</v>
      </c>
      <c r="B3503" s="944" t="s">
        <v>3901</v>
      </c>
      <c r="C3503" s="919" t="s">
        <v>3902</v>
      </c>
      <c r="D3503" s="919" t="s">
        <v>4502</v>
      </c>
      <c r="E3503" s="920">
        <v>1150</v>
      </c>
      <c r="F3503" s="919" t="s">
        <v>10057</v>
      </c>
      <c r="G3503" s="919" t="s">
        <v>10058</v>
      </c>
      <c r="H3503" s="919" t="s">
        <v>4502</v>
      </c>
      <c r="I3503" s="919" t="s">
        <v>3686</v>
      </c>
      <c r="J3503" s="919"/>
      <c r="K3503" s="920"/>
      <c r="L3503" s="920"/>
      <c r="M3503" s="920">
        <f t="shared" si="108"/>
        <v>0</v>
      </c>
      <c r="N3503" s="919">
        <v>1</v>
      </c>
      <c r="O3503" s="919">
        <v>3</v>
      </c>
      <c r="P3503" s="921">
        <f t="shared" si="109"/>
        <v>3450</v>
      </c>
    </row>
    <row r="3504" spans="1:16" ht="20.100000000000001" customHeight="1" x14ac:dyDescent="0.25">
      <c r="A3504" s="918" t="s">
        <v>476</v>
      </c>
      <c r="B3504" s="944" t="s">
        <v>3901</v>
      </c>
      <c r="C3504" s="919" t="s">
        <v>3902</v>
      </c>
      <c r="D3504" s="919" t="s">
        <v>4502</v>
      </c>
      <c r="E3504" s="920">
        <v>1150</v>
      </c>
      <c r="F3504" s="919" t="s">
        <v>10059</v>
      </c>
      <c r="G3504" s="919" t="s">
        <v>10060</v>
      </c>
      <c r="H3504" s="919" t="s">
        <v>4502</v>
      </c>
      <c r="I3504" s="919" t="s">
        <v>3686</v>
      </c>
      <c r="J3504" s="919"/>
      <c r="K3504" s="920"/>
      <c r="L3504" s="920"/>
      <c r="M3504" s="920">
        <f t="shared" si="108"/>
        <v>0</v>
      </c>
      <c r="N3504" s="919">
        <v>1</v>
      </c>
      <c r="O3504" s="919">
        <v>3</v>
      </c>
      <c r="P3504" s="921">
        <f t="shared" si="109"/>
        <v>3450</v>
      </c>
    </row>
    <row r="3505" spans="1:16" ht="20.100000000000001" customHeight="1" x14ac:dyDescent="0.25">
      <c r="A3505" s="918" t="s">
        <v>476</v>
      </c>
      <c r="B3505" s="944" t="s">
        <v>3901</v>
      </c>
      <c r="C3505" s="919" t="s">
        <v>3902</v>
      </c>
      <c r="D3505" s="919" t="s">
        <v>4502</v>
      </c>
      <c r="E3505" s="920">
        <v>1150</v>
      </c>
      <c r="F3505" s="919" t="s">
        <v>10061</v>
      </c>
      <c r="G3505" s="919" t="s">
        <v>10062</v>
      </c>
      <c r="H3505" s="919" t="s">
        <v>4502</v>
      </c>
      <c r="I3505" s="919" t="s">
        <v>3686</v>
      </c>
      <c r="J3505" s="919"/>
      <c r="K3505" s="920"/>
      <c r="L3505" s="920"/>
      <c r="M3505" s="920">
        <f t="shared" si="108"/>
        <v>0</v>
      </c>
      <c r="N3505" s="919">
        <v>1</v>
      </c>
      <c r="O3505" s="919">
        <v>3</v>
      </c>
      <c r="P3505" s="921">
        <f t="shared" si="109"/>
        <v>3450</v>
      </c>
    </row>
    <row r="3506" spans="1:16" ht="20.100000000000001" customHeight="1" x14ac:dyDescent="0.25">
      <c r="A3506" s="918" t="s">
        <v>476</v>
      </c>
      <c r="B3506" s="944" t="s">
        <v>3901</v>
      </c>
      <c r="C3506" s="919" t="s">
        <v>3902</v>
      </c>
      <c r="D3506" s="919" t="s">
        <v>4502</v>
      </c>
      <c r="E3506" s="920">
        <v>1150</v>
      </c>
      <c r="F3506" s="919" t="s">
        <v>10063</v>
      </c>
      <c r="G3506" s="919" t="s">
        <v>10064</v>
      </c>
      <c r="H3506" s="919" t="s">
        <v>4502</v>
      </c>
      <c r="I3506" s="919" t="s">
        <v>3686</v>
      </c>
      <c r="J3506" s="919"/>
      <c r="K3506" s="920"/>
      <c r="L3506" s="920"/>
      <c r="M3506" s="920">
        <f t="shared" si="108"/>
        <v>0</v>
      </c>
      <c r="N3506" s="919">
        <v>1</v>
      </c>
      <c r="O3506" s="919">
        <v>3</v>
      </c>
      <c r="P3506" s="921">
        <f t="shared" si="109"/>
        <v>3450</v>
      </c>
    </row>
    <row r="3507" spans="1:16" ht="20.100000000000001" customHeight="1" x14ac:dyDescent="0.25">
      <c r="A3507" s="918" t="s">
        <v>476</v>
      </c>
      <c r="B3507" s="944" t="s">
        <v>3901</v>
      </c>
      <c r="C3507" s="919" t="s">
        <v>3902</v>
      </c>
      <c r="D3507" s="919" t="s">
        <v>4502</v>
      </c>
      <c r="E3507" s="920">
        <v>1150</v>
      </c>
      <c r="F3507" s="919" t="s">
        <v>10065</v>
      </c>
      <c r="G3507" s="919" t="s">
        <v>10066</v>
      </c>
      <c r="H3507" s="919" t="s">
        <v>4502</v>
      </c>
      <c r="I3507" s="919" t="s">
        <v>3686</v>
      </c>
      <c r="J3507" s="919"/>
      <c r="K3507" s="920"/>
      <c r="L3507" s="920"/>
      <c r="M3507" s="920">
        <f t="shared" si="108"/>
        <v>0</v>
      </c>
      <c r="N3507" s="919">
        <v>1</v>
      </c>
      <c r="O3507" s="919">
        <v>3</v>
      </c>
      <c r="P3507" s="921">
        <f t="shared" si="109"/>
        <v>3450</v>
      </c>
    </row>
    <row r="3508" spans="1:16" ht="20.100000000000001" customHeight="1" x14ac:dyDescent="0.25">
      <c r="A3508" s="918" t="s">
        <v>476</v>
      </c>
      <c r="B3508" s="944" t="s">
        <v>3901</v>
      </c>
      <c r="C3508" s="919" t="s">
        <v>3902</v>
      </c>
      <c r="D3508" s="919" t="s">
        <v>4502</v>
      </c>
      <c r="E3508" s="920">
        <v>1150</v>
      </c>
      <c r="F3508" s="919" t="s">
        <v>10067</v>
      </c>
      <c r="G3508" s="919" t="s">
        <v>10068</v>
      </c>
      <c r="H3508" s="919" t="s">
        <v>4502</v>
      </c>
      <c r="I3508" s="919" t="s">
        <v>3686</v>
      </c>
      <c r="J3508" s="919"/>
      <c r="K3508" s="920"/>
      <c r="L3508" s="920"/>
      <c r="M3508" s="920">
        <f t="shared" si="108"/>
        <v>0</v>
      </c>
      <c r="N3508" s="919">
        <v>1</v>
      </c>
      <c r="O3508" s="919">
        <v>3</v>
      </c>
      <c r="P3508" s="921">
        <f t="shared" si="109"/>
        <v>3450</v>
      </c>
    </row>
    <row r="3509" spans="1:16" ht="20.100000000000001" customHeight="1" x14ac:dyDescent="0.25">
      <c r="A3509" s="918" t="s">
        <v>476</v>
      </c>
      <c r="B3509" s="944" t="s">
        <v>3901</v>
      </c>
      <c r="C3509" s="919" t="s">
        <v>3902</v>
      </c>
      <c r="D3509" s="919" t="s">
        <v>4502</v>
      </c>
      <c r="E3509" s="920">
        <v>1150</v>
      </c>
      <c r="F3509" s="919" t="s">
        <v>10069</v>
      </c>
      <c r="G3509" s="919" t="s">
        <v>10070</v>
      </c>
      <c r="H3509" s="919" t="s">
        <v>4502</v>
      </c>
      <c r="I3509" s="919" t="s">
        <v>3686</v>
      </c>
      <c r="J3509" s="919"/>
      <c r="K3509" s="920"/>
      <c r="L3509" s="920"/>
      <c r="M3509" s="920">
        <f t="shared" si="108"/>
        <v>0</v>
      </c>
      <c r="N3509" s="919">
        <v>1</v>
      </c>
      <c r="O3509" s="919">
        <v>3</v>
      </c>
      <c r="P3509" s="921">
        <f t="shared" si="109"/>
        <v>3450</v>
      </c>
    </row>
    <row r="3510" spans="1:16" ht="20.100000000000001" customHeight="1" x14ac:dyDescent="0.25">
      <c r="A3510" s="918" t="s">
        <v>476</v>
      </c>
      <c r="B3510" s="944" t="s">
        <v>3901</v>
      </c>
      <c r="C3510" s="919" t="s">
        <v>3902</v>
      </c>
      <c r="D3510" s="919" t="s">
        <v>4502</v>
      </c>
      <c r="E3510" s="920">
        <v>1150</v>
      </c>
      <c r="F3510" s="919" t="s">
        <v>10071</v>
      </c>
      <c r="G3510" s="919" t="s">
        <v>10072</v>
      </c>
      <c r="H3510" s="919" t="s">
        <v>4502</v>
      </c>
      <c r="I3510" s="919" t="s">
        <v>3686</v>
      </c>
      <c r="J3510" s="919"/>
      <c r="K3510" s="920"/>
      <c r="L3510" s="920"/>
      <c r="M3510" s="920">
        <f t="shared" si="108"/>
        <v>0</v>
      </c>
      <c r="N3510" s="919">
        <v>1</v>
      </c>
      <c r="O3510" s="919">
        <v>3</v>
      </c>
      <c r="P3510" s="921">
        <f t="shared" si="109"/>
        <v>3450</v>
      </c>
    </row>
    <row r="3511" spans="1:16" ht="20.100000000000001" customHeight="1" x14ac:dyDescent="0.25">
      <c r="A3511" s="918" t="s">
        <v>476</v>
      </c>
      <c r="B3511" s="944" t="s">
        <v>3901</v>
      </c>
      <c r="C3511" s="919" t="s">
        <v>3902</v>
      </c>
      <c r="D3511" s="919" t="s">
        <v>4502</v>
      </c>
      <c r="E3511" s="920">
        <v>1150</v>
      </c>
      <c r="F3511" s="919" t="s">
        <v>10073</v>
      </c>
      <c r="G3511" s="919" t="s">
        <v>10074</v>
      </c>
      <c r="H3511" s="919" t="s">
        <v>4502</v>
      </c>
      <c r="I3511" s="919" t="s">
        <v>3686</v>
      </c>
      <c r="J3511" s="919"/>
      <c r="K3511" s="920"/>
      <c r="L3511" s="920"/>
      <c r="M3511" s="920">
        <f t="shared" si="108"/>
        <v>0</v>
      </c>
      <c r="N3511" s="919">
        <v>1</v>
      </c>
      <c r="O3511" s="919">
        <v>3</v>
      </c>
      <c r="P3511" s="921">
        <f t="shared" si="109"/>
        <v>3450</v>
      </c>
    </row>
    <row r="3512" spans="1:16" ht="20.100000000000001" customHeight="1" x14ac:dyDescent="0.25">
      <c r="A3512" s="918" t="s">
        <v>476</v>
      </c>
      <c r="B3512" s="944" t="s">
        <v>3901</v>
      </c>
      <c r="C3512" s="919" t="s">
        <v>3902</v>
      </c>
      <c r="D3512" s="919" t="s">
        <v>4502</v>
      </c>
      <c r="E3512" s="920">
        <v>1150</v>
      </c>
      <c r="F3512" s="919" t="s">
        <v>10075</v>
      </c>
      <c r="G3512" s="919" t="s">
        <v>10076</v>
      </c>
      <c r="H3512" s="919" t="s">
        <v>4502</v>
      </c>
      <c r="I3512" s="919" t="s">
        <v>3686</v>
      </c>
      <c r="J3512" s="919"/>
      <c r="K3512" s="920"/>
      <c r="L3512" s="920"/>
      <c r="M3512" s="920">
        <f t="shared" si="108"/>
        <v>0</v>
      </c>
      <c r="N3512" s="919">
        <v>1</v>
      </c>
      <c r="O3512" s="919">
        <v>3</v>
      </c>
      <c r="P3512" s="921">
        <f t="shared" si="109"/>
        <v>3450</v>
      </c>
    </row>
    <row r="3513" spans="1:16" ht="20.100000000000001" customHeight="1" x14ac:dyDescent="0.25">
      <c r="A3513" s="918" t="s">
        <v>476</v>
      </c>
      <c r="B3513" s="944" t="s">
        <v>3901</v>
      </c>
      <c r="C3513" s="919" t="s">
        <v>3902</v>
      </c>
      <c r="D3513" s="919" t="s">
        <v>4502</v>
      </c>
      <c r="E3513" s="920">
        <v>1150</v>
      </c>
      <c r="F3513" s="919" t="s">
        <v>10077</v>
      </c>
      <c r="G3513" s="919" t="s">
        <v>10078</v>
      </c>
      <c r="H3513" s="919" t="s">
        <v>4502</v>
      </c>
      <c r="I3513" s="919" t="s">
        <v>3686</v>
      </c>
      <c r="J3513" s="919"/>
      <c r="K3513" s="920"/>
      <c r="L3513" s="920"/>
      <c r="M3513" s="920">
        <f t="shared" si="108"/>
        <v>0</v>
      </c>
      <c r="N3513" s="919">
        <v>1</v>
      </c>
      <c r="O3513" s="919">
        <v>3</v>
      </c>
      <c r="P3513" s="921">
        <f t="shared" si="109"/>
        <v>3450</v>
      </c>
    </row>
    <row r="3514" spans="1:16" ht="20.100000000000001" customHeight="1" x14ac:dyDescent="0.25">
      <c r="A3514" s="918" t="s">
        <v>476</v>
      </c>
      <c r="B3514" s="944" t="s">
        <v>3901</v>
      </c>
      <c r="C3514" s="919" t="s">
        <v>3902</v>
      </c>
      <c r="D3514" s="919" t="s">
        <v>4502</v>
      </c>
      <c r="E3514" s="920">
        <v>1150</v>
      </c>
      <c r="F3514" s="919" t="s">
        <v>10079</v>
      </c>
      <c r="G3514" s="919" t="s">
        <v>10080</v>
      </c>
      <c r="H3514" s="919" t="s">
        <v>4502</v>
      </c>
      <c r="I3514" s="919" t="s">
        <v>3686</v>
      </c>
      <c r="J3514" s="919"/>
      <c r="K3514" s="920"/>
      <c r="L3514" s="920"/>
      <c r="M3514" s="920">
        <f t="shared" si="108"/>
        <v>0</v>
      </c>
      <c r="N3514" s="919">
        <v>1</v>
      </c>
      <c r="O3514" s="919">
        <v>3</v>
      </c>
      <c r="P3514" s="921">
        <f t="shared" si="109"/>
        <v>3450</v>
      </c>
    </row>
    <row r="3515" spans="1:16" ht="20.100000000000001" customHeight="1" x14ac:dyDescent="0.25">
      <c r="A3515" s="918" t="s">
        <v>476</v>
      </c>
      <c r="B3515" s="944" t="s">
        <v>3901</v>
      </c>
      <c r="C3515" s="919" t="s">
        <v>3902</v>
      </c>
      <c r="D3515" s="919" t="s">
        <v>4502</v>
      </c>
      <c r="E3515" s="920">
        <v>1150</v>
      </c>
      <c r="F3515" s="919" t="s">
        <v>10081</v>
      </c>
      <c r="G3515" s="919" t="s">
        <v>10082</v>
      </c>
      <c r="H3515" s="919" t="s">
        <v>4502</v>
      </c>
      <c r="I3515" s="919" t="s">
        <v>3686</v>
      </c>
      <c r="J3515" s="919"/>
      <c r="K3515" s="920"/>
      <c r="L3515" s="920"/>
      <c r="M3515" s="920">
        <f t="shared" si="108"/>
        <v>0</v>
      </c>
      <c r="N3515" s="919">
        <v>1</v>
      </c>
      <c r="O3515" s="919">
        <v>3</v>
      </c>
      <c r="P3515" s="921">
        <f t="shared" si="109"/>
        <v>3450</v>
      </c>
    </row>
    <row r="3516" spans="1:16" ht="20.100000000000001" customHeight="1" x14ac:dyDescent="0.25">
      <c r="A3516" s="918" t="s">
        <v>476</v>
      </c>
      <c r="B3516" s="944" t="s">
        <v>3901</v>
      </c>
      <c r="C3516" s="919" t="s">
        <v>3902</v>
      </c>
      <c r="D3516" s="919" t="s">
        <v>4502</v>
      </c>
      <c r="E3516" s="920">
        <v>1150</v>
      </c>
      <c r="F3516" s="919" t="s">
        <v>10083</v>
      </c>
      <c r="G3516" s="919" t="s">
        <v>10084</v>
      </c>
      <c r="H3516" s="919" t="s">
        <v>4502</v>
      </c>
      <c r="I3516" s="919" t="s">
        <v>3686</v>
      </c>
      <c r="J3516" s="919"/>
      <c r="K3516" s="920"/>
      <c r="L3516" s="920"/>
      <c r="M3516" s="920">
        <f t="shared" si="108"/>
        <v>0</v>
      </c>
      <c r="N3516" s="919">
        <v>1</v>
      </c>
      <c r="O3516" s="919">
        <v>3</v>
      </c>
      <c r="P3516" s="921">
        <f t="shared" si="109"/>
        <v>3450</v>
      </c>
    </row>
    <row r="3517" spans="1:16" ht="20.100000000000001" customHeight="1" x14ac:dyDescent="0.25">
      <c r="A3517" s="918" t="s">
        <v>476</v>
      </c>
      <c r="B3517" s="944" t="s">
        <v>3901</v>
      </c>
      <c r="C3517" s="919" t="s">
        <v>3902</v>
      </c>
      <c r="D3517" s="919" t="s">
        <v>4502</v>
      </c>
      <c r="E3517" s="920">
        <v>1150</v>
      </c>
      <c r="F3517" s="919" t="s">
        <v>10085</v>
      </c>
      <c r="G3517" s="919" t="s">
        <v>10086</v>
      </c>
      <c r="H3517" s="919" t="s">
        <v>4502</v>
      </c>
      <c r="I3517" s="919" t="s">
        <v>3686</v>
      </c>
      <c r="J3517" s="919"/>
      <c r="K3517" s="920"/>
      <c r="L3517" s="920"/>
      <c r="M3517" s="920">
        <f t="shared" si="108"/>
        <v>0</v>
      </c>
      <c r="N3517" s="919">
        <v>1</v>
      </c>
      <c r="O3517" s="919">
        <v>3</v>
      </c>
      <c r="P3517" s="921">
        <f t="shared" si="109"/>
        <v>3450</v>
      </c>
    </row>
    <row r="3518" spans="1:16" ht="20.100000000000001" customHeight="1" x14ac:dyDescent="0.25">
      <c r="A3518" s="918" t="s">
        <v>476</v>
      </c>
      <c r="B3518" s="944" t="s">
        <v>3901</v>
      </c>
      <c r="C3518" s="919" t="s">
        <v>3902</v>
      </c>
      <c r="D3518" s="919" t="s">
        <v>4502</v>
      </c>
      <c r="E3518" s="920">
        <v>1150</v>
      </c>
      <c r="F3518" s="919" t="s">
        <v>10087</v>
      </c>
      <c r="G3518" s="919" t="s">
        <v>10088</v>
      </c>
      <c r="H3518" s="919" t="s">
        <v>4502</v>
      </c>
      <c r="I3518" s="919" t="s">
        <v>3686</v>
      </c>
      <c r="J3518" s="919"/>
      <c r="K3518" s="920"/>
      <c r="L3518" s="920"/>
      <c r="M3518" s="920">
        <f t="shared" si="108"/>
        <v>0</v>
      </c>
      <c r="N3518" s="919">
        <v>1</v>
      </c>
      <c r="O3518" s="919">
        <v>3</v>
      </c>
      <c r="P3518" s="921">
        <f t="shared" si="109"/>
        <v>3450</v>
      </c>
    </row>
    <row r="3519" spans="1:16" ht="20.100000000000001" customHeight="1" x14ac:dyDescent="0.25">
      <c r="A3519" s="918" t="s">
        <v>476</v>
      </c>
      <c r="B3519" s="944" t="s">
        <v>3901</v>
      </c>
      <c r="C3519" s="919" t="s">
        <v>3902</v>
      </c>
      <c r="D3519" s="919" t="s">
        <v>4502</v>
      </c>
      <c r="E3519" s="920">
        <v>1150</v>
      </c>
      <c r="F3519" s="919" t="s">
        <v>10089</v>
      </c>
      <c r="G3519" s="919" t="s">
        <v>10090</v>
      </c>
      <c r="H3519" s="919" t="s">
        <v>4502</v>
      </c>
      <c r="I3519" s="919" t="s">
        <v>3686</v>
      </c>
      <c r="J3519" s="919"/>
      <c r="K3519" s="920"/>
      <c r="L3519" s="920"/>
      <c r="M3519" s="920">
        <f t="shared" si="108"/>
        <v>0</v>
      </c>
      <c r="N3519" s="919">
        <v>1</v>
      </c>
      <c r="O3519" s="919">
        <v>3</v>
      </c>
      <c r="P3519" s="921">
        <f t="shared" si="109"/>
        <v>3450</v>
      </c>
    </row>
    <row r="3520" spans="1:16" ht="20.100000000000001" customHeight="1" x14ac:dyDescent="0.25">
      <c r="A3520" s="918" t="s">
        <v>476</v>
      </c>
      <c r="B3520" s="944" t="s">
        <v>3901</v>
      </c>
      <c r="C3520" s="919" t="s">
        <v>3902</v>
      </c>
      <c r="D3520" s="919" t="s">
        <v>4502</v>
      </c>
      <c r="E3520" s="920">
        <v>1150</v>
      </c>
      <c r="F3520" s="919" t="s">
        <v>10091</v>
      </c>
      <c r="G3520" s="919" t="s">
        <v>10092</v>
      </c>
      <c r="H3520" s="919" t="s">
        <v>4502</v>
      </c>
      <c r="I3520" s="919" t="s">
        <v>3686</v>
      </c>
      <c r="J3520" s="919"/>
      <c r="K3520" s="920"/>
      <c r="L3520" s="920"/>
      <c r="M3520" s="920">
        <f t="shared" si="108"/>
        <v>0</v>
      </c>
      <c r="N3520" s="919">
        <v>1</v>
      </c>
      <c r="O3520" s="919">
        <v>3</v>
      </c>
      <c r="P3520" s="921">
        <f t="shared" si="109"/>
        <v>3450</v>
      </c>
    </row>
    <row r="3521" spans="1:16" ht="20.100000000000001" customHeight="1" x14ac:dyDescent="0.25">
      <c r="A3521" s="918" t="s">
        <v>476</v>
      </c>
      <c r="B3521" s="944" t="s">
        <v>3901</v>
      </c>
      <c r="C3521" s="919" t="s">
        <v>3902</v>
      </c>
      <c r="D3521" s="919" t="s">
        <v>4502</v>
      </c>
      <c r="E3521" s="920">
        <v>1150</v>
      </c>
      <c r="F3521" s="919" t="s">
        <v>10093</v>
      </c>
      <c r="G3521" s="919" t="s">
        <v>10094</v>
      </c>
      <c r="H3521" s="919" t="s">
        <v>4502</v>
      </c>
      <c r="I3521" s="919" t="s">
        <v>3686</v>
      </c>
      <c r="J3521" s="919"/>
      <c r="K3521" s="920"/>
      <c r="L3521" s="920"/>
      <c r="M3521" s="920">
        <f t="shared" si="108"/>
        <v>0</v>
      </c>
      <c r="N3521" s="919">
        <v>1</v>
      </c>
      <c r="O3521" s="919">
        <v>3</v>
      </c>
      <c r="P3521" s="921">
        <f t="shared" si="109"/>
        <v>3450</v>
      </c>
    </row>
    <row r="3522" spans="1:16" ht="20.100000000000001" customHeight="1" x14ac:dyDescent="0.25">
      <c r="A3522" s="918" t="s">
        <v>476</v>
      </c>
      <c r="B3522" s="944" t="s">
        <v>3901</v>
      </c>
      <c r="C3522" s="919" t="s">
        <v>3902</v>
      </c>
      <c r="D3522" s="919" t="s">
        <v>4502</v>
      </c>
      <c r="E3522" s="920">
        <v>1150</v>
      </c>
      <c r="F3522" s="919" t="s">
        <v>10095</v>
      </c>
      <c r="G3522" s="919" t="s">
        <v>10096</v>
      </c>
      <c r="H3522" s="919" t="s">
        <v>4502</v>
      </c>
      <c r="I3522" s="919" t="s">
        <v>3686</v>
      </c>
      <c r="J3522" s="919"/>
      <c r="K3522" s="920"/>
      <c r="L3522" s="920"/>
      <c r="M3522" s="920">
        <f t="shared" si="108"/>
        <v>0</v>
      </c>
      <c r="N3522" s="919">
        <v>1</v>
      </c>
      <c r="O3522" s="919">
        <v>3</v>
      </c>
      <c r="P3522" s="921">
        <f t="shared" si="109"/>
        <v>3450</v>
      </c>
    </row>
    <row r="3523" spans="1:16" ht="20.100000000000001" customHeight="1" x14ac:dyDescent="0.25">
      <c r="A3523" s="918" t="s">
        <v>476</v>
      </c>
      <c r="B3523" s="944" t="s">
        <v>3901</v>
      </c>
      <c r="C3523" s="919" t="s">
        <v>3902</v>
      </c>
      <c r="D3523" s="919" t="s">
        <v>4502</v>
      </c>
      <c r="E3523" s="920">
        <v>1150</v>
      </c>
      <c r="F3523" s="919" t="s">
        <v>10097</v>
      </c>
      <c r="G3523" s="919" t="s">
        <v>10098</v>
      </c>
      <c r="H3523" s="919" t="s">
        <v>4502</v>
      </c>
      <c r="I3523" s="919" t="s">
        <v>3686</v>
      </c>
      <c r="J3523" s="919"/>
      <c r="K3523" s="920"/>
      <c r="L3523" s="920"/>
      <c r="M3523" s="920">
        <f t="shared" si="108"/>
        <v>0</v>
      </c>
      <c r="N3523" s="919">
        <v>1</v>
      </c>
      <c r="O3523" s="919">
        <v>3</v>
      </c>
      <c r="P3523" s="921">
        <f t="shared" si="109"/>
        <v>3450</v>
      </c>
    </row>
    <row r="3524" spans="1:16" ht="20.100000000000001" customHeight="1" x14ac:dyDescent="0.25">
      <c r="A3524" s="918" t="s">
        <v>476</v>
      </c>
      <c r="B3524" s="944" t="s">
        <v>3901</v>
      </c>
      <c r="C3524" s="919" t="s">
        <v>3902</v>
      </c>
      <c r="D3524" s="919" t="s">
        <v>4502</v>
      </c>
      <c r="E3524" s="920">
        <v>1150</v>
      </c>
      <c r="F3524" s="919" t="s">
        <v>10099</v>
      </c>
      <c r="G3524" s="919" t="s">
        <v>10100</v>
      </c>
      <c r="H3524" s="919" t="s">
        <v>4502</v>
      </c>
      <c r="I3524" s="919" t="s">
        <v>3686</v>
      </c>
      <c r="J3524" s="919"/>
      <c r="K3524" s="920"/>
      <c r="L3524" s="920"/>
      <c r="M3524" s="920">
        <f t="shared" si="108"/>
        <v>0</v>
      </c>
      <c r="N3524" s="919">
        <v>1</v>
      </c>
      <c r="O3524" s="919">
        <v>3</v>
      </c>
      <c r="P3524" s="921">
        <f t="shared" si="109"/>
        <v>3450</v>
      </c>
    </row>
    <row r="3525" spans="1:16" ht="20.100000000000001" customHeight="1" x14ac:dyDescent="0.25">
      <c r="A3525" s="918" t="s">
        <v>476</v>
      </c>
      <c r="B3525" s="944" t="s">
        <v>3901</v>
      </c>
      <c r="C3525" s="919" t="s">
        <v>3902</v>
      </c>
      <c r="D3525" s="919" t="s">
        <v>4502</v>
      </c>
      <c r="E3525" s="920">
        <v>1150</v>
      </c>
      <c r="F3525" s="919" t="s">
        <v>10101</v>
      </c>
      <c r="G3525" s="919" t="s">
        <v>10102</v>
      </c>
      <c r="H3525" s="919" t="s">
        <v>4502</v>
      </c>
      <c r="I3525" s="919" t="s">
        <v>3686</v>
      </c>
      <c r="J3525" s="919"/>
      <c r="K3525" s="920"/>
      <c r="L3525" s="920"/>
      <c r="M3525" s="920">
        <f t="shared" si="108"/>
        <v>0</v>
      </c>
      <c r="N3525" s="919">
        <v>1</v>
      </c>
      <c r="O3525" s="919">
        <v>3</v>
      </c>
      <c r="P3525" s="921">
        <f t="shared" si="109"/>
        <v>3450</v>
      </c>
    </row>
    <row r="3526" spans="1:16" ht="20.100000000000001" customHeight="1" x14ac:dyDescent="0.25">
      <c r="A3526" s="918" t="s">
        <v>476</v>
      </c>
      <c r="B3526" s="944" t="s">
        <v>3901</v>
      </c>
      <c r="C3526" s="919" t="s">
        <v>3902</v>
      </c>
      <c r="D3526" s="919" t="s">
        <v>4502</v>
      </c>
      <c r="E3526" s="920">
        <v>1150</v>
      </c>
      <c r="F3526" s="919" t="s">
        <v>10103</v>
      </c>
      <c r="G3526" s="919" t="s">
        <v>10104</v>
      </c>
      <c r="H3526" s="919" t="s">
        <v>4502</v>
      </c>
      <c r="I3526" s="919" t="s">
        <v>3686</v>
      </c>
      <c r="J3526" s="919"/>
      <c r="K3526" s="920"/>
      <c r="L3526" s="920"/>
      <c r="M3526" s="920">
        <f t="shared" ref="M3526:M3589" si="110">E3526*L3526</f>
        <v>0</v>
      </c>
      <c r="N3526" s="919">
        <v>1</v>
      </c>
      <c r="O3526" s="919">
        <v>3</v>
      </c>
      <c r="P3526" s="921">
        <f t="shared" ref="P3526:P3589" si="111">E3526*O3526</f>
        <v>3450</v>
      </c>
    </row>
    <row r="3527" spans="1:16" ht="20.100000000000001" customHeight="1" x14ac:dyDescent="0.25">
      <c r="A3527" s="918" t="s">
        <v>476</v>
      </c>
      <c r="B3527" s="944" t="s">
        <v>3901</v>
      </c>
      <c r="C3527" s="919" t="s">
        <v>3902</v>
      </c>
      <c r="D3527" s="919" t="s">
        <v>4502</v>
      </c>
      <c r="E3527" s="920">
        <v>1150</v>
      </c>
      <c r="F3527" s="919" t="s">
        <v>10105</v>
      </c>
      <c r="G3527" s="919" t="s">
        <v>10106</v>
      </c>
      <c r="H3527" s="919" t="s">
        <v>4502</v>
      </c>
      <c r="I3527" s="919" t="s">
        <v>3686</v>
      </c>
      <c r="J3527" s="919"/>
      <c r="K3527" s="920"/>
      <c r="L3527" s="920"/>
      <c r="M3527" s="920">
        <f t="shared" si="110"/>
        <v>0</v>
      </c>
      <c r="N3527" s="919">
        <v>1</v>
      </c>
      <c r="O3527" s="919">
        <v>3</v>
      </c>
      <c r="P3527" s="921">
        <f t="shared" si="111"/>
        <v>3450</v>
      </c>
    </row>
    <row r="3528" spans="1:16" ht="20.100000000000001" customHeight="1" x14ac:dyDescent="0.25">
      <c r="A3528" s="918" t="s">
        <v>476</v>
      </c>
      <c r="B3528" s="944" t="s">
        <v>3901</v>
      </c>
      <c r="C3528" s="919" t="s">
        <v>3902</v>
      </c>
      <c r="D3528" s="919" t="s">
        <v>4502</v>
      </c>
      <c r="E3528" s="920">
        <v>1150</v>
      </c>
      <c r="F3528" s="919" t="s">
        <v>10107</v>
      </c>
      <c r="G3528" s="919" t="s">
        <v>10108</v>
      </c>
      <c r="H3528" s="919" t="s">
        <v>4502</v>
      </c>
      <c r="I3528" s="919" t="s">
        <v>3686</v>
      </c>
      <c r="J3528" s="919"/>
      <c r="K3528" s="920"/>
      <c r="L3528" s="920"/>
      <c r="M3528" s="920">
        <f t="shared" si="110"/>
        <v>0</v>
      </c>
      <c r="N3528" s="919">
        <v>1</v>
      </c>
      <c r="O3528" s="919">
        <v>3</v>
      </c>
      <c r="P3528" s="921">
        <f t="shared" si="111"/>
        <v>3450</v>
      </c>
    </row>
    <row r="3529" spans="1:16" ht="20.100000000000001" customHeight="1" x14ac:dyDescent="0.25">
      <c r="A3529" s="918" t="s">
        <v>476</v>
      </c>
      <c r="B3529" s="944" t="s">
        <v>3901</v>
      </c>
      <c r="C3529" s="919" t="s">
        <v>3902</v>
      </c>
      <c r="D3529" s="919" t="s">
        <v>4502</v>
      </c>
      <c r="E3529" s="920">
        <v>1150</v>
      </c>
      <c r="F3529" s="919" t="s">
        <v>10109</v>
      </c>
      <c r="G3529" s="919" t="s">
        <v>10110</v>
      </c>
      <c r="H3529" s="919" t="s">
        <v>4502</v>
      </c>
      <c r="I3529" s="919" t="s">
        <v>3686</v>
      </c>
      <c r="J3529" s="919"/>
      <c r="K3529" s="920"/>
      <c r="L3529" s="920"/>
      <c r="M3529" s="920">
        <f t="shared" si="110"/>
        <v>0</v>
      </c>
      <c r="N3529" s="919">
        <v>1</v>
      </c>
      <c r="O3529" s="919">
        <v>3</v>
      </c>
      <c r="P3529" s="921">
        <f t="shared" si="111"/>
        <v>3450</v>
      </c>
    </row>
    <row r="3530" spans="1:16" ht="20.100000000000001" customHeight="1" x14ac:dyDescent="0.25">
      <c r="A3530" s="918" t="s">
        <v>476</v>
      </c>
      <c r="B3530" s="944" t="s">
        <v>3901</v>
      </c>
      <c r="C3530" s="919" t="s">
        <v>3902</v>
      </c>
      <c r="D3530" s="919" t="s">
        <v>4502</v>
      </c>
      <c r="E3530" s="920">
        <v>1150</v>
      </c>
      <c r="F3530" s="919" t="s">
        <v>10111</v>
      </c>
      <c r="G3530" s="919" t="s">
        <v>10112</v>
      </c>
      <c r="H3530" s="919" t="s">
        <v>4502</v>
      </c>
      <c r="I3530" s="919" t="s">
        <v>3686</v>
      </c>
      <c r="J3530" s="919"/>
      <c r="K3530" s="920"/>
      <c r="L3530" s="920"/>
      <c r="M3530" s="920">
        <f t="shared" si="110"/>
        <v>0</v>
      </c>
      <c r="N3530" s="919">
        <v>1</v>
      </c>
      <c r="O3530" s="919">
        <v>3</v>
      </c>
      <c r="P3530" s="921">
        <f t="shared" si="111"/>
        <v>3450</v>
      </c>
    </row>
    <row r="3531" spans="1:16" ht="20.100000000000001" customHeight="1" x14ac:dyDescent="0.25">
      <c r="A3531" s="918" t="s">
        <v>476</v>
      </c>
      <c r="B3531" s="944" t="s">
        <v>3901</v>
      </c>
      <c r="C3531" s="919" t="s">
        <v>3902</v>
      </c>
      <c r="D3531" s="919" t="s">
        <v>4502</v>
      </c>
      <c r="E3531" s="920">
        <v>1150</v>
      </c>
      <c r="F3531" s="919" t="s">
        <v>10113</v>
      </c>
      <c r="G3531" s="919" t="s">
        <v>10114</v>
      </c>
      <c r="H3531" s="919" t="s">
        <v>4502</v>
      </c>
      <c r="I3531" s="919" t="s">
        <v>3686</v>
      </c>
      <c r="J3531" s="919"/>
      <c r="K3531" s="920"/>
      <c r="L3531" s="920"/>
      <c r="M3531" s="920">
        <f t="shared" si="110"/>
        <v>0</v>
      </c>
      <c r="N3531" s="919">
        <v>1</v>
      </c>
      <c r="O3531" s="919">
        <v>3</v>
      </c>
      <c r="P3531" s="921">
        <f t="shared" si="111"/>
        <v>3450</v>
      </c>
    </row>
    <row r="3532" spans="1:16" ht="20.100000000000001" customHeight="1" x14ac:dyDescent="0.25">
      <c r="A3532" s="918" t="s">
        <v>476</v>
      </c>
      <c r="B3532" s="944" t="s">
        <v>3901</v>
      </c>
      <c r="C3532" s="919" t="s">
        <v>3902</v>
      </c>
      <c r="D3532" s="919" t="s">
        <v>4502</v>
      </c>
      <c r="E3532" s="920">
        <v>1150</v>
      </c>
      <c r="F3532" s="919" t="s">
        <v>10115</v>
      </c>
      <c r="G3532" s="919" t="s">
        <v>10116</v>
      </c>
      <c r="H3532" s="919" t="s">
        <v>4502</v>
      </c>
      <c r="I3532" s="919" t="s">
        <v>3686</v>
      </c>
      <c r="J3532" s="919"/>
      <c r="K3532" s="920"/>
      <c r="L3532" s="920"/>
      <c r="M3532" s="920">
        <f t="shared" si="110"/>
        <v>0</v>
      </c>
      <c r="N3532" s="919">
        <v>1</v>
      </c>
      <c r="O3532" s="919">
        <v>3</v>
      </c>
      <c r="P3532" s="921">
        <f t="shared" si="111"/>
        <v>3450</v>
      </c>
    </row>
    <row r="3533" spans="1:16" ht="20.100000000000001" customHeight="1" x14ac:dyDescent="0.25">
      <c r="A3533" s="918" t="s">
        <v>476</v>
      </c>
      <c r="B3533" s="944" t="s">
        <v>3901</v>
      </c>
      <c r="C3533" s="919" t="s">
        <v>3902</v>
      </c>
      <c r="D3533" s="919" t="s">
        <v>4502</v>
      </c>
      <c r="E3533" s="920">
        <v>1150</v>
      </c>
      <c r="F3533" s="919" t="s">
        <v>10117</v>
      </c>
      <c r="G3533" s="919" t="s">
        <v>10118</v>
      </c>
      <c r="H3533" s="919" t="s">
        <v>4502</v>
      </c>
      <c r="I3533" s="919" t="s">
        <v>3686</v>
      </c>
      <c r="J3533" s="919"/>
      <c r="K3533" s="920"/>
      <c r="L3533" s="920"/>
      <c r="M3533" s="920">
        <f t="shared" si="110"/>
        <v>0</v>
      </c>
      <c r="N3533" s="919">
        <v>1</v>
      </c>
      <c r="O3533" s="919">
        <v>3</v>
      </c>
      <c r="P3533" s="921">
        <f t="shared" si="111"/>
        <v>3450</v>
      </c>
    </row>
    <row r="3534" spans="1:16" ht="20.100000000000001" customHeight="1" x14ac:dyDescent="0.25">
      <c r="A3534" s="918" t="s">
        <v>476</v>
      </c>
      <c r="B3534" s="944" t="s">
        <v>3901</v>
      </c>
      <c r="C3534" s="919" t="s">
        <v>3902</v>
      </c>
      <c r="D3534" s="919" t="s">
        <v>4502</v>
      </c>
      <c r="E3534" s="920">
        <v>1150</v>
      </c>
      <c r="F3534" s="919" t="s">
        <v>10119</v>
      </c>
      <c r="G3534" s="919" t="s">
        <v>10120</v>
      </c>
      <c r="H3534" s="919" t="s">
        <v>4502</v>
      </c>
      <c r="I3534" s="919" t="s">
        <v>3686</v>
      </c>
      <c r="J3534" s="919"/>
      <c r="K3534" s="920"/>
      <c r="L3534" s="920"/>
      <c r="M3534" s="920">
        <f t="shared" si="110"/>
        <v>0</v>
      </c>
      <c r="N3534" s="919">
        <v>1</v>
      </c>
      <c r="O3534" s="919">
        <v>3</v>
      </c>
      <c r="P3534" s="921">
        <f t="shared" si="111"/>
        <v>3450</v>
      </c>
    </row>
    <row r="3535" spans="1:16" ht="20.100000000000001" customHeight="1" x14ac:dyDescent="0.25">
      <c r="A3535" s="918" t="s">
        <v>476</v>
      </c>
      <c r="B3535" s="944" t="s">
        <v>3901</v>
      </c>
      <c r="C3535" s="919" t="s">
        <v>3902</v>
      </c>
      <c r="D3535" s="919" t="s">
        <v>4502</v>
      </c>
      <c r="E3535" s="920">
        <v>1150</v>
      </c>
      <c r="F3535" s="919" t="s">
        <v>10121</v>
      </c>
      <c r="G3535" s="919" t="s">
        <v>10122</v>
      </c>
      <c r="H3535" s="919" t="s">
        <v>4502</v>
      </c>
      <c r="I3535" s="919" t="s">
        <v>3686</v>
      </c>
      <c r="J3535" s="919"/>
      <c r="K3535" s="920"/>
      <c r="L3535" s="920"/>
      <c r="M3535" s="920">
        <f t="shared" si="110"/>
        <v>0</v>
      </c>
      <c r="N3535" s="919">
        <v>1</v>
      </c>
      <c r="O3535" s="919">
        <v>3</v>
      </c>
      <c r="P3535" s="921">
        <f t="shared" si="111"/>
        <v>3450</v>
      </c>
    </row>
    <row r="3536" spans="1:16" ht="20.100000000000001" customHeight="1" x14ac:dyDescent="0.25">
      <c r="A3536" s="918" t="s">
        <v>476</v>
      </c>
      <c r="B3536" s="944" t="s">
        <v>3901</v>
      </c>
      <c r="C3536" s="919" t="s">
        <v>3902</v>
      </c>
      <c r="D3536" s="919" t="s">
        <v>4502</v>
      </c>
      <c r="E3536" s="920">
        <v>1150</v>
      </c>
      <c r="F3536" s="919" t="s">
        <v>10123</v>
      </c>
      <c r="G3536" s="919" t="s">
        <v>10124</v>
      </c>
      <c r="H3536" s="919" t="s">
        <v>4502</v>
      </c>
      <c r="I3536" s="919" t="s">
        <v>3686</v>
      </c>
      <c r="J3536" s="919"/>
      <c r="K3536" s="920"/>
      <c r="L3536" s="920"/>
      <c r="M3536" s="920">
        <f t="shared" si="110"/>
        <v>0</v>
      </c>
      <c r="N3536" s="919">
        <v>1</v>
      </c>
      <c r="O3536" s="919">
        <v>3</v>
      </c>
      <c r="P3536" s="921">
        <f t="shared" si="111"/>
        <v>3450</v>
      </c>
    </row>
    <row r="3537" spans="1:16" ht="20.100000000000001" customHeight="1" x14ac:dyDescent="0.25">
      <c r="A3537" s="918" t="s">
        <v>476</v>
      </c>
      <c r="B3537" s="944" t="s">
        <v>3901</v>
      </c>
      <c r="C3537" s="919" t="s">
        <v>3902</v>
      </c>
      <c r="D3537" s="919" t="s">
        <v>4502</v>
      </c>
      <c r="E3537" s="920">
        <v>1150</v>
      </c>
      <c r="F3537" s="919" t="s">
        <v>4041</v>
      </c>
      <c r="G3537" s="919" t="s">
        <v>4062</v>
      </c>
      <c r="H3537" s="919" t="s">
        <v>4502</v>
      </c>
      <c r="I3537" s="919" t="s">
        <v>3686</v>
      </c>
      <c r="J3537" s="919"/>
      <c r="K3537" s="920">
        <v>1</v>
      </c>
      <c r="L3537" s="920">
        <v>12</v>
      </c>
      <c r="M3537" s="920">
        <f t="shared" si="110"/>
        <v>13800</v>
      </c>
      <c r="N3537" s="919"/>
      <c r="O3537" s="919"/>
      <c r="P3537" s="921">
        <f t="shared" si="111"/>
        <v>0</v>
      </c>
    </row>
    <row r="3538" spans="1:16" ht="20.100000000000001" customHeight="1" x14ac:dyDescent="0.25">
      <c r="A3538" s="918" t="s">
        <v>476</v>
      </c>
      <c r="B3538" s="944" t="s">
        <v>3901</v>
      </c>
      <c r="C3538" s="919" t="s">
        <v>3902</v>
      </c>
      <c r="D3538" s="919" t="s">
        <v>4502</v>
      </c>
      <c r="E3538" s="920">
        <v>1150</v>
      </c>
      <c r="F3538" s="919" t="s">
        <v>10125</v>
      </c>
      <c r="G3538" s="919" t="s">
        <v>10126</v>
      </c>
      <c r="H3538" s="919" t="s">
        <v>4502</v>
      </c>
      <c r="I3538" s="919" t="s">
        <v>3686</v>
      </c>
      <c r="J3538" s="919"/>
      <c r="K3538" s="920"/>
      <c r="L3538" s="920"/>
      <c r="M3538" s="920">
        <f t="shared" si="110"/>
        <v>0</v>
      </c>
      <c r="N3538" s="919">
        <v>1</v>
      </c>
      <c r="O3538" s="919">
        <v>3</v>
      </c>
      <c r="P3538" s="921">
        <f t="shared" si="111"/>
        <v>3450</v>
      </c>
    </row>
    <row r="3539" spans="1:16" ht="20.100000000000001" customHeight="1" x14ac:dyDescent="0.25">
      <c r="A3539" s="918" t="s">
        <v>476</v>
      </c>
      <c r="B3539" s="944" t="s">
        <v>3901</v>
      </c>
      <c r="C3539" s="919" t="s">
        <v>3902</v>
      </c>
      <c r="D3539" s="919" t="s">
        <v>4774</v>
      </c>
      <c r="E3539" s="920">
        <v>2000</v>
      </c>
      <c r="F3539" s="919" t="s">
        <v>10127</v>
      </c>
      <c r="G3539" s="919" t="s">
        <v>10128</v>
      </c>
      <c r="H3539" s="919" t="s">
        <v>4774</v>
      </c>
      <c r="I3539" s="919" t="s">
        <v>3679</v>
      </c>
      <c r="J3539" s="919"/>
      <c r="K3539" s="920"/>
      <c r="L3539" s="920"/>
      <c r="M3539" s="920">
        <f t="shared" si="110"/>
        <v>0</v>
      </c>
      <c r="N3539" s="919">
        <v>1</v>
      </c>
      <c r="O3539" s="919">
        <v>3</v>
      </c>
      <c r="P3539" s="921">
        <f t="shared" si="111"/>
        <v>6000</v>
      </c>
    </row>
    <row r="3540" spans="1:16" ht="20.100000000000001" customHeight="1" x14ac:dyDescent="0.25">
      <c r="A3540" s="918" t="s">
        <v>476</v>
      </c>
      <c r="B3540" s="944" t="s">
        <v>3901</v>
      </c>
      <c r="C3540" s="919" t="s">
        <v>3902</v>
      </c>
      <c r="D3540" s="919" t="s">
        <v>4774</v>
      </c>
      <c r="E3540" s="920">
        <v>2000</v>
      </c>
      <c r="F3540" s="919" t="s">
        <v>10129</v>
      </c>
      <c r="G3540" s="919" t="s">
        <v>10130</v>
      </c>
      <c r="H3540" s="919" t="s">
        <v>4774</v>
      </c>
      <c r="I3540" s="919" t="s">
        <v>3679</v>
      </c>
      <c r="J3540" s="919"/>
      <c r="K3540" s="920"/>
      <c r="L3540" s="920"/>
      <c r="M3540" s="920">
        <f t="shared" si="110"/>
        <v>0</v>
      </c>
      <c r="N3540" s="919">
        <v>1</v>
      </c>
      <c r="O3540" s="919">
        <v>3</v>
      </c>
      <c r="P3540" s="921">
        <f t="shared" si="111"/>
        <v>6000</v>
      </c>
    </row>
    <row r="3541" spans="1:16" ht="20.100000000000001" customHeight="1" x14ac:dyDescent="0.25">
      <c r="A3541" s="918" t="s">
        <v>476</v>
      </c>
      <c r="B3541" s="944" t="s">
        <v>3901</v>
      </c>
      <c r="C3541" s="919" t="s">
        <v>3902</v>
      </c>
      <c r="D3541" s="919" t="s">
        <v>4774</v>
      </c>
      <c r="E3541" s="920">
        <v>2000</v>
      </c>
      <c r="F3541" s="919" t="s">
        <v>10131</v>
      </c>
      <c r="G3541" s="919" t="s">
        <v>10132</v>
      </c>
      <c r="H3541" s="919" t="s">
        <v>4774</v>
      </c>
      <c r="I3541" s="919" t="s">
        <v>3679</v>
      </c>
      <c r="J3541" s="919"/>
      <c r="K3541" s="920"/>
      <c r="L3541" s="920"/>
      <c r="M3541" s="920">
        <f t="shared" si="110"/>
        <v>0</v>
      </c>
      <c r="N3541" s="919">
        <v>1</v>
      </c>
      <c r="O3541" s="919">
        <v>3</v>
      </c>
      <c r="P3541" s="921">
        <f t="shared" si="111"/>
        <v>6000</v>
      </c>
    </row>
    <row r="3542" spans="1:16" ht="20.100000000000001" customHeight="1" x14ac:dyDescent="0.25">
      <c r="A3542" s="918" t="s">
        <v>476</v>
      </c>
      <c r="B3542" s="944" t="s">
        <v>3901</v>
      </c>
      <c r="C3542" s="919" t="s">
        <v>3902</v>
      </c>
      <c r="D3542" s="919" t="s">
        <v>4774</v>
      </c>
      <c r="E3542" s="920">
        <v>2000</v>
      </c>
      <c r="F3542" s="919" t="s">
        <v>10133</v>
      </c>
      <c r="G3542" s="919" t="s">
        <v>10134</v>
      </c>
      <c r="H3542" s="919" t="s">
        <v>4774</v>
      </c>
      <c r="I3542" s="919" t="s">
        <v>3679</v>
      </c>
      <c r="J3542" s="919"/>
      <c r="K3542" s="920"/>
      <c r="L3542" s="920"/>
      <c r="M3542" s="920">
        <f t="shared" si="110"/>
        <v>0</v>
      </c>
      <c r="N3542" s="919">
        <v>1</v>
      </c>
      <c r="O3542" s="919">
        <v>3</v>
      </c>
      <c r="P3542" s="921">
        <f t="shared" si="111"/>
        <v>6000</v>
      </c>
    </row>
    <row r="3543" spans="1:16" ht="20.100000000000001" customHeight="1" x14ac:dyDescent="0.25">
      <c r="A3543" s="918" t="s">
        <v>476</v>
      </c>
      <c r="B3543" s="944" t="s">
        <v>3901</v>
      </c>
      <c r="C3543" s="919" t="s">
        <v>3902</v>
      </c>
      <c r="D3543" s="919" t="s">
        <v>4777</v>
      </c>
      <c r="E3543" s="920">
        <v>2000</v>
      </c>
      <c r="F3543" s="919" t="s">
        <v>10135</v>
      </c>
      <c r="G3543" s="919" t="s">
        <v>10136</v>
      </c>
      <c r="H3543" s="919" t="s">
        <v>4777</v>
      </c>
      <c r="I3543" s="919" t="s">
        <v>3679</v>
      </c>
      <c r="J3543" s="919"/>
      <c r="K3543" s="920"/>
      <c r="L3543" s="920"/>
      <c r="M3543" s="920">
        <f t="shared" si="110"/>
        <v>0</v>
      </c>
      <c r="N3543" s="919">
        <v>1</v>
      </c>
      <c r="O3543" s="919">
        <v>3</v>
      </c>
      <c r="P3543" s="921">
        <f t="shared" si="111"/>
        <v>6000</v>
      </c>
    </row>
    <row r="3544" spans="1:16" ht="20.100000000000001" customHeight="1" x14ac:dyDescent="0.25">
      <c r="A3544" s="918" t="s">
        <v>476</v>
      </c>
      <c r="B3544" s="944" t="s">
        <v>3901</v>
      </c>
      <c r="C3544" s="919" t="s">
        <v>3902</v>
      </c>
      <c r="D3544" s="919" t="s">
        <v>4777</v>
      </c>
      <c r="E3544" s="920">
        <v>2000</v>
      </c>
      <c r="F3544" s="919" t="s">
        <v>10137</v>
      </c>
      <c r="G3544" s="919" t="s">
        <v>10138</v>
      </c>
      <c r="H3544" s="919" t="s">
        <v>4777</v>
      </c>
      <c r="I3544" s="919" t="s">
        <v>3679</v>
      </c>
      <c r="J3544" s="919"/>
      <c r="K3544" s="920"/>
      <c r="L3544" s="920"/>
      <c r="M3544" s="920">
        <f t="shared" si="110"/>
        <v>0</v>
      </c>
      <c r="N3544" s="919">
        <v>1</v>
      </c>
      <c r="O3544" s="919">
        <v>3</v>
      </c>
      <c r="P3544" s="921">
        <f t="shared" si="111"/>
        <v>6000</v>
      </c>
    </row>
    <row r="3545" spans="1:16" ht="20.100000000000001" customHeight="1" x14ac:dyDescent="0.25">
      <c r="A3545" s="918" t="s">
        <v>476</v>
      </c>
      <c r="B3545" s="944" t="s">
        <v>3901</v>
      </c>
      <c r="C3545" s="919" t="s">
        <v>3902</v>
      </c>
      <c r="D3545" s="919" t="s">
        <v>4774</v>
      </c>
      <c r="E3545" s="920">
        <v>2000</v>
      </c>
      <c r="F3545" s="919" t="s">
        <v>10139</v>
      </c>
      <c r="G3545" s="919" t="s">
        <v>10140</v>
      </c>
      <c r="H3545" s="919" t="s">
        <v>4774</v>
      </c>
      <c r="I3545" s="919" t="s">
        <v>3679</v>
      </c>
      <c r="J3545" s="919"/>
      <c r="K3545" s="920"/>
      <c r="L3545" s="920"/>
      <c r="M3545" s="920">
        <f t="shared" si="110"/>
        <v>0</v>
      </c>
      <c r="N3545" s="919">
        <v>1</v>
      </c>
      <c r="O3545" s="919">
        <v>3</v>
      </c>
      <c r="P3545" s="921">
        <f t="shared" si="111"/>
        <v>6000</v>
      </c>
    </row>
    <row r="3546" spans="1:16" ht="20.100000000000001" customHeight="1" x14ac:dyDescent="0.25">
      <c r="A3546" s="918" t="s">
        <v>476</v>
      </c>
      <c r="B3546" s="944" t="s">
        <v>3901</v>
      </c>
      <c r="C3546" s="919" t="s">
        <v>3902</v>
      </c>
      <c r="D3546" s="919" t="s">
        <v>4777</v>
      </c>
      <c r="E3546" s="920">
        <v>2000</v>
      </c>
      <c r="F3546" s="919" t="s">
        <v>10141</v>
      </c>
      <c r="G3546" s="919" t="s">
        <v>10142</v>
      </c>
      <c r="H3546" s="919" t="s">
        <v>4777</v>
      </c>
      <c r="I3546" s="919" t="s">
        <v>3679</v>
      </c>
      <c r="J3546" s="919"/>
      <c r="K3546" s="920"/>
      <c r="L3546" s="920"/>
      <c r="M3546" s="920">
        <f t="shared" si="110"/>
        <v>0</v>
      </c>
      <c r="N3546" s="919">
        <v>1</v>
      </c>
      <c r="O3546" s="919">
        <v>3</v>
      </c>
      <c r="P3546" s="921">
        <f t="shared" si="111"/>
        <v>6000</v>
      </c>
    </row>
    <row r="3547" spans="1:16" ht="20.100000000000001" customHeight="1" x14ac:dyDescent="0.25">
      <c r="A3547" s="918" t="s">
        <v>476</v>
      </c>
      <c r="B3547" s="944" t="s">
        <v>3901</v>
      </c>
      <c r="C3547" s="919" t="s">
        <v>3902</v>
      </c>
      <c r="D3547" s="919" t="s">
        <v>4777</v>
      </c>
      <c r="E3547" s="920">
        <v>2000</v>
      </c>
      <c r="F3547" s="919" t="s">
        <v>10143</v>
      </c>
      <c r="G3547" s="919" t="s">
        <v>10144</v>
      </c>
      <c r="H3547" s="919" t="s">
        <v>4777</v>
      </c>
      <c r="I3547" s="919" t="s">
        <v>3679</v>
      </c>
      <c r="J3547" s="919"/>
      <c r="K3547" s="920"/>
      <c r="L3547" s="920"/>
      <c r="M3547" s="920">
        <f t="shared" si="110"/>
        <v>0</v>
      </c>
      <c r="N3547" s="919">
        <v>1</v>
      </c>
      <c r="O3547" s="919">
        <v>3</v>
      </c>
      <c r="P3547" s="921">
        <f t="shared" si="111"/>
        <v>6000</v>
      </c>
    </row>
    <row r="3548" spans="1:16" ht="20.100000000000001" customHeight="1" x14ac:dyDescent="0.25">
      <c r="A3548" s="918" t="s">
        <v>476</v>
      </c>
      <c r="B3548" s="944" t="s">
        <v>3901</v>
      </c>
      <c r="C3548" s="919" t="s">
        <v>3902</v>
      </c>
      <c r="D3548" s="919" t="s">
        <v>4777</v>
      </c>
      <c r="E3548" s="920">
        <v>2000</v>
      </c>
      <c r="F3548" s="919" t="s">
        <v>10145</v>
      </c>
      <c r="G3548" s="919" t="s">
        <v>10146</v>
      </c>
      <c r="H3548" s="919" t="s">
        <v>4777</v>
      </c>
      <c r="I3548" s="919" t="s">
        <v>3679</v>
      </c>
      <c r="J3548" s="919"/>
      <c r="K3548" s="920"/>
      <c r="L3548" s="920"/>
      <c r="M3548" s="920">
        <f t="shared" si="110"/>
        <v>0</v>
      </c>
      <c r="N3548" s="919">
        <v>1</v>
      </c>
      <c r="O3548" s="919">
        <v>3</v>
      </c>
      <c r="P3548" s="921">
        <f t="shared" si="111"/>
        <v>6000</v>
      </c>
    </row>
    <row r="3549" spans="1:16" ht="20.100000000000001" customHeight="1" x14ac:dyDescent="0.25">
      <c r="A3549" s="918" t="s">
        <v>476</v>
      </c>
      <c r="B3549" s="944" t="s">
        <v>3901</v>
      </c>
      <c r="C3549" s="919" t="s">
        <v>3902</v>
      </c>
      <c r="D3549" s="919" t="s">
        <v>4777</v>
      </c>
      <c r="E3549" s="920">
        <v>2000</v>
      </c>
      <c r="F3549" s="919" t="s">
        <v>10147</v>
      </c>
      <c r="G3549" s="919" t="s">
        <v>10148</v>
      </c>
      <c r="H3549" s="919" t="s">
        <v>4777</v>
      </c>
      <c r="I3549" s="919" t="s">
        <v>3679</v>
      </c>
      <c r="J3549" s="919"/>
      <c r="K3549" s="920"/>
      <c r="L3549" s="920"/>
      <c r="M3549" s="920">
        <f t="shared" si="110"/>
        <v>0</v>
      </c>
      <c r="N3549" s="919">
        <v>1</v>
      </c>
      <c r="O3549" s="919">
        <v>3</v>
      </c>
      <c r="P3549" s="921">
        <f t="shared" si="111"/>
        <v>6000</v>
      </c>
    </row>
    <row r="3550" spans="1:16" ht="20.100000000000001" customHeight="1" x14ac:dyDescent="0.25">
      <c r="A3550" s="918" t="s">
        <v>476</v>
      </c>
      <c r="B3550" s="944" t="s">
        <v>3901</v>
      </c>
      <c r="C3550" s="919" t="s">
        <v>3902</v>
      </c>
      <c r="D3550" s="919" t="s">
        <v>4777</v>
      </c>
      <c r="E3550" s="920">
        <v>2000</v>
      </c>
      <c r="F3550" s="919" t="s">
        <v>10149</v>
      </c>
      <c r="G3550" s="919" t="s">
        <v>10150</v>
      </c>
      <c r="H3550" s="919" t="s">
        <v>4777</v>
      </c>
      <c r="I3550" s="919" t="s">
        <v>3679</v>
      </c>
      <c r="J3550" s="919"/>
      <c r="K3550" s="920"/>
      <c r="L3550" s="920"/>
      <c r="M3550" s="920">
        <f t="shared" si="110"/>
        <v>0</v>
      </c>
      <c r="N3550" s="919">
        <v>1</v>
      </c>
      <c r="O3550" s="919">
        <v>3</v>
      </c>
      <c r="P3550" s="921">
        <f t="shared" si="111"/>
        <v>6000</v>
      </c>
    </row>
    <row r="3551" spans="1:16" ht="20.100000000000001" customHeight="1" x14ac:dyDescent="0.25">
      <c r="A3551" s="918" t="s">
        <v>476</v>
      </c>
      <c r="B3551" s="944" t="s">
        <v>3901</v>
      </c>
      <c r="C3551" s="919" t="s">
        <v>3902</v>
      </c>
      <c r="D3551" s="919" t="s">
        <v>10151</v>
      </c>
      <c r="E3551" s="920">
        <v>1350</v>
      </c>
      <c r="F3551" s="919" t="s">
        <v>4041</v>
      </c>
      <c r="G3551" s="919" t="s">
        <v>4062</v>
      </c>
      <c r="H3551" s="919" t="s">
        <v>10151</v>
      </c>
      <c r="I3551" s="919" t="s">
        <v>3686</v>
      </c>
      <c r="J3551" s="919"/>
      <c r="K3551" s="920">
        <v>1</v>
      </c>
      <c r="L3551" s="920">
        <v>12</v>
      </c>
      <c r="M3551" s="920">
        <f t="shared" si="110"/>
        <v>16200</v>
      </c>
      <c r="N3551" s="919"/>
      <c r="O3551" s="919"/>
      <c r="P3551" s="921">
        <f t="shared" si="111"/>
        <v>0</v>
      </c>
    </row>
    <row r="3552" spans="1:16" ht="20.100000000000001" customHeight="1" x14ac:dyDescent="0.25">
      <c r="A3552" s="918" t="s">
        <v>476</v>
      </c>
      <c r="B3552" s="944" t="s">
        <v>3901</v>
      </c>
      <c r="C3552" s="919" t="s">
        <v>3902</v>
      </c>
      <c r="D3552" s="919" t="s">
        <v>4347</v>
      </c>
      <c r="E3552" s="920">
        <v>3000</v>
      </c>
      <c r="F3552" s="919" t="s">
        <v>10152</v>
      </c>
      <c r="G3552" s="919" t="s">
        <v>10153</v>
      </c>
      <c r="H3552" s="919" t="s">
        <v>4347</v>
      </c>
      <c r="I3552" s="919" t="s">
        <v>3679</v>
      </c>
      <c r="J3552" s="919"/>
      <c r="K3552" s="920"/>
      <c r="L3552" s="920"/>
      <c r="M3552" s="920">
        <f t="shared" si="110"/>
        <v>0</v>
      </c>
      <c r="N3552" s="919">
        <v>1</v>
      </c>
      <c r="O3552" s="919">
        <v>3</v>
      </c>
      <c r="P3552" s="921">
        <f t="shared" si="111"/>
        <v>9000</v>
      </c>
    </row>
    <row r="3553" spans="1:16" ht="20.100000000000001" customHeight="1" x14ac:dyDescent="0.25">
      <c r="A3553" s="918" t="s">
        <v>476</v>
      </c>
      <c r="B3553" s="944" t="s">
        <v>3901</v>
      </c>
      <c r="C3553" s="919" t="s">
        <v>3902</v>
      </c>
      <c r="D3553" s="919" t="s">
        <v>4820</v>
      </c>
      <c r="E3553" s="920">
        <v>2600</v>
      </c>
      <c r="F3553" s="919" t="s">
        <v>10154</v>
      </c>
      <c r="G3553" s="919" t="s">
        <v>10155</v>
      </c>
      <c r="H3553" s="919" t="s">
        <v>4820</v>
      </c>
      <c r="I3553" s="919" t="s">
        <v>3679</v>
      </c>
      <c r="J3553" s="919"/>
      <c r="K3553" s="920"/>
      <c r="L3553" s="920"/>
      <c r="M3553" s="920">
        <f t="shared" si="110"/>
        <v>0</v>
      </c>
      <c r="N3553" s="919">
        <v>1</v>
      </c>
      <c r="O3553" s="919">
        <v>3</v>
      </c>
      <c r="P3553" s="921">
        <f t="shared" si="111"/>
        <v>7800</v>
      </c>
    </row>
    <row r="3554" spans="1:16" ht="20.100000000000001" customHeight="1" x14ac:dyDescent="0.25">
      <c r="A3554" s="918" t="s">
        <v>476</v>
      </c>
      <c r="B3554" s="944" t="s">
        <v>3901</v>
      </c>
      <c r="C3554" s="919" t="s">
        <v>3902</v>
      </c>
      <c r="D3554" s="919" t="s">
        <v>4823</v>
      </c>
      <c r="E3554" s="920">
        <v>2600</v>
      </c>
      <c r="F3554" s="919" t="s">
        <v>10156</v>
      </c>
      <c r="G3554" s="919" t="s">
        <v>10157</v>
      </c>
      <c r="H3554" s="919" t="s">
        <v>4823</v>
      </c>
      <c r="I3554" s="919" t="s">
        <v>3679</v>
      </c>
      <c r="J3554" s="919"/>
      <c r="K3554" s="920"/>
      <c r="L3554" s="920"/>
      <c r="M3554" s="920">
        <f t="shared" si="110"/>
        <v>0</v>
      </c>
      <c r="N3554" s="919">
        <v>1</v>
      </c>
      <c r="O3554" s="919">
        <v>3</v>
      </c>
      <c r="P3554" s="921">
        <f t="shared" si="111"/>
        <v>7800</v>
      </c>
    </row>
    <row r="3555" spans="1:16" ht="20.100000000000001" customHeight="1" x14ac:dyDescent="0.25">
      <c r="A3555" s="918" t="s">
        <v>476</v>
      </c>
      <c r="B3555" s="944" t="s">
        <v>3901</v>
      </c>
      <c r="C3555" s="919" t="s">
        <v>3902</v>
      </c>
      <c r="D3555" s="919" t="s">
        <v>4823</v>
      </c>
      <c r="E3555" s="920">
        <v>2600</v>
      </c>
      <c r="F3555" s="919" t="s">
        <v>10158</v>
      </c>
      <c r="G3555" s="919" t="s">
        <v>10159</v>
      </c>
      <c r="H3555" s="919" t="s">
        <v>4823</v>
      </c>
      <c r="I3555" s="919" t="s">
        <v>3679</v>
      </c>
      <c r="J3555" s="919"/>
      <c r="K3555" s="920"/>
      <c r="L3555" s="920"/>
      <c r="M3555" s="920">
        <f t="shared" si="110"/>
        <v>0</v>
      </c>
      <c r="N3555" s="919">
        <v>1</v>
      </c>
      <c r="O3555" s="919">
        <v>3</v>
      </c>
      <c r="P3555" s="921">
        <f t="shared" si="111"/>
        <v>7800</v>
      </c>
    </row>
    <row r="3556" spans="1:16" ht="20.100000000000001" customHeight="1" x14ac:dyDescent="0.25">
      <c r="A3556" s="918" t="s">
        <v>476</v>
      </c>
      <c r="B3556" s="944" t="s">
        <v>3901</v>
      </c>
      <c r="C3556" s="919" t="s">
        <v>3902</v>
      </c>
      <c r="D3556" s="919" t="s">
        <v>4823</v>
      </c>
      <c r="E3556" s="920">
        <v>2600</v>
      </c>
      <c r="F3556" s="919" t="s">
        <v>10160</v>
      </c>
      <c r="G3556" s="919" t="s">
        <v>10161</v>
      </c>
      <c r="H3556" s="919" t="s">
        <v>4823</v>
      </c>
      <c r="I3556" s="919" t="s">
        <v>3679</v>
      </c>
      <c r="J3556" s="919"/>
      <c r="K3556" s="920"/>
      <c r="L3556" s="920"/>
      <c r="M3556" s="920">
        <f t="shared" si="110"/>
        <v>0</v>
      </c>
      <c r="N3556" s="919">
        <v>1</v>
      </c>
      <c r="O3556" s="919">
        <v>3</v>
      </c>
      <c r="P3556" s="921">
        <f t="shared" si="111"/>
        <v>7800</v>
      </c>
    </row>
    <row r="3557" spans="1:16" ht="20.100000000000001" customHeight="1" x14ac:dyDescent="0.25">
      <c r="A3557" s="918" t="s">
        <v>476</v>
      </c>
      <c r="B3557" s="944" t="s">
        <v>3901</v>
      </c>
      <c r="C3557" s="919" t="s">
        <v>3902</v>
      </c>
      <c r="D3557" s="919" t="s">
        <v>4823</v>
      </c>
      <c r="E3557" s="920">
        <v>2600</v>
      </c>
      <c r="F3557" s="919" t="s">
        <v>10162</v>
      </c>
      <c r="G3557" s="919" t="s">
        <v>10163</v>
      </c>
      <c r="H3557" s="919" t="s">
        <v>4823</v>
      </c>
      <c r="I3557" s="919" t="s">
        <v>3679</v>
      </c>
      <c r="J3557" s="919"/>
      <c r="K3557" s="920"/>
      <c r="L3557" s="920"/>
      <c r="M3557" s="920">
        <f t="shared" si="110"/>
        <v>0</v>
      </c>
      <c r="N3557" s="919">
        <v>1</v>
      </c>
      <c r="O3557" s="919">
        <v>3</v>
      </c>
      <c r="P3557" s="921">
        <f t="shared" si="111"/>
        <v>7800</v>
      </c>
    </row>
    <row r="3558" spans="1:16" ht="20.100000000000001" customHeight="1" x14ac:dyDescent="0.25">
      <c r="A3558" s="918" t="s">
        <v>476</v>
      </c>
      <c r="B3558" s="944" t="s">
        <v>3901</v>
      </c>
      <c r="C3558" s="919" t="s">
        <v>3902</v>
      </c>
      <c r="D3558" s="919" t="s">
        <v>4840</v>
      </c>
      <c r="E3558" s="920">
        <v>3700</v>
      </c>
      <c r="F3558" s="919" t="s">
        <v>10164</v>
      </c>
      <c r="G3558" s="919" t="s">
        <v>10165</v>
      </c>
      <c r="H3558" s="919" t="s">
        <v>4840</v>
      </c>
      <c r="I3558" s="919" t="s">
        <v>3679</v>
      </c>
      <c r="J3558" s="919"/>
      <c r="K3558" s="920"/>
      <c r="L3558" s="920"/>
      <c r="M3558" s="920">
        <f t="shared" si="110"/>
        <v>0</v>
      </c>
      <c r="N3558" s="919">
        <v>1</v>
      </c>
      <c r="O3558" s="919">
        <v>3</v>
      </c>
      <c r="P3558" s="921">
        <f t="shared" si="111"/>
        <v>11100</v>
      </c>
    </row>
    <row r="3559" spans="1:16" ht="20.100000000000001" customHeight="1" x14ac:dyDescent="0.25">
      <c r="A3559" s="918" t="s">
        <v>476</v>
      </c>
      <c r="B3559" s="944" t="s">
        <v>3901</v>
      </c>
      <c r="C3559" s="919" t="s">
        <v>3902</v>
      </c>
      <c r="D3559" s="919" t="s">
        <v>4840</v>
      </c>
      <c r="E3559" s="920">
        <v>3700</v>
      </c>
      <c r="F3559" s="919" t="s">
        <v>10166</v>
      </c>
      <c r="G3559" s="919" t="s">
        <v>10167</v>
      </c>
      <c r="H3559" s="919" t="s">
        <v>4840</v>
      </c>
      <c r="I3559" s="919" t="s">
        <v>3679</v>
      </c>
      <c r="J3559" s="919"/>
      <c r="K3559" s="920"/>
      <c r="L3559" s="920"/>
      <c r="M3559" s="920">
        <f t="shared" si="110"/>
        <v>0</v>
      </c>
      <c r="N3559" s="919">
        <v>1</v>
      </c>
      <c r="O3559" s="919">
        <v>3</v>
      </c>
      <c r="P3559" s="921">
        <f t="shared" si="111"/>
        <v>11100</v>
      </c>
    </row>
    <row r="3560" spans="1:16" ht="20.100000000000001" customHeight="1" x14ac:dyDescent="0.25">
      <c r="A3560" s="918" t="s">
        <v>476</v>
      </c>
      <c r="B3560" s="944" t="s">
        <v>3901</v>
      </c>
      <c r="C3560" s="919" t="s">
        <v>3902</v>
      </c>
      <c r="D3560" s="919" t="s">
        <v>4851</v>
      </c>
      <c r="E3560" s="920">
        <v>3700</v>
      </c>
      <c r="F3560" s="919" t="s">
        <v>10168</v>
      </c>
      <c r="G3560" s="919" t="s">
        <v>10169</v>
      </c>
      <c r="H3560" s="919" t="s">
        <v>4851</v>
      </c>
      <c r="I3560" s="919" t="s">
        <v>3679</v>
      </c>
      <c r="J3560" s="919"/>
      <c r="K3560" s="920"/>
      <c r="L3560" s="920"/>
      <c r="M3560" s="920">
        <f t="shared" si="110"/>
        <v>0</v>
      </c>
      <c r="N3560" s="919">
        <v>1</v>
      </c>
      <c r="O3560" s="919">
        <v>3</v>
      </c>
      <c r="P3560" s="921">
        <f t="shared" si="111"/>
        <v>11100</v>
      </c>
    </row>
    <row r="3561" spans="1:16" ht="20.100000000000001" customHeight="1" x14ac:dyDescent="0.25">
      <c r="A3561" s="918" t="s">
        <v>476</v>
      </c>
      <c r="B3561" s="944" t="s">
        <v>3901</v>
      </c>
      <c r="C3561" s="919" t="s">
        <v>3902</v>
      </c>
      <c r="D3561" s="919" t="s">
        <v>4858</v>
      </c>
      <c r="E3561" s="920">
        <v>3700</v>
      </c>
      <c r="F3561" s="919" t="s">
        <v>4041</v>
      </c>
      <c r="G3561" s="919" t="s">
        <v>4062</v>
      </c>
      <c r="H3561" s="919" t="s">
        <v>4858</v>
      </c>
      <c r="I3561" s="919" t="s">
        <v>3679</v>
      </c>
      <c r="J3561" s="919"/>
      <c r="K3561" s="920">
        <v>1</v>
      </c>
      <c r="L3561" s="920">
        <v>12</v>
      </c>
      <c r="M3561" s="920">
        <f t="shared" si="110"/>
        <v>44400</v>
      </c>
      <c r="N3561" s="919"/>
      <c r="O3561" s="919"/>
      <c r="P3561" s="921">
        <f t="shared" si="111"/>
        <v>0</v>
      </c>
    </row>
    <row r="3562" spans="1:16" ht="20.100000000000001" customHeight="1" x14ac:dyDescent="0.25">
      <c r="A3562" s="918" t="s">
        <v>11904</v>
      </c>
      <c r="B3562" s="944" t="s">
        <v>3901</v>
      </c>
      <c r="C3562" s="919" t="s">
        <v>3902</v>
      </c>
      <c r="D3562" s="919" t="s">
        <v>4118</v>
      </c>
      <c r="E3562" s="920">
        <v>2200</v>
      </c>
      <c r="F3562" s="919" t="s">
        <v>10170</v>
      </c>
      <c r="G3562" s="919" t="s">
        <v>10171</v>
      </c>
      <c r="H3562" s="919" t="s">
        <v>4118</v>
      </c>
      <c r="I3562" s="919" t="s">
        <v>3679</v>
      </c>
      <c r="J3562" s="919"/>
      <c r="K3562" s="920">
        <v>1</v>
      </c>
      <c r="L3562" s="920">
        <v>12</v>
      </c>
      <c r="M3562" s="920">
        <f t="shared" si="110"/>
        <v>26400</v>
      </c>
      <c r="N3562" s="919"/>
      <c r="O3562" s="919"/>
      <c r="P3562" s="921">
        <f t="shared" si="111"/>
        <v>0</v>
      </c>
    </row>
    <row r="3563" spans="1:16" ht="20.100000000000001" customHeight="1" x14ac:dyDescent="0.25">
      <c r="A3563" s="918" t="s">
        <v>11904</v>
      </c>
      <c r="B3563" s="944" t="s">
        <v>3901</v>
      </c>
      <c r="C3563" s="919" t="s">
        <v>3902</v>
      </c>
      <c r="D3563" s="919" t="s">
        <v>3999</v>
      </c>
      <c r="E3563" s="920">
        <v>2200</v>
      </c>
      <c r="F3563" s="919" t="s">
        <v>10172</v>
      </c>
      <c r="G3563" s="919" t="s">
        <v>10173</v>
      </c>
      <c r="H3563" s="919" t="s">
        <v>3999</v>
      </c>
      <c r="I3563" s="919" t="s">
        <v>3724</v>
      </c>
      <c r="J3563" s="919"/>
      <c r="K3563" s="920">
        <v>1</v>
      </c>
      <c r="L3563" s="920">
        <v>12</v>
      </c>
      <c r="M3563" s="920">
        <f t="shared" si="110"/>
        <v>26400</v>
      </c>
      <c r="N3563" s="919"/>
      <c r="O3563" s="919"/>
      <c r="P3563" s="921">
        <f t="shared" si="111"/>
        <v>0</v>
      </c>
    </row>
    <row r="3564" spans="1:16" ht="20.100000000000001" customHeight="1" x14ac:dyDescent="0.25">
      <c r="A3564" s="918" t="s">
        <v>11904</v>
      </c>
      <c r="B3564" s="944" t="s">
        <v>3901</v>
      </c>
      <c r="C3564" s="919" t="s">
        <v>3902</v>
      </c>
      <c r="D3564" s="919" t="s">
        <v>3905</v>
      </c>
      <c r="E3564" s="920">
        <v>1600</v>
      </c>
      <c r="F3564" s="919" t="s">
        <v>10174</v>
      </c>
      <c r="G3564" s="919" t="s">
        <v>10175</v>
      </c>
      <c r="H3564" s="919" t="s">
        <v>3905</v>
      </c>
      <c r="I3564" s="919" t="s">
        <v>3686</v>
      </c>
      <c r="J3564" s="919"/>
      <c r="K3564" s="920">
        <v>1</v>
      </c>
      <c r="L3564" s="920">
        <v>12</v>
      </c>
      <c r="M3564" s="920">
        <f t="shared" si="110"/>
        <v>19200</v>
      </c>
      <c r="N3564" s="919"/>
      <c r="O3564" s="919"/>
      <c r="P3564" s="921">
        <f t="shared" si="111"/>
        <v>0</v>
      </c>
    </row>
    <row r="3565" spans="1:16" ht="20.100000000000001" customHeight="1" x14ac:dyDescent="0.25">
      <c r="A3565" s="918" t="s">
        <v>11904</v>
      </c>
      <c r="B3565" s="944" t="s">
        <v>3901</v>
      </c>
      <c r="C3565" s="919" t="s">
        <v>3902</v>
      </c>
      <c r="D3565" s="919" t="s">
        <v>3905</v>
      </c>
      <c r="E3565" s="920">
        <v>1600</v>
      </c>
      <c r="F3565" s="919" t="s">
        <v>10176</v>
      </c>
      <c r="G3565" s="919" t="s">
        <v>10177</v>
      </c>
      <c r="H3565" s="919" t="s">
        <v>3905</v>
      </c>
      <c r="I3565" s="919" t="s">
        <v>3686</v>
      </c>
      <c r="J3565" s="919"/>
      <c r="K3565" s="920">
        <v>1</v>
      </c>
      <c r="L3565" s="920">
        <v>12</v>
      </c>
      <c r="M3565" s="920">
        <f t="shared" si="110"/>
        <v>19200</v>
      </c>
      <c r="N3565" s="919"/>
      <c r="O3565" s="919"/>
      <c r="P3565" s="921">
        <f t="shared" si="111"/>
        <v>0</v>
      </c>
    </row>
    <row r="3566" spans="1:16" ht="20.100000000000001" customHeight="1" x14ac:dyDescent="0.25">
      <c r="A3566" s="918" t="s">
        <v>11904</v>
      </c>
      <c r="B3566" s="944" t="s">
        <v>3901</v>
      </c>
      <c r="C3566" s="919" t="s">
        <v>3902</v>
      </c>
      <c r="D3566" s="919" t="s">
        <v>4470</v>
      </c>
      <c r="E3566" s="920">
        <v>1600</v>
      </c>
      <c r="F3566" s="919" t="s">
        <v>10178</v>
      </c>
      <c r="G3566" s="919" t="s">
        <v>10179</v>
      </c>
      <c r="H3566" s="919" t="s">
        <v>4470</v>
      </c>
      <c r="I3566" s="919" t="s">
        <v>3686</v>
      </c>
      <c r="J3566" s="919"/>
      <c r="K3566" s="920">
        <v>1</v>
      </c>
      <c r="L3566" s="920">
        <v>12</v>
      </c>
      <c r="M3566" s="920">
        <f t="shared" si="110"/>
        <v>19200</v>
      </c>
      <c r="N3566" s="919"/>
      <c r="O3566" s="919"/>
      <c r="P3566" s="921">
        <f t="shared" si="111"/>
        <v>0</v>
      </c>
    </row>
    <row r="3567" spans="1:16" ht="20.100000000000001" customHeight="1" x14ac:dyDescent="0.25">
      <c r="A3567" s="918" t="s">
        <v>11904</v>
      </c>
      <c r="B3567" s="944" t="s">
        <v>3901</v>
      </c>
      <c r="C3567" s="919" t="s">
        <v>3902</v>
      </c>
      <c r="D3567" s="919" t="s">
        <v>3991</v>
      </c>
      <c r="E3567" s="920">
        <v>1600</v>
      </c>
      <c r="F3567" s="919" t="s">
        <v>10180</v>
      </c>
      <c r="G3567" s="919" t="s">
        <v>10181</v>
      </c>
      <c r="H3567" s="919" t="s">
        <v>3991</v>
      </c>
      <c r="I3567" s="919" t="s">
        <v>3686</v>
      </c>
      <c r="J3567" s="919"/>
      <c r="K3567" s="920">
        <v>1</v>
      </c>
      <c r="L3567" s="920">
        <v>12</v>
      </c>
      <c r="M3567" s="920">
        <f t="shared" si="110"/>
        <v>19200</v>
      </c>
      <c r="N3567" s="919"/>
      <c r="O3567" s="919"/>
      <c r="P3567" s="921">
        <f t="shared" si="111"/>
        <v>0</v>
      </c>
    </row>
    <row r="3568" spans="1:16" ht="20.100000000000001" customHeight="1" x14ac:dyDescent="0.25">
      <c r="A3568" s="918" t="s">
        <v>11904</v>
      </c>
      <c r="B3568" s="944" t="s">
        <v>3901</v>
      </c>
      <c r="C3568" s="919" t="s">
        <v>3902</v>
      </c>
      <c r="D3568" s="919" t="s">
        <v>3991</v>
      </c>
      <c r="E3568" s="920">
        <v>1600</v>
      </c>
      <c r="F3568" s="919" t="s">
        <v>10182</v>
      </c>
      <c r="G3568" s="919" t="s">
        <v>10183</v>
      </c>
      <c r="H3568" s="919" t="s">
        <v>3991</v>
      </c>
      <c r="I3568" s="919" t="s">
        <v>3686</v>
      </c>
      <c r="J3568" s="919"/>
      <c r="K3568" s="920">
        <v>1</v>
      </c>
      <c r="L3568" s="920">
        <v>12</v>
      </c>
      <c r="M3568" s="920">
        <f t="shared" si="110"/>
        <v>19200</v>
      </c>
      <c r="N3568" s="919"/>
      <c r="O3568" s="919"/>
      <c r="P3568" s="921">
        <f t="shared" si="111"/>
        <v>0</v>
      </c>
    </row>
    <row r="3569" spans="1:16" ht="20.100000000000001" customHeight="1" x14ac:dyDescent="0.25">
      <c r="A3569" s="918" t="s">
        <v>11904</v>
      </c>
      <c r="B3569" s="944" t="s">
        <v>3901</v>
      </c>
      <c r="C3569" s="919" t="s">
        <v>3902</v>
      </c>
      <c r="D3569" s="919" t="s">
        <v>10184</v>
      </c>
      <c r="E3569" s="920">
        <v>1100</v>
      </c>
      <c r="F3569" s="919" t="s">
        <v>10185</v>
      </c>
      <c r="G3569" s="919" t="s">
        <v>10186</v>
      </c>
      <c r="H3569" s="919" t="s">
        <v>10184</v>
      </c>
      <c r="I3569" s="919" t="s">
        <v>3686</v>
      </c>
      <c r="J3569" s="919"/>
      <c r="K3569" s="920">
        <v>1</v>
      </c>
      <c r="L3569" s="920">
        <v>12</v>
      </c>
      <c r="M3569" s="920">
        <f t="shared" si="110"/>
        <v>13200</v>
      </c>
      <c r="N3569" s="919"/>
      <c r="O3569" s="919"/>
      <c r="P3569" s="921">
        <f t="shared" si="111"/>
        <v>0</v>
      </c>
    </row>
    <row r="3570" spans="1:16" ht="20.100000000000001" customHeight="1" x14ac:dyDescent="0.25">
      <c r="A3570" s="918" t="s">
        <v>11904</v>
      </c>
      <c r="B3570" s="944" t="s">
        <v>3901</v>
      </c>
      <c r="C3570" s="919" t="s">
        <v>3902</v>
      </c>
      <c r="D3570" s="919" t="s">
        <v>4400</v>
      </c>
      <c r="E3570" s="920">
        <v>1100</v>
      </c>
      <c r="F3570" s="919" t="s">
        <v>10187</v>
      </c>
      <c r="G3570" s="919" t="s">
        <v>10188</v>
      </c>
      <c r="H3570" s="919" t="s">
        <v>4400</v>
      </c>
      <c r="I3570" s="919" t="s">
        <v>3693</v>
      </c>
      <c r="J3570" s="919"/>
      <c r="K3570" s="920">
        <v>1</v>
      </c>
      <c r="L3570" s="920">
        <v>12</v>
      </c>
      <c r="M3570" s="920">
        <f t="shared" si="110"/>
        <v>13200</v>
      </c>
      <c r="N3570" s="919"/>
      <c r="O3570" s="919"/>
      <c r="P3570" s="921">
        <f t="shared" si="111"/>
        <v>0</v>
      </c>
    </row>
    <row r="3571" spans="1:16" ht="20.100000000000001" customHeight="1" x14ac:dyDescent="0.25">
      <c r="A3571" s="918" t="s">
        <v>11904</v>
      </c>
      <c r="B3571" s="944" t="s">
        <v>3901</v>
      </c>
      <c r="C3571" s="919" t="s">
        <v>3902</v>
      </c>
      <c r="D3571" s="919" t="s">
        <v>4352</v>
      </c>
      <c r="E3571" s="920">
        <v>2200</v>
      </c>
      <c r="F3571" s="919" t="s">
        <v>10189</v>
      </c>
      <c r="G3571" s="919" t="s">
        <v>10190</v>
      </c>
      <c r="H3571" s="919" t="s">
        <v>4352</v>
      </c>
      <c r="I3571" s="919" t="s">
        <v>3724</v>
      </c>
      <c r="J3571" s="919"/>
      <c r="K3571" s="920">
        <v>1</v>
      </c>
      <c r="L3571" s="920">
        <v>12</v>
      </c>
      <c r="M3571" s="920">
        <f t="shared" si="110"/>
        <v>26400</v>
      </c>
      <c r="N3571" s="919"/>
      <c r="O3571" s="919"/>
      <c r="P3571" s="921">
        <f t="shared" si="111"/>
        <v>0</v>
      </c>
    </row>
    <row r="3572" spans="1:16" ht="20.100000000000001" customHeight="1" x14ac:dyDescent="0.25">
      <c r="A3572" s="918" t="s">
        <v>11904</v>
      </c>
      <c r="B3572" s="944" t="s">
        <v>3901</v>
      </c>
      <c r="C3572" s="919" t="s">
        <v>3902</v>
      </c>
      <c r="D3572" s="919" t="s">
        <v>3999</v>
      </c>
      <c r="E3572" s="920">
        <v>2200</v>
      </c>
      <c r="F3572" s="919" t="s">
        <v>4041</v>
      </c>
      <c r="G3572" s="919" t="s">
        <v>4042</v>
      </c>
      <c r="H3572" s="919" t="s">
        <v>3999</v>
      </c>
      <c r="I3572" s="919" t="s">
        <v>3724</v>
      </c>
      <c r="J3572" s="919"/>
      <c r="K3572" s="920">
        <v>1</v>
      </c>
      <c r="L3572" s="920">
        <v>12</v>
      </c>
      <c r="M3572" s="920">
        <f t="shared" si="110"/>
        <v>26400</v>
      </c>
      <c r="N3572" s="919"/>
      <c r="O3572" s="919"/>
      <c r="P3572" s="921">
        <f t="shared" si="111"/>
        <v>0</v>
      </c>
    </row>
    <row r="3573" spans="1:16" ht="20.100000000000001" customHeight="1" x14ac:dyDescent="0.25">
      <c r="A3573" s="918" t="s">
        <v>477</v>
      </c>
      <c r="B3573" s="944" t="s">
        <v>3901</v>
      </c>
      <c r="C3573" s="919" t="s">
        <v>3902</v>
      </c>
      <c r="D3573" s="919" t="s">
        <v>4061</v>
      </c>
      <c r="E3573" s="920">
        <v>2600</v>
      </c>
      <c r="F3573" s="919" t="s">
        <v>4041</v>
      </c>
      <c r="G3573" s="919" t="s">
        <v>4042</v>
      </c>
      <c r="H3573" s="919" t="s">
        <v>4061</v>
      </c>
      <c r="I3573" s="919" t="s">
        <v>3679</v>
      </c>
      <c r="J3573" s="919"/>
      <c r="K3573" s="920">
        <v>1</v>
      </c>
      <c r="L3573" s="920">
        <v>12</v>
      </c>
      <c r="M3573" s="920">
        <f t="shared" si="110"/>
        <v>31200</v>
      </c>
      <c r="N3573" s="919"/>
      <c r="O3573" s="919"/>
      <c r="P3573" s="921">
        <f t="shared" si="111"/>
        <v>0</v>
      </c>
    </row>
    <row r="3574" spans="1:16" ht="20.100000000000001" customHeight="1" x14ac:dyDescent="0.25">
      <c r="A3574" s="918" t="s">
        <v>477</v>
      </c>
      <c r="B3574" s="944" t="s">
        <v>3901</v>
      </c>
      <c r="C3574" s="919" t="s">
        <v>3902</v>
      </c>
      <c r="D3574" s="919" t="s">
        <v>4038</v>
      </c>
      <c r="E3574" s="920">
        <v>1300</v>
      </c>
      <c r="F3574" s="919" t="s">
        <v>10191</v>
      </c>
      <c r="G3574" s="919" t="s">
        <v>10192</v>
      </c>
      <c r="H3574" s="919" t="s">
        <v>4038</v>
      </c>
      <c r="I3574" s="919" t="s">
        <v>3686</v>
      </c>
      <c r="J3574" s="919"/>
      <c r="K3574" s="920">
        <v>1</v>
      </c>
      <c r="L3574" s="920">
        <v>12</v>
      </c>
      <c r="M3574" s="920">
        <f t="shared" si="110"/>
        <v>15600</v>
      </c>
      <c r="N3574" s="919"/>
      <c r="O3574" s="919"/>
      <c r="P3574" s="921">
        <f t="shared" si="111"/>
        <v>0</v>
      </c>
    </row>
    <row r="3575" spans="1:16" ht="20.100000000000001" customHeight="1" x14ac:dyDescent="0.25">
      <c r="A3575" s="918" t="s">
        <v>477</v>
      </c>
      <c r="B3575" s="944" t="s">
        <v>3901</v>
      </c>
      <c r="C3575" s="919" t="s">
        <v>3902</v>
      </c>
      <c r="D3575" s="919" t="s">
        <v>10193</v>
      </c>
      <c r="E3575" s="920">
        <v>1300</v>
      </c>
      <c r="F3575" s="919" t="s">
        <v>4041</v>
      </c>
      <c r="G3575" s="919" t="s">
        <v>4042</v>
      </c>
      <c r="H3575" s="919" t="s">
        <v>10193</v>
      </c>
      <c r="I3575" s="919" t="s">
        <v>3686</v>
      </c>
      <c r="J3575" s="919"/>
      <c r="K3575" s="920">
        <v>1</v>
      </c>
      <c r="L3575" s="920">
        <v>12</v>
      </c>
      <c r="M3575" s="920">
        <f t="shared" si="110"/>
        <v>15600</v>
      </c>
      <c r="N3575" s="919"/>
      <c r="O3575" s="919"/>
      <c r="P3575" s="921">
        <f t="shared" si="111"/>
        <v>0</v>
      </c>
    </row>
    <row r="3576" spans="1:16" ht="20.100000000000001" customHeight="1" x14ac:dyDescent="0.25">
      <c r="A3576" s="918" t="s">
        <v>477</v>
      </c>
      <c r="B3576" s="944" t="s">
        <v>3901</v>
      </c>
      <c r="C3576" s="919" t="s">
        <v>3902</v>
      </c>
      <c r="D3576" s="919" t="s">
        <v>4250</v>
      </c>
      <c r="E3576" s="920">
        <v>3500</v>
      </c>
      <c r="F3576" s="919" t="s">
        <v>10194</v>
      </c>
      <c r="G3576" s="919" t="s">
        <v>10195</v>
      </c>
      <c r="H3576" s="919" t="s">
        <v>4250</v>
      </c>
      <c r="I3576" s="919" t="s">
        <v>3679</v>
      </c>
      <c r="J3576" s="919"/>
      <c r="K3576" s="920"/>
      <c r="L3576" s="920"/>
      <c r="M3576" s="920">
        <f t="shared" si="110"/>
        <v>0</v>
      </c>
      <c r="N3576" s="919">
        <v>1</v>
      </c>
      <c r="O3576" s="919">
        <v>4</v>
      </c>
      <c r="P3576" s="921">
        <f t="shared" si="111"/>
        <v>14000</v>
      </c>
    </row>
    <row r="3577" spans="1:16" ht="20.100000000000001" customHeight="1" x14ac:dyDescent="0.25">
      <c r="A3577" s="918" t="s">
        <v>477</v>
      </c>
      <c r="B3577" s="944" t="s">
        <v>3901</v>
      </c>
      <c r="C3577" s="919" t="s">
        <v>3902</v>
      </c>
      <c r="D3577" s="919" t="s">
        <v>4502</v>
      </c>
      <c r="E3577" s="920">
        <v>1150</v>
      </c>
      <c r="F3577" s="919" t="s">
        <v>10196</v>
      </c>
      <c r="G3577" s="919" t="s">
        <v>10197</v>
      </c>
      <c r="H3577" s="919" t="s">
        <v>4502</v>
      </c>
      <c r="I3577" s="919" t="s">
        <v>3686</v>
      </c>
      <c r="J3577" s="919"/>
      <c r="K3577" s="920"/>
      <c r="L3577" s="920"/>
      <c r="M3577" s="920">
        <f t="shared" si="110"/>
        <v>0</v>
      </c>
      <c r="N3577" s="919">
        <v>1</v>
      </c>
      <c r="O3577" s="919">
        <v>4</v>
      </c>
      <c r="P3577" s="921">
        <f t="shared" si="111"/>
        <v>4600</v>
      </c>
    </row>
    <row r="3578" spans="1:16" ht="20.100000000000001" customHeight="1" x14ac:dyDescent="0.25">
      <c r="A3578" s="918" t="s">
        <v>477</v>
      </c>
      <c r="B3578" s="944" t="s">
        <v>3901</v>
      </c>
      <c r="C3578" s="919" t="s">
        <v>3902</v>
      </c>
      <c r="D3578" s="919" t="s">
        <v>4502</v>
      </c>
      <c r="E3578" s="920">
        <v>1150</v>
      </c>
      <c r="F3578" s="919" t="s">
        <v>10198</v>
      </c>
      <c r="G3578" s="919" t="s">
        <v>10199</v>
      </c>
      <c r="H3578" s="919" t="s">
        <v>4502</v>
      </c>
      <c r="I3578" s="919" t="s">
        <v>3686</v>
      </c>
      <c r="J3578" s="919"/>
      <c r="K3578" s="920"/>
      <c r="L3578" s="920"/>
      <c r="M3578" s="920">
        <f t="shared" si="110"/>
        <v>0</v>
      </c>
      <c r="N3578" s="919">
        <v>1</v>
      </c>
      <c r="O3578" s="919">
        <v>4</v>
      </c>
      <c r="P3578" s="921">
        <f t="shared" si="111"/>
        <v>4600</v>
      </c>
    </row>
    <row r="3579" spans="1:16" ht="20.100000000000001" customHeight="1" x14ac:dyDescent="0.25">
      <c r="A3579" s="918" t="s">
        <v>477</v>
      </c>
      <c r="B3579" s="944" t="s">
        <v>3901</v>
      </c>
      <c r="C3579" s="919" t="s">
        <v>3902</v>
      </c>
      <c r="D3579" s="919" t="s">
        <v>4502</v>
      </c>
      <c r="E3579" s="920">
        <v>1150</v>
      </c>
      <c r="F3579" s="919" t="s">
        <v>10200</v>
      </c>
      <c r="G3579" s="919" t="s">
        <v>10201</v>
      </c>
      <c r="H3579" s="919" t="s">
        <v>4502</v>
      </c>
      <c r="I3579" s="919" t="s">
        <v>3686</v>
      </c>
      <c r="J3579" s="919"/>
      <c r="K3579" s="920"/>
      <c r="L3579" s="920"/>
      <c r="M3579" s="920">
        <f t="shared" si="110"/>
        <v>0</v>
      </c>
      <c r="N3579" s="919">
        <v>1</v>
      </c>
      <c r="O3579" s="919">
        <v>4</v>
      </c>
      <c r="P3579" s="921">
        <f t="shared" si="111"/>
        <v>4600</v>
      </c>
    </row>
    <row r="3580" spans="1:16" ht="20.100000000000001" customHeight="1" x14ac:dyDescent="0.25">
      <c r="A3580" s="918" t="s">
        <v>477</v>
      </c>
      <c r="B3580" s="944" t="s">
        <v>3901</v>
      </c>
      <c r="C3580" s="919" t="s">
        <v>3902</v>
      </c>
      <c r="D3580" s="919" t="s">
        <v>4502</v>
      </c>
      <c r="E3580" s="920">
        <v>1150</v>
      </c>
      <c r="F3580" s="919" t="s">
        <v>10202</v>
      </c>
      <c r="G3580" s="919" t="s">
        <v>10203</v>
      </c>
      <c r="H3580" s="919" t="s">
        <v>4502</v>
      </c>
      <c r="I3580" s="919" t="s">
        <v>3686</v>
      </c>
      <c r="J3580" s="919"/>
      <c r="K3580" s="920"/>
      <c r="L3580" s="920"/>
      <c r="M3580" s="920">
        <f t="shared" si="110"/>
        <v>0</v>
      </c>
      <c r="N3580" s="919">
        <v>1</v>
      </c>
      <c r="O3580" s="919">
        <v>4</v>
      </c>
      <c r="P3580" s="921">
        <f t="shared" si="111"/>
        <v>4600</v>
      </c>
    </row>
    <row r="3581" spans="1:16" ht="20.100000000000001" customHeight="1" x14ac:dyDescent="0.25">
      <c r="A3581" s="918" t="s">
        <v>477</v>
      </c>
      <c r="B3581" s="944" t="s">
        <v>3901</v>
      </c>
      <c r="C3581" s="919" t="s">
        <v>3902</v>
      </c>
      <c r="D3581" s="919" t="s">
        <v>4502</v>
      </c>
      <c r="E3581" s="920">
        <v>1150</v>
      </c>
      <c r="F3581" s="919" t="s">
        <v>10204</v>
      </c>
      <c r="G3581" s="919" t="s">
        <v>10205</v>
      </c>
      <c r="H3581" s="919" t="s">
        <v>4502</v>
      </c>
      <c r="I3581" s="919" t="s">
        <v>3686</v>
      </c>
      <c r="J3581" s="919"/>
      <c r="K3581" s="920"/>
      <c r="L3581" s="920"/>
      <c r="M3581" s="920">
        <f t="shared" si="110"/>
        <v>0</v>
      </c>
      <c r="N3581" s="919">
        <v>1</v>
      </c>
      <c r="O3581" s="919">
        <v>4</v>
      </c>
      <c r="P3581" s="921">
        <f t="shared" si="111"/>
        <v>4600</v>
      </c>
    </row>
    <row r="3582" spans="1:16" ht="20.100000000000001" customHeight="1" x14ac:dyDescent="0.25">
      <c r="A3582" s="918" t="s">
        <v>477</v>
      </c>
      <c r="B3582" s="944" t="s">
        <v>3901</v>
      </c>
      <c r="C3582" s="919" t="s">
        <v>3902</v>
      </c>
      <c r="D3582" s="919" t="s">
        <v>4502</v>
      </c>
      <c r="E3582" s="920">
        <v>1150</v>
      </c>
      <c r="F3582" s="919" t="s">
        <v>10206</v>
      </c>
      <c r="G3582" s="919" t="s">
        <v>10207</v>
      </c>
      <c r="H3582" s="919" t="s">
        <v>4502</v>
      </c>
      <c r="I3582" s="919" t="s">
        <v>3686</v>
      </c>
      <c r="J3582" s="919"/>
      <c r="K3582" s="920"/>
      <c r="L3582" s="920"/>
      <c r="M3582" s="920">
        <f t="shared" si="110"/>
        <v>0</v>
      </c>
      <c r="N3582" s="919">
        <v>1</v>
      </c>
      <c r="O3582" s="919">
        <v>4</v>
      </c>
      <c r="P3582" s="921">
        <f t="shared" si="111"/>
        <v>4600</v>
      </c>
    </row>
    <row r="3583" spans="1:16" ht="20.100000000000001" customHeight="1" x14ac:dyDescent="0.25">
      <c r="A3583" s="918" t="s">
        <v>477</v>
      </c>
      <c r="B3583" s="944" t="s">
        <v>3901</v>
      </c>
      <c r="C3583" s="919" t="s">
        <v>3902</v>
      </c>
      <c r="D3583" s="919" t="s">
        <v>4502</v>
      </c>
      <c r="E3583" s="920">
        <v>1150</v>
      </c>
      <c r="F3583" s="919" t="s">
        <v>10208</v>
      </c>
      <c r="G3583" s="919" t="s">
        <v>10209</v>
      </c>
      <c r="H3583" s="919" t="s">
        <v>4502</v>
      </c>
      <c r="I3583" s="919" t="s">
        <v>3686</v>
      </c>
      <c r="J3583" s="919"/>
      <c r="K3583" s="920"/>
      <c r="L3583" s="920"/>
      <c r="M3583" s="920">
        <f t="shared" si="110"/>
        <v>0</v>
      </c>
      <c r="N3583" s="919">
        <v>1</v>
      </c>
      <c r="O3583" s="919">
        <v>4</v>
      </c>
      <c r="P3583" s="921">
        <f t="shared" si="111"/>
        <v>4600</v>
      </c>
    </row>
    <row r="3584" spans="1:16" ht="20.100000000000001" customHeight="1" x14ac:dyDescent="0.25">
      <c r="A3584" s="918" t="s">
        <v>477</v>
      </c>
      <c r="B3584" s="944" t="s">
        <v>3901</v>
      </c>
      <c r="C3584" s="919" t="s">
        <v>3902</v>
      </c>
      <c r="D3584" s="919" t="s">
        <v>4502</v>
      </c>
      <c r="E3584" s="920">
        <v>1150</v>
      </c>
      <c r="F3584" s="919" t="s">
        <v>10210</v>
      </c>
      <c r="G3584" s="919" t="s">
        <v>10211</v>
      </c>
      <c r="H3584" s="919" t="s">
        <v>4502</v>
      </c>
      <c r="I3584" s="919" t="s">
        <v>3686</v>
      </c>
      <c r="J3584" s="919"/>
      <c r="K3584" s="920"/>
      <c r="L3584" s="920"/>
      <c r="M3584" s="920">
        <f t="shared" si="110"/>
        <v>0</v>
      </c>
      <c r="N3584" s="919">
        <v>1</v>
      </c>
      <c r="O3584" s="919">
        <v>4</v>
      </c>
      <c r="P3584" s="921">
        <f t="shared" si="111"/>
        <v>4600</v>
      </c>
    </row>
    <row r="3585" spans="1:16" ht="20.100000000000001" customHeight="1" x14ac:dyDescent="0.25">
      <c r="A3585" s="918" t="s">
        <v>477</v>
      </c>
      <c r="B3585" s="944" t="s">
        <v>3901</v>
      </c>
      <c r="C3585" s="919" t="s">
        <v>3902</v>
      </c>
      <c r="D3585" s="919" t="s">
        <v>4502</v>
      </c>
      <c r="E3585" s="920">
        <v>1150</v>
      </c>
      <c r="F3585" s="919" t="s">
        <v>10212</v>
      </c>
      <c r="G3585" s="919" t="s">
        <v>10213</v>
      </c>
      <c r="H3585" s="919" t="s">
        <v>4502</v>
      </c>
      <c r="I3585" s="919" t="s">
        <v>3686</v>
      </c>
      <c r="J3585" s="919"/>
      <c r="K3585" s="920"/>
      <c r="L3585" s="920"/>
      <c r="M3585" s="920">
        <f t="shared" si="110"/>
        <v>0</v>
      </c>
      <c r="N3585" s="919">
        <v>1</v>
      </c>
      <c r="O3585" s="919">
        <v>4</v>
      </c>
      <c r="P3585" s="921">
        <f t="shared" si="111"/>
        <v>4600</v>
      </c>
    </row>
    <row r="3586" spans="1:16" ht="20.100000000000001" customHeight="1" x14ac:dyDescent="0.25">
      <c r="A3586" s="918" t="s">
        <v>477</v>
      </c>
      <c r="B3586" s="944" t="s">
        <v>3901</v>
      </c>
      <c r="C3586" s="919" t="s">
        <v>3902</v>
      </c>
      <c r="D3586" s="919" t="s">
        <v>4502</v>
      </c>
      <c r="E3586" s="920">
        <v>1150</v>
      </c>
      <c r="F3586" s="919" t="s">
        <v>4041</v>
      </c>
      <c r="G3586" s="919" t="s">
        <v>4042</v>
      </c>
      <c r="H3586" s="919" t="s">
        <v>4502</v>
      </c>
      <c r="I3586" s="919" t="s">
        <v>3686</v>
      </c>
      <c r="J3586" s="919"/>
      <c r="K3586" s="920">
        <v>1</v>
      </c>
      <c r="L3586" s="920">
        <v>12</v>
      </c>
      <c r="M3586" s="920">
        <f t="shared" si="110"/>
        <v>13800</v>
      </c>
      <c r="N3586" s="919"/>
      <c r="O3586" s="919"/>
      <c r="P3586" s="921">
        <f t="shared" si="111"/>
        <v>0</v>
      </c>
    </row>
    <row r="3587" spans="1:16" ht="20.100000000000001" customHeight="1" x14ac:dyDescent="0.25">
      <c r="A3587" s="918" t="s">
        <v>477</v>
      </c>
      <c r="B3587" s="944" t="s">
        <v>3901</v>
      </c>
      <c r="C3587" s="919" t="s">
        <v>3902</v>
      </c>
      <c r="D3587" s="919" t="s">
        <v>4531</v>
      </c>
      <c r="E3587" s="920">
        <v>1800</v>
      </c>
      <c r="F3587" s="919" t="s">
        <v>10214</v>
      </c>
      <c r="G3587" s="919" t="s">
        <v>10215</v>
      </c>
      <c r="H3587" s="919" t="s">
        <v>4531</v>
      </c>
      <c r="I3587" s="919" t="s">
        <v>3679</v>
      </c>
      <c r="J3587" s="919"/>
      <c r="K3587" s="920"/>
      <c r="L3587" s="920"/>
      <c r="M3587" s="920">
        <f t="shared" si="110"/>
        <v>0</v>
      </c>
      <c r="N3587" s="919">
        <v>1</v>
      </c>
      <c r="O3587" s="919">
        <v>4</v>
      </c>
      <c r="P3587" s="921">
        <f t="shared" si="111"/>
        <v>7200</v>
      </c>
    </row>
    <row r="3588" spans="1:16" ht="20.100000000000001" customHeight="1" x14ac:dyDescent="0.25">
      <c r="A3588" s="918" t="s">
        <v>477</v>
      </c>
      <c r="B3588" s="944" t="s">
        <v>3901</v>
      </c>
      <c r="C3588" s="919" t="s">
        <v>3902</v>
      </c>
      <c r="D3588" s="919" t="s">
        <v>4531</v>
      </c>
      <c r="E3588" s="920">
        <v>1800</v>
      </c>
      <c r="F3588" s="919" t="s">
        <v>10216</v>
      </c>
      <c r="G3588" s="919" t="s">
        <v>10217</v>
      </c>
      <c r="H3588" s="919" t="s">
        <v>4531</v>
      </c>
      <c r="I3588" s="919" t="s">
        <v>3679</v>
      </c>
      <c r="J3588" s="919"/>
      <c r="K3588" s="920"/>
      <c r="L3588" s="920"/>
      <c r="M3588" s="920">
        <f t="shared" si="110"/>
        <v>0</v>
      </c>
      <c r="N3588" s="919">
        <v>1</v>
      </c>
      <c r="O3588" s="919">
        <v>4</v>
      </c>
      <c r="P3588" s="921">
        <f t="shared" si="111"/>
        <v>7200</v>
      </c>
    </row>
    <row r="3589" spans="1:16" ht="20.100000000000001" customHeight="1" x14ac:dyDescent="0.25">
      <c r="A3589" s="918" t="s">
        <v>477</v>
      </c>
      <c r="B3589" s="944" t="s">
        <v>3901</v>
      </c>
      <c r="C3589" s="919" t="s">
        <v>3902</v>
      </c>
      <c r="D3589" s="919" t="s">
        <v>4531</v>
      </c>
      <c r="E3589" s="920">
        <v>1800</v>
      </c>
      <c r="F3589" s="919" t="s">
        <v>10218</v>
      </c>
      <c r="G3589" s="919" t="s">
        <v>10219</v>
      </c>
      <c r="H3589" s="919" t="s">
        <v>4531</v>
      </c>
      <c r="I3589" s="919" t="s">
        <v>3679</v>
      </c>
      <c r="J3589" s="919"/>
      <c r="K3589" s="920"/>
      <c r="L3589" s="920"/>
      <c r="M3589" s="920">
        <f t="shared" si="110"/>
        <v>0</v>
      </c>
      <c r="N3589" s="919">
        <v>1</v>
      </c>
      <c r="O3589" s="919">
        <v>4</v>
      </c>
      <c r="P3589" s="921">
        <f t="shared" si="111"/>
        <v>7200</v>
      </c>
    </row>
    <row r="3590" spans="1:16" ht="20.100000000000001" customHeight="1" x14ac:dyDescent="0.25">
      <c r="A3590" s="918" t="s">
        <v>477</v>
      </c>
      <c r="B3590" s="944" t="s">
        <v>3901</v>
      </c>
      <c r="C3590" s="919" t="s">
        <v>3902</v>
      </c>
      <c r="D3590" s="919" t="s">
        <v>4531</v>
      </c>
      <c r="E3590" s="920">
        <v>1800</v>
      </c>
      <c r="F3590" s="919" t="s">
        <v>10220</v>
      </c>
      <c r="G3590" s="919" t="s">
        <v>10221</v>
      </c>
      <c r="H3590" s="919" t="s">
        <v>4531</v>
      </c>
      <c r="I3590" s="919" t="s">
        <v>3679</v>
      </c>
      <c r="J3590" s="919"/>
      <c r="K3590" s="920"/>
      <c r="L3590" s="920"/>
      <c r="M3590" s="920">
        <f t="shared" ref="M3590:M3653" si="112">E3590*L3590</f>
        <v>0</v>
      </c>
      <c r="N3590" s="919">
        <v>1</v>
      </c>
      <c r="O3590" s="919">
        <v>4</v>
      </c>
      <c r="P3590" s="921">
        <f t="shared" ref="P3590:P3653" si="113">E3590*O3590</f>
        <v>7200</v>
      </c>
    </row>
    <row r="3591" spans="1:16" ht="20.100000000000001" customHeight="1" x14ac:dyDescent="0.25">
      <c r="A3591" s="918" t="s">
        <v>477</v>
      </c>
      <c r="B3591" s="944" t="s">
        <v>3901</v>
      </c>
      <c r="C3591" s="919" t="s">
        <v>3902</v>
      </c>
      <c r="D3591" s="919" t="s">
        <v>4531</v>
      </c>
      <c r="E3591" s="920">
        <v>1800</v>
      </c>
      <c r="F3591" s="919" t="s">
        <v>10222</v>
      </c>
      <c r="G3591" s="919" t="s">
        <v>10223</v>
      </c>
      <c r="H3591" s="919" t="s">
        <v>4531</v>
      </c>
      <c r="I3591" s="919" t="s">
        <v>3679</v>
      </c>
      <c r="J3591" s="919"/>
      <c r="K3591" s="920"/>
      <c r="L3591" s="920"/>
      <c r="M3591" s="920">
        <f t="shared" si="112"/>
        <v>0</v>
      </c>
      <c r="N3591" s="919">
        <v>1</v>
      </c>
      <c r="O3591" s="919">
        <v>4</v>
      </c>
      <c r="P3591" s="921">
        <f t="shared" si="113"/>
        <v>7200</v>
      </c>
    </row>
    <row r="3592" spans="1:16" ht="20.100000000000001" customHeight="1" x14ac:dyDescent="0.25">
      <c r="A3592" s="918" t="s">
        <v>477</v>
      </c>
      <c r="B3592" s="944" t="s">
        <v>3901</v>
      </c>
      <c r="C3592" s="919" t="s">
        <v>3902</v>
      </c>
      <c r="D3592" s="919" t="s">
        <v>4531</v>
      </c>
      <c r="E3592" s="920">
        <v>1800</v>
      </c>
      <c r="F3592" s="919" t="s">
        <v>10224</v>
      </c>
      <c r="G3592" s="919" t="s">
        <v>10225</v>
      </c>
      <c r="H3592" s="919" t="s">
        <v>4531</v>
      </c>
      <c r="I3592" s="919" t="s">
        <v>3679</v>
      </c>
      <c r="J3592" s="919"/>
      <c r="K3592" s="920"/>
      <c r="L3592" s="920"/>
      <c r="M3592" s="920">
        <f t="shared" si="112"/>
        <v>0</v>
      </c>
      <c r="N3592" s="919">
        <v>1</v>
      </c>
      <c r="O3592" s="919">
        <v>4</v>
      </c>
      <c r="P3592" s="921">
        <f t="shared" si="113"/>
        <v>7200</v>
      </c>
    </row>
    <row r="3593" spans="1:16" ht="20.100000000000001" customHeight="1" x14ac:dyDescent="0.25">
      <c r="A3593" s="918" t="s">
        <v>477</v>
      </c>
      <c r="B3593" s="944" t="s">
        <v>3901</v>
      </c>
      <c r="C3593" s="919" t="s">
        <v>3902</v>
      </c>
      <c r="D3593" s="919" t="s">
        <v>4531</v>
      </c>
      <c r="E3593" s="920">
        <v>1800</v>
      </c>
      <c r="F3593" s="919" t="s">
        <v>10226</v>
      </c>
      <c r="G3593" s="919" t="s">
        <v>10227</v>
      </c>
      <c r="H3593" s="919" t="s">
        <v>4531</v>
      </c>
      <c r="I3593" s="919" t="s">
        <v>3679</v>
      </c>
      <c r="J3593" s="919"/>
      <c r="K3593" s="920"/>
      <c r="L3593" s="920"/>
      <c r="M3593" s="920">
        <f t="shared" si="112"/>
        <v>0</v>
      </c>
      <c r="N3593" s="919">
        <v>1</v>
      </c>
      <c r="O3593" s="919">
        <v>4</v>
      </c>
      <c r="P3593" s="921">
        <f t="shared" si="113"/>
        <v>7200</v>
      </c>
    </row>
    <row r="3594" spans="1:16" ht="20.100000000000001" customHeight="1" x14ac:dyDescent="0.25">
      <c r="A3594" s="918" t="s">
        <v>477</v>
      </c>
      <c r="B3594" s="944" t="s">
        <v>3901</v>
      </c>
      <c r="C3594" s="919" t="s">
        <v>3902</v>
      </c>
      <c r="D3594" s="919" t="s">
        <v>4531</v>
      </c>
      <c r="E3594" s="920">
        <v>1800</v>
      </c>
      <c r="F3594" s="919" t="s">
        <v>4041</v>
      </c>
      <c r="G3594" s="919" t="s">
        <v>4062</v>
      </c>
      <c r="H3594" s="919" t="s">
        <v>4531</v>
      </c>
      <c r="I3594" s="919" t="s">
        <v>3679</v>
      </c>
      <c r="J3594" s="919"/>
      <c r="K3594" s="920">
        <v>1</v>
      </c>
      <c r="L3594" s="920">
        <v>12</v>
      </c>
      <c r="M3594" s="920">
        <f t="shared" si="112"/>
        <v>21600</v>
      </c>
      <c r="N3594" s="919"/>
      <c r="O3594" s="919"/>
      <c r="P3594" s="921">
        <f t="shared" si="113"/>
        <v>0</v>
      </c>
    </row>
    <row r="3595" spans="1:16" ht="20.100000000000001" customHeight="1" x14ac:dyDescent="0.25">
      <c r="A3595" s="918" t="s">
        <v>477</v>
      </c>
      <c r="B3595" s="944" t="s">
        <v>3901</v>
      </c>
      <c r="C3595" s="919" t="s">
        <v>3902</v>
      </c>
      <c r="D3595" s="919" t="s">
        <v>4531</v>
      </c>
      <c r="E3595" s="920">
        <v>1800</v>
      </c>
      <c r="F3595" s="919" t="s">
        <v>10228</v>
      </c>
      <c r="G3595" s="919" t="s">
        <v>10229</v>
      </c>
      <c r="H3595" s="919" t="s">
        <v>4531</v>
      </c>
      <c r="I3595" s="919" t="s">
        <v>3679</v>
      </c>
      <c r="J3595" s="919"/>
      <c r="K3595" s="920"/>
      <c r="L3595" s="920"/>
      <c r="M3595" s="920">
        <f t="shared" si="112"/>
        <v>0</v>
      </c>
      <c r="N3595" s="919">
        <v>1</v>
      </c>
      <c r="O3595" s="919">
        <v>4</v>
      </c>
      <c r="P3595" s="921">
        <f t="shared" si="113"/>
        <v>7200</v>
      </c>
    </row>
    <row r="3596" spans="1:16" ht="20.100000000000001" customHeight="1" x14ac:dyDescent="0.25">
      <c r="A3596" s="918" t="s">
        <v>477</v>
      </c>
      <c r="B3596" s="944" t="s">
        <v>3901</v>
      </c>
      <c r="C3596" s="919" t="s">
        <v>3902</v>
      </c>
      <c r="D3596" s="919" t="s">
        <v>4531</v>
      </c>
      <c r="E3596" s="920">
        <v>1800</v>
      </c>
      <c r="F3596" s="919" t="s">
        <v>10230</v>
      </c>
      <c r="G3596" s="919" t="s">
        <v>10231</v>
      </c>
      <c r="H3596" s="919" t="s">
        <v>4531</v>
      </c>
      <c r="I3596" s="919" t="s">
        <v>3679</v>
      </c>
      <c r="J3596" s="919"/>
      <c r="K3596" s="920"/>
      <c r="L3596" s="920"/>
      <c r="M3596" s="920">
        <f t="shared" si="112"/>
        <v>0</v>
      </c>
      <c r="N3596" s="919">
        <v>1</v>
      </c>
      <c r="O3596" s="919">
        <v>4</v>
      </c>
      <c r="P3596" s="921">
        <f t="shared" si="113"/>
        <v>7200</v>
      </c>
    </row>
    <row r="3597" spans="1:16" ht="20.100000000000001" customHeight="1" x14ac:dyDescent="0.25">
      <c r="A3597" s="918" t="s">
        <v>477</v>
      </c>
      <c r="B3597" s="944" t="s">
        <v>3901</v>
      </c>
      <c r="C3597" s="919" t="s">
        <v>3902</v>
      </c>
      <c r="D3597" s="919" t="s">
        <v>4531</v>
      </c>
      <c r="E3597" s="920">
        <v>1800</v>
      </c>
      <c r="F3597" s="919" t="s">
        <v>10232</v>
      </c>
      <c r="G3597" s="919" t="s">
        <v>10233</v>
      </c>
      <c r="H3597" s="919" t="s">
        <v>4531</v>
      </c>
      <c r="I3597" s="919" t="s">
        <v>3679</v>
      </c>
      <c r="J3597" s="919"/>
      <c r="K3597" s="920"/>
      <c r="L3597" s="920"/>
      <c r="M3597" s="920">
        <f t="shared" si="112"/>
        <v>0</v>
      </c>
      <c r="N3597" s="919">
        <v>1</v>
      </c>
      <c r="O3597" s="919">
        <v>4</v>
      </c>
      <c r="P3597" s="921">
        <f t="shared" si="113"/>
        <v>7200</v>
      </c>
    </row>
    <row r="3598" spans="1:16" ht="20.100000000000001" customHeight="1" x14ac:dyDescent="0.25">
      <c r="A3598" s="918" t="s">
        <v>477</v>
      </c>
      <c r="B3598" s="944" t="s">
        <v>3901</v>
      </c>
      <c r="C3598" s="919" t="s">
        <v>3902</v>
      </c>
      <c r="D3598" s="919" t="s">
        <v>4531</v>
      </c>
      <c r="E3598" s="920">
        <v>1800</v>
      </c>
      <c r="F3598" s="919" t="s">
        <v>10234</v>
      </c>
      <c r="G3598" s="919" t="s">
        <v>10235</v>
      </c>
      <c r="H3598" s="919" t="s">
        <v>4531</v>
      </c>
      <c r="I3598" s="919" t="s">
        <v>3679</v>
      </c>
      <c r="J3598" s="919"/>
      <c r="K3598" s="920"/>
      <c r="L3598" s="920"/>
      <c r="M3598" s="920">
        <f t="shared" si="112"/>
        <v>0</v>
      </c>
      <c r="N3598" s="919">
        <v>1</v>
      </c>
      <c r="O3598" s="919">
        <v>4</v>
      </c>
      <c r="P3598" s="921">
        <f t="shared" si="113"/>
        <v>7200</v>
      </c>
    </row>
    <row r="3599" spans="1:16" ht="20.100000000000001" customHeight="1" x14ac:dyDescent="0.25">
      <c r="A3599" s="918" t="s">
        <v>477</v>
      </c>
      <c r="B3599" s="944" t="s">
        <v>3901</v>
      </c>
      <c r="C3599" s="919" t="s">
        <v>3902</v>
      </c>
      <c r="D3599" s="919" t="s">
        <v>4382</v>
      </c>
      <c r="E3599" s="920">
        <v>2500</v>
      </c>
      <c r="F3599" s="919" t="s">
        <v>10236</v>
      </c>
      <c r="G3599" s="919" t="s">
        <v>10237</v>
      </c>
      <c r="H3599" s="919" t="s">
        <v>4382</v>
      </c>
      <c r="I3599" s="919" t="s">
        <v>3679</v>
      </c>
      <c r="J3599" s="919"/>
      <c r="K3599" s="920"/>
      <c r="L3599" s="920"/>
      <c r="M3599" s="920">
        <f t="shared" si="112"/>
        <v>0</v>
      </c>
      <c r="N3599" s="919">
        <v>1</v>
      </c>
      <c r="O3599" s="919">
        <v>4</v>
      </c>
      <c r="P3599" s="921">
        <f t="shared" si="113"/>
        <v>10000</v>
      </c>
    </row>
    <row r="3600" spans="1:16" ht="20.100000000000001" customHeight="1" x14ac:dyDescent="0.25">
      <c r="A3600" s="918" t="s">
        <v>477</v>
      </c>
      <c r="B3600" s="944" t="s">
        <v>3901</v>
      </c>
      <c r="C3600" s="919" t="s">
        <v>3902</v>
      </c>
      <c r="D3600" s="919" t="s">
        <v>4382</v>
      </c>
      <c r="E3600" s="920">
        <v>2500</v>
      </c>
      <c r="F3600" s="919" t="s">
        <v>4041</v>
      </c>
      <c r="G3600" s="919" t="s">
        <v>4062</v>
      </c>
      <c r="H3600" s="919" t="s">
        <v>4382</v>
      </c>
      <c r="I3600" s="919" t="s">
        <v>3679</v>
      </c>
      <c r="J3600" s="919"/>
      <c r="K3600" s="920">
        <v>1</v>
      </c>
      <c r="L3600" s="920">
        <v>12</v>
      </c>
      <c r="M3600" s="920">
        <f t="shared" si="112"/>
        <v>30000</v>
      </c>
      <c r="N3600" s="919"/>
      <c r="O3600" s="919"/>
      <c r="P3600" s="921">
        <f t="shared" si="113"/>
        <v>0</v>
      </c>
    </row>
    <row r="3601" spans="1:16" ht="20.100000000000001" customHeight="1" x14ac:dyDescent="0.25">
      <c r="A3601" s="918" t="s">
        <v>477</v>
      </c>
      <c r="B3601" s="944" t="s">
        <v>3901</v>
      </c>
      <c r="C3601" s="919" t="s">
        <v>3902</v>
      </c>
      <c r="D3601" s="919" t="s">
        <v>4382</v>
      </c>
      <c r="E3601" s="920">
        <v>2500</v>
      </c>
      <c r="F3601" s="919" t="s">
        <v>10238</v>
      </c>
      <c r="G3601" s="919" t="s">
        <v>10239</v>
      </c>
      <c r="H3601" s="919" t="s">
        <v>4382</v>
      </c>
      <c r="I3601" s="919" t="s">
        <v>3679</v>
      </c>
      <c r="J3601" s="919"/>
      <c r="K3601" s="920"/>
      <c r="L3601" s="920"/>
      <c r="M3601" s="920">
        <f t="shared" si="112"/>
        <v>0</v>
      </c>
      <c r="N3601" s="919">
        <v>1</v>
      </c>
      <c r="O3601" s="919">
        <v>4</v>
      </c>
      <c r="P3601" s="921">
        <f t="shared" si="113"/>
        <v>10000</v>
      </c>
    </row>
    <row r="3602" spans="1:16" ht="20.100000000000001" customHeight="1" x14ac:dyDescent="0.25">
      <c r="A3602" s="918" t="s">
        <v>477</v>
      </c>
      <c r="B3602" s="944" t="s">
        <v>3901</v>
      </c>
      <c r="C3602" s="919" t="s">
        <v>3902</v>
      </c>
      <c r="D3602" s="919" t="s">
        <v>4382</v>
      </c>
      <c r="E3602" s="920">
        <v>2500</v>
      </c>
      <c r="F3602" s="919" t="s">
        <v>4041</v>
      </c>
      <c r="G3602" s="919" t="s">
        <v>4062</v>
      </c>
      <c r="H3602" s="919" t="s">
        <v>4382</v>
      </c>
      <c r="I3602" s="919" t="s">
        <v>3679</v>
      </c>
      <c r="J3602" s="919"/>
      <c r="K3602" s="920">
        <v>1</v>
      </c>
      <c r="L3602" s="920">
        <v>12</v>
      </c>
      <c r="M3602" s="920">
        <f t="shared" si="112"/>
        <v>30000</v>
      </c>
      <c r="N3602" s="919"/>
      <c r="O3602" s="919"/>
      <c r="P3602" s="921">
        <f t="shared" si="113"/>
        <v>0</v>
      </c>
    </row>
    <row r="3603" spans="1:16" ht="20.100000000000001" customHeight="1" x14ac:dyDescent="0.25">
      <c r="A3603" s="918" t="s">
        <v>477</v>
      </c>
      <c r="B3603" s="944" t="s">
        <v>3901</v>
      </c>
      <c r="C3603" s="919" t="s">
        <v>3902</v>
      </c>
      <c r="D3603" s="919" t="s">
        <v>4382</v>
      </c>
      <c r="E3603" s="920">
        <v>2500</v>
      </c>
      <c r="F3603" s="919" t="s">
        <v>10240</v>
      </c>
      <c r="G3603" s="919" t="s">
        <v>10241</v>
      </c>
      <c r="H3603" s="919" t="s">
        <v>4382</v>
      </c>
      <c r="I3603" s="919" t="s">
        <v>3679</v>
      </c>
      <c r="J3603" s="919"/>
      <c r="K3603" s="920"/>
      <c r="L3603" s="920"/>
      <c r="M3603" s="920">
        <f t="shared" si="112"/>
        <v>0</v>
      </c>
      <c r="N3603" s="919">
        <v>1</v>
      </c>
      <c r="O3603" s="919">
        <v>4</v>
      </c>
      <c r="P3603" s="921">
        <f t="shared" si="113"/>
        <v>10000</v>
      </c>
    </row>
    <row r="3604" spans="1:16" ht="20.100000000000001" customHeight="1" x14ac:dyDescent="0.25">
      <c r="A3604" s="918" t="s">
        <v>477</v>
      </c>
      <c r="B3604" s="944" t="s">
        <v>3901</v>
      </c>
      <c r="C3604" s="919" t="s">
        <v>3902</v>
      </c>
      <c r="D3604" s="919" t="s">
        <v>4382</v>
      </c>
      <c r="E3604" s="920">
        <v>2500</v>
      </c>
      <c r="F3604" s="919" t="s">
        <v>4041</v>
      </c>
      <c r="G3604" s="919" t="s">
        <v>4062</v>
      </c>
      <c r="H3604" s="919" t="s">
        <v>4382</v>
      </c>
      <c r="I3604" s="919" t="s">
        <v>3679</v>
      </c>
      <c r="J3604" s="919"/>
      <c r="K3604" s="920">
        <v>1</v>
      </c>
      <c r="L3604" s="920">
        <v>12</v>
      </c>
      <c r="M3604" s="920">
        <f t="shared" si="112"/>
        <v>30000</v>
      </c>
      <c r="N3604" s="919"/>
      <c r="O3604" s="919"/>
      <c r="P3604" s="921">
        <f t="shared" si="113"/>
        <v>0</v>
      </c>
    </row>
    <row r="3605" spans="1:16" ht="20.100000000000001" customHeight="1" x14ac:dyDescent="0.25">
      <c r="A3605" s="918" t="s">
        <v>477</v>
      </c>
      <c r="B3605" s="944" t="s">
        <v>3901</v>
      </c>
      <c r="C3605" s="919" t="s">
        <v>3902</v>
      </c>
      <c r="D3605" s="919" t="s">
        <v>4382</v>
      </c>
      <c r="E3605" s="920">
        <v>2500</v>
      </c>
      <c r="F3605" s="919" t="s">
        <v>10242</v>
      </c>
      <c r="G3605" s="919" t="s">
        <v>10243</v>
      </c>
      <c r="H3605" s="919" t="s">
        <v>4382</v>
      </c>
      <c r="I3605" s="919" t="s">
        <v>3679</v>
      </c>
      <c r="J3605" s="919"/>
      <c r="K3605" s="920"/>
      <c r="L3605" s="920"/>
      <c r="M3605" s="920">
        <f t="shared" si="112"/>
        <v>0</v>
      </c>
      <c r="N3605" s="919">
        <v>1</v>
      </c>
      <c r="O3605" s="919">
        <v>4</v>
      </c>
      <c r="P3605" s="921">
        <f t="shared" si="113"/>
        <v>10000</v>
      </c>
    </row>
    <row r="3606" spans="1:16" ht="20.100000000000001" customHeight="1" x14ac:dyDescent="0.25">
      <c r="A3606" s="918" t="s">
        <v>477</v>
      </c>
      <c r="B3606" s="944" t="s">
        <v>3901</v>
      </c>
      <c r="C3606" s="919" t="s">
        <v>3902</v>
      </c>
      <c r="D3606" s="919" t="s">
        <v>4382</v>
      </c>
      <c r="E3606" s="920">
        <v>2500</v>
      </c>
      <c r="F3606" s="919" t="s">
        <v>10244</v>
      </c>
      <c r="G3606" s="919" t="s">
        <v>10245</v>
      </c>
      <c r="H3606" s="919" t="s">
        <v>4382</v>
      </c>
      <c r="I3606" s="919" t="s">
        <v>3679</v>
      </c>
      <c r="J3606" s="919"/>
      <c r="K3606" s="920"/>
      <c r="L3606" s="920"/>
      <c r="M3606" s="920">
        <f t="shared" si="112"/>
        <v>0</v>
      </c>
      <c r="N3606" s="919">
        <v>1</v>
      </c>
      <c r="O3606" s="919">
        <v>4</v>
      </c>
      <c r="P3606" s="921">
        <f t="shared" si="113"/>
        <v>10000</v>
      </c>
    </row>
    <row r="3607" spans="1:16" ht="20.100000000000001" customHeight="1" x14ac:dyDescent="0.25">
      <c r="A3607" s="918" t="s">
        <v>477</v>
      </c>
      <c r="B3607" s="944" t="s">
        <v>3901</v>
      </c>
      <c r="C3607" s="919" t="s">
        <v>3902</v>
      </c>
      <c r="D3607" s="919" t="s">
        <v>4382</v>
      </c>
      <c r="E3607" s="920">
        <v>2500</v>
      </c>
      <c r="F3607" s="919" t="s">
        <v>10246</v>
      </c>
      <c r="G3607" s="919" t="s">
        <v>10247</v>
      </c>
      <c r="H3607" s="919" t="s">
        <v>4382</v>
      </c>
      <c r="I3607" s="919" t="s">
        <v>3679</v>
      </c>
      <c r="J3607" s="919"/>
      <c r="K3607" s="920"/>
      <c r="L3607" s="920"/>
      <c r="M3607" s="920">
        <f t="shared" si="112"/>
        <v>0</v>
      </c>
      <c r="N3607" s="919">
        <v>1</v>
      </c>
      <c r="O3607" s="919">
        <v>4</v>
      </c>
      <c r="P3607" s="921">
        <f t="shared" si="113"/>
        <v>10000</v>
      </c>
    </row>
    <row r="3608" spans="1:16" ht="20.100000000000001" customHeight="1" x14ac:dyDescent="0.25">
      <c r="A3608" s="918" t="s">
        <v>477</v>
      </c>
      <c r="B3608" s="944" t="s">
        <v>3901</v>
      </c>
      <c r="C3608" s="919" t="s">
        <v>3902</v>
      </c>
      <c r="D3608" s="919" t="s">
        <v>4382</v>
      </c>
      <c r="E3608" s="920">
        <v>2500</v>
      </c>
      <c r="F3608" s="919" t="s">
        <v>4041</v>
      </c>
      <c r="G3608" s="919" t="s">
        <v>4062</v>
      </c>
      <c r="H3608" s="919" t="s">
        <v>4382</v>
      </c>
      <c r="I3608" s="919" t="s">
        <v>3679</v>
      </c>
      <c r="J3608" s="919"/>
      <c r="K3608" s="920">
        <v>1</v>
      </c>
      <c r="L3608" s="920">
        <v>12</v>
      </c>
      <c r="M3608" s="920">
        <f t="shared" si="112"/>
        <v>30000</v>
      </c>
      <c r="N3608" s="919"/>
      <c r="O3608" s="919"/>
      <c r="P3608" s="921">
        <f t="shared" si="113"/>
        <v>0</v>
      </c>
    </row>
    <row r="3609" spans="1:16" ht="20.100000000000001" customHeight="1" x14ac:dyDescent="0.25">
      <c r="A3609" s="918" t="s">
        <v>477</v>
      </c>
      <c r="B3609" s="944" t="s">
        <v>3901</v>
      </c>
      <c r="C3609" s="919" t="s">
        <v>3902</v>
      </c>
      <c r="D3609" s="919" t="s">
        <v>4382</v>
      </c>
      <c r="E3609" s="920">
        <v>2500</v>
      </c>
      <c r="F3609" s="919" t="s">
        <v>4041</v>
      </c>
      <c r="G3609" s="919" t="s">
        <v>4062</v>
      </c>
      <c r="H3609" s="919" t="s">
        <v>4382</v>
      </c>
      <c r="I3609" s="919" t="s">
        <v>3679</v>
      </c>
      <c r="J3609" s="919"/>
      <c r="K3609" s="920">
        <v>1</v>
      </c>
      <c r="L3609" s="920">
        <v>12</v>
      </c>
      <c r="M3609" s="920">
        <f t="shared" si="112"/>
        <v>30000</v>
      </c>
      <c r="N3609" s="919"/>
      <c r="O3609" s="919"/>
      <c r="P3609" s="921">
        <f t="shared" si="113"/>
        <v>0</v>
      </c>
    </row>
    <row r="3610" spans="1:16" ht="20.100000000000001" customHeight="1" x14ac:dyDescent="0.25">
      <c r="A3610" s="918" t="s">
        <v>477</v>
      </c>
      <c r="B3610" s="944" t="s">
        <v>3901</v>
      </c>
      <c r="C3610" s="919" t="s">
        <v>3902</v>
      </c>
      <c r="D3610" s="919" t="s">
        <v>4382</v>
      </c>
      <c r="E3610" s="920">
        <v>2500</v>
      </c>
      <c r="F3610" s="919" t="s">
        <v>10248</v>
      </c>
      <c r="G3610" s="919" t="s">
        <v>10249</v>
      </c>
      <c r="H3610" s="919" t="s">
        <v>4382</v>
      </c>
      <c r="I3610" s="919" t="s">
        <v>3679</v>
      </c>
      <c r="J3610" s="919"/>
      <c r="K3610" s="920"/>
      <c r="L3610" s="920"/>
      <c r="M3610" s="920">
        <f t="shared" si="112"/>
        <v>0</v>
      </c>
      <c r="N3610" s="919">
        <v>1</v>
      </c>
      <c r="O3610" s="919">
        <v>4</v>
      </c>
      <c r="P3610" s="921">
        <f t="shared" si="113"/>
        <v>10000</v>
      </c>
    </row>
    <row r="3611" spans="1:16" ht="20.100000000000001" customHeight="1" x14ac:dyDescent="0.25">
      <c r="A3611" s="918" t="s">
        <v>477</v>
      </c>
      <c r="B3611" s="944" t="s">
        <v>3901</v>
      </c>
      <c r="C3611" s="919" t="s">
        <v>3902</v>
      </c>
      <c r="D3611" s="919" t="s">
        <v>4592</v>
      </c>
      <c r="E3611" s="920">
        <v>1150</v>
      </c>
      <c r="F3611" s="919" t="s">
        <v>10250</v>
      </c>
      <c r="G3611" s="919" t="s">
        <v>10251</v>
      </c>
      <c r="H3611" s="919" t="s">
        <v>4592</v>
      </c>
      <c r="I3611" s="919" t="s">
        <v>3686</v>
      </c>
      <c r="J3611" s="919"/>
      <c r="K3611" s="920"/>
      <c r="L3611" s="920"/>
      <c r="M3611" s="920">
        <f t="shared" si="112"/>
        <v>0</v>
      </c>
      <c r="N3611" s="919">
        <v>1</v>
      </c>
      <c r="O3611" s="919">
        <v>4</v>
      </c>
      <c r="P3611" s="921">
        <f t="shared" si="113"/>
        <v>4600</v>
      </c>
    </row>
    <row r="3612" spans="1:16" ht="20.100000000000001" customHeight="1" x14ac:dyDescent="0.25">
      <c r="A3612" s="918" t="s">
        <v>477</v>
      </c>
      <c r="B3612" s="944" t="s">
        <v>3901</v>
      </c>
      <c r="C3612" s="919" t="s">
        <v>3902</v>
      </c>
      <c r="D3612" s="919" t="s">
        <v>4592</v>
      </c>
      <c r="E3612" s="920">
        <v>1150</v>
      </c>
      <c r="F3612" s="919" t="s">
        <v>10252</v>
      </c>
      <c r="G3612" s="919" t="s">
        <v>10253</v>
      </c>
      <c r="H3612" s="919" t="s">
        <v>4592</v>
      </c>
      <c r="I3612" s="919" t="s">
        <v>3686</v>
      </c>
      <c r="J3612" s="919"/>
      <c r="K3612" s="920"/>
      <c r="L3612" s="920"/>
      <c r="M3612" s="920">
        <f t="shared" si="112"/>
        <v>0</v>
      </c>
      <c r="N3612" s="919">
        <v>1</v>
      </c>
      <c r="O3612" s="919">
        <v>4</v>
      </c>
      <c r="P3612" s="921">
        <f t="shared" si="113"/>
        <v>4600</v>
      </c>
    </row>
    <row r="3613" spans="1:16" ht="20.100000000000001" customHeight="1" x14ac:dyDescent="0.25">
      <c r="A3613" s="918" t="s">
        <v>477</v>
      </c>
      <c r="B3613" s="944" t="s">
        <v>3901</v>
      </c>
      <c r="C3613" s="919" t="s">
        <v>3902</v>
      </c>
      <c r="D3613" s="919" t="s">
        <v>4592</v>
      </c>
      <c r="E3613" s="920">
        <v>1150</v>
      </c>
      <c r="F3613" s="919" t="s">
        <v>10254</v>
      </c>
      <c r="G3613" s="919" t="s">
        <v>10255</v>
      </c>
      <c r="H3613" s="919" t="s">
        <v>4592</v>
      </c>
      <c r="I3613" s="919" t="s">
        <v>3686</v>
      </c>
      <c r="J3613" s="919"/>
      <c r="K3613" s="920"/>
      <c r="L3613" s="920"/>
      <c r="M3613" s="920">
        <f t="shared" si="112"/>
        <v>0</v>
      </c>
      <c r="N3613" s="919">
        <v>1</v>
      </c>
      <c r="O3613" s="919">
        <v>4</v>
      </c>
      <c r="P3613" s="921">
        <f t="shared" si="113"/>
        <v>4600</v>
      </c>
    </row>
    <row r="3614" spans="1:16" ht="20.100000000000001" customHeight="1" x14ac:dyDescent="0.25">
      <c r="A3614" s="918" t="s">
        <v>477</v>
      </c>
      <c r="B3614" s="944" t="s">
        <v>3901</v>
      </c>
      <c r="C3614" s="919" t="s">
        <v>3902</v>
      </c>
      <c r="D3614" s="919" t="s">
        <v>4592</v>
      </c>
      <c r="E3614" s="920">
        <v>1150</v>
      </c>
      <c r="F3614" s="919" t="s">
        <v>10256</v>
      </c>
      <c r="G3614" s="919" t="s">
        <v>10257</v>
      </c>
      <c r="H3614" s="919" t="s">
        <v>4592</v>
      </c>
      <c r="I3614" s="919" t="s">
        <v>3686</v>
      </c>
      <c r="J3614" s="919"/>
      <c r="K3614" s="920"/>
      <c r="L3614" s="920"/>
      <c r="M3614" s="920">
        <f t="shared" si="112"/>
        <v>0</v>
      </c>
      <c r="N3614" s="919">
        <v>1</v>
      </c>
      <c r="O3614" s="919">
        <v>4</v>
      </c>
      <c r="P3614" s="921">
        <f t="shared" si="113"/>
        <v>4600</v>
      </c>
    </row>
    <row r="3615" spans="1:16" ht="20.100000000000001" customHeight="1" x14ac:dyDescent="0.25">
      <c r="A3615" s="918" t="s">
        <v>477</v>
      </c>
      <c r="B3615" s="944" t="s">
        <v>3901</v>
      </c>
      <c r="C3615" s="919" t="s">
        <v>3902</v>
      </c>
      <c r="D3615" s="919" t="s">
        <v>4592</v>
      </c>
      <c r="E3615" s="920">
        <v>1150</v>
      </c>
      <c r="F3615" s="919" t="s">
        <v>10258</v>
      </c>
      <c r="G3615" s="919" t="s">
        <v>10259</v>
      </c>
      <c r="H3615" s="919" t="s">
        <v>4592</v>
      </c>
      <c r="I3615" s="919" t="s">
        <v>3686</v>
      </c>
      <c r="J3615" s="919"/>
      <c r="K3615" s="920"/>
      <c r="L3615" s="920"/>
      <c r="M3615" s="920">
        <f t="shared" si="112"/>
        <v>0</v>
      </c>
      <c r="N3615" s="919">
        <v>1</v>
      </c>
      <c r="O3615" s="919">
        <v>4</v>
      </c>
      <c r="P3615" s="921">
        <f t="shared" si="113"/>
        <v>4600</v>
      </c>
    </row>
    <row r="3616" spans="1:16" ht="20.100000000000001" customHeight="1" x14ac:dyDescent="0.25">
      <c r="A3616" s="918" t="s">
        <v>477</v>
      </c>
      <c r="B3616" s="944" t="s">
        <v>3901</v>
      </c>
      <c r="C3616" s="919" t="s">
        <v>3902</v>
      </c>
      <c r="D3616" s="919" t="s">
        <v>4592</v>
      </c>
      <c r="E3616" s="920">
        <v>1150</v>
      </c>
      <c r="F3616" s="919" t="s">
        <v>10260</v>
      </c>
      <c r="G3616" s="919" t="s">
        <v>10261</v>
      </c>
      <c r="H3616" s="919" t="s">
        <v>4592</v>
      </c>
      <c r="I3616" s="919" t="s">
        <v>3686</v>
      </c>
      <c r="J3616" s="919"/>
      <c r="K3616" s="920"/>
      <c r="L3616" s="920"/>
      <c r="M3616" s="920">
        <f t="shared" si="112"/>
        <v>0</v>
      </c>
      <c r="N3616" s="919">
        <v>1</v>
      </c>
      <c r="O3616" s="919">
        <v>4</v>
      </c>
      <c r="P3616" s="921">
        <f t="shared" si="113"/>
        <v>4600</v>
      </c>
    </row>
    <row r="3617" spans="1:16" ht="20.100000000000001" customHeight="1" x14ac:dyDescent="0.25">
      <c r="A3617" s="918" t="s">
        <v>477</v>
      </c>
      <c r="B3617" s="944" t="s">
        <v>3901</v>
      </c>
      <c r="C3617" s="919" t="s">
        <v>3902</v>
      </c>
      <c r="D3617" s="919" t="s">
        <v>4592</v>
      </c>
      <c r="E3617" s="920">
        <v>1150</v>
      </c>
      <c r="F3617" s="919" t="s">
        <v>10262</v>
      </c>
      <c r="G3617" s="919" t="s">
        <v>10263</v>
      </c>
      <c r="H3617" s="919" t="s">
        <v>4592</v>
      </c>
      <c r="I3617" s="919" t="s">
        <v>3686</v>
      </c>
      <c r="J3617" s="919"/>
      <c r="K3617" s="920"/>
      <c r="L3617" s="920"/>
      <c r="M3617" s="920">
        <f t="shared" si="112"/>
        <v>0</v>
      </c>
      <c r="N3617" s="919">
        <v>1</v>
      </c>
      <c r="O3617" s="919">
        <v>4</v>
      </c>
      <c r="P3617" s="921">
        <f t="shared" si="113"/>
        <v>4600</v>
      </c>
    </row>
    <row r="3618" spans="1:16" ht="20.100000000000001" customHeight="1" x14ac:dyDescent="0.25">
      <c r="A3618" s="918" t="s">
        <v>477</v>
      </c>
      <c r="B3618" s="944" t="s">
        <v>3901</v>
      </c>
      <c r="C3618" s="919" t="s">
        <v>3902</v>
      </c>
      <c r="D3618" s="919" t="s">
        <v>4592</v>
      </c>
      <c r="E3618" s="920">
        <v>1150</v>
      </c>
      <c r="F3618" s="919" t="s">
        <v>10264</v>
      </c>
      <c r="G3618" s="919" t="s">
        <v>10265</v>
      </c>
      <c r="H3618" s="919" t="s">
        <v>4592</v>
      </c>
      <c r="I3618" s="919" t="s">
        <v>3686</v>
      </c>
      <c r="J3618" s="919"/>
      <c r="K3618" s="920"/>
      <c r="L3618" s="920"/>
      <c r="M3618" s="920">
        <f t="shared" si="112"/>
        <v>0</v>
      </c>
      <c r="N3618" s="919">
        <v>1</v>
      </c>
      <c r="O3618" s="919">
        <v>4</v>
      </c>
      <c r="P3618" s="921">
        <f t="shared" si="113"/>
        <v>4600</v>
      </c>
    </row>
    <row r="3619" spans="1:16" ht="20.100000000000001" customHeight="1" x14ac:dyDescent="0.25">
      <c r="A3619" s="918" t="s">
        <v>477</v>
      </c>
      <c r="B3619" s="944" t="s">
        <v>3901</v>
      </c>
      <c r="C3619" s="919" t="s">
        <v>3902</v>
      </c>
      <c r="D3619" s="919" t="s">
        <v>4592</v>
      </c>
      <c r="E3619" s="920">
        <v>1150</v>
      </c>
      <c r="F3619" s="919" t="s">
        <v>10266</v>
      </c>
      <c r="G3619" s="919" t="s">
        <v>10267</v>
      </c>
      <c r="H3619" s="919" t="s">
        <v>4592</v>
      </c>
      <c r="I3619" s="919" t="s">
        <v>3686</v>
      </c>
      <c r="J3619" s="919"/>
      <c r="K3619" s="920"/>
      <c r="L3619" s="920"/>
      <c r="M3619" s="920">
        <f t="shared" si="112"/>
        <v>0</v>
      </c>
      <c r="N3619" s="919">
        <v>1</v>
      </c>
      <c r="O3619" s="919">
        <v>4</v>
      </c>
      <c r="P3619" s="921">
        <f t="shared" si="113"/>
        <v>4600</v>
      </c>
    </row>
    <row r="3620" spans="1:16" ht="20.100000000000001" customHeight="1" x14ac:dyDescent="0.25">
      <c r="A3620" s="918" t="s">
        <v>477</v>
      </c>
      <c r="B3620" s="944" t="s">
        <v>3901</v>
      </c>
      <c r="C3620" s="919" t="s">
        <v>3902</v>
      </c>
      <c r="D3620" s="919" t="s">
        <v>4592</v>
      </c>
      <c r="E3620" s="920">
        <v>1150</v>
      </c>
      <c r="F3620" s="919" t="s">
        <v>4041</v>
      </c>
      <c r="G3620" s="919" t="s">
        <v>4062</v>
      </c>
      <c r="H3620" s="919" t="s">
        <v>4592</v>
      </c>
      <c r="I3620" s="919" t="s">
        <v>3686</v>
      </c>
      <c r="J3620" s="919"/>
      <c r="K3620" s="920">
        <v>1</v>
      </c>
      <c r="L3620" s="920">
        <v>12</v>
      </c>
      <c r="M3620" s="920">
        <f t="shared" si="112"/>
        <v>13800</v>
      </c>
      <c r="N3620" s="919"/>
      <c r="O3620" s="919"/>
      <c r="P3620" s="921">
        <f t="shared" si="113"/>
        <v>0</v>
      </c>
    </row>
    <row r="3621" spans="1:16" ht="20.100000000000001" customHeight="1" x14ac:dyDescent="0.25">
      <c r="A3621" s="918" t="s">
        <v>477</v>
      </c>
      <c r="B3621" s="944" t="s">
        <v>3901</v>
      </c>
      <c r="C3621" s="919" t="s">
        <v>3902</v>
      </c>
      <c r="D3621" s="919" t="s">
        <v>4592</v>
      </c>
      <c r="E3621" s="920">
        <v>1150</v>
      </c>
      <c r="F3621" s="919" t="s">
        <v>10268</v>
      </c>
      <c r="G3621" s="919" t="s">
        <v>10269</v>
      </c>
      <c r="H3621" s="919" t="s">
        <v>4592</v>
      </c>
      <c r="I3621" s="919" t="s">
        <v>3686</v>
      </c>
      <c r="J3621" s="919"/>
      <c r="K3621" s="920"/>
      <c r="L3621" s="920"/>
      <c r="M3621" s="920">
        <f t="shared" si="112"/>
        <v>0</v>
      </c>
      <c r="N3621" s="919">
        <v>1</v>
      </c>
      <c r="O3621" s="919">
        <v>4</v>
      </c>
      <c r="P3621" s="921">
        <f t="shared" si="113"/>
        <v>4600</v>
      </c>
    </row>
    <row r="3622" spans="1:16" ht="20.100000000000001" customHeight="1" x14ac:dyDescent="0.25">
      <c r="A3622" s="918" t="s">
        <v>477</v>
      </c>
      <c r="B3622" s="944" t="s">
        <v>3901</v>
      </c>
      <c r="C3622" s="919" t="s">
        <v>3902</v>
      </c>
      <c r="D3622" s="919" t="s">
        <v>4592</v>
      </c>
      <c r="E3622" s="920">
        <v>1150</v>
      </c>
      <c r="F3622" s="919" t="s">
        <v>10270</v>
      </c>
      <c r="G3622" s="919" t="s">
        <v>10271</v>
      </c>
      <c r="H3622" s="919" t="s">
        <v>4592</v>
      </c>
      <c r="I3622" s="919" t="s">
        <v>3686</v>
      </c>
      <c r="J3622" s="919"/>
      <c r="K3622" s="920"/>
      <c r="L3622" s="920"/>
      <c r="M3622" s="920">
        <f t="shared" si="112"/>
        <v>0</v>
      </c>
      <c r="N3622" s="919">
        <v>1</v>
      </c>
      <c r="O3622" s="919">
        <v>4</v>
      </c>
      <c r="P3622" s="921">
        <f t="shared" si="113"/>
        <v>4600</v>
      </c>
    </row>
    <row r="3623" spans="1:16" ht="20.100000000000001" customHeight="1" x14ac:dyDescent="0.25">
      <c r="A3623" s="918" t="s">
        <v>477</v>
      </c>
      <c r="B3623" s="944" t="s">
        <v>3901</v>
      </c>
      <c r="C3623" s="919" t="s">
        <v>3902</v>
      </c>
      <c r="D3623" s="919" t="s">
        <v>4592</v>
      </c>
      <c r="E3623" s="920">
        <v>1150</v>
      </c>
      <c r="F3623" s="919" t="s">
        <v>4041</v>
      </c>
      <c r="G3623" s="919" t="s">
        <v>4062</v>
      </c>
      <c r="H3623" s="919" t="s">
        <v>4592</v>
      </c>
      <c r="I3623" s="919" t="s">
        <v>3686</v>
      </c>
      <c r="J3623" s="919"/>
      <c r="K3623" s="920">
        <v>1</v>
      </c>
      <c r="L3623" s="920">
        <v>12</v>
      </c>
      <c r="M3623" s="920">
        <f t="shared" si="112"/>
        <v>13800</v>
      </c>
      <c r="N3623" s="919"/>
      <c r="O3623" s="919"/>
      <c r="P3623" s="921">
        <f t="shared" si="113"/>
        <v>0</v>
      </c>
    </row>
    <row r="3624" spans="1:16" ht="20.100000000000001" customHeight="1" x14ac:dyDescent="0.25">
      <c r="A3624" s="918" t="s">
        <v>477</v>
      </c>
      <c r="B3624" s="944" t="s">
        <v>3901</v>
      </c>
      <c r="C3624" s="919" t="s">
        <v>3902</v>
      </c>
      <c r="D3624" s="919" t="s">
        <v>4592</v>
      </c>
      <c r="E3624" s="920">
        <v>1150</v>
      </c>
      <c r="F3624" s="919" t="s">
        <v>10272</v>
      </c>
      <c r="G3624" s="919" t="s">
        <v>10273</v>
      </c>
      <c r="H3624" s="919" t="s">
        <v>4592</v>
      </c>
      <c r="I3624" s="919" t="s">
        <v>3686</v>
      </c>
      <c r="J3624" s="919"/>
      <c r="K3624" s="920"/>
      <c r="L3624" s="920"/>
      <c r="M3624" s="920">
        <f t="shared" si="112"/>
        <v>0</v>
      </c>
      <c r="N3624" s="919">
        <v>1</v>
      </c>
      <c r="O3624" s="919">
        <v>4</v>
      </c>
      <c r="P3624" s="921">
        <f t="shared" si="113"/>
        <v>4600</v>
      </c>
    </row>
    <row r="3625" spans="1:16" ht="20.100000000000001" customHeight="1" x14ac:dyDescent="0.25">
      <c r="A3625" s="918" t="s">
        <v>477</v>
      </c>
      <c r="B3625" s="944" t="s">
        <v>3901</v>
      </c>
      <c r="C3625" s="919" t="s">
        <v>3902</v>
      </c>
      <c r="D3625" s="919" t="s">
        <v>4592</v>
      </c>
      <c r="E3625" s="920">
        <v>1150</v>
      </c>
      <c r="F3625" s="919" t="s">
        <v>4041</v>
      </c>
      <c r="G3625" s="919" t="s">
        <v>4062</v>
      </c>
      <c r="H3625" s="919" t="s">
        <v>4592</v>
      </c>
      <c r="I3625" s="919" t="s">
        <v>3686</v>
      </c>
      <c r="J3625" s="919"/>
      <c r="K3625" s="920">
        <v>1</v>
      </c>
      <c r="L3625" s="920">
        <v>12</v>
      </c>
      <c r="M3625" s="920">
        <f t="shared" si="112"/>
        <v>13800</v>
      </c>
      <c r="N3625" s="919"/>
      <c r="O3625" s="919"/>
      <c r="P3625" s="921">
        <f t="shared" si="113"/>
        <v>0</v>
      </c>
    </row>
    <row r="3626" spans="1:16" ht="20.100000000000001" customHeight="1" x14ac:dyDescent="0.25">
      <c r="A3626" s="918" t="s">
        <v>477</v>
      </c>
      <c r="B3626" s="944" t="s">
        <v>3901</v>
      </c>
      <c r="C3626" s="919" t="s">
        <v>3902</v>
      </c>
      <c r="D3626" s="919" t="s">
        <v>4109</v>
      </c>
      <c r="E3626" s="920">
        <v>1400</v>
      </c>
      <c r="F3626" s="919" t="s">
        <v>10274</v>
      </c>
      <c r="G3626" s="919" t="s">
        <v>10275</v>
      </c>
      <c r="H3626" s="919" t="s">
        <v>4109</v>
      </c>
      <c r="I3626" s="919" t="s">
        <v>3686</v>
      </c>
      <c r="J3626" s="919"/>
      <c r="K3626" s="920"/>
      <c r="L3626" s="920"/>
      <c r="M3626" s="920">
        <f t="shared" si="112"/>
        <v>0</v>
      </c>
      <c r="N3626" s="919">
        <v>1</v>
      </c>
      <c r="O3626" s="919">
        <v>4</v>
      </c>
      <c r="P3626" s="921">
        <f t="shared" si="113"/>
        <v>5600</v>
      </c>
    </row>
    <row r="3627" spans="1:16" ht="20.100000000000001" customHeight="1" x14ac:dyDescent="0.25">
      <c r="A3627" s="918" t="s">
        <v>477</v>
      </c>
      <c r="B3627" s="944" t="s">
        <v>3901</v>
      </c>
      <c r="C3627" s="919" t="s">
        <v>3902</v>
      </c>
      <c r="D3627" s="919" t="s">
        <v>4109</v>
      </c>
      <c r="E3627" s="920">
        <v>1400</v>
      </c>
      <c r="F3627" s="919" t="s">
        <v>10276</v>
      </c>
      <c r="G3627" s="919" t="s">
        <v>10277</v>
      </c>
      <c r="H3627" s="919" t="s">
        <v>4109</v>
      </c>
      <c r="I3627" s="919" t="s">
        <v>3686</v>
      </c>
      <c r="J3627" s="919"/>
      <c r="K3627" s="920"/>
      <c r="L3627" s="920"/>
      <c r="M3627" s="920">
        <f t="shared" si="112"/>
        <v>0</v>
      </c>
      <c r="N3627" s="919">
        <v>1</v>
      </c>
      <c r="O3627" s="919">
        <v>4</v>
      </c>
      <c r="P3627" s="921">
        <f t="shared" si="113"/>
        <v>5600</v>
      </c>
    </row>
    <row r="3628" spans="1:16" ht="20.100000000000001" customHeight="1" x14ac:dyDescent="0.25">
      <c r="A3628" s="918" t="s">
        <v>477</v>
      </c>
      <c r="B3628" s="944" t="s">
        <v>3901</v>
      </c>
      <c r="C3628" s="919" t="s">
        <v>3902</v>
      </c>
      <c r="D3628" s="919" t="s">
        <v>4109</v>
      </c>
      <c r="E3628" s="920">
        <v>1400</v>
      </c>
      <c r="F3628" s="919" t="s">
        <v>10278</v>
      </c>
      <c r="G3628" s="919" t="s">
        <v>10279</v>
      </c>
      <c r="H3628" s="919" t="s">
        <v>4109</v>
      </c>
      <c r="I3628" s="919" t="s">
        <v>3686</v>
      </c>
      <c r="J3628" s="919"/>
      <c r="K3628" s="920"/>
      <c r="L3628" s="920"/>
      <c r="M3628" s="920">
        <f t="shared" si="112"/>
        <v>0</v>
      </c>
      <c r="N3628" s="919">
        <v>1</v>
      </c>
      <c r="O3628" s="919">
        <v>4</v>
      </c>
      <c r="P3628" s="921">
        <f t="shared" si="113"/>
        <v>5600</v>
      </c>
    </row>
    <row r="3629" spans="1:16" ht="20.100000000000001" customHeight="1" x14ac:dyDescent="0.25">
      <c r="A3629" s="918" t="s">
        <v>477</v>
      </c>
      <c r="B3629" s="944" t="s">
        <v>3901</v>
      </c>
      <c r="C3629" s="919" t="s">
        <v>3902</v>
      </c>
      <c r="D3629" s="919" t="s">
        <v>4109</v>
      </c>
      <c r="E3629" s="920">
        <v>1400</v>
      </c>
      <c r="F3629" s="919" t="s">
        <v>10280</v>
      </c>
      <c r="G3629" s="919" t="s">
        <v>10281</v>
      </c>
      <c r="H3629" s="919" t="s">
        <v>4109</v>
      </c>
      <c r="I3629" s="919" t="s">
        <v>3686</v>
      </c>
      <c r="J3629" s="919"/>
      <c r="K3629" s="920"/>
      <c r="L3629" s="920"/>
      <c r="M3629" s="920">
        <f t="shared" si="112"/>
        <v>0</v>
      </c>
      <c r="N3629" s="919">
        <v>1</v>
      </c>
      <c r="O3629" s="919">
        <v>4</v>
      </c>
      <c r="P3629" s="921">
        <f t="shared" si="113"/>
        <v>5600</v>
      </c>
    </row>
    <row r="3630" spans="1:16" ht="20.100000000000001" customHeight="1" x14ac:dyDescent="0.25">
      <c r="A3630" s="918" t="s">
        <v>477</v>
      </c>
      <c r="B3630" s="944" t="s">
        <v>3901</v>
      </c>
      <c r="C3630" s="919" t="s">
        <v>3902</v>
      </c>
      <c r="D3630" s="919" t="s">
        <v>4109</v>
      </c>
      <c r="E3630" s="920">
        <v>1400</v>
      </c>
      <c r="F3630" s="919" t="s">
        <v>10282</v>
      </c>
      <c r="G3630" s="919" t="s">
        <v>10283</v>
      </c>
      <c r="H3630" s="919" t="s">
        <v>4109</v>
      </c>
      <c r="I3630" s="919" t="s">
        <v>3686</v>
      </c>
      <c r="J3630" s="919"/>
      <c r="K3630" s="920"/>
      <c r="L3630" s="920"/>
      <c r="M3630" s="920">
        <f t="shared" si="112"/>
        <v>0</v>
      </c>
      <c r="N3630" s="919">
        <v>1</v>
      </c>
      <c r="O3630" s="919">
        <v>4</v>
      </c>
      <c r="P3630" s="921">
        <f t="shared" si="113"/>
        <v>5600</v>
      </c>
    </row>
    <row r="3631" spans="1:16" ht="20.100000000000001" customHeight="1" x14ac:dyDescent="0.25">
      <c r="A3631" s="918" t="s">
        <v>477</v>
      </c>
      <c r="B3631" s="944" t="s">
        <v>3901</v>
      </c>
      <c r="C3631" s="919" t="s">
        <v>3902</v>
      </c>
      <c r="D3631" s="919" t="s">
        <v>4109</v>
      </c>
      <c r="E3631" s="920">
        <v>1400</v>
      </c>
      <c r="F3631" s="919" t="s">
        <v>10284</v>
      </c>
      <c r="G3631" s="919" t="s">
        <v>10285</v>
      </c>
      <c r="H3631" s="919" t="s">
        <v>4109</v>
      </c>
      <c r="I3631" s="919" t="s">
        <v>3686</v>
      </c>
      <c r="J3631" s="919"/>
      <c r="K3631" s="920"/>
      <c r="L3631" s="920"/>
      <c r="M3631" s="920">
        <f t="shared" si="112"/>
        <v>0</v>
      </c>
      <c r="N3631" s="919">
        <v>1</v>
      </c>
      <c r="O3631" s="919">
        <v>4</v>
      </c>
      <c r="P3631" s="921">
        <f t="shared" si="113"/>
        <v>5600</v>
      </c>
    </row>
    <row r="3632" spans="1:16" ht="20.100000000000001" customHeight="1" x14ac:dyDescent="0.25">
      <c r="A3632" s="918" t="s">
        <v>477</v>
      </c>
      <c r="B3632" s="944" t="s">
        <v>3901</v>
      </c>
      <c r="C3632" s="919" t="s">
        <v>3902</v>
      </c>
      <c r="D3632" s="919" t="s">
        <v>4109</v>
      </c>
      <c r="E3632" s="920">
        <v>1400</v>
      </c>
      <c r="F3632" s="919" t="s">
        <v>10286</v>
      </c>
      <c r="G3632" s="919" t="s">
        <v>10287</v>
      </c>
      <c r="H3632" s="919" t="s">
        <v>4109</v>
      </c>
      <c r="I3632" s="919" t="s">
        <v>3686</v>
      </c>
      <c r="J3632" s="919"/>
      <c r="K3632" s="920"/>
      <c r="L3632" s="920"/>
      <c r="M3632" s="920">
        <f t="shared" si="112"/>
        <v>0</v>
      </c>
      <c r="N3632" s="919">
        <v>1</v>
      </c>
      <c r="O3632" s="919">
        <v>4</v>
      </c>
      <c r="P3632" s="921">
        <f t="shared" si="113"/>
        <v>5600</v>
      </c>
    </row>
    <row r="3633" spans="1:16" ht="20.100000000000001" customHeight="1" x14ac:dyDescent="0.25">
      <c r="A3633" s="918" t="s">
        <v>477</v>
      </c>
      <c r="B3633" s="944" t="s">
        <v>3901</v>
      </c>
      <c r="C3633" s="919" t="s">
        <v>3902</v>
      </c>
      <c r="D3633" s="919" t="s">
        <v>4109</v>
      </c>
      <c r="E3633" s="920">
        <v>1400</v>
      </c>
      <c r="F3633" s="919" t="s">
        <v>10288</v>
      </c>
      <c r="G3633" s="919" t="s">
        <v>10289</v>
      </c>
      <c r="H3633" s="919" t="s">
        <v>4109</v>
      </c>
      <c r="I3633" s="919" t="s">
        <v>3686</v>
      </c>
      <c r="J3633" s="919"/>
      <c r="K3633" s="920"/>
      <c r="L3633" s="920"/>
      <c r="M3633" s="920">
        <f t="shared" si="112"/>
        <v>0</v>
      </c>
      <c r="N3633" s="919">
        <v>1</v>
      </c>
      <c r="O3633" s="919">
        <v>4</v>
      </c>
      <c r="P3633" s="921">
        <f t="shared" si="113"/>
        <v>5600</v>
      </c>
    </row>
    <row r="3634" spans="1:16" ht="20.100000000000001" customHeight="1" x14ac:dyDescent="0.25">
      <c r="A3634" s="918" t="s">
        <v>477</v>
      </c>
      <c r="B3634" s="944" t="s">
        <v>3901</v>
      </c>
      <c r="C3634" s="919" t="s">
        <v>3902</v>
      </c>
      <c r="D3634" s="919" t="s">
        <v>4109</v>
      </c>
      <c r="E3634" s="920">
        <v>1400</v>
      </c>
      <c r="F3634" s="919" t="s">
        <v>10290</v>
      </c>
      <c r="G3634" s="919" t="s">
        <v>10291</v>
      </c>
      <c r="H3634" s="919" t="s">
        <v>4109</v>
      </c>
      <c r="I3634" s="919" t="s">
        <v>3686</v>
      </c>
      <c r="J3634" s="919"/>
      <c r="K3634" s="920"/>
      <c r="L3634" s="920"/>
      <c r="M3634" s="920">
        <f t="shared" si="112"/>
        <v>0</v>
      </c>
      <c r="N3634" s="919">
        <v>1</v>
      </c>
      <c r="O3634" s="919">
        <v>4</v>
      </c>
      <c r="P3634" s="921">
        <f t="shared" si="113"/>
        <v>5600</v>
      </c>
    </row>
    <row r="3635" spans="1:16" ht="20.100000000000001" customHeight="1" x14ac:dyDescent="0.25">
      <c r="A3635" s="918" t="s">
        <v>477</v>
      </c>
      <c r="B3635" s="944" t="s">
        <v>3901</v>
      </c>
      <c r="C3635" s="919" t="s">
        <v>3902</v>
      </c>
      <c r="D3635" s="919" t="s">
        <v>4657</v>
      </c>
      <c r="E3635" s="920">
        <v>1150</v>
      </c>
      <c r="F3635" s="919" t="s">
        <v>10292</v>
      </c>
      <c r="G3635" s="919" t="s">
        <v>10293</v>
      </c>
      <c r="H3635" s="919" t="s">
        <v>4657</v>
      </c>
      <c r="I3635" s="919" t="s">
        <v>3686</v>
      </c>
      <c r="J3635" s="919"/>
      <c r="K3635" s="920"/>
      <c r="L3635" s="920"/>
      <c r="M3635" s="920">
        <f t="shared" si="112"/>
        <v>0</v>
      </c>
      <c r="N3635" s="919">
        <v>1</v>
      </c>
      <c r="O3635" s="919">
        <v>4</v>
      </c>
      <c r="P3635" s="921">
        <f t="shared" si="113"/>
        <v>4600</v>
      </c>
    </row>
    <row r="3636" spans="1:16" ht="20.100000000000001" customHeight="1" x14ac:dyDescent="0.25">
      <c r="A3636" s="918" t="s">
        <v>477</v>
      </c>
      <c r="B3636" s="944" t="s">
        <v>3901</v>
      </c>
      <c r="C3636" s="919" t="s">
        <v>3902</v>
      </c>
      <c r="D3636" s="919" t="s">
        <v>4657</v>
      </c>
      <c r="E3636" s="920">
        <v>1150</v>
      </c>
      <c r="F3636" s="919" t="s">
        <v>10294</v>
      </c>
      <c r="G3636" s="919" t="s">
        <v>10295</v>
      </c>
      <c r="H3636" s="919" t="s">
        <v>4657</v>
      </c>
      <c r="I3636" s="919" t="s">
        <v>3686</v>
      </c>
      <c r="J3636" s="919"/>
      <c r="K3636" s="920"/>
      <c r="L3636" s="920"/>
      <c r="M3636" s="920">
        <f t="shared" si="112"/>
        <v>0</v>
      </c>
      <c r="N3636" s="919">
        <v>1</v>
      </c>
      <c r="O3636" s="919">
        <v>4</v>
      </c>
      <c r="P3636" s="921">
        <f t="shared" si="113"/>
        <v>4600</v>
      </c>
    </row>
    <row r="3637" spans="1:16" ht="20.100000000000001" customHeight="1" x14ac:dyDescent="0.25">
      <c r="A3637" s="918" t="s">
        <v>477</v>
      </c>
      <c r="B3637" s="944" t="s">
        <v>3901</v>
      </c>
      <c r="C3637" s="919" t="s">
        <v>3902</v>
      </c>
      <c r="D3637" s="919" t="s">
        <v>4657</v>
      </c>
      <c r="E3637" s="920">
        <v>1150</v>
      </c>
      <c r="F3637" s="919" t="s">
        <v>10296</v>
      </c>
      <c r="G3637" s="919" t="s">
        <v>10297</v>
      </c>
      <c r="H3637" s="919" t="s">
        <v>4657</v>
      </c>
      <c r="I3637" s="919" t="s">
        <v>3686</v>
      </c>
      <c r="J3637" s="919"/>
      <c r="K3637" s="920"/>
      <c r="L3637" s="920"/>
      <c r="M3637" s="920">
        <f t="shared" si="112"/>
        <v>0</v>
      </c>
      <c r="N3637" s="919">
        <v>1</v>
      </c>
      <c r="O3637" s="919">
        <v>4</v>
      </c>
      <c r="P3637" s="921">
        <f t="shared" si="113"/>
        <v>4600</v>
      </c>
    </row>
    <row r="3638" spans="1:16" ht="20.100000000000001" customHeight="1" x14ac:dyDescent="0.25">
      <c r="A3638" s="918" t="s">
        <v>477</v>
      </c>
      <c r="B3638" s="944" t="s">
        <v>3901</v>
      </c>
      <c r="C3638" s="919" t="s">
        <v>3902</v>
      </c>
      <c r="D3638" s="919" t="s">
        <v>4657</v>
      </c>
      <c r="E3638" s="920">
        <v>1150</v>
      </c>
      <c r="F3638" s="919" t="s">
        <v>10298</v>
      </c>
      <c r="G3638" s="919" t="s">
        <v>10299</v>
      </c>
      <c r="H3638" s="919" t="s">
        <v>4657</v>
      </c>
      <c r="I3638" s="919" t="s">
        <v>3686</v>
      </c>
      <c r="J3638" s="919"/>
      <c r="K3638" s="920"/>
      <c r="L3638" s="920"/>
      <c r="M3638" s="920">
        <f t="shared" si="112"/>
        <v>0</v>
      </c>
      <c r="N3638" s="919">
        <v>1</v>
      </c>
      <c r="O3638" s="919">
        <v>4</v>
      </c>
      <c r="P3638" s="921">
        <f t="shared" si="113"/>
        <v>4600</v>
      </c>
    </row>
    <row r="3639" spans="1:16" ht="20.100000000000001" customHeight="1" x14ac:dyDescent="0.25">
      <c r="A3639" s="918" t="s">
        <v>477</v>
      </c>
      <c r="B3639" s="944" t="s">
        <v>3901</v>
      </c>
      <c r="C3639" s="919" t="s">
        <v>3902</v>
      </c>
      <c r="D3639" s="919" t="s">
        <v>4657</v>
      </c>
      <c r="E3639" s="920">
        <v>1150</v>
      </c>
      <c r="F3639" s="919" t="s">
        <v>10300</v>
      </c>
      <c r="G3639" s="919" t="s">
        <v>10301</v>
      </c>
      <c r="H3639" s="919" t="s">
        <v>4657</v>
      </c>
      <c r="I3639" s="919" t="s">
        <v>3686</v>
      </c>
      <c r="J3639" s="919"/>
      <c r="K3639" s="920"/>
      <c r="L3639" s="920"/>
      <c r="M3639" s="920">
        <f t="shared" si="112"/>
        <v>0</v>
      </c>
      <c r="N3639" s="919">
        <v>1</v>
      </c>
      <c r="O3639" s="919">
        <v>4</v>
      </c>
      <c r="P3639" s="921">
        <f t="shared" si="113"/>
        <v>4600</v>
      </c>
    </row>
    <row r="3640" spans="1:16" ht="20.100000000000001" customHeight="1" x14ac:dyDescent="0.25">
      <c r="A3640" s="918" t="s">
        <v>477</v>
      </c>
      <c r="B3640" s="944" t="s">
        <v>3901</v>
      </c>
      <c r="C3640" s="919" t="s">
        <v>3902</v>
      </c>
      <c r="D3640" s="919" t="s">
        <v>4502</v>
      </c>
      <c r="E3640" s="920">
        <v>1150</v>
      </c>
      <c r="F3640" s="919" t="s">
        <v>10302</v>
      </c>
      <c r="G3640" s="919" t="s">
        <v>10303</v>
      </c>
      <c r="H3640" s="919" t="s">
        <v>4502</v>
      </c>
      <c r="I3640" s="919" t="s">
        <v>3686</v>
      </c>
      <c r="J3640" s="919"/>
      <c r="K3640" s="920"/>
      <c r="L3640" s="920"/>
      <c r="M3640" s="920">
        <f t="shared" si="112"/>
        <v>0</v>
      </c>
      <c r="N3640" s="919">
        <v>1</v>
      </c>
      <c r="O3640" s="919">
        <v>4</v>
      </c>
      <c r="P3640" s="921">
        <f t="shared" si="113"/>
        <v>4600</v>
      </c>
    </row>
    <row r="3641" spans="1:16" ht="20.100000000000001" customHeight="1" x14ac:dyDescent="0.25">
      <c r="A3641" s="918" t="s">
        <v>477</v>
      </c>
      <c r="B3641" s="944" t="s">
        <v>3901</v>
      </c>
      <c r="C3641" s="919" t="s">
        <v>3902</v>
      </c>
      <c r="D3641" s="919" t="s">
        <v>4502</v>
      </c>
      <c r="E3641" s="920">
        <v>1150</v>
      </c>
      <c r="F3641" s="919" t="s">
        <v>10304</v>
      </c>
      <c r="G3641" s="919" t="s">
        <v>10305</v>
      </c>
      <c r="H3641" s="919" t="s">
        <v>4502</v>
      </c>
      <c r="I3641" s="919" t="s">
        <v>3686</v>
      </c>
      <c r="J3641" s="919"/>
      <c r="K3641" s="920"/>
      <c r="L3641" s="920"/>
      <c r="M3641" s="920">
        <f t="shared" si="112"/>
        <v>0</v>
      </c>
      <c r="N3641" s="919">
        <v>1</v>
      </c>
      <c r="O3641" s="919">
        <v>4</v>
      </c>
      <c r="P3641" s="921">
        <f t="shared" si="113"/>
        <v>4600</v>
      </c>
    </row>
    <row r="3642" spans="1:16" ht="20.100000000000001" customHeight="1" x14ac:dyDescent="0.25">
      <c r="A3642" s="918" t="s">
        <v>477</v>
      </c>
      <c r="B3642" s="944" t="s">
        <v>3901</v>
      </c>
      <c r="C3642" s="919" t="s">
        <v>3902</v>
      </c>
      <c r="D3642" s="919" t="s">
        <v>4502</v>
      </c>
      <c r="E3642" s="920">
        <v>1150</v>
      </c>
      <c r="F3642" s="919" t="s">
        <v>10306</v>
      </c>
      <c r="G3642" s="919" t="s">
        <v>10307</v>
      </c>
      <c r="H3642" s="919" t="s">
        <v>4502</v>
      </c>
      <c r="I3642" s="919" t="s">
        <v>3686</v>
      </c>
      <c r="J3642" s="919"/>
      <c r="K3642" s="920"/>
      <c r="L3642" s="920"/>
      <c r="M3642" s="920">
        <f t="shared" si="112"/>
        <v>0</v>
      </c>
      <c r="N3642" s="919">
        <v>1</v>
      </c>
      <c r="O3642" s="919">
        <v>4</v>
      </c>
      <c r="P3642" s="921">
        <f t="shared" si="113"/>
        <v>4600</v>
      </c>
    </row>
    <row r="3643" spans="1:16" ht="20.100000000000001" customHeight="1" x14ac:dyDescent="0.25">
      <c r="A3643" s="918" t="s">
        <v>477</v>
      </c>
      <c r="B3643" s="944" t="s">
        <v>3901</v>
      </c>
      <c r="C3643" s="919" t="s">
        <v>3902</v>
      </c>
      <c r="D3643" s="919" t="s">
        <v>4502</v>
      </c>
      <c r="E3643" s="920">
        <v>1150</v>
      </c>
      <c r="F3643" s="919" t="s">
        <v>10308</v>
      </c>
      <c r="G3643" s="919" t="s">
        <v>10309</v>
      </c>
      <c r="H3643" s="919" t="s">
        <v>4502</v>
      </c>
      <c r="I3643" s="919" t="s">
        <v>3686</v>
      </c>
      <c r="J3643" s="919"/>
      <c r="K3643" s="920"/>
      <c r="L3643" s="920"/>
      <c r="M3643" s="920">
        <f t="shared" si="112"/>
        <v>0</v>
      </c>
      <c r="N3643" s="919">
        <v>1</v>
      </c>
      <c r="O3643" s="919">
        <v>4</v>
      </c>
      <c r="P3643" s="921">
        <f t="shared" si="113"/>
        <v>4600</v>
      </c>
    </row>
    <row r="3644" spans="1:16" ht="20.100000000000001" customHeight="1" x14ac:dyDescent="0.25">
      <c r="A3644" s="918" t="s">
        <v>477</v>
      </c>
      <c r="B3644" s="944" t="s">
        <v>3901</v>
      </c>
      <c r="C3644" s="919" t="s">
        <v>3902</v>
      </c>
      <c r="D3644" s="919" t="s">
        <v>4502</v>
      </c>
      <c r="E3644" s="920">
        <v>1150</v>
      </c>
      <c r="F3644" s="919" t="s">
        <v>10310</v>
      </c>
      <c r="G3644" s="919" t="s">
        <v>10311</v>
      </c>
      <c r="H3644" s="919" t="s">
        <v>4502</v>
      </c>
      <c r="I3644" s="919" t="s">
        <v>3686</v>
      </c>
      <c r="J3644" s="919"/>
      <c r="K3644" s="920"/>
      <c r="L3644" s="920"/>
      <c r="M3644" s="920">
        <f t="shared" si="112"/>
        <v>0</v>
      </c>
      <c r="N3644" s="919">
        <v>1</v>
      </c>
      <c r="O3644" s="919">
        <v>4</v>
      </c>
      <c r="P3644" s="921">
        <f t="shared" si="113"/>
        <v>4600</v>
      </c>
    </row>
    <row r="3645" spans="1:16" ht="20.100000000000001" customHeight="1" x14ac:dyDescent="0.25">
      <c r="A3645" s="918" t="s">
        <v>477</v>
      </c>
      <c r="B3645" s="944" t="s">
        <v>3901</v>
      </c>
      <c r="C3645" s="919" t="s">
        <v>3902</v>
      </c>
      <c r="D3645" s="919" t="s">
        <v>4502</v>
      </c>
      <c r="E3645" s="920">
        <v>1150</v>
      </c>
      <c r="F3645" s="919" t="s">
        <v>10312</v>
      </c>
      <c r="G3645" s="919" t="s">
        <v>10313</v>
      </c>
      <c r="H3645" s="919" t="s">
        <v>4502</v>
      </c>
      <c r="I3645" s="919" t="s">
        <v>3686</v>
      </c>
      <c r="J3645" s="919"/>
      <c r="K3645" s="920"/>
      <c r="L3645" s="920"/>
      <c r="M3645" s="920">
        <f t="shared" si="112"/>
        <v>0</v>
      </c>
      <c r="N3645" s="919">
        <v>1</v>
      </c>
      <c r="O3645" s="919">
        <v>4</v>
      </c>
      <c r="P3645" s="921">
        <f t="shared" si="113"/>
        <v>4600</v>
      </c>
    </row>
    <row r="3646" spans="1:16" ht="20.100000000000001" customHeight="1" x14ac:dyDescent="0.25">
      <c r="A3646" s="918" t="s">
        <v>477</v>
      </c>
      <c r="B3646" s="944" t="s">
        <v>3901</v>
      </c>
      <c r="C3646" s="919" t="s">
        <v>3902</v>
      </c>
      <c r="D3646" s="919" t="s">
        <v>4502</v>
      </c>
      <c r="E3646" s="920">
        <v>1150</v>
      </c>
      <c r="F3646" s="919" t="s">
        <v>10314</v>
      </c>
      <c r="G3646" s="919" t="s">
        <v>10315</v>
      </c>
      <c r="H3646" s="919" t="s">
        <v>4502</v>
      </c>
      <c r="I3646" s="919" t="s">
        <v>3686</v>
      </c>
      <c r="J3646" s="919"/>
      <c r="K3646" s="920"/>
      <c r="L3646" s="920"/>
      <c r="M3646" s="920">
        <f t="shared" si="112"/>
        <v>0</v>
      </c>
      <c r="N3646" s="919">
        <v>1</v>
      </c>
      <c r="O3646" s="919">
        <v>4</v>
      </c>
      <c r="P3646" s="921">
        <f t="shared" si="113"/>
        <v>4600</v>
      </c>
    </row>
    <row r="3647" spans="1:16" ht="20.100000000000001" customHeight="1" x14ac:dyDescent="0.25">
      <c r="A3647" s="918" t="s">
        <v>477</v>
      </c>
      <c r="B3647" s="944" t="s">
        <v>3901</v>
      </c>
      <c r="C3647" s="919" t="s">
        <v>3902</v>
      </c>
      <c r="D3647" s="919" t="s">
        <v>4502</v>
      </c>
      <c r="E3647" s="920">
        <v>1150</v>
      </c>
      <c r="F3647" s="919" t="s">
        <v>10316</v>
      </c>
      <c r="G3647" s="919" t="s">
        <v>10317</v>
      </c>
      <c r="H3647" s="919" t="s">
        <v>4502</v>
      </c>
      <c r="I3647" s="919" t="s">
        <v>3686</v>
      </c>
      <c r="J3647" s="919"/>
      <c r="K3647" s="920"/>
      <c r="L3647" s="920"/>
      <c r="M3647" s="920">
        <f t="shared" si="112"/>
        <v>0</v>
      </c>
      <c r="N3647" s="919">
        <v>1</v>
      </c>
      <c r="O3647" s="919">
        <v>4</v>
      </c>
      <c r="P3647" s="921">
        <f t="shared" si="113"/>
        <v>4600</v>
      </c>
    </row>
    <row r="3648" spans="1:16" ht="20.100000000000001" customHeight="1" x14ac:dyDescent="0.25">
      <c r="A3648" s="918" t="s">
        <v>477</v>
      </c>
      <c r="B3648" s="944" t="s">
        <v>3901</v>
      </c>
      <c r="C3648" s="919" t="s">
        <v>3902</v>
      </c>
      <c r="D3648" s="919" t="s">
        <v>4502</v>
      </c>
      <c r="E3648" s="920">
        <v>1150</v>
      </c>
      <c r="F3648" s="919" t="s">
        <v>10318</v>
      </c>
      <c r="G3648" s="919" t="s">
        <v>10319</v>
      </c>
      <c r="H3648" s="919" t="s">
        <v>4502</v>
      </c>
      <c r="I3648" s="919" t="s">
        <v>3686</v>
      </c>
      <c r="J3648" s="919"/>
      <c r="K3648" s="920"/>
      <c r="L3648" s="920"/>
      <c r="M3648" s="920">
        <f t="shared" si="112"/>
        <v>0</v>
      </c>
      <c r="N3648" s="919">
        <v>1</v>
      </c>
      <c r="O3648" s="919">
        <v>4</v>
      </c>
      <c r="P3648" s="921">
        <f t="shared" si="113"/>
        <v>4600</v>
      </c>
    </row>
    <row r="3649" spans="1:16" ht="20.100000000000001" customHeight="1" x14ac:dyDescent="0.25">
      <c r="A3649" s="918" t="s">
        <v>477</v>
      </c>
      <c r="B3649" s="944" t="s">
        <v>3901</v>
      </c>
      <c r="C3649" s="919" t="s">
        <v>3902</v>
      </c>
      <c r="D3649" s="919" t="s">
        <v>4502</v>
      </c>
      <c r="E3649" s="920">
        <v>1150</v>
      </c>
      <c r="F3649" s="919" t="s">
        <v>10320</v>
      </c>
      <c r="G3649" s="919" t="s">
        <v>10321</v>
      </c>
      <c r="H3649" s="919" t="s">
        <v>4502</v>
      </c>
      <c r="I3649" s="919" t="s">
        <v>3686</v>
      </c>
      <c r="J3649" s="919"/>
      <c r="K3649" s="920"/>
      <c r="L3649" s="920"/>
      <c r="M3649" s="920">
        <f t="shared" si="112"/>
        <v>0</v>
      </c>
      <c r="N3649" s="919">
        <v>1</v>
      </c>
      <c r="O3649" s="919">
        <v>4</v>
      </c>
      <c r="P3649" s="921">
        <f t="shared" si="113"/>
        <v>4600</v>
      </c>
    </row>
    <row r="3650" spans="1:16" ht="20.100000000000001" customHeight="1" x14ac:dyDescent="0.25">
      <c r="A3650" s="918" t="s">
        <v>477</v>
      </c>
      <c r="B3650" s="944" t="s">
        <v>3901</v>
      </c>
      <c r="C3650" s="919" t="s">
        <v>3902</v>
      </c>
      <c r="D3650" s="919" t="s">
        <v>4502</v>
      </c>
      <c r="E3650" s="920">
        <v>1150</v>
      </c>
      <c r="F3650" s="919" t="s">
        <v>10322</v>
      </c>
      <c r="G3650" s="919" t="s">
        <v>10323</v>
      </c>
      <c r="H3650" s="919" t="s">
        <v>4502</v>
      </c>
      <c r="I3650" s="919" t="s">
        <v>3686</v>
      </c>
      <c r="J3650" s="919"/>
      <c r="K3650" s="920"/>
      <c r="L3650" s="920"/>
      <c r="M3650" s="920">
        <f t="shared" si="112"/>
        <v>0</v>
      </c>
      <c r="N3650" s="919">
        <v>1</v>
      </c>
      <c r="O3650" s="919">
        <v>4</v>
      </c>
      <c r="P3650" s="921">
        <f t="shared" si="113"/>
        <v>4600</v>
      </c>
    </row>
    <row r="3651" spans="1:16" ht="20.100000000000001" customHeight="1" x14ac:dyDescent="0.25">
      <c r="A3651" s="918" t="s">
        <v>477</v>
      </c>
      <c r="B3651" s="944" t="s">
        <v>3901</v>
      </c>
      <c r="C3651" s="919" t="s">
        <v>3902</v>
      </c>
      <c r="D3651" s="919" t="s">
        <v>4502</v>
      </c>
      <c r="E3651" s="920">
        <v>1150</v>
      </c>
      <c r="F3651" s="919" t="s">
        <v>10324</v>
      </c>
      <c r="G3651" s="919" t="s">
        <v>10325</v>
      </c>
      <c r="H3651" s="919" t="s">
        <v>4502</v>
      </c>
      <c r="I3651" s="919" t="s">
        <v>3686</v>
      </c>
      <c r="J3651" s="919"/>
      <c r="K3651" s="920"/>
      <c r="L3651" s="920"/>
      <c r="M3651" s="920">
        <f t="shared" si="112"/>
        <v>0</v>
      </c>
      <c r="N3651" s="919">
        <v>1</v>
      </c>
      <c r="O3651" s="919">
        <v>4</v>
      </c>
      <c r="P3651" s="921">
        <f t="shared" si="113"/>
        <v>4600</v>
      </c>
    </row>
    <row r="3652" spans="1:16" ht="20.100000000000001" customHeight="1" x14ac:dyDescent="0.25">
      <c r="A3652" s="918" t="s">
        <v>477</v>
      </c>
      <c r="B3652" s="944" t="s">
        <v>3901</v>
      </c>
      <c r="C3652" s="919" t="s">
        <v>3902</v>
      </c>
      <c r="D3652" s="919" t="s">
        <v>4502</v>
      </c>
      <c r="E3652" s="920">
        <v>1150</v>
      </c>
      <c r="F3652" s="919" t="s">
        <v>10326</v>
      </c>
      <c r="G3652" s="919" t="s">
        <v>10327</v>
      </c>
      <c r="H3652" s="919" t="s">
        <v>4502</v>
      </c>
      <c r="I3652" s="919" t="s">
        <v>3686</v>
      </c>
      <c r="J3652" s="919"/>
      <c r="K3652" s="920"/>
      <c r="L3652" s="920"/>
      <c r="M3652" s="920">
        <f t="shared" si="112"/>
        <v>0</v>
      </c>
      <c r="N3652" s="919">
        <v>1</v>
      </c>
      <c r="O3652" s="919">
        <v>4</v>
      </c>
      <c r="P3652" s="921">
        <f t="shared" si="113"/>
        <v>4600</v>
      </c>
    </row>
    <row r="3653" spans="1:16" ht="20.100000000000001" customHeight="1" x14ac:dyDescent="0.25">
      <c r="A3653" s="918" t="s">
        <v>477</v>
      </c>
      <c r="B3653" s="944" t="s">
        <v>3901</v>
      </c>
      <c r="C3653" s="919" t="s">
        <v>3902</v>
      </c>
      <c r="D3653" s="919" t="s">
        <v>4502</v>
      </c>
      <c r="E3653" s="920">
        <v>1150</v>
      </c>
      <c r="F3653" s="919" t="s">
        <v>10328</v>
      </c>
      <c r="G3653" s="919" t="s">
        <v>10329</v>
      </c>
      <c r="H3653" s="919" t="s">
        <v>4502</v>
      </c>
      <c r="I3653" s="919" t="s">
        <v>3686</v>
      </c>
      <c r="J3653" s="919"/>
      <c r="K3653" s="920"/>
      <c r="L3653" s="920"/>
      <c r="M3653" s="920">
        <f t="shared" si="112"/>
        <v>0</v>
      </c>
      <c r="N3653" s="919">
        <v>1</v>
      </c>
      <c r="O3653" s="919">
        <v>4</v>
      </c>
      <c r="P3653" s="921">
        <f t="shared" si="113"/>
        <v>4600</v>
      </c>
    </row>
    <row r="3654" spans="1:16" ht="20.100000000000001" customHeight="1" x14ac:dyDescent="0.25">
      <c r="A3654" s="918" t="s">
        <v>477</v>
      </c>
      <c r="B3654" s="944" t="s">
        <v>3901</v>
      </c>
      <c r="C3654" s="919" t="s">
        <v>3902</v>
      </c>
      <c r="D3654" s="919" t="s">
        <v>4502</v>
      </c>
      <c r="E3654" s="920">
        <v>1150</v>
      </c>
      <c r="F3654" s="919" t="s">
        <v>10330</v>
      </c>
      <c r="G3654" s="919" t="s">
        <v>10331</v>
      </c>
      <c r="H3654" s="919" t="s">
        <v>4502</v>
      </c>
      <c r="I3654" s="919" t="s">
        <v>3686</v>
      </c>
      <c r="J3654" s="919"/>
      <c r="K3654" s="920"/>
      <c r="L3654" s="920"/>
      <c r="M3654" s="920">
        <f t="shared" ref="M3654:M3717" si="114">E3654*L3654</f>
        <v>0</v>
      </c>
      <c r="N3654" s="919">
        <v>1</v>
      </c>
      <c r="O3654" s="919">
        <v>4</v>
      </c>
      <c r="P3654" s="921">
        <f t="shared" ref="P3654:P3717" si="115">E3654*O3654</f>
        <v>4600</v>
      </c>
    </row>
    <row r="3655" spans="1:16" ht="20.100000000000001" customHeight="1" x14ac:dyDescent="0.25">
      <c r="A3655" s="918" t="s">
        <v>477</v>
      </c>
      <c r="B3655" s="944" t="s">
        <v>3901</v>
      </c>
      <c r="C3655" s="919" t="s">
        <v>3902</v>
      </c>
      <c r="D3655" s="919" t="s">
        <v>4502</v>
      </c>
      <c r="E3655" s="920">
        <v>1150</v>
      </c>
      <c r="F3655" s="919" t="s">
        <v>10332</v>
      </c>
      <c r="G3655" s="919" t="s">
        <v>10333</v>
      </c>
      <c r="H3655" s="919" t="s">
        <v>4502</v>
      </c>
      <c r="I3655" s="919" t="s">
        <v>3686</v>
      </c>
      <c r="J3655" s="919"/>
      <c r="K3655" s="920"/>
      <c r="L3655" s="920"/>
      <c r="M3655" s="920">
        <f t="shared" si="114"/>
        <v>0</v>
      </c>
      <c r="N3655" s="919">
        <v>1</v>
      </c>
      <c r="O3655" s="919">
        <v>4</v>
      </c>
      <c r="P3655" s="921">
        <f t="shared" si="115"/>
        <v>4600</v>
      </c>
    </row>
    <row r="3656" spans="1:16" ht="20.100000000000001" customHeight="1" x14ac:dyDescent="0.25">
      <c r="A3656" s="918" t="s">
        <v>477</v>
      </c>
      <c r="B3656" s="944" t="s">
        <v>3901</v>
      </c>
      <c r="C3656" s="919" t="s">
        <v>3902</v>
      </c>
      <c r="D3656" s="919" t="s">
        <v>4502</v>
      </c>
      <c r="E3656" s="920">
        <v>1150</v>
      </c>
      <c r="F3656" s="919" t="s">
        <v>10334</v>
      </c>
      <c r="G3656" s="919" t="s">
        <v>10335</v>
      </c>
      <c r="H3656" s="919" t="s">
        <v>4502</v>
      </c>
      <c r="I3656" s="919" t="s">
        <v>3686</v>
      </c>
      <c r="J3656" s="919"/>
      <c r="K3656" s="920"/>
      <c r="L3656" s="920"/>
      <c r="M3656" s="920">
        <f t="shared" si="114"/>
        <v>0</v>
      </c>
      <c r="N3656" s="919">
        <v>1</v>
      </c>
      <c r="O3656" s="919">
        <v>4</v>
      </c>
      <c r="P3656" s="921">
        <f t="shared" si="115"/>
        <v>4600</v>
      </c>
    </row>
    <row r="3657" spans="1:16" ht="20.100000000000001" customHeight="1" x14ac:dyDescent="0.25">
      <c r="A3657" s="918" t="s">
        <v>477</v>
      </c>
      <c r="B3657" s="944" t="s">
        <v>3901</v>
      </c>
      <c r="C3657" s="919" t="s">
        <v>3902</v>
      </c>
      <c r="D3657" s="919" t="s">
        <v>4502</v>
      </c>
      <c r="E3657" s="920">
        <v>1150</v>
      </c>
      <c r="F3657" s="919" t="s">
        <v>10336</v>
      </c>
      <c r="G3657" s="919" t="s">
        <v>10337</v>
      </c>
      <c r="H3657" s="919" t="s">
        <v>4502</v>
      </c>
      <c r="I3657" s="919" t="s">
        <v>3686</v>
      </c>
      <c r="J3657" s="919"/>
      <c r="K3657" s="920"/>
      <c r="L3657" s="920"/>
      <c r="M3657" s="920">
        <f t="shared" si="114"/>
        <v>0</v>
      </c>
      <c r="N3657" s="919">
        <v>1</v>
      </c>
      <c r="O3657" s="919">
        <v>4</v>
      </c>
      <c r="P3657" s="921">
        <f t="shared" si="115"/>
        <v>4600</v>
      </c>
    </row>
    <row r="3658" spans="1:16" ht="20.100000000000001" customHeight="1" x14ac:dyDescent="0.25">
      <c r="A3658" s="918" t="s">
        <v>477</v>
      </c>
      <c r="B3658" s="944" t="s">
        <v>3901</v>
      </c>
      <c r="C3658" s="919" t="s">
        <v>3902</v>
      </c>
      <c r="D3658" s="919" t="s">
        <v>4502</v>
      </c>
      <c r="E3658" s="920">
        <v>1150</v>
      </c>
      <c r="F3658" s="919" t="s">
        <v>10338</v>
      </c>
      <c r="G3658" s="919" t="s">
        <v>10339</v>
      </c>
      <c r="H3658" s="919" t="s">
        <v>4502</v>
      </c>
      <c r="I3658" s="919" t="s">
        <v>3686</v>
      </c>
      <c r="J3658" s="919"/>
      <c r="K3658" s="920"/>
      <c r="L3658" s="920"/>
      <c r="M3658" s="920">
        <f t="shared" si="114"/>
        <v>0</v>
      </c>
      <c r="N3658" s="919">
        <v>1</v>
      </c>
      <c r="O3658" s="919">
        <v>4</v>
      </c>
      <c r="P3658" s="921">
        <f t="shared" si="115"/>
        <v>4600</v>
      </c>
    </row>
    <row r="3659" spans="1:16" ht="20.100000000000001" customHeight="1" x14ac:dyDescent="0.25">
      <c r="A3659" s="918" t="s">
        <v>477</v>
      </c>
      <c r="B3659" s="944" t="s">
        <v>3901</v>
      </c>
      <c r="C3659" s="919" t="s">
        <v>3902</v>
      </c>
      <c r="D3659" s="919" t="s">
        <v>4502</v>
      </c>
      <c r="E3659" s="920">
        <v>1150</v>
      </c>
      <c r="F3659" s="919" t="s">
        <v>10340</v>
      </c>
      <c r="G3659" s="919" t="s">
        <v>10341</v>
      </c>
      <c r="H3659" s="919" t="s">
        <v>4502</v>
      </c>
      <c r="I3659" s="919" t="s">
        <v>3686</v>
      </c>
      <c r="J3659" s="919"/>
      <c r="K3659" s="920"/>
      <c r="L3659" s="920"/>
      <c r="M3659" s="920">
        <f t="shared" si="114"/>
        <v>0</v>
      </c>
      <c r="N3659" s="919">
        <v>1</v>
      </c>
      <c r="O3659" s="919">
        <v>4</v>
      </c>
      <c r="P3659" s="921">
        <f t="shared" si="115"/>
        <v>4600</v>
      </c>
    </row>
    <row r="3660" spans="1:16" ht="20.100000000000001" customHeight="1" x14ac:dyDescent="0.25">
      <c r="A3660" s="918" t="s">
        <v>477</v>
      </c>
      <c r="B3660" s="944" t="s">
        <v>3901</v>
      </c>
      <c r="C3660" s="919" t="s">
        <v>3902</v>
      </c>
      <c r="D3660" s="919" t="s">
        <v>4502</v>
      </c>
      <c r="E3660" s="920">
        <v>1150</v>
      </c>
      <c r="F3660" s="919" t="s">
        <v>10342</v>
      </c>
      <c r="G3660" s="919" t="s">
        <v>10343</v>
      </c>
      <c r="H3660" s="919" t="s">
        <v>4502</v>
      </c>
      <c r="I3660" s="919" t="s">
        <v>3686</v>
      </c>
      <c r="J3660" s="919"/>
      <c r="K3660" s="920"/>
      <c r="L3660" s="920"/>
      <c r="M3660" s="920">
        <f t="shared" si="114"/>
        <v>0</v>
      </c>
      <c r="N3660" s="919">
        <v>1</v>
      </c>
      <c r="O3660" s="919">
        <v>4</v>
      </c>
      <c r="P3660" s="921">
        <f t="shared" si="115"/>
        <v>4600</v>
      </c>
    </row>
    <row r="3661" spans="1:16" ht="20.100000000000001" customHeight="1" x14ac:dyDescent="0.25">
      <c r="A3661" s="918" t="s">
        <v>477</v>
      </c>
      <c r="B3661" s="944" t="s">
        <v>3901</v>
      </c>
      <c r="C3661" s="919" t="s">
        <v>3902</v>
      </c>
      <c r="D3661" s="919" t="s">
        <v>4502</v>
      </c>
      <c r="E3661" s="920">
        <v>1150</v>
      </c>
      <c r="F3661" s="919" t="s">
        <v>10344</v>
      </c>
      <c r="G3661" s="919" t="s">
        <v>10345</v>
      </c>
      <c r="H3661" s="919" t="s">
        <v>4502</v>
      </c>
      <c r="I3661" s="919" t="s">
        <v>3686</v>
      </c>
      <c r="J3661" s="919"/>
      <c r="K3661" s="920"/>
      <c r="L3661" s="920"/>
      <c r="M3661" s="920">
        <f t="shared" si="114"/>
        <v>0</v>
      </c>
      <c r="N3661" s="919">
        <v>1</v>
      </c>
      <c r="O3661" s="919">
        <v>4</v>
      </c>
      <c r="P3661" s="921">
        <f t="shared" si="115"/>
        <v>4600</v>
      </c>
    </row>
    <row r="3662" spans="1:16" ht="20.100000000000001" customHeight="1" x14ac:dyDescent="0.25">
      <c r="A3662" s="918" t="s">
        <v>477</v>
      </c>
      <c r="B3662" s="944" t="s">
        <v>3901</v>
      </c>
      <c r="C3662" s="919" t="s">
        <v>3902</v>
      </c>
      <c r="D3662" s="919" t="s">
        <v>4502</v>
      </c>
      <c r="E3662" s="920">
        <v>1150</v>
      </c>
      <c r="F3662" s="919" t="s">
        <v>10346</v>
      </c>
      <c r="G3662" s="919" t="s">
        <v>10347</v>
      </c>
      <c r="H3662" s="919" t="s">
        <v>4502</v>
      </c>
      <c r="I3662" s="919" t="s">
        <v>3686</v>
      </c>
      <c r="J3662" s="919"/>
      <c r="K3662" s="920"/>
      <c r="L3662" s="920"/>
      <c r="M3662" s="920">
        <f t="shared" si="114"/>
        <v>0</v>
      </c>
      <c r="N3662" s="919">
        <v>1</v>
      </c>
      <c r="O3662" s="919">
        <v>4</v>
      </c>
      <c r="P3662" s="921">
        <f t="shared" si="115"/>
        <v>4600</v>
      </c>
    </row>
    <row r="3663" spans="1:16" ht="20.100000000000001" customHeight="1" x14ac:dyDescent="0.25">
      <c r="A3663" s="918" t="s">
        <v>477</v>
      </c>
      <c r="B3663" s="944" t="s">
        <v>3901</v>
      </c>
      <c r="C3663" s="919" t="s">
        <v>3902</v>
      </c>
      <c r="D3663" s="919" t="s">
        <v>4502</v>
      </c>
      <c r="E3663" s="920">
        <v>1150</v>
      </c>
      <c r="F3663" s="919" t="s">
        <v>10348</v>
      </c>
      <c r="G3663" s="919" t="s">
        <v>10349</v>
      </c>
      <c r="H3663" s="919" t="s">
        <v>4502</v>
      </c>
      <c r="I3663" s="919" t="s">
        <v>3686</v>
      </c>
      <c r="J3663" s="919"/>
      <c r="K3663" s="920"/>
      <c r="L3663" s="920"/>
      <c r="M3663" s="920">
        <f t="shared" si="114"/>
        <v>0</v>
      </c>
      <c r="N3663" s="919">
        <v>1</v>
      </c>
      <c r="O3663" s="919">
        <v>4</v>
      </c>
      <c r="P3663" s="921">
        <f t="shared" si="115"/>
        <v>4600</v>
      </c>
    </row>
    <row r="3664" spans="1:16" ht="20.100000000000001" customHeight="1" x14ac:dyDescent="0.25">
      <c r="A3664" s="918" t="s">
        <v>477</v>
      </c>
      <c r="B3664" s="944" t="s">
        <v>3901</v>
      </c>
      <c r="C3664" s="919" t="s">
        <v>3902</v>
      </c>
      <c r="D3664" s="919" t="s">
        <v>4502</v>
      </c>
      <c r="E3664" s="920">
        <v>1150</v>
      </c>
      <c r="F3664" s="919" t="s">
        <v>10350</v>
      </c>
      <c r="G3664" s="919" t="s">
        <v>10351</v>
      </c>
      <c r="H3664" s="919" t="s">
        <v>4502</v>
      </c>
      <c r="I3664" s="919" t="s">
        <v>3686</v>
      </c>
      <c r="J3664" s="919"/>
      <c r="K3664" s="920"/>
      <c r="L3664" s="920"/>
      <c r="M3664" s="920">
        <f t="shared" si="114"/>
        <v>0</v>
      </c>
      <c r="N3664" s="919">
        <v>1</v>
      </c>
      <c r="O3664" s="919">
        <v>4</v>
      </c>
      <c r="P3664" s="921">
        <f t="shared" si="115"/>
        <v>4600</v>
      </c>
    </row>
    <row r="3665" spans="1:16" ht="20.100000000000001" customHeight="1" x14ac:dyDescent="0.25">
      <c r="A3665" s="918" t="s">
        <v>477</v>
      </c>
      <c r="B3665" s="944" t="s">
        <v>3901</v>
      </c>
      <c r="C3665" s="919" t="s">
        <v>3902</v>
      </c>
      <c r="D3665" s="919" t="s">
        <v>4502</v>
      </c>
      <c r="E3665" s="920">
        <v>1150</v>
      </c>
      <c r="F3665" s="919" t="s">
        <v>10352</v>
      </c>
      <c r="G3665" s="919" t="s">
        <v>10353</v>
      </c>
      <c r="H3665" s="919" t="s">
        <v>4502</v>
      </c>
      <c r="I3665" s="919" t="s">
        <v>3686</v>
      </c>
      <c r="J3665" s="919"/>
      <c r="K3665" s="920"/>
      <c r="L3665" s="920"/>
      <c r="M3665" s="920">
        <f t="shared" si="114"/>
        <v>0</v>
      </c>
      <c r="N3665" s="919">
        <v>1</v>
      </c>
      <c r="O3665" s="919">
        <v>4</v>
      </c>
      <c r="P3665" s="921">
        <f t="shared" si="115"/>
        <v>4600</v>
      </c>
    </row>
    <row r="3666" spans="1:16" ht="20.100000000000001" customHeight="1" x14ac:dyDescent="0.25">
      <c r="A3666" s="918" t="s">
        <v>477</v>
      </c>
      <c r="B3666" s="944" t="s">
        <v>3901</v>
      </c>
      <c r="C3666" s="919" t="s">
        <v>3902</v>
      </c>
      <c r="D3666" s="919" t="s">
        <v>4502</v>
      </c>
      <c r="E3666" s="920">
        <v>1150</v>
      </c>
      <c r="F3666" s="919" t="s">
        <v>10354</v>
      </c>
      <c r="G3666" s="919" t="s">
        <v>10355</v>
      </c>
      <c r="H3666" s="919" t="s">
        <v>4502</v>
      </c>
      <c r="I3666" s="919" t="s">
        <v>3686</v>
      </c>
      <c r="J3666" s="919"/>
      <c r="K3666" s="920"/>
      <c r="L3666" s="920"/>
      <c r="M3666" s="920">
        <f t="shared" si="114"/>
        <v>0</v>
      </c>
      <c r="N3666" s="919">
        <v>1</v>
      </c>
      <c r="O3666" s="919">
        <v>4</v>
      </c>
      <c r="P3666" s="921">
        <f t="shared" si="115"/>
        <v>4600</v>
      </c>
    </row>
    <row r="3667" spans="1:16" ht="20.100000000000001" customHeight="1" x14ac:dyDescent="0.25">
      <c r="A3667" s="918" t="s">
        <v>477</v>
      </c>
      <c r="B3667" s="944" t="s">
        <v>3901</v>
      </c>
      <c r="C3667" s="919" t="s">
        <v>3902</v>
      </c>
      <c r="D3667" s="919" t="s">
        <v>4502</v>
      </c>
      <c r="E3667" s="920">
        <v>1150</v>
      </c>
      <c r="F3667" s="919" t="s">
        <v>10356</v>
      </c>
      <c r="G3667" s="919" t="s">
        <v>10357</v>
      </c>
      <c r="H3667" s="919" t="s">
        <v>4502</v>
      </c>
      <c r="I3667" s="919" t="s">
        <v>3686</v>
      </c>
      <c r="J3667" s="919"/>
      <c r="K3667" s="920"/>
      <c r="L3667" s="920"/>
      <c r="M3667" s="920">
        <f t="shared" si="114"/>
        <v>0</v>
      </c>
      <c r="N3667" s="919">
        <v>1</v>
      </c>
      <c r="O3667" s="919">
        <v>4</v>
      </c>
      <c r="P3667" s="921">
        <f t="shared" si="115"/>
        <v>4600</v>
      </c>
    </row>
    <row r="3668" spans="1:16" ht="20.100000000000001" customHeight="1" x14ac:dyDescent="0.25">
      <c r="A3668" s="918" t="s">
        <v>477</v>
      </c>
      <c r="B3668" s="944" t="s">
        <v>3901</v>
      </c>
      <c r="C3668" s="919" t="s">
        <v>3902</v>
      </c>
      <c r="D3668" s="919" t="s">
        <v>4502</v>
      </c>
      <c r="E3668" s="920">
        <v>1150</v>
      </c>
      <c r="F3668" s="919" t="s">
        <v>10358</v>
      </c>
      <c r="G3668" s="919" t="s">
        <v>10359</v>
      </c>
      <c r="H3668" s="919" t="s">
        <v>4502</v>
      </c>
      <c r="I3668" s="919" t="s">
        <v>3686</v>
      </c>
      <c r="J3668" s="919"/>
      <c r="K3668" s="920"/>
      <c r="L3668" s="920"/>
      <c r="M3668" s="920">
        <f t="shared" si="114"/>
        <v>0</v>
      </c>
      <c r="N3668" s="919">
        <v>1</v>
      </c>
      <c r="O3668" s="919">
        <v>4</v>
      </c>
      <c r="P3668" s="921">
        <f t="shared" si="115"/>
        <v>4600</v>
      </c>
    </row>
    <row r="3669" spans="1:16" ht="20.100000000000001" customHeight="1" x14ac:dyDescent="0.25">
      <c r="A3669" s="918" t="s">
        <v>477</v>
      </c>
      <c r="B3669" s="944" t="s">
        <v>3901</v>
      </c>
      <c r="C3669" s="919" t="s">
        <v>3902</v>
      </c>
      <c r="D3669" s="919" t="s">
        <v>4502</v>
      </c>
      <c r="E3669" s="920">
        <v>1150</v>
      </c>
      <c r="F3669" s="919" t="s">
        <v>10360</v>
      </c>
      <c r="G3669" s="919" t="s">
        <v>10361</v>
      </c>
      <c r="H3669" s="919" t="s">
        <v>4502</v>
      </c>
      <c r="I3669" s="919" t="s">
        <v>3686</v>
      </c>
      <c r="J3669" s="919"/>
      <c r="K3669" s="920"/>
      <c r="L3669" s="920"/>
      <c r="M3669" s="920">
        <f t="shared" si="114"/>
        <v>0</v>
      </c>
      <c r="N3669" s="919">
        <v>1</v>
      </c>
      <c r="O3669" s="919">
        <v>4</v>
      </c>
      <c r="P3669" s="921">
        <f t="shared" si="115"/>
        <v>4600</v>
      </c>
    </row>
    <row r="3670" spans="1:16" ht="20.100000000000001" customHeight="1" x14ac:dyDescent="0.25">
      <c r="A3670" s="918" t="s">
        <v>477</v>
      </c>
      <c r="B3670" s="944" t="s">
        <v>3901</v>
      </c>
      <c r="C3670" s="919" t="s">
        <v>3902</v>
      </c>
      <c r="D3670" s="919" t="s">
        <v>4502</v>
      </c>
      <c r="E3670" s="920">
        <v>1150</v>
      </c>
      <c r="F3670" s="919" t="s">
        <v>10362</v>
      </c>
      <c r="G3670" s="919" t="s">
        <v>10363</v>
      </c>
      <c r="H3670" s="919" t="s">
        <v>4502</v>
      </c>
      <c r="I3670" s="919" t="s">
        <v>3686</v>
      </c>
      <c r="J3670" s="919"/>
      <c r="K3670" s="920"/>
      <c r="L3670" s="920"/>
      <c r="M3670" s="920">
        <f t="shared" si="114"/>
        <v>0</v>
      </c>
      <c r="N3670" s="919">
        <v>1</v>
      </c>
      <c r="O3670" s="919">
        <v>4</v>
      </c>
      <c r="P3670" s="921">
        <f t="shared" si="115"/>
        <v>4600</v>
      </c>
    </row>
    <row r="3671" spans="1:16" ht="20.100000000000001" customHeight="1" x14ac:dyDescent="0.25">
      <c r="A3671" s="918" t="s">
        <v>477</v>
      </c>
      <c r="B3671" s="944" t="s">
        <v>3901</v>
      </c>
      <c r="C3671" s="919" t="s">
        <v>3902</v>
      </c>
      <c r="D3671" s="919" t="s">
        <v>4502</v>
      </c>
      <c r="E3671" s="920">
        <v>1150</v>
      </c>
      <c r="F3671" s="919" t="s">
        <v>10364</v>
      </c>
      <c r="G3671" s="919" t="s">
        <v>10365</v>
      </c>
      <c r="H3671" s="919" t="s">
        <v>4502</v>
      </c>
      <c r="I3671" s="919" t="s">
        <v>3686</v>
      </c>
      <c r="J3671" s="919"/>
      <c r="K3671" s="920"/>
      <c r="L3671" s="920"/>
      <c r="M3671" s="920">
        <f t="shared" si="114"/>
        <v>0</v>
      </c>
      <c r="N3671" s="919">
        <v>1</v>
      </c>
      <c r="O3671" s="919">
        <v>4</v>
      </c>
      <c r="P3671" s="921">
        <f t="shared" si="115"/>
        <v>4600</v>
      </c>
    </row>
    <row r="3672" spans="1:16" ht="20.100000000000001" customHeight="1" x14ac:dyDescent="0.25">
      <c r="A3672" s="918" t="s">
        <v>477</v>
      </c>
      <c r="B3672" s="944" t="s">
        <v>3901</v>
      </c>
      <c r="C3672" s="919" t="s">
        <v>3902</v>
      </c>
      <c r="D3672" s="919" t="s">
        <v>4502</v>
      </c>
      <c r="E3672" s="920">
        <v>1150</v>
      </c>
      <c r="F3672" s="919" t="s">
        <v>10366</v>
      </c>
      <c r="G3672" s="919" t="s">
        <v>10367</v>
      </c>
      <c r="H3672" s="919" t="s">
        <v>4502</v>
      </c>
      <c r="I3672" s="919" t="s">
        <v>3686</v>
      </c>
      <c r="J3672" s="919"/>
      <c r="K3672" s="920"/>
      <c r="L3672" s="920"/>
      <c r="M3672" s="920">
        <f t="shared" si="114"/>
        <v>0</v>
      </c>
      <c r="N3672" s="919">
        <v>1</v>
      </c>
      <c r="O3672" s="919">
        <v>4</v>
      </c>
      <c r="P3672" s="921">
        <f t="shared" si="115"/>
        <v>4600</v>
      </c>
    </row>
    <row r="3673" spans="1:16" ht="20.100000000000001" customHeight="1" x14ac:dyDescent="0.25">
      <c r="A3673" s="918" t="s">
        <v>477</v>
      </c>
      <c r="B3673" s="944" t="s">
        <v>3901</v>
      </c>
      <c r="C3673" s="919" t="s">
        <v>3902</v>
      </c>
      <c r="D3673" s="919" t="s">
        <v>4502</v>
      </c>
      <c r="E3673" s="920">
        <v>1150</v>
      </c>
      <c r="F3673" s="919" t="s">
        <v>10368</v>
      </c>
      <c r="G3673" s="919" t="s">
        <v>10369</v>
      </c>
      <c r="H3673" s="919" t="s">
        <v>4502</v>
      </c>
      <c r="I3673" s="919" t="s">
        <v>3686</v>
      </c>
      <c r="J3673" s="919"/>
      <c r="K3673" s="920"/>
      <c r="L3673" s="920"/>
      <c r="M3673" s="920">
        <f t="shared" si="114"/>
        <v>0</v>
      </c>
      <c r="N3673" s="919">
        <v>1</v>
      </c>
      <c r="O3673" s="919">
        <v>4</v>
      </c>
      <c r="P3673" s="921">
        <f t="shared" si="115"/>
        <v>4600</v>
      </c>
    </row>
    <row r="3674" spans="1:16" ht="20.100000000000001" customHeight="1" x14ac:dyDescent="0.25">
      <c r="A3674" s="918" t="s">
        <v>477</v>
      </c>
      <c r="B3674" s="944" t="s">
        <v>3901</v>
      </c>
      <c r="C3674" s="919" t="s">
        <v>3902</v>
      </c>
      <c r="D3674" s="919" t="s">
        <v>4502</v>
      </c>
      <c r="E3674" s="920">
        <v>1150</v>
      </c>
      <c r="F3674" s="919" t="s">
        <v>10370</v>
      </c>
      <c r="G3674" s="919" t="s">
        <v>10371</v>
      </c>
      <c r="H3674" s="919" t="s">
        <v>4502</v>
      </c>
      <c r="I3674" s="919" t="s">
        <v>3686</v>
      </c>
      <c r="J3674" s="919"/>
      <c r="K3674" s="920"/>
      <c r="L3674" s="920"/>
      <c r="M3674" s="920">
        <f t="shared" si="114"/>
        <v>0</v>
      </c>
      <c r="N3674" s="919">
        <v>1</v>
      </c>
      <c r="O3674" s="919">
        <v>4</v>
      </c>
      <c r="P3674" s="921">
        <f t="shared" si="115"/>
        <v>4600</v>
      </c>
    </row>
    <row r="3675" spans="1:16" ht="20.100000000000001" customHeight="1" x14ac:dyDescent="0.25">
      <c r="A3675" s="918" t="s">
        <v>477</v>
      </c>
      <c r="B3675" s="944" t="s">
        <v>3901</v>
      </c>
      <c r="C3675" s="919" t="s">
        <v>3902</v>
      </c>
      <c r="D3675" s="919" t="s">
        <v>4502</v>
      </c>
      <c r="E3675" s="920">
        <v>1150</v>
      </c>
      <c r="F3675" s="919" t="s">
        <v>4041</v>
      </c>
      <c r="G3675" s="919" t="s">
        <v>4062</v>
      </c>
      <c r="H3675" s="919" t="s">
        <v>4502</v>
      </c>
      <c r="I3675" s="919" t="s">
        <v>3686</v>
      </c>
      <c r="J3675" s="919"/>
      <c r="K3675" s="920">
        <v>1</v>
      </c>
      <c r="L3675" s="920">
        <v>12</v>
      </c>
      <c r="M3675" s="920">
        <f t="shared" si="114"/>
        <v>13800</v>
      </c>
      <c r="N3675" s="919"/>
      <c r="O3675" s="919"/>
      <c r="P3675" s="921">
        <f t="shared" si="115"/>
        <v>0</v>
      </c>
    </row>
    <row r="3676" spans="1:16" ht="20.100000000000001" customHeight="1" x14ac:dyDescent="0.25">
      <c r="A3676" s="918" t="s">
        <v>477</v>
      </c>
      <c r="B3676" s="944" t="s">
        <v>3901</v>
      </c>
      <c r="C3676" s="919" t="s">
        <v>3902</v>
      </c>
      <c r="D3676" s="919" t="s">
        <v>4774</v>
      </c>
      <c r="E3676" s="920">
        <v>2000</v>
      </c>
      <c r="F3676" s="919" t="s">
        <v>10372</v>
      </c>
      <c r="G3676" s="919" t="s">
        <v>10373</v>
      </c>
      <c r="H3676" s="919" t="s">
        <v>4774</v>
      </c>
      <c r="I3676" s="919" t="s">
        <v>3679</v>
      </c>
      <c r="J3676" s="919"/>
      <c r="K3676" s="920"/>
      <c r="L3676" s="920"/>
      <c r="M3676" s="920">
        <f t="shared" si="114"/>
        <v>0</v>
      </c>
      <c r="N3676" s="919">
        <v>1</v>
      </c>
      <c r="O3676" s="919">
        <v>4</v>
      </c>
      <c r="P3676" s="921">
        <f t="shared" si="115"/>
        <v>8000</v>
      </c>
    </row>
    <row r="3677" spans="1:16" ht="20.100000000000001" customHeight="1" x14ac:dyDescent="0.25">
      <c r="A3677" s="918" t="s">
        <v>477</v>
      </c>
      <c r="B3677" s="944" t="s">
        <v>3901</v>
      </c>
      <c r="C3677" s="919" t="s">
        <v>3902</v>
      </c>
      <c r="D3677" s="919" t="s">
        <v>4774</v>
      </c>
      <c r="E3677" s="920">
        <v>2000</v>
      </c>
      <c r="F3677" s="919" t="s">
        <v>10374</v>
      </c>
      <c r="G3677" s="919" t="s">
        <v>10375</v>
      </c>
      <c r="H3677" s="919" t="s">
        <v>4774</v>
      </c>
      <c r="I3677" s="919" t="s">
        <v>3679</v>
      </c>
      <c r="J3677" s="919"/>
      <c r="K3677" s="920"/>
      <c r="L3677" s="920"/>
      <c r="M3677" s="920">
        <f t="shared" si="114"/>
        <v>0</v>
      </c>
      <c r="N3677" s="919">
        <v>1</v>
      </c>
      <c r="O3677" s="919">
        <v>4</v>
      </c>
      <c r="P3677" s="921">
        <f t="shared" si="115"/>
        <v>8000</v>
      </c>
    </row>
    <row r="3678" spans="1:16" ht="20.100000000000001" customHeight="1" x14ac:dyDescent="0.25">
      <c r="A3678" s="918" t="s">
        <v>477</v>
      </c>
      <c r="B3678" s="944" t="s">
        <v>3901</v>
      </c>
      <c r="C3678" s="919" t="s">
        <v>3902</v>
      </c>
      <c r="D3678" s="919" t="s">
        <v>4774</v>
      </c>
      <c r="E3678" s="920">
        <v>2000</v>
      </c>
      <c r="F3678" s="919" t="s">
        <v>10376</v>
      </c>
      <c r="G3678" s="919" t="s">
        <v>10377</v>
      </c>
      <c r="H3678" s="919" t="s">
        <v>4774</v>
      </c>
      <c r="I3678" s="919" t="s">
        <v>3679</v>
      </c>
      <c r="J3678" s="919"/>
      <c r="K3678" s="920"/>
      <c r="L3678" s="920"/>
      <c r="M3678" s="920">
        <f t="shared" si="114"/>
        <v>0</v>
      </c>
      <c r="N3678" s="919">
        <v>1</v>
      </c>
      <c r="O3678" s="919">
        <v>4</v>
      </c>
      <c r="P3678" s="921">
        <f t="shared" si="115"/>
        <v>8000</v>
      </c>
    </row>
    <row r="3679" spans="1:16" ht="20.100000000000001" customHeight="1" x14ac:dyDescent="0.25">
      <c r="A3679" s="918" t="s">
        <v>477</v>
      </c>
      <c r="B3679" s="944" t="s">
        <v>3901</v>
      </c>
      <c r="C3679" s="919" t="s">
        <v>3902</v>
      </c>
      <c r="D3679" s="919" t="s">
        <v>4777</v>
      </c>
      <c r="E3679" s="920">
        <v>2000</v>
      </c>
      <c r="F3679" s="919" t="s">
        <v>10378</v>
      </c>
      <c r="G3679" s="919" t="s">
        <v>10379</v>
      </c>
      <c r="H3679" s="919" t="s">
        <v>4777</v>
      </c>
      <c r="I3679" s="919" t="s">
        <v>3679</v>
      </c>
      <c r="J3679" s="919"/>
      <c r="K3679" s="920"/>
      <c r="L3679" s="920"/>
      <c r="M3679" s="920">
        <f t="shared" si="114"/>
        <v>0</v>
      </c>
      <c r="N3679" s="919">
        <v>1</v>
      </c>
      <c r="O3679" s="919">
        <v>4</v>
      </c>
      <c r="P3679" s="921">
        <f t="shared" si="115"/>
        <v>8000</v>
      </c>
    </row>
    <row r="3680" spans="1:16" ht="20.100000000000001" customHeight="1" x14ac:dyDescent="0.25">
      <c r="A3680" s="918" t="s">
        <v>477</v>
      </c>
      <c r="B3680" s="944" t="s">
        <v>3901</v>
      </c>
      <c r="C3680" s="919" t="s">
        <v>3902</v>
      </c>
      <c r="D3680" s="919" t="s">
        <v>4774</v>
      </c>
      <c r="E3680" s="920">
        <v>2000</v>
      </c>
      <c r="F3680" s="919" t="s">
        <v>10380</v>
      </c>
      <c r="G3680" s="919" t="s">
        <v>10381</v>
      </c>
      <c r="H3680" s="919" t="s">
        <v>4774</v>
      </c>
      <c r="I3680" s="919" t="s">
        <v>3679</v>
      </c>
      <c r="J3680" s="919"/>
      <c r="K3680" s="920"/>
      <c r="L3680" s="920"/>
      <c r="M3680" s="920">
        <f t="shared" si="114"/>
        <v>0</v>
      </c>
      <c r="N3680" s="919">
        <v>1</v>
      </c>
      <c r="O3680" s="919">
        <v>4</v>
      </c>
      <c r="P3680" s="921">
        <f t="shared" si="115"/>
        <v>8000</v>
      </c>
    </row>
    <row r="3681" spans="1:16" ht="20.100000000000001" customHeight="1" x14ac:dyDescent="0.25">
      <c r="A3681" s="918" t="s">
        <v>477</v>
      </c>
      <c r="B3681" s="944" t="s">
        <v>3901</v>
      </c>
      <c r="C3681" s="919" t="s">
        <v>3902</v>
      </c>
      <c r="D3681" s="919" t="s">
        <v>4777</v>
      </c>
      <c r="E3681" s="920">
        <v>2000</v>
      </c>
      <c r="F3681" s="919" t="s">
        <v>10382</v>
      </c>
      <c r="G3681" s="919" t="s">
        <v>10383</v>
      </c>
      <c r="H3681" s="919" t="s">
        <v>4777</v>
      </c>
      <c r="I3681" s="919" t="s">
        <v>3679</v>
      </c>
      <c r="J3681" s="919"/>
      <c r="K3681" s="920"/>
      <c r="L3681" s="920"/>
      <c r="M3681" s="920">
        <f t="shared" si="114"/>
        <v>0</v>
      </c>
      <c r="N3681" s="919">
        <v>1</v>
      </c>
      <c r="O3681" s="919">
        <v>4</v>
      </c>
      <c r="P3681" s="921">
        <f t="shared" si="115"/>
        <v>8000</v>
      </c>
    </row>
    <row r="3682" spans="1:16" ht="20.100000000000001" customHeight="1" x14ac:dyDescent="0.25">
      <c r="A3682" s="918" t="s">
        <v>477</v>
      </c>
      <c r="B3682" s="944" t="s">
        <v>3901</v>
      </c>
      <c r="C3682" s="919" t="s">
        <v>3902</v>
      </c>
      <c r="D3682" s="919" t="s">
        <v>4774</v>
      </c>
      <c r="E3682" s="920">
        <v>2000</v>
      </c>
      <c r="F3682" s="919" t="s">
        <v>10384</v>
      </c>
      <c r="G3682" s="919" t="s">
        <v>10385</v>
      </c>
      <c r="H3682" s="919" t="s">
        <v>4774</v>
      </c>
      <c r="I3682" s="919" t="s">
        <v>3679</v>
      </c>
      <c r="J3682" s="919"/>
      <c r="K3682" s="920"/>
      <c r="L3682" s="920"/>
      <c r="M3682" s="920">
        <f t="shared" si="114"/>
        <v>0</v>
      </c>
      <c r="N3682" s="919">
        <v>1</v>
      </c>
      <c r="O3682" s="919">
        <v>4</v>
      </c>
      <c r="P3682" s="921">
        <f t="shared" si="115"/>
        <v>8000</v>
      </c>
    </row>
    <row r="3683" spans="1:16" ht="20.100000000000001" customHeight="1" x14ac:dyDescent="0.25">
      <c r="A3683" s="918" t="s">
        <v>477</v>
      </c>
      <c r="B3683" s="944" t="s">
        <v>3901</v>
      </c>
      <c r="C3683" s="919" t="s">
        <v>3902</v>
      </c>
      <c r="D3683" s="919" t="s">
        <v>4777</v>
      </c>
      <c r="E3683" s="920">
        <v>2000</v>
      </c>
      <c r="F3683" s="919" t="s">
        <v>10386</v>
      </c>
      <c r="G3683" s="919" t="s">
        <v>10387</v>
      </c>
      <c r="H3683" s="919" t="s">
        <v>4777</v>
      </c>
      <c r="I3683" s="919" t="s">
        <v>3679</v>
      </c>
      <c r="J3683" s="919"/>
      <c r="K3683" s="920"/>
      <c r="L3683" s="920"/>
      <c r="M3683" s="920">
        <f t="shared" si="114"/>
        <v>0</v>
      </c>
      <c r="N3683" s="919">
        <v>1</v>
      </c>
      <c r="O3683" s="919">
        <v>4</v>
      </c>
      <c r="P3683" s="921">
        <f t="shared" si="115"/>
        <v>8000</v>
      </c>
    </row>
    <row r="3684" spans="1:16" ht="20.100000000000001" customHeight="1" x14ac:dyDescent="0.25">
      <c r="A3684" s="918" t="s">
        <v>477</v>
      </c>
      <c r="B3684" s="944" t="s">
        <v>3901</v>
      </c>
      <c r="C3684" s="919" t="s">
        <v>3902</v>
      </c>
      <c r="D3684" s="919" t="s">
        <v>4777</v>
      </c>
      <c r="E3684" s="920">
        <v>2000</v>
      </c>
      <c r="F3684" s="919" t="s">
        <v>10388</v>
      </c>
      <c r="G3684" s="919" t="s">
        <v>10389</v>
      </c>
      <c r="H3684" s="919" t="s">
        <v>4777</v>
      </c>
      <c r="I3684" s="919" t="s">
        <v>3679</v>
      </c>
      <c r="J3684" s="919"/>
      <c r="K3684" s="920"/>
      <c r="L3684" s="920"/>
      <c r="M3684" s="920">
        <f t="shared" si="114"/>
        <v>0</v>
      </c>
      <c r="N3684" s="919">
        <v>1</v>
      </c>
      <c r="O3684" s="919">
        <v>4</v>
      </c>
      <c r="P3684" s="921">
        <f t="shared" si="115"/>
        <v>8000</v>
      </c>
    </row>
    <row r="3685" spans="1:16" ht="20.100000000000001" customHeight="1" x14ac:dyDescent="0.25">
      <c r="A3685" s="918" t="s">
        <v>477</v>
      </c>
      <c r="B3685" s="944" t="s">
        <v>3901</v>
      </c>
      <c r="C3685" s="919" t="s">
        <v>3902</v>
      </c>
      <c r="D3685" s="919" t="s">
        <v>4777</v>
      </c>
      <c r="E3685" s="920">
        <v>2000</v>
      </c>
      <c r="F3685" s="919" t="s">
        <v>10390</v>
      </c>
      <c r="G3685" s="919" t="s">
        <v>10391</v>
      </c>
      <c r="H3685" s="919" t="s">
        <v>4777</v>
      </c>
      <c r="I3685" s="919" t="s">
        <v>3679</v>
      </c>
      <c r="J3685" s="919"/>
      <c r="K3685" s="920"/>
      <c r="L3685" s="920"/>
      <c r="M3685" s="920">
        <f t="shared" si="114"/>
        <v>0</v>
      </c>
      <c r="N3685" s="919">
        <v>1</v>
      </c>
      <c r="O3685" s="919">
        <v>4</v>
      </c>
      <c r="P3685" s="921">
        <f t="shared" si="115"/>
        <v>8000</v>
      </c>
    </row>
    <row r="3686" spans="1:16" ht="20.100000000000001" customHeight="1" x14ac:dyDescent="0.25">
      <c r="A3686" s="918" t="s">
        <v>477</v>
      </c>
      <c r="B3686" s="944" t="s">
        <v>3901</v>
      </c>
      <c r="C3686" s="919" t="s">
        <v>3902</v>
      </c>
      <c r="D3686" s="919" t="s">
        <v>4777</v>
      </c>
      <c r="E3686" s="920">
        <v>2000</v>
      </c>
      <c r="F3686" s="919" t="s">
        <v>4041</v>
      </c>
      <c r="G3686" s="919" t="s">
        <v>4062</v>
      </c>
      <c r="H3686" s="919" t="s">
        <v>4777</v>
      </c>
      <c r="I3686" s="919" t="s">
        <v>3679</v>
      </c>
      <c r="J3686" s="919"/>
      <c r="K3686" s="920">
        <v>1</v>
      </c>
      <c r="L3686" s="920">
        <v>12</v>
      </c>
      <c r="M3686" s="920">
        <f t="shared" si="114"/>
        <v>24000</v>
      </c>
      <c r="N3686" s="919"/>
      <c r="O3686" s="919"/>
      <c r="P3686" s="921">
        <f t="shared" si="115"/>
        <v>0</v>
      </c>
    </row>
    <row r="3687" spans="1:16" ht="20.100000000000001" customHeight="1" x14ac:dyDescent="0.25">
      <c r="A3687" s="918" t="s">
        <v>477</v>
      </c>
      <c r="B3687" s="944" t="s">
        <v>3901</v>
      </c>
      <c r="C3687" s="919" t="s">
        <v>3902</v>
      </c>
      <c r="D3687" s="919" t="s">
        <v>4777</v>
      </c>
      <c r="E3687" s="920">
        <v>2000</v>
      </c>
      <c r="F3687" s="919" t="s">
        <v>10392</v>
      </c>
      <c r="G3687" s="919" t="s">
        <v>10393</v>
      </c>
      <c r="H3687" s="919" t="s">
        <v>4777</v>
      </c>
      <c r="I3687" s="919" t="s">
        <v>3679</v>
      </c>
      <c r="J3687" s="919"/>
      <c r="K3687" s="920"/>
      <c r="L3687" s="920"/>
      <c r="M3687" s="920">
        <f t="shared" si="114"/>
        <v>0</v>
      </c>
      <c r="N3687" s="919">
        <v>1</v>
      </c>
      <c r="O3687" s="919">
        <v>4</v>
      </c>
      <c r="P3687" s="921">
        <f t="shared" si="115"/>
        <v>8000</v>
      </c>
    </row>
    <row r="3688" spans="1:16" ht="20.100000000000001" customHeight="1" x14ac:dyDescent="0.25">
      <c r="A3688" s="918" t="s">
        <v>477</v>
      </c>
      <c r="B3688" s="944" t="s">
        <v>3901</v>
      </c>
      <c r="C3688" s="919" t="s">
        <v>3902</v>
      </c>
      <c r="D3688" s="919" t="s">
        <v>4812</v>
      </c>
      <c r="E3688" s="920">
        <v>2000</v>
      </c>
      <c r="F3688" s="919" t="s">
        <v>10394</v>
      </c>
      <c r="G3688" s="919" t="s">
        <v>10395</v>
      </c>
      <c r="H3688" s="919" t="s">
        <v>4812</v>
      </c>
      <c r="I3688" s="919" t="s">
        <v>3679</v>
      </c>
      <c r="J3688" s="919"/>
      <c r="K3688" s="920"/>
      <c r="L3688" s="920"/>
      <c r="M3688" s="920">
        <f t="shared" si="114"/>
        <v>0</v>
      </c>
      <c r="N3688" s="919">
        <v>1</v>
      </c>
      <c r="O3688" s="919">
        <v>4</v>
      </c>
      <c r="P3688" s="921">
        <f t="shared" si="115"/>
        <v>8000</v>
      </c>
    </row>
    <row r="3689" spans="1:16" ht="20.100000000000001" customHeight="1" x14ac:dyDescent="0.25">
      <c r="A3689" s="918" t="s">
        <v>477</v>
      </c>
      <c r="B3689" s="944" t="s">
        <v>3901</v>
      </c>
      <c r="C3689" s="919" t="s">
        <v>3902</v>
      </c>
      <c r="D3689" s="919" t="s">
        <v>4812</v>
      </c>
      <c r="E3689" s="920">
        <v>2000</v>
      </c>
      <c r="F3689" s="919" t="s">
        <v>10396</v>
      </c>
      <c r="G3689" s="919" t="s">
        <v>10397</v>
      </c>
      <c r="H3689" s="919" t="s">
        <v>4812</v>
      </c>
      <c r="I3689" s="919" t="s">
        <v>3679</v>
      </c>
      <c r="J3689" s="919"/>
      <c r="K3689" s="920"/>
      <c r="L3689" s="920"/>
      <c r="M3689" s="920">
        <f t="shared" si="114"/>
        <v>0</v>
      </c>
      <c r="N3689" s="919">
        <v>1</v>
      </c>
      <c r="O3689" s="919">
        <v>4</v>
      </c>
      <c r="P3689" s="921">
        <f t="shared" si="115"/>
        <v>8000</v>
      </c>
    </row>
    <row r="3690" spans="1:16" ht="20.100000000000001" customHeight="1" x14ac:dyDescent="0.25">
      <c r="A3690" s="918" t="s">
        <v>477</v>
      </c>
      <c r="B3690" s="944" t="s">
        <v>3901</v>
      </c>
      <c r="C3690" s="919" t="s">
        <v>3902</v>
      </c>
      <c r="D3690" s="919" t="s">
        <v>4382</v>
      </c>
      <c r="E3690" s="920">
        <v>2500</v>
      </c>
      <c r="F3690" s="919" t="s">
        <v>10398</v>
      </c>
      <c r="G3690" s="919" t="s">
        <v>10399</v>
      </c>
      <c r="H3690" s="919" t="s">
        <v>4382</v>
      </c>
      <c r="I3690" s="919" t="s">
        <v>3679</v>
      </c>
      <c r="J3690" s="919"/>
      <c r="K3690" s="920"/>
      <c r="L3690" s="920"/>
      <c r="M3690" s="920">
        <f t="shared" si="114"/>
        <v>0</v>
      </c>
      <c r="N3690" s="919">
        <v>1</v>
      </c>
      <c r="O3690" s="919">
        <v>4</v>
      </c>
      <c r="P3690" s="921">
        <f t="shared" si="115"/>
        <v>10000</v>
      </c>
    </row>
    <row r="3691" spans="1:16" ht="20.100000000000001" customHeight="1" x14ac:dyDescent="0.25">
      <c r="A3691" s="918" t="s">
        <v>477</v>
      </c>
      <c r="B3691" s="944" t="s">
        <v>3901</v>
      </c>
      <c r="C3691" s="919" t="s">
        <v>3902</v>
      </c>
      <c r="D3691" s="919" t="s">
        <v>4347</v>
      </c>
      <c r="E3691" s="920">
        <v>3000</v>
      </c>
      <c r="F3691" s="919" t="s">
        <v>10400</v>
      </c>
      <c r="G3691" s="919" t="s">
        <v>10401</v>
      </c>
      <c r="H3691" s="919" t="s">
        <v>4347</v>
      </c>
      <c r="I3691" s="919" t="s">
        <v>3679</v>
      </c>
      <c r="J3691" s="919"/>
      <c r="K3691" s="920"/>
      <c r="L3691" s="920"/>
      <c r="M3691" s="920">
        <f t="shared" si="114"/>
        <v>0</v>
      </c>
      <c r="N3691" s="919">
        <v>1</v>
      </c>
      <c r="O3691" s="919">
        <v>4</v>
      </c>
      <c r="P3691" s="921">
        <f t="shared" si="115"/>
        <v>12000</v>
      </c>
    </row>
    <row r="3692" spans="1:16" ht="20.100000000000001" customHeight="1" x14ac:dyDescent="0.25">
      <c r="A3692" s="918" t="s">
        <v>477</v>
      </c>
      <c r="B3692" s="944" t="s">
        <v>3901</v>
      </c>
      <c r="C3692" s="919" t="s">
        <v>3902</v>
      </c>
      <c r="D3692" s="919" t="s">
        <v>4820</v>
      </c>
      <c r="E3692" s="920">
        <v>2600</v>
      </c>
      <c r="F3692" s="919" t="s">
        <v>10402</v>
      </c>
      <c r="G3692" s="919" t="s">
        <v>10403</v>
      </c>
      <c r="H3692" s="919" t="s">
        <v>4820</v>
      </c>
      <c r="I3692" s="919" t="s">
        <v>3679</v>
      </c>
      <c r="J3692" s="919"/>
      <c r="K3692" s="920"/>
      <c r="L3692" s="920"/>
      <c r="M3692" s="920">
        <f t="shared" si="114"/>
        <v>0</v>
      </c>
      <c r="N3692" s="919">
        <v>1</v>
      </c>
      <c r="O3692" s="919">
        <v>4</v>
      </c>
      <c r="P3692" s="921">
        <f t="shared" si="115"/>
        <v>10400</v>
      </c>
    </row>
    <row r="3693" spans="1:16" ht="20.100000000000001" customHeight="1" x14ac:dyDescent="0.25">
      <c r="A3693" s="918" t="s">
        <v>477</v>
      </c>
      <c r="B3693" s="944" t="s">
        <v>3901</v>
      </c>
      <c r="C3693" s="919" t="s">
        <v>3902</v>
      </c>
      <c r="D3693" s="919" t="s">
        <v>4823</v>
      </c>
      <c r="E3693" s="920">
        <v>2600</v>
      </c>
      <c r="F3693" s="919" t="s">
        <v>10404</v>
      </c>
      <c r="G3693" s="919" t="s">
        <v>10405</v>
      </c>
      <c r="H3693" s="919" t="s">
        <v>4823</v>
      </c>
      <c r="I3693" s="919" t="s">
        <v>3679</v>
      </c>
      <c r="J3693" s="919"/>
      <c r="K3693" s="920"/>
      <c r="L3693" s="920"/>
      <c r="M3693" s="920">
        <f t="shared" si="114"/>
        <v>0</v>
      </c>
      <c r="N3693" s="919">
        <v>1</v>
      </c>
      <c r="O3693" s="919">
        <v>4</v>
      </c>
      <c r="P3693" s="921">
        <f t="shared" si="115"/>
        <v>10400</v>
      </c>
    </row>
    <row r="3694" spans="1:16" ht="20.100000000000001" customHeight="1" x14ac:dyDescent="0.25">
      <c r="A3694" s="918" t="s">
        <v>477</v>
      </c>
      <c r="B3694" s="944" t="s">
        <v>3901</v>
      </c>
      <c r="C3694" s="919" t="s">
        <v>3902</v>
      </c>
      <c r="D3694" s="919" t="s">
        <v>4823</v>
      </c>
      <c r="E3694" s="920">
        <v>2600</v>
      </c>
      <c r="F3694" s="919" t="s">
        <v>10406</v>
      </c>
      <c r="G3694" s="919" t="s">
        <v>10407</v>
      </c>
      <c r="H3694" s="919" t="s">
        <v>4823</v>
      </c>
      <c r="I3694" s="919" t="s">
        <v>3679</v>
      </c>
      <c r="J3694" s="919"/>
      <c r="K3694" s="920"/>
      <c r="L3694" s="920"/>
      <c r="M3694" s="920">
        <f t="shared" si="114"/>
        <v>0</v>
      </c>
      <c r="N3694" s="919">
        <v>1</v>
      </c>
      <c r="O3694" s="919">
        <v>4</v>
      </c>
      <c r="P3694" s="921">
        <f t="shared" si="115"/>
        <v>10400</v>
      </c>
    </row>
    <row r="3695" spans="1:16" ht="20.100000000000001" customHeight="1" x14ac:dyDescent="0.25">
      <c r="A3695" s="918" t="s">
        <v>477</v>
      </c>
      <c r="B3695" s="944" t="s">
        <v>3901</v>
      </c>
      <c r="C3695" s="919" t="s">
        <v>3902</v>
      </c>
      <c r="D3695" s="919" t="s">
        <v>4823</v>
      </c>
      <c r="E3695" s="920">
        <v>2600</v>
      </c>
      <c r="F3695" s="919" t="s">
        <v>10408</v>
      </c>
      <c r="G3695" s="919" t="s">
        <v>10409</v>
      </c>
      <c r="H3695" s="919" t="s">
        <v>4823</v>
      </c>
      <c r="I3695" s="919" t="s">
        <v>3679</v>
      </c>
      <c r="J3695" s="919"/>
      <c r="K3695" s="920"/>
      <c r="L3695" s="920"/>
      <c r="M3695" s="920">
        <f t="shared" si="114"/>
        <v>0</v>
      </c>
      <c r="N3695" s="919">
        <v>1</v>
      </c>
      <c r="O3695" s="919">
        <v>4</v>
      </c>
      <c r="P3695" s="921">
        <f t="shared" si="115"/>
        <v>10400</v>
      </c>
    </row>
    <row r="3696" spans="1:16" ht="20.100000000000001" customHeight="1" x14ac:dyDescent="0.25">
      <c r="A3696" s="918" t="s">
        <v>477</v>
      </c>
      <c r="B3696" s="944" t="s">
        <v>3901</v>
      </c>
      <c r="C3696" s="919" t="s">
        <v>3902</v>
      </c>
      <c r="D3696" s="919" t="s">
        <v>4840</v>
      </c>
      <c r="E3696" s="920">
        <v>3700</v>
      </c>
      <c r="F3696" s="919" t="s">
        <v>10410</v>
      </c>
      <c r="G3696" s="919" t="s">
        <v>10411</v>
      </c>
      <c r="H3696" s="919" t="s">
        <v>4840</v>
      </c>
      <c r="I3696" s="919" t="s">
        <v>3679</v>
      </c>
      <c r="J3696" s="919"/>
      <c r="K3696" s="920"/>
      <c r="L3696" s="920"/>
      <c r="M3696" s="920">
        <f t="shared" si="114"/>
        <v>0</v>
      </c>
      <c r="N3696" s="919">
        <v>1</v>
      </c>
      <c r="O3696" s="919">
        <v>4</v>
      </c>
      <c r="P3696" s="921">
        <f t="shared" si="115"/>
        <v>14800</v>
      </c>
    </row>
    <row r="3697" spans="1:16" ht="20.100000000000001" customHeight="1" x14ac:dyDescent="0.25">
      <c r="A3697" s="918" t="s">
        <v>492</v>
      </c>
      <c r="B3697" s="944" t="s">
        <v>3901</v>
      </c>
      <c r="C3697" s="919" t="s">
        <v>6375</v>
      </c>
      <c r="D3697" s="919" t="s">
        <v>6376</v>
      </c>
      <c r="E3697" s="920">
        <v>400</v>
      </c>
      <c r="F3697" s="919" t="s">
        <v>4041</v>
      </c>
      <c r="G3697" s="919" t="s">
        <v>4062</v>
      </c>
      <c r="H3697" s="919" t="s">
        <v>6376</v>
      </c>
      <c r="I3697" s="919" t="s">
        <v>3724</v>
      </c>
      <c r="J3697" s="919"/>
      <c r="K3697" s="920">
        <v>1</v>
      </c>
      <c r="L3697" s="920">
        <v>12</v>
      </c>
      <c r="M3697" s="920">
        <f t="shared" si="114"/>
        <v>4800</v>
      </c>
      <c r="N3697" s="919"/>
      <c r="O3697" s="919"/>
      <c r="P3697" s="921">
        <f t="shared" si="115"/>
        <v>0</v>
      </c>
    </row>
    <row r="3698" spans="1:16" ht="20.100000000000001" customHeight="1" x14ac:dyDescent="0.25">
      <c r="A3698" s="918" t="s">
        <v>492</v>
      </c>
      <c r="B3698" s="944" t="s">
        <v>3901</v>
      </c>
      <c r="C3698" s="919" t="s">
        <v>6375</v>
      </c>
      <c r="D3698" s="919" t="s">
        <v>6376</v>
      </c>
      <c r="E3698" s="920">
        <v>400</v>
      </c>
      <c r="F3698" s="919" t="s">
        <v>4041</v>
      </c>
      <c r="G3698" s="919" t="s">
        <v>4062</v>
      </c>
      <c r="H3698" s="919" t="s">
        <v>6376</v>
      </c>
      <c r="I3698" s="919" t="s">
        <v>3724</v>
      </c>
      <c r="J3698" s="919"/>
      <c r="K3698" s="920">
        <v>1</v>
      </c>
      <c r="L3698" s="920">
        <v>12</v>
      </c>
      <c r="M3698" s="920">
        <f t="shared" si="114"/>
        <v>4800</v>
      </c>
      <c r="N3698" s="919"/>
      <c r="O3698" s="919"/>
      <c r="P3698" s="921">
        <f t="shared" si="115"/>
        <v>0</v>
      </c>
    </row>
    <row r="3699" spans="1:16" ht="20.100000000000001" customHeight="1" x14ac:dyDescent="0.25">
      <c r="A3699" s="918" t="s">
        <v>492</v>
      </c>
      <c r="B3699" s="944" t="s">
        <v>3901</v>
      </c>
      <c r="C3699" s="919" t="s">
        <v>6375</v>
      </c>
      <c r="D3699" s="919" t="s">
        <v>6376</v>
      </c>
      <c r="E3699" s="920">
        <v>400</v>
      </c>
      <c r="F3699" s="919" t="s">
        <v>4041</v>
      </c>
      <c r="G3699" s="919" t="s">
        <v>4062</v>
      </c>
      <c r="H3699" s="919" t="s">
        <v>6376</v>
      </c>
      <c r="I3699" s="919" t="s">
        <v>3724</v>
      </c>
      <c r="J3699" s="919"/>
      <c r="K3699" s="920">
        <v>1</v>
      </c>
      <c r="L3699" s="920">
        <v>12</v>
      </c>
      <c r="M3699" s="920">
        <f t="shared" si="114"/>
        <v>4800</v>
      </c>
      <c r="N3699" s="919"/>
      <c r="O3699" s="919"/>
      <c r="P3699" s="921">
        <f t="shared" si="115"/>
        <v>0</v>
      </c>
    </row>
    <row r="3700" spans="1:16" ht="20.100000000000001" customHeight="1" x14ac:dyDescent="0.25">
      <c r="A3700" s="918" t="s">
        <v>492</v>
      </c>
      <c r="B3700" s="944" t="s">
        <v>3901</v>
      </c>
      <c r="C3700" s="919" t="s">
        <v>6375</v>
      </c>
      <c r="D3700" s="919" t="s">
        <v>6376</v>
      </c>
      <c r="E3700" s="920">
        <v>400</v>
      </c>
      <c r="F3700" s="919" t="s">
        <v>4041</v>
      </c>
      <c r="G3700" s="919" t="s">
        <v>4062</v>
      </c>
      <c r="H3700" s="919" t="s">
        <v>6376</v>
      </c>
      <c r="I3700" s="919" t="s">
        <v>3724</v>
      </c>
      <c r="J3700" s="919"/>
      <c r="K3700" s="920">
        <v>1</v>
      </c>
      <c r="L3700" s="920">
        <v>12</v>
      </c>
      <c r="M3700" s="920">
        <f t="shared" si="114"/>
        <v>4800</v>
      </c>
      <c r="N3700" s="919"/>
      <c r="O3700" s="919"/>
      <c r="P3700" s="921">
        <f t="shared" si="115"/>
        <v>0</v>
      </c>
    </row>
    <row r="3701" spans="1:16" ht="20.100000000000001" customHeight="1" x14ac:dyDescent="0.25">
      <c r="A3701" s="918" t="s">
        <v>492</v>
      </c>
      <c r="B3701" s="944" t="s">
        <v>3901</v>
      </c>
      <c r="C3701" s="919" t="s">
        <v>6375</v>
      </c>
      <c r="D3701" s="919" t="s">
        <v>6376</v>
      </c>
      <c r="E3701" s="920">
        <v>400</v>
      </c>
      <c r="F3701" s="919" t="s">
        <v>4041</v>
      </c>
      <c r="G3701" s="919" t="s">
        <v>4062</v>
      </c>
      <c r="H3701" s="919" t="s">
        <v>6376</v>
      </c>
      <c r="I3701" s="919" t="s">
        <v>3724</v>
      </c>
      <c r="J3701" s="919"/>
      <c r="K3701" s="920">
        <v>1</v>
      </c>
      <c r="L3701" s="920">
        <v>12</v>
      </c>
      <c r="M3701" s="920">
        <f t="shared" si="114"/>
        <v>4800</v>
      </c>
      <c r="N3701" s="919"/>
      <c r="O3701" s="919"/>
      <c r="P3701" s="921">
        <f t="shared" si="115"/>
        <v>0</v>
      </c>
    </row>
    <row r="3702" spans="1:16" ht="20.100000000000001" customHeight="1" x14ac:dyDescent="0.25">
      <c r="A3702" s="918" t="s">
        <v>492</v>
      </c>
      <c r="B3702" s="944" t="s">
        <v>3901</v>
      </c>
      <c r="C3702" s="919" t="s">
        <v>6375</v>
      </c>
      <c r="D3702" s="919" t="s">
        <v>6376</v>
      </c>
      <c r="E3702" s="920">
        <v>400</v>
      </c>
      <c r="F3702" s="919" t="s">
        <v>4041</v>
      </c>
      <c r="G3702" s="919" t="s">
        <v>4062</v>
      </c>
      <c r="H3702" s="919" t="s">
        <v>6376</v>
      </c>
      <c r="I3702" s="919" t="s">
        <v>3724</v>
      </c>
      <c r="J3702" s="919"/>
      <c r="K3702" s="920">
        <v>1</v>
      </c>
      <c r="L3702" s="920">
        <v>12</v>
      </c>
      <c r="M3702" s="920">
        <f t="shared" si="114"/>
        <v>4800</v>
      </c>
      <c r="N3702" s="919"/>
      <c r="O3702" s="919"/>
      <c r="P3702" s="921">
        <f t="shared" si="115"/>
        <v>0</v>
      </c>
    </row>
    <row r="3703" spans="1:16" ht="20.100000000000001" customHeight="1" x14ac:dyDescent="0.25">
      <c r="A3703" s="918" t="s">
        <v>492</v>
      </c>
      <c r="B3703" s="944" t="s">
        <v>3901</v>
      </c>
      <c r="C3703" s="919" t="s">
        <v>3902</v>
      </c>
      <c r="D3703" s="919" t="s">
        <v>10412</v>
      </c>
      <c r="E3703" s="920">
        <v>3500</v>
      </c>
      <c r="F3703" s="919" t="s">
        <v>10413</v>
      </c>
      <c r="G3703" s="919" t="s">
        <v>10414</v>
      </c>
      <c r="H3703" s="919" t="s">
        <v>10412</v>
      </c>
      <c r="I3703" s="919" t="s">
        <v>3724</v>
      </c>
      <c r="J3703" s="919"/>
      <c r="K3703" s="920">
        <v>1</v>
      </c>
      <c r="L3703" s="920">
        <v>12</v>
      </c>
      <c r="M3703" s="920">
        <f t="shared" si="114"/>
        <v>42000</v>
      </c>
      <c r="N3703" s="919"/>
      <c r="O3703" s="919"/>
      <c r="P3703" s="921">
        <f t="shared" si="115"/>
        <v>0</v>
      </c>
    </row>
    <row r="3704" spans="1:16" ht="20.100000000000001" customHeight="1" x14ac:dyDescent="0.25">
      <c r="A3704" s="918" t="s">
        <v>492</v>
      </c>
      <c r="B3704" s="944" t="s">
        <v>3901</v>
      </c>
      <c r="C3704" s="919" t="s">
        <v>3902</v>
      </c>
      <c r="D3704" s="919" t="s">
        <v>6120</v>
      </c>
      <c r="E3704" s="920">
        <v>3200</v>
      </c>
      <c r="F3704" s="919" t="s">
        <v>10415</v>
      </c>
      <c r="G3704" s="919" t="s">
        <v>10416</v>
      </c>
      <c r="H3704" s="919" t="s">
        <v>6120</v>
      </c>
      <c r="I3704" s="919" t="s">
        <v>3724</v>
      </c>
      <c r="J3704" s="919"/>
      <c r="K3704" s="920">
        <v>1</v>
      </c>
      <c r="L3704" s="920">
        <v>12</v>
      </c>
      <c r="M3704" s="920">
        <f t="shared" si="114"/>
        <v>38400</v>
      </c>
      <c r="N3704" s="919"/>
      <c r="O3704" s="919"/>
      <c r="P3704" s="921">
        <f t="shared" si="115"/>
        <v>0</v>
      </c>
    </row>
    <row r="3705" spans="1:16" ht="20.100000000000001" customHeight="1" x14ac:dyDescent="0.25">
      <c r="A3705" s="918" t="s">
        <v>492</v>
      </c>
      <c r="B3705" s="944" t="s">
        <v>3901</v>
      </c>
      <c r="C3705" s="919" t="s">
        <v>3902</v>
      </c>
      <c r="D3705" s="919" t="s">
        <v>6120</v>
      </c>
      <c r="E3705" s="920">
        <v>3200</v>
      </c>
      <c r="F3705" s="919" t="s">
        <v>10417</v>
      </c>
      <c r="G3705" s="919" t="s">
        <v>10418</v>
      </c>
      <c r="H3705" s="919" t="s">
        <v>6120</v>
      </c>
      <c r="I3705" s="919" t="s">
        <v>3724</v>
      </c>
      <c r="J3705" s="919"/>
      <c r="K3705" s="920">
        <v>1</v>
      </c>
      <c r="L3705" s="920">
        <v>12</v>
      </c>
      <c r="M3705" s="920">
        <f t="shared" si="114"/>
        <v>38400</v>
      </c>
      <c r="N3705" s="919"/>
      <c r="O3705" s="919"/>
      <c r="P3705" s="921">
        <f t="shared" si="115"/>
        <v>0</v>
      </c>
    </row>
    <row r="3706" spans="1:16" ht="20.100000000000001" customHeight="1" x14ac:dyDescent="0.25">
      <c r="A3706" s="918" t="s">
        <v>492</v>
      </c>
      <c r="B3706" s="944" t="s">
        <v>3901</v>
      </c>
      <c r="C3706" s="919" t="s">
        <v>3902</v>
      </c>
      <c r="D3706" s="919" t="s">
        <v>6120</v>
      </c>
      <c r="E3706" s="920">
        <v>3200</v>
      </c>
      <c r="F3706" s="919" t="s">
        <v>10419</v>
      </c>
      <c r="G3706" s="919" t="s">
        <v>10420</v>
      </c>
      <c r="H3706" s="919" t="s">
        <v>6120</v>
      </c>
      <c r="I3706" s="919" t="s">
        <v>3724</v>
      </c>
      <c r="J3706" s="919"/>
      <c r="K3706" s="920">
        <v>1</v>
      </c>
      <c r="L3706" s="920">
        <v>12</v>
      </c>
      <c r="M3706" s="920">
        <f t="shared" si="114"/>
        <v>38400</v>
      </c>
      <c r="N3706" s="919"/>
      <c r="O3706" s="919"/>
      <c r="P3706" s="921">
        <f t="shared" si="115"/>
        <v>0</v>
      </c>
    </row>
    <row r="3707" spans="1:16" ht="20.100000000000001" customHeight="1" x14ac:dyDescent="0.25">
      <c r="A3707" s="918" t="s">
        <v>492</v>
      </c>
      <c r="B3707" s="944" t="s">
        <v>3901</v>
      </c>
      <c r="C3707" s="919" t="s">
        <v>3902</v>
      </c>
      <c r="D3707" s="919" t="s">
        <v>6120</v>
      </c>
      <c r="E3707" s="920">
        <v>3200</v>
      </c>
      <c r="F3707" s="919" t="s">
        <v>10421</v>
      </c>
      <c r="G3707" s="919" t="s">
        <v>10422</v>
      </c>
      <c r="H3707" s="919" t="s">
        <v>6120</v>
      </c>
      <c r="I3707" s="919" t="s">
        <v>3724</v>
      </c>
      <c r="J3707" s="919"/>
      <c r="K3707" s="920">
        <v>1</v>
      </c>
      <c r="L3707" s="920">
        <v>12</v>
      </c>
      <c r="M3707" s="920">
        <f t="shared" si="114"/>
        <v>38400</v>
      </c>
      <c r="N3707" s="919"/>
      <c r="O3707" s="919"/>
      <c r="P3707" s="921">
        <f t="shared" si="115"/>
        <v>0</v>
      </c>
    </row>
    <row r="3708" spans="1:16" ht="20.100000000000001" customHeight="1" x14ac:dyDescent="0.25">
      <c r="A3708" s="918" t="s">
        <v>492</v>
      </c>
      <c r="B3708" s="944" t="s">
        <v>3901</v>
      </c>
      <c r="C3708" s="919" t="s">
        <v>3902</v>
      </c>
      <c r="D3708" s="919" t="s">
        <v>4352</v>
      </c>
      <c r="E3708" s="920">
        <v>1600</v>
      </c>
      <c r="F3708" s="919" t="s">
        <v>10423</v>
      </c>
      <c r="G3708" s="919" t="s">
        <v>10424</v>
      </c>
      <c r="H3708" s="919" t="s">
        <v>4352</v>
      </c>
      <c r="I3708" s="919" t="s">
        <v>3724</v>
      </c>
      <c r="J3708" s="919"/>
      <c r="K3708" s="920"/>
      <c r="L3708" s="920"/>
      <c r="M3708" s="920">
        <f t="shared" si="114"/>
        <v>0</v>
      </c>
      <c r="N3708" s="919">
        <v>1</v>
      </c>
      <c r="O3708" s="919">
        <v>5</v>
      </c>
      <c r="P3708" s="921">
        <f t="shared" si="115"/>
        <v>8000</v>
      </c>
    </row>
    <row r="3709" spans="1:16" ht="20.100000000000001" customHeight="1" x14ac:dyDescent="0.25">
      <c r="A3709" s="918" t="s">
        <v>492</v>
      </c>
      <c r="B3709" s="944" t="s">
        <v>3901</v>
      </c>
      <c r="C3709" s="919" t="s">
        <v>3902</v>
      </c>
      <c r="D3709" s="919" t="s">
        <v>4352</v>
      </c>
      <c r="E3709" s="920">
        <v>1600</v>
      </c>
      <c r="F3709" s="919" t="s">
        <v>10425</v>
      </c>
      <c r="G3709" s="919" t="s">
        <v>10426</v>
      </c>
      <c r="H3709" s="919" t="s">
        <v>4352</v>
      </c>
      <c r="I3709" s="919" t="s">
        <v>3724</v>
      </c>
      <c r="J3709" s="919"/>
      <c r="K3709" s="920">
        <v>1</v>
      </c>
      <c r="L3709" s="920">
        <v>12</v>
      </c>
      <c r="M3709" s="920">
        <f t="shared" si="114"/>
        <v>19200</v>
      </c>
      <c r="N3709" s="919"/>
      <c r="O3709" s="919"/>
      <c r="P3709" s="921">
        <f t="shared" si="115"/>
        <v>0</v>
      </c>
    </row>
    <row r="3710" spans="1:16" ht="20.100000000000001" customHeight="1" x14ac:dyDescent="0.25">
      <c r="A3710" s="918" t="s">
        <v>492</v>
      </c>
      <c r="B3710" s="944" t="s">
        <v>3901</v>
      </c>
      <c r="C3710" s="919" t="s">
        <v>3902</v>
      </c>
      <c r="D3710" s="919" t="s">
        <v>6164</v>
      </c>
      <c r="E3710" s="920">
        <v>1600</v>
      </c>
      <c r="F3710" s="919" t="s">
        <v>10427</v>
      </c>
      <c r="G3710" s="919" t="s">
        <v>10428</v>
      </c>
      <c r="H3710" s="919" t="s">
        <v>6164</v>
      </c>
      <c r="I3710" s="919" t="s">
        <v>3724</v>
      </c>
      <c r="J3710" s="919"/>
      <c r="K3710" s="920"/>
      <c r="L3710" s="920"/>
      <c r="M3710" s="920">
        <f t="shared" si="114"/>
        <v>0</v>
      </c>
      <c r="N3710" s="919">
        <v>1</v>
      </c>
      <c r="O3710" s="919">
        <v>5</v>
      </c>
      <c r="P3710" s="921">
        <f t="shared" si="115"/>
        <v>8000</v>
      </c>
    </row>
    <row r="3711" spans="1:16" ht="20.100000000000001" customHeight="1" x14ac:dyDescent="0.25">
      <c r="A3711" s="918" t="s">
        <v>492</v>
      </c>
      <c r="B3711" s="944" t="s">
        <v>3901</v>
      </c>
      <c r="C3711" s="919" t="s">
        <v>3902</v>
      </c>
      <c r="D3711" s="919" t="s">
        <v>10429</v>
      </c>
      <c r="E3711" s="920">
        <v>3000</v>
      </c>
      <c r="F3711" s="919" t="s">
        <v>10430</v>
      </c>
      <c r="G3711" s="919" t="s">
        <v>10431</v>
      </c>
      <c r="H3711" s="919" t="s">
        <v>10429</v>
      </c>
      <c r="I3711" s="919" t="s">
        <v>3724</v>
      </c>
      <c r="J3711" s="919"/>
      <c r="K3711" s="920">
        <v>1</v>
      </c>
      <c r="L3711" s="920">
        <v>12</v>
      </c>
      <c r="M3711" s="920">
        <f t="shared" si="114"/>
        <v>36000</v>
      </c>
      <c r="N3711" s="919"/>
      <c r="O3711" s="919"/>
      <c r="P3711" s="921">
        <f t="shared" si="115"/>
        <v>0</v>
      </c>
    </row>
    <row r="3712" spans="1:16" ht="20.100000000000001" customHeight="1" x14ac:dyDescent="0.25">
      <c r="A3712" s="918" t="s">
        <v>492</v>
      </c>
      <c r="B3712" s="944" t="s">
        <v>3901</v>
      </c>
      <c r="C3712" s="919" t="s">
        <v>3902</v>
      </c>
      <c r="D3712" s="919" t="s">
        <v>4462</v>
      </c>
      <c r="E3712" s="920">
        <v>1100</v>
      </c>
      <c r="F3712" s="919" t="s">
        <v>10432</v>
      </c>
      <c r="G3712" s="919" t="s">
        <v>10433</v>
      </c>
      <c r="H3712" s="919" t="s">
        <v>4462</v>
      </c>
      <c r="I3712" s="919" t="s">
        <v>3686</v>
      </c>
      <c r="J3712" s="919"/>
      <c r="K3712" s="920">
        <v>1</v>
      </c>
      <c r="L3712" s="920">
        <v>12</v>
      </c>
      <c r="M3712" s="920">
        <f t="shared" si="114"/>
        <v>13200</v>
      </c>
      <c r="N3712" s="919"/>
      <c r="O3712" s="919"/>
      <c r="P3712" s="921">
        <f t="shared" si="115"/>
        <v>0</v>
      </c>
    </row>
    <row r="3713" spans="1:16" ht="20.100000000000001" customHeight="1" x14ac:dyDescent="0.25">
      <c r="A3713" s="918" t="s">
        <v>492</v>
      </c>
      <c r="B3713" s="944" t="s">
        <v>3901</v>
      </c>
      <c r="C3713" s="919" t="s">
        <v>3902</v>
      </c>
      <c r="D3713" s="919" t="s">
        <v>4462</v>
      </c>
      <c r="E3713" s="920">
        <v>1100</v>
      </c>
      <c r="F3713" s="919" t="s">
        <v>10434</v>
      </c>
      <c r="G3713" s="919" t="s">
        <v>10435</v>
      </c>
      <c r="H3713" s="919" t="s">
        <v>4462</v>
      </c>
      <c r="I3713" s="919" t="s">
        <v>3686</v>
      </c>
      <c r="J3713" s="919"/>
      <c r="K3713" s="920">
        <v>1</v>
      </c>
      <c r="L3713" s="920">
        <v>12</v>
      </c>
      <c r="M3713" s="920">
        <f t="shared" si="114"/>
        <v>13200</v>
      </c>
      <c r="N3713" s="919"/>
      <c r="O3713" s="919"/>
      <c r="P3713" s="921">
        <f t="shared" si="115"/>
        <v>0</v>
      </c>
    </row>
    <row r="3714" spans="1:16" ht="20.100000000000001" customHeight="1" x14ac:dyDescent="0.25">
      <c r="A3714" s="918" t="s">
        <v>492</v>
      </c>
      <c r="B3714" s="944" t="s">
        <v>3901</v>
      </c>
      <c r="C3714" s="919" t="s">
        <v>3902</v>
      </c>
      <c r="D3714" s="919" t="s">
        <v>4462</v>
      </c>
      <c r="E3714" s="920">
        <v>1100</v>
      </c>
      <c r="F3714" s="919" t="s">
        <v>10436</v>
      </c>
      <c r="G3714" s="919" t="s">
        <v>10437</v>
      </c>
      <c r="H3714" s="919" t="s">
        <v>4462</v>
      </c>
      <c r="I3714" s="919" t="s">
        <v>3686</v>
      </c>
      <c r="J3714" s="919"/>
      <c r="K3714" s="920">
        <v>1</v>
      </c>
      <c r="L3714" s="920">
        <v>12</v>
      </c>
      <c r="M3714" s="920">
        <f t="shared" si="114"/>
        <v>13200</v>
      </c>
      <c r="N3714" s="919"/>
      <c r="O3714" s="919"/>
      <c r="P3714" s="921">
        <f t="shared" si="115"/>
        <v>0</v>
      </c>
    </row>
    <row r="3715" spans="1:16" ht="20.100000000000001" customHeight="1" x14ac:dyDescent="0.25">
      <c r="A3715" s="918" t="s">
        <v>492</v>
      </c>
      <c r="B3715" s="944" t="s">
        <v>3901</v>
      </c>
      <c r="C3715" s="919" t="s">
        <v>3902</v>
      </c>
      <c r="D3715" s="919" t="s">
        <v>4462</v>
      </c>
      <c r="E3715" s="920">
        <v>1100</v>
      </c>
      <c r="F3715" s="919" t="s">
        <v>10438</v>
      </c>
      <c r="G3715" s="919" t="s">
        <v>10439</v>
      </c>
      <c r="H3715" s="919" t="s">
        <v>4462</v>
      </c>
      <c r="I3715" s="919" t="s">
        <v>3686</v>
      </c>
      <c r="J3715" s="919"/>
      <c r="K3715" s="920">
        <v>1</v>
      </c>
      <c r="L3715" s="920">
        <v>12</v>
      </c>
      <c r="M3715" s="920">
        <f t="shared" si="114"/>
        <v>13200</v>
      </c>
      <c r="N3715" s="919"/>
      <c r="O3715" s="919"/>
      <c r="P3715" s="921">
        <f t="shared" si="115"/>
        <v>0</v>
      </c>
    </row>
    <row r="3716" spans="1:16" ht="20.100000000000001" customHeight="1" x14ac:dyDescent="0.25">
      <c r="A3716" s="918" t="s">
        <v>492</v>
      </c>
      <c r="B3716" s="944" t="s">
        <v>3901</v>
      </c>
      <c r="C3716" s="919" t="s">
        <v>3902</v>
      </c>
      <c r="D3716" s="919" t="s">
        <v>4462</v>
      </c>
      <c r="E3716" s="920">
        <v>1100</v>
      </c>
      <c r="F3716" s="919" t="s">
        <v>10440</v>
      </c>
      <c r="G3716" s="919" t="s">
        <v>10441</v>
      </c>
      <c r="H3716" s="919" t="s">
        <v>4462</v>
      </c>
      <c r="I3716" s="919" t="s">
        <v>3686</v>
      </c>
      <c r="J3716" s="919"/>
      <c r="K3716" s="920">
        <v>1</v>
      </c>
      <c r="L3716" s="920">
        <v>12</v>
      </c>
      <c r="M3716" s="920">
        <f t="shared" si="114"/>
        <v>13200</v>
      </c>
      <c r="N3716" s="919"/>
      <c r="O3716" s="919"/>
      <c r="P3716" s="921">
        <f t="shared" si="115"/>
        <v>0</v>
      </c>
    </row>
    <row r="3717" spans="1:16" ht="20.100000000000001" customHeight="1" x14ac:dyDescent="0.25">
      <c r="A3717" s="918" t="s">
        <v>492</v>
      </c>
      <c r="B3717" s="944" t="s">
        <v>3901</v>
      </c>
      <c r="C3717" s="919" t="s">
        <v>3902</v>
      </c>
      <c r="D3717" s="919" t="s">
        <v>4462</v>
      </c>
      <c r="E3717" s="920">
        <v>1100</v>
      </c>
      <c r="F3717" s="919" t="s">
        <v>10442</v>
      </c>
      <c r="G3717" s="919" t="s">
        <v>10443</v>
      </c>
      <c r="H3717" s="919" t="s">
        <v>4462</v>
      </c>
      <c r="I3717" s="919" t="s">
        <v>3686</v>
      </c>
      <c r="J3717" s="919"/>
      <c r="K3717" s="920">
        <v>1</v>
      </c>
      <c r="L3717" s="920">
        <v>12</v>
      </c>
      <c r="M3717" s="920">
        <f t="shared" si="114"/>
        <v>13200</v>
      </c>
      <c r="N3717" s="919"/>
      <c r="O3717" s="919"/>
      <c r="P3717" s="921">
        <f t="shared" si="115"/>
        <v>0</v>
      </c>
    </row>
    <row r="3718" spans="1:16" ht="20.100000000000001" customHeight="1" x14ac:dyDescent="0.25">
      <c r="A3718" s="918" t="s">
        <v>492</v>
      </c>
      <c r="B3718" s="944" t="s">
        <v>3901</v>
      </c>
      <c r="C3718" s="919" t="s">
        <v>3902</v>
      </c>
      <c r="D3718" s="919" t="s">
        <v>4462</v>
      </c>
      <c r="E3718" s="920">
        <v>1100</v>
      </c>
      <c r="F3718" s="919" t="s">
        <v>10444</v>
      </c>
      <c r="G3718" s="919" t="s">
        <v>10445</v>
      </c>
      <c r="H3718" s="919" t="s">
        <v>4462</v>
      </c>
      <c r="I3718" s="919" t="s">
        <v>3686</v>
      </c>
      <c r="J3718" s="919"/>
      <c r="K3718" s="920">
        <v>1</v>
      </c>
      <c r="L3718" s="920">
        <v>12</v>
      </c>
      <c r="M3718" s="920">
        <f t="shared" ref="M3718:M3781" si="116">E3718*L3718</f>
        <v>13200</v>
      </c>
      <c r="N3718" s="919"/>
      <c r="O3718" s="919"/>
      <c r="P3718" s="921">
        <f t="shared" ref="P3718:P3781" si="117">E3718*O3718</f>
        <v>0</v>
      </c>
    </row>
    <row r="3719" spans="1:16" ht="20.100000000000001" customHeight="1" x14ac:dyDescent="0.25">
      <c r="A3719" s="918" t="s">
        <v>492</v>
      </c>
      <c r="B3719" s="944" t="s">
        <v>3901</v>
      </c>
      <c r="C3719" s="919" t="s">
        <v>3902</v>
      </c>
      <c r="D3719" s="919" t="s">
        <v>4462</v>
      </c>
      <c r="E3719" s="920">
        <v>1100</v>
      </c>
      <c r="F3719" s="919" t="s">
        <v>10446</v>
      </c>
      <c r="G3719" s="919" t="s">
        <v>10447</v>
      </c>
      <c r="H3719" s="919" t="s">
        <v>4462</v>
      </c>
      <c r="I3719" s="919" t="s">
        <v>3686</v>
      </c>
      <c r="J3719" s="919"/>
      <c r="K3719" s="920">
        <v>1</v>
      </c>
      <c r="L3719" s="920">
        <v>12</v>
      </c>
      <c r="M3719" s="920">
        <f t="shared" si="116"/>
        <v>13200</v>
      </c>
      <c r="N3719" s="919"/>
      <c r="O3719" s="919"/>
      <c r="P3719" s="921">
        <f t="shared" si="117"/>
        <v>0</v>
      </c>
    </row>
    <row r="3720" spans="1:16" ht="20.100000000000001" customHeight="1" x14ac:dyDescent="0.25">
      <c r="A3720" s="918" t="s">
        <v>492</v>
      </c>
      <c r="B3720" s="944" t="s">
        <v>3901</v>
      </c>
      <c r="C3720" s="919" t="s">
        <v>3902</v>
      </c>
      <c r="D3720" s="919" t="s">
        <v>4462</v>
      </c>
      <c r="E3720" s="920">
        <v>1100</v>
      </c>
      <c r="F3720" s="919" t="s">
        <v>10448</v>
      </c>
      <c r="G3720" s="919" t="s">
        <v>10449</v>
      </c>
      <c r="H3720" s="919" t="s">
        <v>4462</v>
      </c>
      <c r="I3720" s="919" t="s">
        <v>3686</v>
      </c>
      <c r="J3720" s="919"/>
      <c r="K3720" s="920">
        <v>1</v>
      </c>
      <c r="L3720" s="920">
        <v>12</v>
      </c>
      <c r="M3720" s="920">
        <f t="shared" si="116"/>
        <v>13200</v>
      </c>
      <c r="N3720" s="919"/>
      <c r="O3720" s="919"/>
      <c r="P3720" s="921">
        <f t="shared" si="117"/>
        <v>0</v>
      </c>
    </row>
    <row r="3721" spans="1:16" ht="20.100000000000001" customHeight="1" x14ac:dyDescent="0.25">
      <c r="A3721" s="918" t="s">
        <v>492</v>
      </c>
      <c r="B3721" s="944" t="s">
        <v>3901</v>
      </c>
      <c r="C3721" s="919" t="s">
        <v>3902</v>
      </c>
      <c r="D3721" s="919" t="s">
        <v>4462</v>
      </c>
      <c r="E3721" s="920">
        <v>1100</v>
      </c>
      <c r="F3721" s="919" t="s">
        <v>10450</v>
      </c>
      <c r="G3721" s="919" t="s">
        <v>10451</v>
      </c>
      <c r="H3721" s="919" t="s">
        <v>4462</v>
      </c>
      <c r="I3721" s="919" t="s">
        <v>3686</v>
      </c>
      <c r="J3721" s="919"/>
      <c r="K3721" s="920">
        <v>1</v>
      </c>
      <c r="L3721" s="920">
        <v>12</v>
      </c>
      <c r="M3721" s="920">
        <f t="shared" si="116"/>
        <v>13200</v>
      </c>
      <c r="N3721" s="919"/>
      <c r="O3721" s="919"/>
      <c r="P3721" s="921">
        <f t="shared" si="117"/>
        <v>0</v>
      </c>
    </row>
    <row r="3722" spans="1:16" ht="20.100000000000001" customHeight="1" x14ac:dyDescent="0.25">
      <c r="A3722" s="918" t="s">
        <v>492</v>
      </c>
      <c r="B3722" s="944" t="s">
        <v>3901</v>
      </c>
      <c r="C3722" s="919" t="s">
        <v>3902</v>
      </c>
      <c r="D3722" s="919" t="s">
        <v>4462</v>
      </c>
      <c r="E3722" s="920">
        <v>1100</v>
      </c>
      <c r="F3722" s="919" t="s">
        <v>10452</v>
      </c>
      <c r="G3722" s="919" t="s">
        <v>10453</v>
      </c>
      <c r="H3722" s="919" t="s">
        <v>4462</v>
      </c>
      <c r="I3722" s="919" t="s">
        <v>3686</v>
      </c>
      <c r="J3722" s="919"/>
      <c r="K3722" s="920">
        <v>1</v>
      </c>
      <c r="L3722" s="920">
        <v>12</v>
      </c>
      <c r="M3722" s="920">
        <f t="shared" si="116"/>
        <v>13200</v>
      </c>
      <c r="N3722" s="919"/>
      <c r="O3722" s="919"/>
      <c r="P3722" s="921">
        <f t="shared" si="117"/>
        <v>0</v>
      </c>
    </row>
    <row r="3723" spans="1:16" ht="20.100000000000001" customHeight="1" x14ac:dyDescent="0.25">
      <c r="A3723" s="918" t="s">
        <v>492</v>
      </c>
      <c r="B3723" s="944" t="s">
        <v>3901</v>
      </c>
      <c r="C3723" s="919" t="s">
        <v>3902</v>
      </c>
      <c r="D3723" s="919" t="s">
        <v>4462</v>
      </c>
      <c r="E3723" s="920">
        <v>1100</v>
      </c>
      <c r="F3723" s="919" t="s">
        <v>10454</v>
      </c>
      <c r="G3723" s="919" t="s">
        <v>10455</v>
      </c>
      <c r="H3723" s="919" t="s">
        <v>4462</v>
      </c>
      <c r="I3723" s="919" t="s">
        <v>3686</v>
      </c>
      <c r="J3723" s="919"/>
      <c r="K3723" s="920">
        <v>1</v>
      </c>
      <c r="L3723" s="920">
        <v>12</v>
      </c>
      <c r="M3723" s="920">
        <f t="shared" si="116"/>
        <v>13200</v>
      </c>
      <c r="N3723" s="919"/>
      <c r="O3723" s="919"/>
      <c r="P3723" s="921">
        <f t="shared" si="117"/>
        <v>0</v>
      </c>
    </row>
    <row r="3724" spans="1:16" ht="20.100000000000001" customHeight="1" x14ac:dyDescent="0.25">
      <c r="A3724" s="918" t="s">
        <v>492</v>
      </c>
      <c r="B3724" s="944" t="s">
        <v>3901</v>
      </c>
      <c r="C3724" s="919" t="s">
        <v>3902</v>
      </c>
      <c r="D3724" s="919" t="s">
        <v>4462</v>
      </c>
      <c r="E3724" s="920">
        <v>1100</v>
      </c>
      <c r="F3724" s="919" t="s">
        <v>10456</v>
      </c>
      <c r="G3724" s="919" t="s">
        <v>10457</v>
      </c>
      <c r="H3724" s="919" t="s">
        <v>4462</v>
      </c>
      <c r="I3724" s="919" t="s">
        <v>3686</v>
      </c>
      <c r="J3724" s="919"/>
      <c r="K3724" s="920">
        <v>1</v>
      </c>
      <c r="L3724" s="920">
        <v>12</v>
      </c>
      <c r="M3724" s="920">
        <f t="shared" si="116"/>
        <v>13200</v>
      </c>
      <c r="N3724" s="919"/>
      <c r="O3724" s="919"/>
      <c r="P3724" s="921">
        <f t="shared" si="117"/>
        <v>0</v>
      </c>
    </row>
    <row r="3725" spans="1:16" ht="20.100000000000001" customHeight="1" x14ac:dyDescent="0.25">
      <c r="A3725" s="918" t="s">
        <v>492</v>
      </c>
      <c r="B3725" s="944" t="s">
        <v>3901</v>
      </c>
      <c r="C3725" s="919" t="s">
        <v>3902</v>
      </c>
      <c r="D3725" s="919" t="s">
        <v>4462</v>
      </c>
      <c r="E3725" s="920">
        <v>1100</v>
      </c>
      <c r="F3725" s="919" t="s">
        <v>10458</v>
      </c>
      <c r="G3725" s="919" t="s">
        <v>10459</v>
      </c>
      <c r="H3725" s="919" t="s">
        <v>4462</v>
      </c>
      <c r="I3725" s="919" t="s">
        <v>3686</v>
      </c>
      <c r="J3725" s="919"/>
      <c r="K3725" s="920">
        <v>1</v>
      </c>
      <c r="L3725" s="920">
        <v>12</v>
      </c>
      <c r="M3725" s="920">
        <f t="shared" si="116"/>
        <v>13200</v>
      </c>
      <c r="N3725" s="919"/>
      <c r="O3725" s="919"/>
      <c r="P3725" s="921">
        <f t="shared" si="117"/>
        <v>0</v>
      </c>
    </row>
    <row r="3726" spans="1:16" ht="20.100000000000001" customHeight="1" x14ac:dyDescent="0.25">
      <c r="A3726" s="918" t="s">
        <v>492</v>
      </c>
      <c r="B3726" s="944" t="s">
        <v>3901</v>
      </c>
      <c r="C3726" s="919" t="s">
        <v>3902</v>
      </c>
      <c r="D3726" s="919" t="s">
        <v>4462</v>
      </c>
      <c r="E3726" s="920">
        <v>1100</v>
      </c>
      <c r="F3726" s="919" t="s">
        <v>10460</v>
      </c>
      <c r="G3726" s="919" t="s">
        <v>10461</v>
      </c>
      <c r="H3726" s="919" t="s">
        <v>4462</v>
      </c>
      <c r="I3726" s="919" t="s">
        <v>3686</v>
      </c>
      <c r="J3726" s="919"/>
      <c r="K3726" s="920">
        <v>1</v>
      </c>
      <c r="L3726" s="920">
        <v>12</v>
      </c>
      <c r="M3726" s="920">
        <f t="shared" si="116"/>
        <v>13200</v>
      </c>
      <c r="N3726" s="919"/>
      <c r="O3726" s="919"/>
      <c r="P3726" s="921">
        <f t="shared" si="117"/>
        <v>0</v>
      </c>
    </row>
    <row r="3727" spans="1:16" ht="20.100000000000001" customHeight="1" x14ac:dyDescent="0.25">
      <c r="A3727" s="918" t="s">
        <v>492</v>
      </c>
      <c r="B3727" s="944" t="s">
        <v>3901</v>
      </c>
      <c r="C3727" s="919" t="s">
        <v>3902</v>
      </c>
      <c r="D3727" s="919" t="s">
        <v>4462</v>
      </c>
      <c r="E3727" s="920">
        <v>1100</v>
      </c>
      <c r="F3727" s="919" t="s">
        <v>10462</v>
      </c>
      <c r="G3727" s="919" t="s">
        <v>10463</v>
      </c>
      <c r="H3727" s="919" t="s">
        <v>4462</v>
      </c>
      <c r="I3727" s="919" t="s">
        <v>3686</v>
      </c>
      <c r="J3727" s="919"/>
      <c r="K3727" s="920"/>
      <c r="L3727" s="920"/>
      <c r="M3727" s="920">
        <f t="shared" si="116"/>
        <v>0</v>
      </c>
      <c r="N3727" s="919">
        <v>1</v>
      </c>
      <c r="O3727" s="919">
        <v>1</v>
      </c>
      <c r="P3727" s="921">
        <f t="shared" si="117"/>
        <v>1100</v>
      </c>
    </row>
    <row r="3728" spans="1:16" ht="20.100000000000001" customHeight="1" x14ac:dyDescent="0.25">
      <c r="A3728" s="918" t="s">
        <v>492</v>
      </c>
      <c r="B3728" s="944" t="s">
        <v>3901</v>
      </c>
      <c r="C3728" s="919" t="s">
        <v>3902</v>
      </c>
      <c r="D3728" s="919" t="s">
        <v>4391</v>
      </c>
      <c r="E3728" s="920">
        <v>1100</v>
      </c>
      <c r="F3728" s="919" t="s">
        <v>10464</v>
      </c>
      <c r="G3728" s="919" t="s">
        <v>10465</v>
      </c>
      <c r="H3728" s="919" t="s">
        <v>4391</v>
      </c>
      <c r="I3728" s="919" t="s">
        <v>3686</v>
      </c>
      <c r="J3728" s="919"/>
      <c r="K3728" s="920">
        <v>1</v>
      </c>
      <c r="L3728" s="920">
        <v>12</v>
      </c>
      <c r="M3728" s="920">
        <f t="shared" si="116"/>
        <v>13200</v>
      </c>
      <c r="N3728" s="919"/>
      <c r="O3728" s="919"/>
      <c r="P3728" s="921">
        <f t="shared" si="117"/>
        <v>0</v>
      </c>
    </row>
    <row r="3729" spans="1:16" ht="20.100000000000001" customHeight="1" x14ac:dyDescent="0.25">
      <c r="A3729" s="918" t="s">
        <v>492</v>
      </c>
      <c r="B3729" s="944" t="s">
        <v>3901</v>
      </c>
      <c r="C3729" s="919" t="s">
        <v>3902</v>
      </c>
      <c r="D3729" s="919" t="s">
        <v>4391</v>
      </c>
      <c r="E3729" s="920">
        <v>1100</v>
      </c>
      <c r="F3729" s="919" t="s">
        <v>10466</v>
      </c>
      <c r="G3729" s="919" t="s">
        <v>10467</v>
      </c>
      <c r="H3729" s="919" t="s">
        <v>4391</v>
      </c>
      <c r="I3729" s="919" t="s">
        <v>3686</v>
      </c>
      <c r="J3729" s="919"/>
      <c r="K3729" s="920">
        <v>1</v>
      </c>
      <c r="L3729" s="920">
        <v>12</v>
      </c>
      <c r="M3729" s="920">
        <f t="shared" si="116"/>
        <v>13200</v>
      </c>
      <c r="N3729" s="919"/>
      <c r="O3729" s="919"/>
      <c r="P3729" s="921">
        <f t="shared" si="117"/>
        <v>0</v>
      </c>
    </row>
    <row r="3730" spans="1:16" ht="20.100000000000001" customHeight="1" x14ac:dyDescent="0.25">
      <c r="A3730" s="918" t="s">
        <v>492</v>
      </c>
      <c r="B3730" s="944" t="s">
        <v>3901</v>
      </c>
      <c r="C3730" s="919" t="s">
        <v>3902</v>
      </c>
      <c r="D3730" s="919" t="s">
        <v>4467</v>
      </c>
      <c r="E3730" s="920">
        <v>1100</v>
      </c>
      <c r="F3730" s="919" t="s">
        <v>4041</v>
      </c>
      <c r="G3730" s="919" t="s">
        <v>4042</v>
      </c>
      <c r="H3730" s="919" t="s">
        <v>4467</v>
      </c>
      <c r="I3730" s="919" t="s">
        <v>3686</v>
      </c>
      <c r="J3730" s="919"/>
      <c r="K3730" s="920">
        <v>1</v>
      </c>
      <c r="L3730" s="920">
        <v>12</v>
      </c>
      <c r="M3730" s="920">
        <f t="shared" si="116"/>
        <v>13200</v>
      </c>
      <c r="N3730" s="919"/>
      <c r="O3730" s="919"/>
      <c r="P3730" s="921">
        <f t="shared" si="117"/>
        <v>0</v>
      </c>
    </row>
    <row r="3731" spans="1:16" ht="20.100000000000001" customHeight="1" x14ac:dyDescent="0.25">
      <c r="A3731" s="918" t="s">
        <v>492</v>
      </c>
      <c r="B3731" s="944" t="s">
        <v>3901</v>
      </c>
      <c r="C3731" s="919" t="s">
        <v>3902</v>
      </c>
      <c r="D3731" s="919" t="s">
        <v>3976</v>
      </c>
      <c r="E3731" s="920">
        <v>1100</v>
      </c>
      <c r="F3731" s="919" t="s">
        <v>10468</v>
      </c>
      <c r="G3731" s="919" t="s">
        <v>10469</v>
      </c>
      <c r="H3731" s="919" t="s">
        <v>3976</v>
      </c>
      <c r="I3731" s="919" t="s">
        <v>3693</v>
      </c>
      <c r="J3731" s="919"/>
      <c r="K3731" s="920">
        <v>1</v>
      </c>
      <c r="L3731" s="920">
        <v>12</v>
      </c>
      <c r="M3731" s="920">
        <f t="shared" si="116"/>
        <v>13200</v>
      </c>
      <c r="N3731" s="919"/>
      <c r="O3731" s="919"/>
      <c r="P3731" s="921">
        <f t="shared" si="117"/>
        <v>0</v>
      </c>
    </row>
    <row r="3732" spans="1:16" ht="20.100000000000001" customHeight="1" x14ac:dyDescent="0.25">
      <c r="A3732" s="918" t="s">
        <v>492</v>
      </c>
      <c r="B3732" s="944" t="s">
        <v>3901</v>
      </c>
      <c r="C3732" s="919" t="s">
        <v>3902</v>
      </c>
      <c r="D3732" s="919" t="s">
        <v>4009</v>
      </c>
      <c r="E3732" s="920">
        <v>3000</v>
      </c>
      <c r="F3732" s="919" t="s">
        <v>10470</v>
      </c>
      <c r="G3732" s="919" t="s">
        <v>10471</v>
      </c>
      <c r="H3732" s="919" t="s">
        <v>4009</v>
      </c>
      <c r="I3732" s="919" t="s">
        <v>3679</v>
      </c>
      <c r="J3732" s="919"/>
      <c r="K3732" s="920">
        <v>1</v>
      </c>
      <c r="L3732" s="920">
        <v>12</v>
      </c>
      <c r="M3732" s="920">
        <f t="shared" si="116"/>
        <v>36000</v>
      </c>
      <c r="N3732" s="919"/>
      <c r="O3732" s="919"/>
      <c r="P3732" s="921">
        <f t="shared" si="117"/>
        <v>0</v>
      </c>
    </row>
    <row r="3733" spans="1:16" ht="20.100000000000001" customHeight="1" x14ac:dyDescent="0.25">
      <c r="A3733" s="918" t="s">
        <v>492</v>
      </c>
      <c r="B3733" s="944" t="s">
        <v>3901</v>
      </c>
      <c r="C3733" s="919" t="s">
        <v>3902</v>
      </c>
      <c r="D3733" s="919" t="s">
        <v>3955</v>
      </c>
      <c r="E3733" s="920">
        <v>3000</v>
      </c>
      <c r="F3733" s="919" t="s">
        <v>10472</v>
      </c>
      <c r="G3733" s="919" t="s">
        <v>10473</v>
      </c>
      <c r="H3733" s="919" t="s">
        <v>3955</v>
      </c>
      <c r="I3733" s="919" t="s">
        <v>3679</v>
      </c>
      <c r="J3733" s="919"/>
      <c r="K3733" s="920"/>
      <c r="L3733" s="920"/>
      <c r="M3733" s="920">
        <f t="shared" si="116"/>
        <v>0</v>
      </c>
      <c r="N3733" s="919">
        <v>1</v>
      </c>
      <c r="O3733" s="919">
        <v>5</v>
      </c>
      <c r="P3733" s="921">
        <f t="shared" si="117"/>
        <v>15000</v>
      </c>
    </row>
    <row r="3734" spans="1:16" ht="20.100000000000001" customHeight="1" x14ac:dyDescent="0.25">
      <c r="A3734" s="918" t="s">
        <v>492</v>
      </c>
      <c r="B3734" s="944" t="s">
        <v>3901</v>
      </c>
      <c r="C3734" s="919" t="s">
        <v>3902</v>
      </c>
      <c r="D3734" s="919" t="s">
        <v>4009</v>
      </c>
      <c r="E3734" s="920">
        <v>3000</v>
      </c>
      <c r="F3734" s="919" t="s">
        <v>10474</v>
      </c>
      <c r="G3734" s="919" t="s">
        <v>10475</v>
      </c>
      <c r="H3734" s="919" t="s">
        <v>4009</v>
      </c>
      <c r="I3734" s="919" t="s">
        <v>3679</v>
      </c>
      <c r="J3734" s="919"/>
      <c r="K3734" s="920">
        <v>1</v>
      </c>
      <c r="L3734" s="920">
        <v>12</v>
      </c>
      <c r="M3734" s="920">
        <f t="shared" si="116"/>
        <v>36000</v>
      </c>
      <c r="N3734" s="919"/>
      <c r="O3734" s="919"/>
      <c r="P3734" s="921">
        <f t="shared" si="117"/>
        <v>0</v>
      </c>
    </row>
    <row r="3735" spans="1:16" ht="20.100000000000001" customHeight="1" x14ac:dyDescent="0.25">
      <c r="A3735" s="918" t="s">
        <v>492</v>
      </c>
      <c r="B3735" s="944" t="s">
        <v>3901</v>
      </c>
      <c r="C3735" s="919" t="s">
        <v>3902</v>
      </c>
      <c r="D3735" s="919" t="s">
        <v>4244</v>
      </c>
      <c r="E3735" s="920">
        <v>3000</v>
      </c>
      <c r="F3735" s="919" t="s">
        <v>10476</v>
      </c>
      <c r="G3735" s="919" t="s">
        <v>10477</v>
      </c>
      <c r="H3735" s="919" t="s">
        <v>4244</v>
      </c>
      <c r="I3735" s="919" t="s">
        <v>3679</v>
      </c>
      <c r="J3735" s="919"/>
      <c r="K3735" s="920">
        <v>1</v>
      </c>
      <c r="L3735" s="920">
        <v>12</v>
      </c>
      <c r="M3735" s="920">
        <f t="shared" si="116"/>
        <v>36000</v>
      </c>
      <c r="N3735" s="919"/>
      <c r="O3735" s="919"/>
      <c r="P3735" s="921">
        <f t="shared" si="117"/>
        <v>0</v>
      </c>
    </row>
    <row r="3736" spans="1:16" ht="20.100000000000001" customHeight="1" x14ac:dyDescent="0.25">
      <c r="A3736" s="918" t="s">
        <v>492</v>
      </c>
      <c r="B3736" s="944" t="s">
        <v>3901</v>
      </c>
      <c r="C3736" s="919" t="s">
        <v>3902</v>
      </c>
      <c r="D3736" s="919" t="s">
        <v>6606</v>
      </c>
      <c r="E3736" s="920">
        <v>1100</v>
      </c>
      <c r="F3736" s="919" t="s">
        <v>10478</v>
      </c>
      <c r="G3736" s="919" t="s">
        <v>10479</v>
      </c>
      <c r="H3736" s="919" t="s">
        <v>6606</v>
      </c>
      <c r="I3736" s="919" t="s">
        <v>3686</v>
      </c>
      <c r="J3736" s="919"/>
      <c r="K3736" s="920">
        <v>1</v>
      </c>
      <c r="L3736" s="920">
        <v>12</v>
      </c>
      <c r="M3736" s="920">
        <f t="shared" si="116"/>
        <v>13200</v>
      </c>
      <c r="N3736" s="919"/>
      <c r="O3736" s="919"/>
      <c r="P3736" s="921">
        <f t="shared" si="117"/>
        <v>0</v>
      </c>
    </row>
    <row r="3737" spans="1:16" ht="20.100000000000001" customHeight="1" x14ac:dyDescent="0.25">
      <c r="A3737" s="918" t="s">
        <v>492</v>
      </c>
      <c r="B3737" s="944" t="s">
        <v>3901</v>
      </c>
      <c r="C3737" s="919" t="s">
        <v>3902</v>
      </c>
      <c r="D3737" s="919" t="s">
        <v>6606</v>
      </c>
      <c r="E3737" s="920">
        <v>1100</v>
      </c>
      <c r="F3737" s="919" t="s">
        <v>10480</v>
      </c>
      <c r="G3737" s="919" t="s">
        <v>10481</v>
      </c>
      <c r="H3737" s="919" t="s">
        <v>6606</v>
      </c>
      <c r="I3737" s="919" t="s">
        <v>3686</v>
      </c>
      <c r="J3737" s="919"/>
      <c r="K3737" s="920">
        <v>1</v>
      </c>
      <c r="L3737" s="920">
        <v>12</v>
      </c>
      <c r="M3737" s="920">
        <f t="shared" si="116"/>
        <v>13200</v>
      </c>
      <c r="N3737" s="919"/>
      <c r="O3737" s="919"/>
      <c r="P3737" s="921">
        <f t="shared" si="117"/>
        <v>0</v>
      </c>
    </row>
    <row r="3738" spans="1:16" ht="20.100000000000001" customHeight="1" x14ac:dyDescent="0.25">
      <c r="A3738" s="918" t="s">
        <v>492</v>
      </c>
      <c r="B3738" s="944" t="s">
        <v>3901</v>
      </c>
      <c r="C3738" s="919" t="s">
        <v>3902</v>
      </c>
      <c r="D3738" s="919" t="s">
        <v>6606</v>
      </c>
      <c r="E3738" s="920">
        <v>1100</v>
      </c>
      <c r="F3738" s="919" t="s">
        <v>10482</v>
      </c>
      <c r="G3738" s="919" t="s">
        <v>10483</v>
      </c>
      <c r="H3738" s="919" t="s">
        <v>6606</v>
      </c>
      <c r="I3738" s="919" t="s">
        <v>3686</v>
      </c>
      <c r="J3738" s="919"/>
      <c r="K3738" s="920">
        <v>1</v>
      </c>
      <c r="L3738" s="920">
        <v>12</v>
      </c>
      <c r="M3738" s="920">
        <f t="shared" si="116"/>
        <v>13200</v>
      </c>
      <c r="N3738" s="919"/>
      <c r="O3738" s="919"/>
      <c r="P3738" s="921">
        <f t="shared" si="117"/>
        <v>0</v>
      </c>
    </row>
    <row r="3739" spans="1:16" ht="20.100000000000001" customHeight="1" x14ac:dyDescent="0.25">
      <c r="A3739" s="918" t="s">
        <v>492</v>
      </c>
      <c r="B3739" s="944" t="s">
        <v>3901</v>
      </c>
      <c r="C3739" s="919" t="s">
        <v>3902</v>
      </c>
      <c r="D3739" s="919" t="s">
        <v>6606</v>
      </c>
      <c r="E3739" s="920">
        <v>1100</v>
      </c>
      <c r="F3739" s="919" t="s">
        <v>10484</v>
      </c>
      <c r="G3739" s="919" t="s">
        <v>10485</v>
      </c>
      <c r="H3739" s="919" t="s">
        <v>6606</v>
      </c>
      <c r="I3739" s="919" t="s">
        <v>3686</v>
      </c>
      <c r="J3739" s="919"/>
      <c r="K3739" s="920">
        <v>1</v>
      </c>
      <c r="L3739" s="920">
        <v>12</v>
      </c>
      <c r="M3739" s="920">
        <f t="shared" si="116"/>
        <v>13200</v>
      </c>
      <c r="N3739" s="919"/>
      <c r="O3739" s="919"/>
      <c r="P3739" s="921">
        <f t="shared" si="117"/>
        <v>0</v>
      </c>
    </row>
    <row r="3740" spans="1:16" ht="20.100000000000001" customHeight="1" x14ac:dyDescent="0.25">
      <c r="A3740" s="918" t="s">
        <v>492</v>
      </c>
      <c r="B3740" s="944" t="s">
        <v>3901</v>
      </c>
      <c r="C3740" s="919" t="s">
        <v>3902</v>
      </c>
      <c r="D3740" s="919" t="s">
        <v>6606</v>
      </c>
      <c r="E3740" s="920">
        <v>1100</v>
      </c>
      <c r="F3740" s="919" t="s">
        <v>10486</v>
      </c>
      <c r="G3740" s="919" t="s">
        <v>10487</v>
      </c>
      <c r="H3740" s="919" t="s">
        <v>6606</v>
      </c>
      <c r="I3740" s="919" t="s">
        <v>3686</v>
      </c>
      <c r="J3740" s="919"/>
      <c r="K3740" s="920"/>
      <c r="L3740" s="920"/>
      <c r="M3740" s="920">
        <f t="shared" si="116"/>
        <v>0</v>
      </c>
      <c r="N3740" s="919">
        <v>1</v>
      </c>
      <c r="O3740" s="919">
        <v>1</v>
      </c>
      <c r="P3740" s="921">
        <f t="shared" si="117"/>
        <v>1100</v>
      </c>
    </row>
    <row r="3741" spans="1:16" ht="20.100000000000001" customHeight="1" x14ac:dyDescent="0.25">
      <c r="A3741" s="918" t="s">
        <v>492</v>
      </c>
      <c r="B3741" s="944" t="s">
        <v>3901</v>
      </c>
      <c r="C3741" s="919" t="s">
        <v>3902</v>
      </c>
      <c r="D3741" s="919" t="s">
        <v>6606</v>
      </c>
      <c r="E3741" s="920">
        <v>1100</v>
      </c>
      <c r="F3741" s="919" t="s">
        <v>10488</v>
      </c>
      <c r="G3741" s="919" t="s">
        <v>10489</v>
      </c>
      <c r="H3741" s="919" t="s">
        <v>6606</v>
      </c>
      <c r="I3741" s="919" t="s">
        <v>3686</v>
      </c>
      <c r="J3741" s="919"/>
      <c r="K3741" s="920">
        <v>1</v>
      </c>
      <c r="L3741" s="920">
        <v>12</v>
      </c>
      <c r="M3741" s="920">
        <f t="shared" si="116"/>
        <v>13200</v>
      </c>
      <c r="N3741" s="919"/>
      <c r="O3741" s="919"/>
      <c r="P3741" s="921">
        <f t="shared" si="117"/>
        <v>0</v>
      </c>
    </row>
    <row r="3742" spans="1:16" ht="20.100000000000001" customHeight="1" x14ac:dyDescent="0.25">
      <c r="A3742" s="918" t="s">
        <v>492</v>
      </c>
      <c r="B3742" s="944" t="s">
        <v>3901</v>
      </c>
      <c r="C3742" s="919" t="s">
        <v>3902</v>
      </c>
      <c r="D3742" s="919" t="s">
        <v>4038</v>
      </c>
      <c r="E3742" s="920">
        <v>1400</v>
      </c>
      <c r="F3742" s="919" t="s">
        <v>10490</v>
      </c>
      <c r="G3742" s="919" t="s">
        <v>10491</v>
      </c>
      <c r="H3742" s="919" t="s">
        <v>4038</v>
      </c>
      <c r="I3742" s="919" t="s">
        <v>3686</v>
      </c>
      <c r="J3742" s="919"/>
      <c r="K3742" s="920">
        <v>1</v>
      </c>
      <c r="L3742" s="920">
        <v>12</v>
      </c>
      <c r="M3742" s="920">
        <f t="shared" si="116"/>
        <v>16800</v>
      </c>
      <c r="N3742" s="919"/>
      <c r="O3742" s="919"/>
      <c r="P3742" s="921">
        <f t="shared" si="117"/>
        <v>0</v>
      </c>
    </row>
    <row r="3743" spans="1:16" ht="20.100000000000001" customHeight="1" x14ac:dyDescent="0.25">
      <c r="A3743" s="918" t="s">
        <v>492</v>
      </c>
      <c r="B3743" s="944" t="s">
        <v>3901</v>
      </c>
      <c r="C3743" s="919" t="s">
        <v>3902</v>
      </c>
      <c r="D3743" s="919" t="s">
        <v>4038</v>
      </c>
      <c r="E3743" s="920">
        <v>1400</v>
      </c>
      <c r="F3743" s="919" t="s">
        <v>10492</v>
      </c>
      <c r="G3743" s="919" t="s">
        <v>10493</v>
      </c>
      <c r="H3743" s="919" t="s">
        <v>4038</v>
      </c>
      <c r="I3743" s="919" t="s">
        <v>3686</v>
      </c>
      <c r="J3743" s="919"/>
      <c r="K3743" s="920">
        <v>1</v>
      </c>
      <c r="L3743" s="920">
        <v>12</v>
      </c>
      <c r="M3743" s="920">
        <f t="shared" si="116"/>
        <v>16800</v>
      </c>
      <c r="N3743" s="919"/>
      <c r="O3743" s="919"/>
      <c r="P3743" s="921">
        <f t="shared" si="117"/>
        <v>0</v>
      </c>
    </row>
    <row r="3744" spans="1:16" ht="20.100000000000001" customHeight="1" x14ac:dyDescent="0.25">
      <c r="A3744" s="918" t="s">
        <v>492</v>
      </c>
      <c r="B3744" s="944" t="s">
        <v>3901</v>
      </c>
      <c r="C3744" s="919" t="s">
        <v>3902</v>
      </c>
      <c r="D3744" s="919" t="s">
        <v>4038</v>
      </c>
      <c r="E3744" s="920">
        <v>1400</v>
      </c>
      <c r="F3744" s="919" t="s">
        <v>10494</v>
      </c>
      <c r="G3744" s="919" t="s">
        <v>10495</v>
      </c>
      <c r="H3744" s="919" t="s">
        <v>4038</v>
      </c>
      <c r="I3744" s="919" t="s">
        <v>3686</v>
      </c>
      <c r="J3744" s="919"/>
      <c r="K3744" s="920">
        <v>1</v>
      </c>
      <c r="L3744" s="920">
        <v>12</v>
      </c>
      <c r="M3744" s="920">
        <f t="shared" si="116"/>
        <v>16800</v>
      </c>
      <c r="N3744" s="919"/>
      <c r="O3744" s="919"/>
      <c r="P3744" s="921">
        <f t="shared" si="117"/>
        <v>0</v>
      </c>
    </row>
    <row r="3745" spans="1:16" ht="20.100000000000001" customHeight="1" x14ac:dyDescent="0.25">
      <c r="A3745" s="918" t="s">
        <v>492</v>
      </c>
      <c r="B3745" s="944" t="s">
        <v>3901</v>
      </c>
      <c r="C3745" s="919" t="s">
        <v>3902</v>
      </c>
      <c r="D3745" s="919" t="s">
        <v>4038</v>
      </c>
      <c r="E3745" s="920">
        <v>1400</v>
      </c>
      <c r="F3745" s="919" t="s">
        <v>4041</v>
      </c>
      <c r="G3745" s="919" t="s">
        <v>4042</v>
      </c>
      <c r="H3745" s="919" t="s">
        <v>4038</v>
      </c>
      <c r="I3745" s="919" t="s">
        <v>3686</v>
      </c>
      <c r="J3745" s="919"/>
      <c r="K3745" s="920">
        <v>1</v>
      </c>
      <c r="L3745" s="920">
        <v>12</v>
      </c>
      <c r="M3745" s="920">
        <f t="shared" si="116"/>
        <v>16800</v>
      </c>
      <c r="N3745" s="919"/>
      <c r="O3745" s="919"/>
      <c r="P3745" s="921">
        <f t="shared" si="117"/>
        <v>0</v>
      </c>
    </row>
    <row r="3746" spans="1:16" ht="20.100000000000001" customHeight="1" x14ac:dyDescent="0.25">
      <c r="A3746" s="918" t="s">
        <v>492</v>
      </c>
      <c r="B3746" s="944" t="s">
        <v>3901</v>
      </c>
      <c r="C3746" s="919" t="s">
        <v>3902</v>
      </c>
      <c r="D3746" s="919" t="s">
        <v>6083</v>
      </c>
      <c r="E3746" s="920">
        <v>1100</v>
      </c>
      <c r="F3746" s="919" t="s">
        <v>4041</v>
      </c>
      <c r="G3746" s="919" t="s">
        <v>4042</v>
      </c>
      <c r="H3746" s="919" t="s">
        <v>6083</v>
      </c>
      <c r="I3746" s="919" t="s">
        <v>3686</v>
      </c>
      <c r="J3746" s="919"/>
      <c r="K3746" s="920">
        <v>1</v>
      </c>
      <c r="L3746" s="920">
        <v>12</v>
      </c>
      <c r="M3746" s="920">
        <f t="shared" si="116"/>
        <v>13200</v>
      </c>
      <c r="N3746" s="919"/>
      <c r="O3746" s="919"/>
      <c r="P3746" s="921">
        <f t="shared" si="117"/>
        <v>0</v>
      </c>
    </row>
    <row r="3747" spans="1:16" ht="20.100000000000001" customHeight="1" x14ac:dyDescent="0.25">
      <c r="A3747" s="918" t="s">
        <v>492</v>
      </c>
      <c r="B3747" s="944" t="s">
        <v>3901</v>
      </c>
      <c r="C3747" s="919" t="s">
        <v>3902</v>
      </c>
      <c r="D3747" s="919" t="s">
        <v>6130</v>
      </c>
      <c r="E3747" s="920">
        <v>1100</v>
      </c>
      <c r="F3747" s="919" t="s">
        <v>4041</v>
      </c>
      <c r="G3747" s="919" t="s">
        <v>4042</v>
      </c>
      <c r="H3747" s="919" t="s">
        <v>6130</v>
      </c>
      <c r="I3747" s="919" t="s">
        <v>3686</v>
      </c>
      <c r="J3747" s="919"/>
      <c r="K3747" s="920">
        <v>1</v>
      </c>
      <c r="L3747" s="920">
        <v>12</v>
      </c>
      <c r="M3747" s="920">
        <f t="shared" si="116"/>
        <v>13200</v>
      </c>
      <c r="N3747" s="919"/>
      <c r="O3747" s="919"/>
      <c r="P3747" s="921">
        <f t="shared" si="117"/>
        <v>0</v>
      </c>
    </row>
    <row r="3748" spans="1:16" ht="20.100000000000001" customHeight="1" x14ac:dyDescent="0.25">
      <c r="A3748" s="918" t="s">
        <v>492</v>
      </c>
      <c r="B3748" s="944" t="s">
        <v>3901</v>
      </c>
      <c r="C3748" s="919" t="s">
        <v>3902</v>
      </c>
      <c r="D3748" s="919" t="s">
        <v>6130</v>
      </c>
      <c r="E3748" s="920">
        <v>1100</v>
      </c>
      <c r="F3748" s="919" t="s">
        <v>10496</v>
      </c>
      <c r="G3748" s="919" t="s">
        <v>10497</v>
      </c>
      <c r="H3748" s="919" t="s">
        <v>6130</v>
      </c>
      <c r="I3748" s="919" t="s">
        <v>3686</v>
      </c>
      <c r="J3748" s="919"/>
      <c r="K3748" s="920">
        <v>1</v>
      </c>
      <c r="L3748" s="920">
        <v>12</v>
      </c>
      <c r="M3748" s="920">
        <f t="shared" si="116"/>
        <v>13200</v>
      </c>
      <c r="N3748" s="919"/>
      <c r="O3748" s="919"/>
      <c r="P3748" s="921">
        <f t="shared" si="117"/>
        <v>0</v>
      </c>
    </row>
    <row r="3749" spans="1:16" ht="20.100000000000001" customHeight="1" x14ac:dyDescent="0.25">
      <c r="A3749" s="918" t="s">
        <v>492</v>
      </c>
      <c r="B3749" s="944" t="s">
        <v>3901</v>
      </c>
      <c r="C3749" s="919" t="s">
        <v>3902</v>
      </c>
      <c r="D3749" s="919" t="s">
        <v>6130</v>
      </c>
      <c r="E3749" s="920">
        <v>1100</v>
      </c>
      <c r="F3749" s="919" t="s">
        <v>10498</v>
      </c>
      <c r="G3749" s="919" t="s">
        <v>10499</v>
      </c>
      <c r="H3749" s="919" t="s">
        <v>6130</v>
      </c>
      <c r="I3749" s="919" t="s">
        <v>3686</v>
      </c>
      <c r="J3749" s="919"/>
      <c r="K3749" s="920">
        <v>1</v>
      </c>
      <c r="L3749" s="920">
        <v>12</v>
      </c>
      <c r="M3749" s="920">
        <f t="shared" si="116"/>
        <v>13200</v>
      </c>
      <c r="N3749" s="919"/>
      <c r="O3749" s="919"/>
      <c r="P3749" s="921">
        <f t="shared" si="117"/>
        <v>0</v>
      </c>
    </row>
    <row r="3750" spans="1:16" ht="20.100000000000001" customHeight="1" x14ac:dyDescent="0.25">
      <c r="A3750" s="918" t="s">
        <v>492</v>
      </c>
      <c r="B3750" s="944" t="s">
        <v>3901</v>
      </c>
      <c r="C3750" s="919" t="s">
        <v>3902</v>
      </c>
      <c r="D3750" s="919" t="s">
        <v>6083</v>
      </c>
      <c r="E3750" s="920">
        <v>1100</v>
      </c>
      <c r="F3750" s="919" t="s">
        <v>10500</v>
      </c>
      <c r="G3750" s="919" t="s">
        <v>10501</v>
      </c>
      <c r="H3750" s="919" t="s">
        <v>6083</v>
      </c>
      <c r="I3750" s="919" t="s">
        <v>3686</v>
      </c>
      <c r="J3750" s="919"/>
      <c r="K3750" s="920">
        <v>1</v>
      </c>
      <c r="L3750" s="920">
        <v>12</v>
      </c>
      <c r="M3750" s="920">
        <f t="shared" si="116"/>
        <v>13200</v>
      </c>
      <c r="N3750" s="919"/>
      <c r="O3750" s="919"/>
      <c r="P3750" s="921">
        <f t="shared" si="117"/>
        <v>0</v>
      </c>
    </row>
    <row r="3751" spans="1:16" ht="20.100000000000001" customHeight="1" x14ac:dyDescent="0.25">
      <c r="A3751" s="918" t="s">
        <v>492</v>
      </c>
      <c r="B3751" s="944" t="s">
        <v>3901</v>
      </c>
      <c r="C3751" s="919" t="s">
        <v>3902</v>
      </c>
      <c r="D3751" s="919" t="s">
        <v>4266</v>
      </c>
      <c r="E3751" s="920">
        <v>1100</v>
      </c>
      <c r="F3751" s="919" t="s">
        <v>10502</v>
      </c>
      <c r="G3751" s="919" t="s">
        <v>10503</v>
      </c>
      <c r="H3751" s="919" t="s">
        <v>4266</v>
      </c>
      <c r="I3751" s="919" t="s">
        <v>3686</v>
      </c>
      <c r="J3751" s="919"/>
      <c r="K3751" s="920">
        <v>1</v>
      </c>
      <c r="L3751" s="920">
        <v>12</v>
      </c>
      <c r="M3751" s="920">
        <f t="shared" si="116"/>
        <v>13200</v>
      </c>
      <c r="N3751" s="919"/>
      <c r="O3751" s="919"/>
      <c r="P3751" s="921">
        <f t="shared" si="117"/>
        <v>0</v>
      </c>
    </row>
    <row r="3752" spans="1:16" ht="20.100000000000001" customHeight="1" x14ac:dyDescent="0.25">
      <c r="A3752" s="918" t="s">
        <v>492</v>
      </c>
      <c r="B3752" s="944" t="s">
        <v>3901</v>
      </c>
      <c r="C3752" s="919" t="s">
        <v>3902</v>
      </c>
      <c r="D3752" s="919" t="s">
        <v>4266</v>
      </c>
      <c r="E3752" s="920">
        <v>1100</v>
      </c>
      <c r="F3752" s="919" t="s">
        <v>10504</v>
      </c>
      <c r="G3752" s="919" t="s">
        <v>10505</v>
      </c>
      <c r="H3752" s="919" t="s">
        <v>4266</v>
      </c>
      <c r="I3752" s="919" t="s">
        <v>3686</v>
      </c>
      <c r="J3752" s="919"/>
      <c r="K3752" s="920">
        <v>1</v>
      </c>
      <c r="L3752" s="920">
        <v>12</v>
      </c>
      <c r="M3752" s="920">
        <f t="shared" si="116"/>
        <v>13200</v>
      </c>
      <c r="N3752" s="919"/>
      <c r="O3752" s="919"/>
      <c r="P3752" s="921">
        <f t="shared" si="117"/>
        <v>0</v>
      </c>
    </row>
    <row r="3753" spans="1:16" ht="20.100000000000001" customHeight="1" x14ac:dyDescent="0.25">
      <c r="A3753" s="918" t="s">
        <v>492</v>
      </c>
      <c r="B3753" s="944" t="s">
        <v>3901</v>
      </c>
      <c r="C3753" s="919" t="s">
        <v>3902</v>
      </c>
      <c r="D3753" s="919" t="s">
        <v>4266</v>
      </c>
      <c r="E3753" s="920">
        <v>1100</v>
      </c>
      <c r="F3753" s="919" t="s">
        <v>10506</v>
      </c>
      <c r="G3753" s="919" t="s">
        <v>10507</v>
      </c>
      <c r="H3753" s="919" t="s">
        <v>4266</v>
      </c>
      <c r="I3753" s="919" t="s">
        <v>3686</v>
      </c>
      <c r="J3753" s="919"/>
      <c r="K3753" s="920">
        <v>1</v>
      </c>
      <c r="L3753" s="920">
        <v>12</v>
      </c>
      <c r="M3753" s="920">
        <f t="shared" si="116"/>
        <v>13200</v>
      </c>
      <c r="N3753" s="919"/>
      <c r="O3753" s="919"/>
      <c r="P3753" s="921">
        <f t="shared" si="117"/>
        <v>0</v>
      </c>
    </row>
    <row r="3754" spans="1:16" ht="20.100000000000001" customHeight="1" x14ac:dyDescent="0.25">
      <c r="A3754" s="918" t="s">
        <v>492</v>
      </c>
      <c r="B3754" s="944" t="s">
        <v>3901</v>
      </c>
      <c r="C3754" s="919" t="s">
        <v>3902</v>
      </c>
      <c r="D3754" s="919" t="s">
        <v>4266</v>
      </c>
      <c r="E3754" s="920">
        <v>1100</v>
      </c>
      <c r="F3754" s="919" t="s">
        <v>10508</v>
      </c>
      <c r="G3754" s="919" t="s">
        <v>10509</v>
      </c>
      <c r="H3754" s="919" t="s">
        <v>4266</v>
      </c>
      <c r="I3754" s="919" t="s">
        <v>3686</v>
      </c>
      <c r="J3754" s="919"/>
      <c r="K3754" s="920">
        <v>1</v>
      </c>
      <c r="L3754" s="920">
        <v>12</v>
      </c>
      <c r="M3754" s="920">
        <f t="shared" si="116"/>
        <v>13200</v>
      </c>
      <c r="N3754" s="919"/>
      <c r="O3754" s="919"/>
      <c r="P3754" s="921">
        <f t="shared" si="117"/>
        <v>0</v>
      </c>
    </row>
    <row r="3755" spans="1:16" ht="20.100000000000001" customHeight="1" x14ac:dyDescent="0.25">
      <c r="A3755" s="918" t="s">
        <v>492</v>
      </c>
      <c r="B3755" s="944" t="s">
        <v>3901</v>
      </c>
      <c r="C3755" s="919" t="s">
        <v>3902</v>
      </c>
      <c r="D3755" s="919" t="s">
        <v>4400</v>
      </c>
      <c r="E3755" s="920">
        <v>1100</v>
      </c>
      <c r="F3755" s="919" t="s">
        <v>10510</v>
      </c>
      <c r="G3755" s="919" t="s">
        <v>10511</v>
      </c>
      <c r="H3755" s="919" t="s">
        <v>4400</v>
      </c>
      <c r="I3755" s="919" t="s">
        <v>3686</v>
      </c>
      <c r="J3755" s="919"/>
      <c r="K3755" s="920">
        <v>1</v>
      </c>
      <c r="L3755" s="920">
        <v>12</v>
      </c>
      <c r="M3755" s="920">
        <f t="shared" si="116"/>
        <v>13200</v>
      </c>
      <c r="N3755" s="919"/>
      <c r="O3755" s="919"/>
      <c r="P3755" s="921">
        <f t="shared" si="117"/>
        <v>0</v>
      </c>
    </row>
    <row r="3756" spans="1:16" ht="20.100000000000001" customHeight="1" x14ac:dyDescent="0.25">
      <c r="A3756" s="918" t="s">
        <v>492</v>
      </c>
      <c r="B3756" s="944" t="s">
        <v>3901</v>
      </c>
      <c r="C3756" s="919" t="s">
        <v>3902</v>
      </c>
      <c r="D3756" s="919" t="s">
        <v>4400</v>
      </c>
      <c r="E3756" s="920">
        <v>1100</v>
      </c>
      <c r="F3756" s="919" t="s">
        <v>10512</v>
      </c>
      <c r="G3756" s="919" t="s">
        <v>10513</v>
      </c>
      <c r="H3756" s="919" t="s">
        <v>4400</v>
      </c>
      <c r="I3756" s="919" t="s">
        <v>3686</v>
      </c>
      <c r="J3756" s="919"/>
      <c r="K3756" s="920">
        <v>1</v>
      </c>
      <c r="L3756" s="920">
        <v>12</v>
      </c>
      <c r="M3756" s="920">
        <f t="shared" si="116"/>
        <v>13200</v>
      </c>
      <c r="N3756" s="919"/>
      <c r="O3756" s="919"/>
      <c r="P3756" s="921">
        <f t="shared" si="117"/>
        <v>0</v>
      </c>
    </row>
    <row r="3757" spans="1:16" ht="20.100000000000001" customHeight="1" x14ac:dyDescent="0.25">
      <c r="A3757" s="918" t="s">
        <v>492</v>
      </c>
      <c r="B3757" s="944" t="s">
        <v>3901</v>
      </c>
      <c r="C3757" s="919" t="s">
        <v>3902</v>
      </c>
      <c r="D3757" s="919" t="s">
        <v>4400</v>
      </c>
      <c r="E3757" s="920">
        <v>1100</v>
      </c>
      <c r="F3757" s="919" t="s">
        <v>10514</v>
      </c>
      <c r="G3757" s="919" t="s">
        <v>10515</v>
      </c>
      <c r="H3757" s="919" t="s">
        <v>4400</v>
      </c>
      <c r="I3757" s="919" t="s">
        <v>3686</v>
      </c>
      <c r="J3757" s="919"/>
      <c r="K3757" s="920">
        <v>1</v>
      </c>
      <c r="L3757" s="920">
        <v>12</v>
      </c>
      <c r="M3757" s="920">
        <f t="shared" si="116"/>
        <v>13200</v>
      </c>
      <c r="N3757" s="919"/>
      <c r="O3757" s="919"/>
      <c r="P3757" s="921">
        <f t="shared" si="117"/>
        <v>0</v>
      </c>
    </row>
    <row r="3758" spans="1:16" ht="20.100000000000001" customHeight="1" x14ac:dyDescent="0.25">
      <c r="A3758" s="918" t="s">
        <v>492</v>
      </c>
      <c r="B3758" s="944" t="s">
        <v>3901</v>
      </c>
      <c r="C3758" s="919" t="s">
        <v>3902</v>
      </c>
      <c r="D3758" s="919" t="s">
        <v>4400</v>
      </c>
      <c r="E3758" s="920">
        <v>1100</v>
      </c>
      <c r="F3758" s="919" t="s">
        <v>10516</v>
      </c>
      <c r="G3758" s="919" t="s">
        <v>10517</v>
      </c>
      <c r="H3758" s="919" t="s">
        <v>4400</v>
      </c>
      <c r="I3758" s="919" t="s">
        <v>3686</v>
      </c>
      <c r="J3758" s="919"/>
      <c r="K3758" s="920">
        <v>1</v>
      </c>
      <c r="L3758" s="920">
        <v>12</v>
      </c>
      <c r="M3758" s="920">
        <f t="shared" si="116"/>
        <v>13200</v>
      </c>
      <c r="N3758" s="919"/>
      <c r="O3758" s="919"/>
      <c r="P3758" s="921">
        <f t="shared" si="117"/>
        <v>0</v>
      </c>
    </row>
    <row r="3759" spans="1:16" ht="20.100000000000001" customHeight="1" x14ac:dyDescent="0.25">
      <c r="A3759" s="918" t="s">
        <v>492</v>
      </c>
      <c r="B3759" s="944" t="s">
        <v>3901</v>
      </c>
      <c r="C3759" s="919" t="s">
        <v>3902</v>
      </c>
      <c r="D3759" s="919" t="s">
        <v>4400</v>
      </c>
      <c r="E3759" s="920">
        <v>1100</v>
      </c>
      <c r="F3759" s="919" t="s">
        <v>10518</v>
      </c>
      <c r="G3759" s="919" t="s">
        <v>10519</v>
      </c>
      <c r="H3759" s="919" t="s">
        <v>4400</v>
      </c>
      <c r="I3759" s="919" t="s">
        <v>3686</v>
      </c>
      <c r="J3759" s="919"/>
      <c r="K3759" s="920">
        <v>1</v>
      </c>
      <c r="L3759" s="920">
        <v>12</v>
      </c>
      <c r="M3759" s="920">
        <f t="shared" si="116"/>
        <v>13200</v>
      </c>
      <c r="N3759" s="919"/>
      <c r="O3759" s="919"/>
      <c r="P3759" s="921">
        <f t="shared" si="117"/>
        <v>0</v>
      </c>
    </row>
    <row r="3760" spans="1:16" ht="20.100000000000001" customHeight="1" x14ac:dyDescent="0.25">
      <c r="A3760" s="918" t="s">
        <v>492</v>
      </c>
      <c r="B3760" s="944" t="s">
        <v>3901</v>
      </c>
      <c r="C3760" s="919" t="s">
        <v>3902</v>
      </c>
      <c r="D3760" s="919" t="s">
        <v>4400</v>
      </c>
      <c r="E3760" s="920">
        <v>1100</v>
      </c>
      <c r="F3760" s="919" t="s">
        <v>10520</v>
      </c>
      <c r="G3760" s="919" t="s">
        <v>10521</v>
      </c>
      <c r="H3760" s="919" t="s">
        <v>4400</v>
      </c>
      <c r="I3760" s="919" t="s">
        <v>3686</v>
      </c>
      <c r="J3760" s="919"/>
      <c r="K3760" s="920">
        <v>1</v>
      </c>
      <c r="L3760" s="920">
        <v>12</v>
      </c>
      <c r="M3760" s="920">
        <f t="shared" si="116"/>
        <v>13200</v>
      </c>
      <c r="N3760" s="919"/>
      <c r="O3760" s="919"/>
      <c r="P3760" s="921">
        <f t="shared" si="117"/>
        <v>0</v>
      </c>
    </row>
    <row r="3761" spans="1:16" ht="20.100000000000001" customHeight="1" x14ac:dyDescent="0.25">
      <c r="A3761" s="918" t="s">
        <v>492</v>
      </c>
      <c r="B3761" s="944" t="s">
        <v>3901</v>
      </c>
      <c r="C3761" s="919" t="s">
        <v>3902</v>
      </c>
      <c r="D3761" s="919" t="s">
        <v>4400</v>
      </c>
      <c r="E3761" s="920">
        <v>1100</v>
      </c>
      <c r="F3761" s="919" t="s">
        <v>10522</v>
      </c>
      <c r="G3761" s="919" t="s">
        <v>10523</v>
      </c>
      <c r="H3761" s="919" t="s">
        <v>4400</v>
      </c>
      <c r="I3761" s="919" t="s">
        <v>3686</v>
      </c>
      <c r="J3761" s="919"/>
      <c r="K3761" s="920">
        <v>1</v>
      </c>
      <c r="L3761" s="920">
        <v>12</v>
      </c>
      <c r="M3761" s="920">
        <f t="shared" si="116"/>
        <v>13200</v>
      </c>
      <c r="N3761" s="919"/>
      <c r="O3761" s="919"/>
      <c r="P3761" s="921">
        <f t="shared" si="117"/>
        <v>0</v>
      </c>
    </row>
    <row r="3762" spans="1:16" ht="20.100000000000001" customHeight="1" x14ac:dyDescent="0.25">
      <c r="A3762" s="918" t="s">
        <v>492</v>
      </c>
      <c r="B3762" s="944" t="s">
        <v>3901</v>
      </c>
      <c r="C3762" s="919" t="s">
        <v>3902</v>
      </c>
      <c r="D3762" s="919" t="s">
        <v>4400</v>
      </c>
      <c r="E3762" s="920">
        <v>1100</v>
      </c>
      <c r="F3762" s="919" t="s">
        <v>10524</v>
      </c>
      <c r="G3762" s="919" t="s">
        <v>10525</v>
      </c>
      <c r="H3762" s="919" t="s">
        <v>4400</v>
      </c>
      <c r="I3762" s="919" t="s">
        <v>3686</v>
      </c>
      <c r="J3762" s="919"/>
      <c r="K3762" s="920">
        <v>1</v>
      </c>
      <c r="L3762" s="920">
        <v>12</v>
      </c>
      <c r="M3762" s="920">
        <f t="shared" si="116"/>
        <v>13200</v>
      </c>
      <c r="N3762" s="919"/>
      <c r="O3762" s="919"/>
      <c r="P3762" s="921">
        <f t="shared" si="117"/>
        <v>0</v>
      </c>
    </row>
    <row r="3763" spans="1:16" ht="20.100000000000001" customHeight="1" x14ac:dyDescent="0.25">
      <c r="A3763" s="918" t="s">
        <v>492</v>
      </c>
      <c r="B3763" s="944" t="s">
        <v>3901</v>
      </c>
      <c r="C3763" s="919" t="s">
        <v>3902</v>
      </c>
      <c r="D3763" s="919" t="s">
        <v>4400</v>
      </c>
      <c r="E3763" s="920">
        <v>1100</v>
      </c>
      <c r="F3763" s="919" t="s">
        <v>10526</v>
      </c>
      <c r="G3763" s="919" t="s">
        <v>10527</v>
      </c>
      <c r="H3763" s="919" t="s">
        <v>4400</v>
      </c>
      <c r="I3763" s="919" t="s">
        <v>3686</v>
      </c>
      <c r="J3763" s="919"/>
      <c r="K3763" s="920">
        <v>1</v>
      </c>
      <c r="L3763" s="920">
        <v>12</v>
      </c>
      <c r="M3763" s="920">
        <f t="shared" si="116"/>
        <v>13200</v>
      </c>
      <c r="N3763" s="919"/>
      <c r="O3763" s="919"/>
      <c r="P3763" s="921">
        <f t="shared" si="117"/>
        <v>0</v>
      </c>
    </row>
    <row r="3764" spans="1:16" ht="20.100000000000001" customHeight="1" x14ac:dyDescent="0.25">
      <c r="A3764" s="918" t="s">
        <v>492</v>
      </c>
      <c r="B3764" s="944" t="s">
        <v>3901</v>
      </c>
      <c r="C3764" s="919" t="s">
        <v>3902</v>
      </c>
      <c r="D3764" s="919" t="s">
        <v>4400</v>
      </c>
      <c r="E3764" s="920">
        <v>1100</v>
      </c>
      <c r="F3764" s="919" t="s">
        <v>10528</v>
      </c>
      <c r="G3764" s="919" t="s">
        <v>10529</v>
      </c>
      <c r="H3764" s="919" t="s">
        <v>4400</v>
      </c>
      <c r="I3764" s="919" t="s">
        <v>3686</v>
      </c>
      <c r="J3764" s="919"/>
      <c r="K3764" s="920">
        <v>1</v>
      </c>
      <c r="L3764" s="920">
        <v>12</v>
      </c>
      <c r="M3764" s="920">
        <f t="shared" si="116"/>
        <v>13200</v>
      </c>
      <c r="N3764" s="919"/>
      <c r="O3764" s="919"/>
      <c r="P3764" s="921">
        <f t="shared" si="117"/>
        <v>0</v>
      </c>
    </row>
    <row r="3765" spans="1:16" ht="20.100000000000001" customHeight="1" x14ac:dyDescent="0.25">
      <c r="A3765" s="918" t="s">
        <v>492</v>
      </c>
      <c r="B3765" s="944" t="s">
        <v>3901</v>
      </c>
      <c r="C3765" s="919" t="s">
        <v>3902</v>
      </c>
      <c r="D3765" s="919" t="s">
        <v>10412</v>
      </c>
      <c r="E3765" s="920">
        <v>4000</v>
      </c>
      <c r="F3765" s="919" t="s">
        <v>10530</v>
      </c>
      <c r="G3765" s="919" t="s">
        <v>10531</v>
      </c>
      <c r="H3765" s="919" t="s">
        <v>10412</v>
      </c>
      <c r="I3765" s="919" t="s">
        <v>3724</v>
      </c>
      <c r="J3765" s="919"/>
      <c r="K3765" s="920">
        <v>1</v>
      </c>
      <c r="L3765" s="920">
        <v>12</v>
      </c>
      <c r="M3765" s="920">
        <f t="shared" si="116"/>
        <v>48000</v>
      </c>
      <c r="N3765" s="919"/>
      <c r="O3765" s="919"/>
      <c r="P3765" s="921">
        <f t="shared" si="117"/>
        <v>0</v>
      </c>
    </row>
    <row r="3766" spans="1:16" ht="20.100000000000001" customHeight="1" x14ac:dyDescent="0.25">
      <c r="A3766" s="918" t="s">
        <v>492</v>
      </c>
      <c r="B3766" s="944" t="s">
        <v>3901</v>
      </c>
      <c r="C3766" s="919" t="s">
        <v>3902</v>
      </c>
      <c r="D3766" s="919" t="s">
        <v>3999</v>
      </c>
      <c r="E3766" s="920">
        <v>1600</v>
      </c>
      <c r="F3766" s="919" t="s">
        <v>10532</v>
      </c>
      <c r="G3766" s="919" t="s">
        <v>10533</v>
      </c>
      <c r="H3766" s="919" t="s">
        <v>3999</v>
      </c>
      <c r="I3766" s="919" t="s">
        <v>3724</v>
      </c>
      <c r="J3766" s="919"/>
      <c r="K3766" s="920">
        <v>1</v>
      </c>
      <c r="L3766" s="920">
        <v>12</v>
      </c>
      <c r="M3766" s="920">
        <f t="shared" si="116"/>
        <v>19200</v>
      </c>
      <c r="N3766" s="919"/>
      <c r="O3766" s="919"/>
      <c r="P3766" s="921">
        <f t="shared" si="117"/>
        <v>0</v>
      </c>
    </row>
    <row r="3767" spans="1:16" ht="20.100000000000001" customHeight="1" x14ac:dyDescent="0.25">
      <c r="A3767" s="918" t="s">
        <v>492</v>
      </c>
      <c r="B3767" s="944" t="s">
        <v>3901</v>
      </c>
      <c r="C3767" s="919" t="s">
        <v>3902</v>
      </c>
      <c r="D3767" s="919" t="s">
        <v>3999</v>
      </c>
      <c r="E3767" s="920">
        <v>1600</v>
      </c>
      <c r="F3767" s="919" t="s">
        <v>10534</v>
      </c>
      <c r="G3767" s="919" t="s">
        <v>10535</v>
      </c>
      <c r="H3767" s="919" t="s">
        <v>3999</v>
      </c>
      <c r="I3767" s="919" t="s">
        <v>3724</v>
      </c>
      <c r="J3767" s="919"/>
      <c r="K3767" s="920">
        <v>1</v>
      </c>
      <c r="L3767" s="920">
        <v>12</v>
      </c>
      <c r="M3767" s="920">
        <f t="shared" si="116"/>
        <v>19200</v>
      </c>
      <c r="N3767" s="919"/>
      <c r="O3767" s="919"/>
      <c r="P3767" s="921">
        <f t="shared" si="117"/>
        <v>0</v>
      </c>
    </row>
    <row r="3768" spans="1:16" ht="20.100000000000001" customHeight="1" x14ac:dyDescent="0.25">
      <c r="A3768" s="918" t="s">
        <v>492</v>
      </c>
      <c r="B3768" s="944" t="s">
        <v>3901</v>
      </c>
      <c r="C3768" s="919" t="s">
        <v>3902</v>
      </c>
      <c r="D3768" s="919" t="s">
        <v>3999</v>
      </c>
      <c r="E3768" s="920">
        <v>1600</v>
      </c>
      <c r="F3768" s="919" t="s">
        <v>10536</v>
      </c>
      <c r="G3768" s="919" t="s">
        <v>10537</v>
      </c>
      <c r="H3768" s="919" t="s">
        <v>3999</v>
      </c>
      <c r="I3768" s="919" t="s">
        <v>3724</v>
      </c>
      <c r="J3768" s="919"/>
      <c r="K3768" s="920">
        <v>1</v>
      </c>
      <c r="L3768" s="920">
        <v>12</v>
      </c>
      <c r="M3768" s="920">
        <f t="shared" si="116"/>
        <v>19200</v>
      </c>
      <c r="N3768" s="919"/>
      <c r="O3768" s="919"/>
      <c r="P3768" s="921">
        <f t="shared" si="117"/>
        <v>0</v>
      </c>
    </row>
    <row r="3769" spans="1:16" ht="20.100000000000001" customHeight="1" x14ac:dyDescent="0.25">
      <c r="A3769" s="918" t="s">
        <v>492</v>
      </c>
      <c r="B3769" s="944" t="s">
        <v>3901</v>
      </c>
      <c r="C3769" s="919" t="s">
        <v>3902</v>
      </c>
      <c r="D3769" s="919" t="s">
        <v>4462</v>
      </c>
      <c r="E3769" s="920">
        <v>1100</v>
      </c>
      <c r="F3769" s="919" t="s">
        <v>10538</v>
      </c>
      <c r="G3769" s="919" t="s">
        <v>10539</v>
      </c>
      <c r="H3769" s="919" t="s">
        <v>4462</v>
      </c>
      <c r="I3769" s="919" t="s">
        <v>3686</v>
      </c>
      <c r="J3769" s="919"/>
      <c r="K3769" s="920">
        <v>1</v>
      </c>
      <c r="L3769" s="920">
        <v>12</v>
      </c>
      <c r="M3769" s="920">
        <f t="shared" si="116"/>
        <v>13200</v>
      </c>
      <c r="N3769" s="919"/>
      <c r="O3769" s="919"/>
      <c r="P3769" s="921">
        <f t="shared" si="117"/>
        <v>0</v>
      </c>
    </row>
    <row r="3770" spans="1:16" ht="20.100000000000001" customHeight="1" x14ac:dyDescent="0.25">
      <c r="A3770" s="918" t="s">
        <v>492</v>
      </c>
      <c r="B3770" s="944" t="s">
        <v>3901</v>
      </c>
      <c r="C3770" s="919" t="s">
        <v>3902</v>
      </c>
      <c r="D3770" s="919" t="s">
        <v>6120</v>
      </c>
      <c r="E3770" s="920">
        <v>3200</v>
      </c>
      <c r="F3770" s="919" t="s">
        <v>10540</v>
      </c>
      <c r="G3770" s="919" t="s">
        <v>10541</v>
      </c>
      <c r="H3770" s="919" t="s">
        <v>6120</v>
      </c>
      <c r="I3770" s="919" t="s">
        <v>3724</v>
      </c>
      <c r="J3770" s="919"/>
      <c r="K3770" s="920">
        <v>1</v>
      </c>
      <c r="L3770" s="920">
        <v>12</v>
      </c>
      <c r="M3770" s="920">
        <f t="shared" si="116"/>
        <v>38400</v>
      </c>
      <c r="N3770" s="919"/>
      <c r="O3770" s="919"/>
      <c r="P3770" s="921">
        <f t="shared" si="117"/>
        <v>0</v>
      </c>
    </row>
    <row r="3771" spans="1:16" ht="20.100000000000001" customHeight="1" x14ac:dyDescent="0.25">
      <c r="A3771" s="918" t="s">
        <v>492</v>
      </c>
      <c r="B3771" s="944" t="s">
        <v>3901</v>
      </c>
      <c r="C3771" s="919" t="s">
        <v>3902</v>
      </c>
      <c r="D3771" s="919" t="s">
        <v>6120</v>
      </c>
      <c r="E3771" s="920">
        <v>6000</v>
      </c>
      <c r="F3771" s="919" t="s">
        <v>10542</v>
      </c>
      <c r="G3771" s="919" t="s">
        <v>10543</v>
      </c>
      <c r="H3771" s="919" t="s">
        <v>6120</v>
      </c>
      <c r="I3771" s="919" t="s">
        <v>3724</v>
      </c>
      <c r="J3771" s="919"/>
      <c r="K3771" s="920">
        <v>1</v>
      </c>
      <c r="L3771" s="920">
        <v>12</v>
      </c>
      <c r="M3771" s="920">
        <f t="shared" si="116"/>
        <v>72000</v>
      </c>
      <c r="N3771" s="919"/>
      <c r="O3771" s="919"/>
      <c r="P3771" s="921">
        <f t="shared" si="117"/>
        <v>0</v>
      </c>
    </row>
    <row r="3772" spans="1:16" ht="20.100000000000001" customHeight="1" x14ac:dyDescent="0.25">
      <c r="A3772" s="918" t="s">
        <v>492</v>
      </c>
      <c r="B3772" s="944" t="s">
        <v>3901</v>
      </c>
      <c r="C3772" s="919" t="s">
        <v>3902</v>
      </c>
      <c r="D3772" s="919" t="s">
        <v>6120</v>
      </c>
      <c r="E3772" s="920">
        <v>3200</v>
      </c>
      <c r="F3772" s="919" t="s">
        <v>10544</v>
      </c>
      <c r="G3772" s="919" t="s">
        <v>10545</v>
      </c>
      <c r="H3772" s="919" t="s">
        <v>6120</v>
      </c>
      <c r="I3772" s="919" t="s">
        <v>3724</v>
      </c>
      <c r="J3772" s="919"/>
      <c r="K3772" s="920">
        <v>1</v>
      </c>
      <c r="L3772" s="920">
        <v>12</v>
      </c>
      <c r="M3772" s="920">
        <f t="shared" si="116"/>
        <v>38400</v>
      </c>
      <c r="N3772" s="919"/>
      <c r="O3772" s="919"/>
      <c r="P3772" s="921">
        <f t="shared" si="117"/>
        <v>0</v>
      </c>
    </row>
    <row r="3773" spans="1:16" ht="20.100000000000001" customHeight="1" x14ac:dyDescent="0.25">
      <c r="A3773" s="918" t="s">
        <v>492</v>
      </c>
      <c r="B3773" s="944" t="s">
        <v>3901</v>
      </c>
      <c r="C3773" s="919" t="s">
        <v>3902</v>
      </c>
      <c r="D3773" s="919" t="s">
        <v>6120</v>
      </c>
      <c r="E3773" s="920">
        <v>3500</v>
      </c>
      <c r="F3773" s="919" t="s">
        <v>10546</v>
      </c>
      <c r="G3773" s="919" t="s">
        <v>10547</v>
      </c>
      <c r="H3773" s="919" t="s">
        <v>6120</v>
      </c>
      <c r="I3773" s="919" t="s">
        <v>3724</v>
      </c>
      <c r="J3773" s="919"/>
      <c r="K3773" s="920">
        <v>1</v>
      </c>
      <c r="L3773" s="920">
        <v>12</v>
      </c>
      <c r="M3773" s="920">
        <f t="shared" si="116"/>
        <v>42000</v>
      </c>
      <c r="N3773" s="919"/>
      <c r="O3773" s="919"/>
      <c r="P3773" s="921">
        <f t="shared" si="117"/>
        <v>0</v>
      </c>
    </row>
    <row r="3774" spans="1:16" ht="20.100000000000001" customHeight="1" x14ac:dyDescent="0.25">
      <c r="A3774" s="918" t="s">
        <v>492</v>
      </c>
      <c r="B3774" s="944" t="s">
        <v>3901</v>
      </c>
      <c r="C3774" s="919" t="s">
        <v>3902</v>
      </c>
      <c r="D3774" s="919" t="s">
        <v>4383</v>
      </c>
      <c r="E3774" s="920">
        <v>2000</v>
      </c>
      <c r="F3774" s="919" t="s">
        <v>10548</v>
      </c>
      <c r="G3774" s="919" t="s">
        <v>10549</v>
      </c>
      <c r="H3774" s="919" t="s">
        <v>4383</v>
      </c>
      <c r="I3774" s="919" t="s">
        <v>3724</v>
      </c>
      <c r="J3774" s="919"/>
      <c r="K3774" s="920"/>
      <c r="L3774" s="920"/>
      <c r="M3774" s="920">
        <f t="shared" si="116"/>
        <v>0</v>
      </c>
      <c r="N3774" s="919">
        <v>1</v>
      </c>
      <c r="O3774" s="919">
        <v>5</v>
      </c>
      <c r="P3774" s="921">
        <f t="shared" si="117"/>
        <v>10000</v>
      </c>
    </row>
    <row r="3775" spans="1:16" ht="20.100000000000001" customHeight="1" x14ac:dyDescent="0.25">
      <c r="A3775" s="918" t="s">
        <v>493</v>
      </c>
      <c r="B3775" s="944" t="s">
        <v>3901</v>
      </c>
      <c r="C3775" s="919" t="s">
        <v>3902</v>
      </c>
      <c r="D3775" s="919" t="s">
        <v>6203</v>
      </c>
      <c r="E3775" s="920">
        <v>2300</v>
      </c>
      <c r="F3775" s="919" t="s">
        <v>10550</v>
      </c>
      <c r="G3775" s="919" t="s">
        <v>10551</v>
      </c>
      <c r="H3775" s="919" t="s">
        <v>6203</v>
      </c>
      <c r="I3775" s="919" t="s">
        <v>3724</v>
      </c>
      <c r="J3775" s="919"/>
      <c r="K3775" s="920">
        <v>1</v>
      </c>
      <c r="L3775" s="920">
        <v>12</v>
      </c>
      <c r="M3775" s="920">
        <f t="shared" si="116"/>
        <v>27600</v>
      </c>
      <c r="N3775" s="919"/>
      <c r="O3775" s="919"/>
      <c r="P3775" s="921">
        <f t="shared" si="117"/>
        <v>0</v>
      </c>
    </row>
    <row r="3776" spans="1:16" ht="20.100000000000001" customHeight="1" x14ac:dyDescent="0.25">
      <c r="A3776" s="918" t="s">
        <v>493</v>
      </c>
      <c r="B3776" s="944" t="s">
        <v>3901</v>
      </c>
      <c r="C3776" s="919" t="s">
        <v>3902</v>
      </c>
      <c r="D3776" s="919" t="s">
        <v>3999</v>
      </c>
      <c r="E3776" s="920">
        <v>2300</v>
      </c>
      <c r="F3776" s="919" t="s">
        <v>10552</v>
      </c>
      <c r="G3776" s="919" t="s">
        <v>10553</v>
      </c>
      <c r="H3776" s="919" t="s">
        <v>3999</v>
      </c>
      <c r="I3776" s="919" t="s">
        <v>3724</v>
      </c>
      <c r="J3776" s="919"/>
      <c r="K3776" s="920">
        <v>1</v>
      </c>
      <c r="L3776" s="920">
        <v>12</v>
      </c>
      <c r="M3776" s="920">
        <f t="shared" si="116"/>
        <v>27600</v>
      </c>
      <c r="N3776" s="919"/>
      <c r="O3776" s="919"/>
      <c r="P3776" s="921">
        <f t="shared" si="117"/>
        <v>0</v>
      </c>
    </row>
    <row r="3777" spans="1:16" ht="20.100000000000001" customHeight="1" x14ac:dyDescent="0.25">
      <c r="A3777" s="918" t="s">
        <v>493</v>
      </c>
      <c r="B3777" s="944" t="s">
        <v>3901</v>
      </c>
      <c r="C3777" s="919" t="s">
        <v>3902</v>
      </c>
      <c r="D3777" s="919" t="s">
        <v>3999</v>
      </c>
      <c r="E3777" s="920">
        <v>2300</v>
      </c>
      <c r="F3777" s="919" t="s">
        <v>10554</v>
      </c>
      <c r="G3777" s="919" t="s">
        <v>10555</v>
      </c>
      <c r="H3777" s="919" t="s">
        <v>3999</v>
      </c>
      <c r="I3777" s="919" t="s">
        <v>3724</v>
      </c>
      <c r="J3777" s="919"/>
      <c r="K3777" s="920">
        <v>1</v>
      </c>
      <c r="L3777" s="920">
        <v>12</v>
      </c>
      <c r="M3777" s="920">
        <f t="shared" si="116"/>
        <v>27600</v>
      </c>
      <c r="N3777" s="919"/>
      <c r="O3777" s="919"/>
      <c r="P3777" s="921">
        <f t="shared" si="117"/>
        <v>0</v>
      </c>
    </row>
    <row r="3778" spans="1:16" ht="20.100000000000001" customHeight="1" x14ac:dyDescent="0.25">
      <c r="A3778" s="918" t="s">
        <v>493</v>
      </c>
      <c r="B3778" s="944" t="s">
        <v>3901</v>
      </c>
      <c r="C3778" s="919" t="s">
        <v>3902</v>
      </c>
      <c r="D3778" s="919" t="s">
        <v>3999</v>
      </c>
      <c r="E3778" s="920">
        <v>2300</v>
      </c>
      <c r="F3778" s="919" t="s">
        <v>10556</v>
      </c>
      <c r="G3778" s="919" t="s">
        <v>10557</v>
      </c>
      <c r="H3778" s="919" t="s">
        <v>3999</v>
      </c>
      <c r="I3778" s="919" t="s">
        <v>3724</v>
      </c>
      <c r="J3778" s="919"/>
      <c r="K3778" s="920">
        <v>1</v>
      </c>
      <c r="L3778" s="920">
        <v>12</v>
      </c>
      <c r="M3778" s="920">
        <f t="shared" si="116"/>
        <v>27600</v>
      </c>
      <c r="N3778" s="919"/>
      <c r="O3778" s="919"/>
      <c r="P3778" s="921">
        <f t="shared" si="117"/>
        <v>0</v>
      </c>
    </row>
    <row r="3779" spans="1:16" ht="20.100000000000001" customHeight="1" x14ac:dyDescent="0.25">
      <c r="A3779" s="918" t="s">
        <v>493</v>
      </c>
      <c r="B3779" s="944" t="s">
        <v>3901</v>
      </c>
      <c r="C3779" s="919" t="s">
        <v>3902</v>
      </c>
      <c r="D3779" s="919" t="s">
        <v>4244</v>
      </c>
      <c r="E3779" s="920">
        <v>2500</v>
      </c>
      <c r="F3779" s="919" t="s">
        <v>10558</v>
      </c>
      <c r="G3779" s="919" t="s">
        <v>10559</v>
      </c>
      <c r="H3779" s="919" t="s">
        <v>4244</v>
      </c>
      <c r="I3779" s="919" t="s">
        <v>3679</v>
      </c>
      <c r="J3779" s="919"/>
      <c r="K3779" s="920">
        <v>1</v>
      </c>
      <c r="L3779" s="920">
        <v>12</v>
      </c>
      <c r="M3779" s="920">
        <f t="shared" si="116"/>
        <v>30000</v>
      </c>
      <c r="N3779" s="919"/>
      <c r="O3779" s="919"/>
      <c r="P3779" s="921">
        <f t="shared" si="117"/>
        <v>0</v>
      </c>
    </row>
    <row r="3780" spans="1:16" ht="20.100000000000001" customHeight="1" x14ac:dyDescent="0.25">
      <c r="A3780" s="918" t="s">
        <v>493</v>
      </c>
      <c r="B3780" s="944" t="s">
        <v>3901</v>
      </c>
      <c r="C3780" s="919" t="s">
        <v>3902</v>
      </c>
      <c r="D3780" s="919" t="s">
        <v>4375</v>
      </c>
      <c r="E3780" s="920">
        <v>4000</v>
      </c>
      <c r="F3780" s="919" t="s">
        <v>10560</v>
      </c>
      <c r="G3780" s="919" t="s">
        <v>10561</v>
      </c>
      <c r="H3780" s="919" t="s">
        <v>4375</v>
      </c>
      <c r="I3780" s="919" t="s">
        <v>3724</v>
      </c>
      <c r="J3780" s="919"/>
      <c r="K3780" s="920">
        <v>1</v>
      </c>
      <c r="L3780" s="920">
        <v>12</v>
      </c>
      <c r="M3780" s="920">
        <f t="shared" si="116"/>
        <v>48000</v>
      </c>
      <c r="N3780" s="919"/>
      <c r="O3780" s="919"/>
      <c r="P3780" s="921">
        <f t="shared" si="117"/>
        <v>0</v>
      </c>
    </row>
    <row r="3781" spans="1:16" ht="20.100000000000001" customHeight="1" x14ac:dyDescent="0.25">
      <c r="A3781" s="918" t="s">
        <v>493</v>
      </c>
      <c r="B3781" s="944" t="s">
        <v>3901</v>
      </c>
      <c r="C3781" s="919" t="s">
        <v>3902</v>
      </c>
      <c r="D3781" s="919" t="s">
        <v>4375</v>
      </c>
      <c r="E3781" s="920">
        <v>4000</v>
      </c>
      <c r="F3781" s="919" t="s">
        <v>10562</v>
      </c>
      <c r="G3781" s="919" t="s">
        <v>10563</v>
      </c>
      <c r="H3781" s="919" t="s">
        <v>4375</v>
      </c>
      <c r="I3781" s="919" t="s">
        <v>3724</v>
      </c>
      <c r="J3781" s="919"/>
      <c r="K3781" s="920">
        <v>1</v>
      </c>
      <c r="L3781" s="920">
        <v>12</v>
      </c>
      <c r="M3781" s="920">
        <f t="shared" si="116"/>
        <v>48000</v>
      </c>
      <c r="N3781" s="919"/>
      <c r="O3781" s="919"/>
      <c r="P3781" s="921">
        <f t="shared" si="117"/>
        <v>0</v>
      </c>
    </row>
    <row r="3782" spans="1:16" ht="20.100000000000001" customHeight="1" x14ac:dyDescent="0.25">
      <c r="A3782" s="918" t="s">
        <v>493</v>
      </c>
      <c r="B3782" s="944" t="s">
        <v>3901</v>
      </c>
      <c r="C3782" s="919" t="s">
        <v>3902</v>
      </c>
      <c r="D3782" s="919" t="s">
        <v>8687</v>
      </c>
      <c r="E3782" s="920">
        <v>4000</v>
      </c>
      <c r="F3782" s="919" t="s">
        <v>10564</v>
      </c>
      <c r="G3782" s="919" t="s">
        <v>10565</v>
      </c>
      <c r="H3782" s="919" t="s">
        <v>8687</v>
      </c>
      <c r="I3782" s="919" t="s">
        <v>3679</v>
      </c>
      <c r="J3782" s="919"/>
      <c r="K3782" s="920">
        <v>1</v>
      </c>
      <c r="L3782" s="920">
        <v>12</v>
      </c>
      <c r="M3782" s="920">
        <f t="shared" ref="M3782:M3845" si="118">E3782*L3782</f>
        <v>48000</v>
      </c>
      <c r="N3782" s="919"/>
      <c r="O3782" s="919"/>
      <c r="P3782" s="921">
        <f t="shared" ref="P3782:P3845" si="119">E3782*O3782</f>
        <v>0</v>
      </c>
    </row>
    <row r="3783" spans="1:16" ht="20.100000000000001" customHeight="1" x14ac:dyDescent="0.25">
      <c r="A3783" s="918" t="s">
        <v>493</v>
      </c>
      <c r="B3783" s="944" t="s">
        <v>3901</v>
      </c>
      <c r="C3783" s="919" t="s">
        <v>3902</v>
      </c>
      <c r="D3783" s="919" t="s">
        <v>4352</v>
      </c>
      <c r="E3783" s="920">
        <v>2300</v>
      </c>
      <c r="F3783" s="919" t="s">
        <v>10566</v>
      </c>
      <c r="G3783" s="919" t="s">
        <v>10567</v>
      </c>
      <c r="H3783" s="919" t="s">
        <v>4352</v>
      </c>
      <c r="I3783" s="919" t="s">
        <v>3724</v>
      </c>
      <c r="J3783" s="919"/>
      <c r="K3783" s="920">
        <v>1</v>
      </c>
      <c r="L3783" s="920">
        <v>12</v>
      </c>
      <c r="M3783" s="920">
        <f t="shared" si="118"/>
        <v>27600</v>
      </c>
      <c r="N3783" s="919"/>
      <c r="O3783" s="919"/>
      <c r="P3783" s="921">
        <f t="shared" si="119"/>
        <v>0</v>
      </c>
    </row>
    <row r="3784" spans="1:16" ht="20.100000000000001" customHeight="1" x14ac:dyDescent="0.25">
      <c r="A3784" s="918" t="s">
        <v>493</v>
      </c>
      <c r="B3784" s="944" t="s">
        <v>3901</v>
      </c>
      <c r="C3784" s="919" t="s">
        <v>3902</v>
      </c>
      <c r="D3784" s="919" t="s">
        <v>4382</v>
      </c>
      <c r="E3784" s="920">
        <v>2300</v>
      </c>
      <c r="F3784" s="919" t="s">
        <v>10568</v>
      </c>
      <c r="G3784" s="919" t="s">
        <v>10569</v>
      </c>
      <c r="H3784" s="919" t="s">
        <v>4382</v>
      </c>
      <c r="I3784" s="919" t="s">
        <v>3724</v>
      </c>
      <c r="J3784" s="919"/>
      <c r="K3784" s="920">
        <v>1</v>
      </c>
      <c r="L3784" s="920">
        <v>12</v>
      </c>
      <c r="M3784" s="920">
        <f t="shared" si="118"/>
        <v>27600</v>
      </c>
      <c r="N3784" s="919"/>
      <c r="O3784" s="919"/>
      <c r="P3784" s="921">
        <f t="shared" si="119"/>
        <v>0</v>
      </c>
    </row>
    <row r="3785" spans="1:16" ht="20.100000000000001" customHeight="1" x14ac:dyDescent="0.25">
      <c r="A3785" s="918" t="s">
        <v>493</v>
      </c>
      <c r="B3785" s="944" t="s">
        <v>3901</v>
      </c>
      <c r="C3785" s="919" t="s">
        <v>3902</v>
      </c>
      <c r="D3785" s="919" t="s">
        <v>4383</v>
      </c>
      <c r="E3785" s="920">
        <v>2300</v>
      </c>
      <c r="F3785" s="919" t="s">
        <v>10570</v>
      </c>
      <c r="G3785" s="919" t="s">
        <v>10571</v>
      </c>
      <c r="H3785" s="919" t="s">
        <v>4383</v>
      </c>
      <c r="I3785" s="919" t="s">
        <v>3724</v>
      </c>
      <c r="J3785" s="919"/>
      <c r="K3785" s="920">
        <v>1</v>
      </c>
      <c r="L3785" s="920">
        <v>12</v>
      </c>
      <c r="M3785" s="920">
        <f t="shared" si="118"/>
        <v>27600</v>
      </c>
      <c r="N3785" s="919"/>
      <c r="O3785" s="919"/>
      <c r="P3785" s="921">
        <f t="shared" si="119"/>
        <v>0</v>
      </c>
    </row>
    <row r="3786" spans="1:16" ht="20.100000000000001" customHeight="1" x14ac:dyDescent="0.25">
      <c r="A3786" s="918" t="s">
        <v>493</v>
      </c>
      <c r="B3786" s="944" t="s">
        <v>3901</v>
      </c>
      <c r="C3786" s="919" t="s">
        <v>3902</v>
      </c>
      <c r="D3786" s="919" t="s">
        <v>4383</v>
      </c>
      <c r="E3786" s="920">
        <v>2300</v>
      </c>
      <c r="F3786" s="919" t="s">
        <v>10572</v>
      </c>
      <c r="G3786" s="919" t="s">
        <v>10573</v>
      </c>
      <c r="H3786" s="919" t="s">
        <v>4383</v>
      </c>
      <c r="I3786" s="919" t="s">
        <v>3724</v>
      </c>
      <c r="J3786" s="919"/>
      <c r="K3786" s="920">
        <v>1</v>
      </c>
      <c r="L3786" s="920">
        <v>12</v>
      </c>
      <c r="M3786" s="920">
        <f t="shared" si="118"/>
        <v>27600</v>
      </c>
      <c r="N3786" s="919"/>
      <c r="O3786" s="919"/>
      <c r="P3786" s="921">
        <f t="shared" si="119"/>
        <v>0</v>
      </c>
    </row>
    <row r="3787" spans="1:16" ht="20.100000000000001" customHeight="1" x14ac:dyDescent="0.25">
      <c r="A3787" s="918" t="s">
        <v>493</v>
      </c>
      <c r="B3787" s="944" t="s">
        <v>3901</v>
      </c>
      <c r="C3787" s="919" t="s">
        <v>3902</v>
      </c>
      <c r="D3787" s="919" t="s">
        <v>4390</v>
      </c>
      <c r="E3787" s="920">
        <v>1400</v>
      </c>
      <c r="F3787" s="919" t="s">
        <v>10574</v>
      </c>
      <c r="G3787" s="919" t="s">
        <v>10575</v>
      </c>
      <c r="H3787" s="919" t="s">
        <v>4390</v>
      </c>
      <c r="I3787" s="919" t="s">
        <v>3686</v>
      </c>
      <c r="J3787" s="919"/>
      <c r="K3787" s="920">
        <v>1</v>
      </c>
      <c r="L3787" s="920">
        <v>12</v>
      </c>
      <c r="M3787" s="920">
        <f t="shared" si="118"/>
        <v>16800</v>
      </c>
      <c r="N3787" s="919"/>
      <c r="O3787" s="919"/>
      <c r="P3787" s="921">
        <f t="shared" si="119"/>
        <v>0</v>
      </c>
    </row>
    <row r="3788" spans="1:16" ht="20.100000000000001" customHeight="1" x14ac:dyDescent="0.25">
      <c r="A3788" s="918" t="s">
        <v>493</v>
      </c>
      <c r="B3788" s="944" t="s">
        <v>3901</v>
      </c>
      <c r="C3788" s="919" t="s">
        <v>3902</v>
      </c>
      <c r="D3788" s="919" t="s">
        <v>7224</v>
      </c>
      <c r="E3788" s="920">
        <v>1700</v>
      </c>
      <c r="F3788" s="919" t="s">
        <v>10576</v>
      </c>
      <c r="G3788" s="919" t="s">
        <v>10577</v>
      </c>
      <c r="H3788" s="919" t="s">
        <v>7224</v>
      </c>
      <c r="I3788" s="919" t="s">
        <v>3686</v>
      </c>
      <c r="J3788" s="919"/>
      <c r="K3788" s="920">
        <v>1</v>
      </c>
      <c r="L3788" s="920">
        <v>12</v>
      </c>
      <c r="M3788" s="920">
        <f t="shared" si="118"/>
        <v>20400</v>
      </c>
      <c r="N3788" s="919"/>
      <c r="O3788" s="919"/>
      <c r="P3788" s="921">
        <f t="shared" si="119"/>
        <v>0</v>
      </c>
    </row>
    <row r="3789" spans="1:16" ht="20.100000000000001" customHeight="1" x14ac:dyDescent="0.25">
      <c r="A3789" s="918" t="s">
        <v>493</v>
      </c>
      <c r="B3789" s="944" t="s">
        <v>3901</v>
      </c>
      <c r="C3789" s="919" t="s">
        <v>3902</v>
      </c>
      <c r="D3789" s="919" t="s">
        <v>7224</v>
      </c>
      <c r="E3789" s="920">
        <v>1400</v>
      </c>
      <c r="F3789" s="919" t="s">
        <v>10578</v>
      </c>
      <c r="G3789" s="919" t="s">
        <v>10579</v>
      </c>
      <c r="H3789" s="919" t="s">
        <v>7224</v>
      </c>
      <c r="I3789" s="919" t="s">
        <v>3686</v>
      </c>
      <c r="J3789" s="919"/>
      <c r="K3789" s="920">
        <v>1</v>
      </c>
      <c r="L3789" s="920">
        <v>12</v>
      </c>
      <c r="M3789" s="920">
        <f t="shared" si="118"/>
        <v>16800</v>
      </c>
      <c r="N3789" s="919"/>
      <c r="O3789" s="919"/>
      <c r="P3789" s="921">
        <f t="shared" si="119"/>
        <v>0</v>
      </c>
    </row>
    <row r="3790" spans="1:16" ht="20.100000000000001" customHeight="1" x14ac:dyDescent="0.25">
      <c r="A3790" s="918" t="s">
        <v>493</v>
      </c>
      <c r="B3790" s="944" t="s">
        <v>3901</v>
      </c>
      <c r="C3790" s="919" t="s">
        <v>3902</v>
      </c>
      <c r="D3790" s="919" t="s">
        <v>7224</v>
      </c>
      <c r="E3790" s="920">
        <v>1400</v>
      </c>
      <c r="F3790" s="919" t="s">
        <v>10580</v>
      </c>
      <c r="G3790" s="919" t="s">
        <v>10581</v>
      </c>
      <c r="H3790" s="919" t="s">
        <v>7224</v>
      </c>
      <c r="I3790" s="919" t="s">
        <v>3686</v>
      </c>
      <c r="J3790" s="919"/>
      <c r="K3790" s="920">
        <v>1</v>
      </c>
      <c r="L3790" s="920">
        <v>12</v>
      </c>
      <c r="M3790" s="920">
        <f t="shared" si="118"/>
        <v>16800</v>
      </c>
      <c r="N3790" s="919"/>
      <c r="O3790" s="919"/>
      <c r="P3790" s="921">
        <f t="shared" si="119"/>
        <v>0</v>
      </c>
    </row>
    <row r="3791" spans="1:16" ht="20.100000000000001" customHeight="1" x14ac:dyDescent="0.25">
      <c r="A3791" s="918" t="s">
        <v>493</v>
      </c>
      <c r="B3791" s="944" t="s">
        <v>3901</v>
      </c>
      <c r="C3791" s="919" t="s">
        <v>3902</v>
      </c>
      <c r="D3791" s="919" t="s">
        <v>4462</v>
      </c>
      <c r="E3791" s="920">
        <v>1400</v>
      </c>
      <c r="F3791" s="919" t="s">
        <v>10582</v>
      </c>
      <c r="G3791" s="919" t="s">
        <v>10583</v>
      </c>
      <c r="H3791" s="919" t="s">
        <v>4462</v>
      </c>
      <c r="I3791" s="919" t="s">
        <v>3686</v>
      </c>
      <c r="J3791" s="919"/>
      <c r="K3791" s="920">
        <v>1</v>
      </c>
      <c r="L3791" s="920">
        <v>12</v>
      </c>
      <c r="M3791" s="920">
        <f t="shared" si="118"/>
        <v>16800</v>
      </c>
      <c r="N3791" s="919"/>
      <c r="O3791" s="919"/>
      <c r="P3791" s="921">
        <f t="shared" si="119"/>
        <v>0</v>
      </c>
    </row>
    <row r="3792" spans="1:16" ht="20.100000000000001" customHeight="1" x14ac:dyDescent="0.25">
      <c r="A3792" s="918" t="s">
        <v>493</v>
      </c>
      <c r="B3792" s="944" t="s">
        <v>3901</v>
      </c>
      <c r="C3792" s="919" t="s">
        <v>3902</v>
      </c>
      <c r="D3792" s="919" t="s">
        <v>4462</v>
      </c>
      <c r="E3792" s="920">
        <v>1400</v>
      </c>
      <c r="F3792" s="919" t="s">
        <v>10584</v>
      </c>
      <c r="G3792" s="919" t="s">
        <v>10585</v>
      </c>
      <c r="H3792" s="919" t="s">
        <v>4462</v>
      </c>
      <c r="I3792" s="919" t="s">
        <v>3686</v>
      </c>
      <c r="J3792" s="919"/>
      <c r="K3792" s="920">
        <v>1</v>
      </c>
      <c r="L3792" s="920">
        <v>12</v>
      </c>
      <c r="M3792" s="920">
        <f t="shared" si="118"/>
        <v>16800</v>
      </c>
      <c r="N3792" s="919"/>
      <c r="O3792" s="919"/>
      <c r="P3792" s="921">
        <f t="shared" si="119"/>
        <v>0</v>
      </c>
    </row>
    <row r="3793" spans="1:16" ht="20.100000000000001" customHeight="1" x14ac:dyDescent="0.25">
      <c r="A3793" s="918" t="s">
        <v>493</v>
      </c>
      <c r="B3793" s="944" t="s">
        <v>3901</v>
      </c>
      <c r="C3793" s="919" t="s">
        <v>3902</v>
      </c>
      <c r="D3793" s="919" t="s">
        <v>4467</v>
      </c>
      <c r="E3793" s="920">
        <v>1400</v>
      </c>
      <c r="F3793" s="919" t="s">
        <v>4041</v>
      </c>
      <c r="G3793" s="919" t="s">
        <v>4042</v>
      </c>
      <c r="H3793" s="919" t="s">
        <v>4467</v>
      </c>
      <c r="I3793" s="919" t="s">
        <v>3686</v>
      </c>
      <c r="J3793" s="919"/>
      <c r="K3793" s="920">
        <v>1</v>
      </c>
      <c r="L3793" s="920">
        <v>12</v>
      </c>
      <c r="M3793" s="920">
        <f t="shared" si="118"/>
        <v>16800</v>
      </c>
      <c r="N3793" s="919"/>
      <c r="O3793" s="919"/>
      <c r="P3793" s="921">
        <f t="shared" si="119"/>
        <v>0</v>
      </c>
    </row>
    <row r="3794" spans="1:16" ht="20.100000000000001" customHeight="1" x14ac:dyDescent="0.25">
      <c r="A3794" s="918" t="s">
        <v>493</v>
      </c>
      <c r="B3794" s="944" t="s">
        <v>3901</v>
      </c>
      <c r="C3794" s="919" t="s">
        <v>3902</v>
      </c>
      <c r="D3794" s="919" t="s">
        <v>4467</v>
      </c>
      <c r="E3794" s="920">
        <v>1400</v>
      </c>
      <c r="F3794" s="919" t="s">
        <v>10586</v>
      </c>
      <c r="G3794" s="919" t="s">
        <v>10587</v>
      </c>
      <c r="H3794" s="919" t="s">
        <v>4467</v>
      </c>
      <c r="I3794" s="919" t="s">
        <v>3686</v>
      </c>
      <c r="J3794" s="919"/>
      <c r="K3794" s="920">
        <v>1</v>
      </c>
      <c r="L3794" s="920">
        <v>12</v>
      </c>
      <c r="M3794" s="920">
        <f t="shared" si="118"/>
        <v>16800</v>
      </c>
      <c r="N3794" s="919"/>
      <c r="O3794" s="919"/>
      <c r="P3794" s="921">
        <f t="shared" si="119"/>
        <v>0</v>
      </c>
    </row>
    <row r="3795" spans="1:16" ht="20.100000000000001" customHeight="1" x14ac:dyDescent="0.25">
      <c r="A3795" s="918" t="s">
        <v>493</v>
      </c>
      <c r="B3795" s="944" t="s">
        <v>3901</v>
      </c>
      <c r="C3795" s="919" t="s">
        <v>3902</v>
      </c>
      <c r="D3795" s="919" t="s">
        <v>4467</v>
      </c>
      <c r="E3795" s="920">
        <v>1400</v>
      </c>
      <c r="F3795" s="919" t="s">
        <v>10588</v>
      </c>
      <c r="G3795" s="919" t="s">
        <v>10589</v>
      </c>
      <c r="H3795" s="919" t="s">
        <v>4467</v>
      </c>
      <c r="I3795" s="919" t="s">
        <v>3686</v>
      </c>
      <c r="J3795" s="919"/>
      <c r="K3795" s="920">
        <v>1</v>
      </c>
      <c r="L3795" s="920">
        <v>12</v>
      </c>
      <c r="M3795" s="920">
        <f t="shared" si="118"/>
        <v>16800</v>
      </c>
      <c r="N3795" s="919"/>
      <c r="O3795" s="919"/>
      <c r="P3795" s="921">
        <f t="shared" si="119"/>
        <v>0</v>
      </c>
    </row>
    <row r="3796" spans="1:16" ht="20.100000000000001" customHeight="1" x14ac:dyDescent="0.25">
      <c r="A3796" s="918" t="s">
        <v>493</v>
      </c>
      <c r="B3796" s="944" t="s">
        <v>3901</v>
      </c>
      <c r="C3796" s="919" t="s">
        <v>3902</v>
      </c>
      <c r="D3796" s="919" t="s">
        <v>6617</v>
      </c>
      <c r="E3796" s="920">
        <v>1200</v>
      </c>
      <c r="F3796" s="919" t="s">
        <v>10590</v>
      </c>
      <c r="G3796" s="919" t="s">
        <v>10591</v>
      </c>
      <c r="H3796" s="919" t="s">
        <v>6617</v>
      </c>
      <c r="I3796" s="919" t="s">
        <v>3686</v>
      </c>
      <c r="J3796" s="919"/>
      <c r="K3796" s="920">
        <v>1</v>
      </c>
      <c r="L3796" s="920">
        <v>12</v>
      </c>
      <c r="M3796" s="920">
        <f t="shared" si="118"/>
        <v>14400</v>
      </c>
      <c r="N3796" s="919"/>
      <c r="O3796" s="919"/>
      <c r="P3796" s="921">
        <f t="shared" si="119"/>
        <v>0</v>
      </c>
    </row>
    <row r="3797" spans="1:16" ht="20.100000000000001" customHeight="1" x14ac:dyDescent="0.25">
      <c r="A3797" s="918" t="s">
        <v>493</v>
      </c>
      <c r="B3797" s="944" t="s">
        <v>3901</v>
      </c>
      <c r="C3797" s="919" t="s">
        <v>3902</v>
      </c>
      <c r="D3797" s="919" t="s">
        <v>6617</v>
      </c>
      <c r="E3797" s="920">
        <v>1200</v>
      </c>
      <c r="F3797" s="919" t="s">
        <v>10592</v>
      </c>
      <c r="G3797" s="919" t="s">
        <v>10593</v>
      </c>
      <c r="H3797" s="919" t="s">
        <v>6617</v>
      </c>
      <c r="I3797" s="919" t="s">
        <v>3686</v>
      </c>
      <c r="J3797" s="919"/>
      <c r="K3797" s="920">
        <v>1</v>
      </c>
      <c r="L3797" s="920">
        <v>12</v>
      </c>
      <c r="M3797" s="920">
        <f t="shared" si="118"/>
        <v>14400</v>
      </c>
      <c r="N3797" s="919"/>
      <c r="O3797" s="919"/>
      <c r="P3797" s="921">
        <f t="shared" si="119"/>
        <v>0</v>
      </c>
    </row>
    <row r="3798" spans="1:16" ht="20.100000000000001" customHeight="1" x14ac:dyDescent="0.25">
      <c r="A3798" s="918" t="s">
        <v>493</v>
      </c>
      <c r="B3798" s="944" t="s">
        <v>3901</v>
      </c>
      <c r="C3798" s="919" t="s">
        <v>3902</v>
      </c>
      <c r="D3798" s="919" t="s">
        <v>6617</v>
      </c>
      <c r="E3798" s="920">
        <v>1200</v>
      </c>
      <c r="F3798" s="919" t="s">
        <v>10594</v>
      </c>
      <c r="G3798" s="919" t="s">
        <v>10595</v>
      </c>
      <c r="H3798" s="919" t="s">
        <v>6617</v>
      </c>
      <c r="I3798" s="919" t="s">
        <v>3686</v>
      </c>
      <c r="J3798" s="919"/>
      <c r="K3798" s="920">
        <v>1</v>
      </c>
      <c r="L3798" s="920">
        <v>12</v>
      </c>
      <c r="M3798" s="920">
        <f t="shared" si="118"/>
        <v>14400</v>
      </c>
      <c r="N3798" s="919"/>
      <c r="O3798" s="919"/>
      <c r="P3798" s="921">
        <f t="shared" si="119"/>
        <v>0</v>
      </c>
    </row>
    <row r="3799" spans="1:16" ht="20.100000000000001" customHeight="1" x14ac:dyDescent="0.25">
      <c r="A3799" s="918" t="s">
        <v>493</v>
      </c>
      <c r="B3799" s="944" t="s">
        <v>3901</v>
      </c>
      <c r="C3799" s="919" t="s">
        <v>3902</v>
      </c>
      <c r="D3799" s="919" t="s">
        <v>6617</v>
      </c>
      <c r="E3799" s="920">
        <v>1200</v>
      </c>
      <c r="F3799" s="919" t="s">
        <v>10596</v>
      </c>
      <c r="G3799" s="919" t="s">
        <v>10597</v>
      </c>
      <c r="H3799" s="919" t="s">
        <v>6617</v>
      </c>
      <c r="I3799" s="919" t="s">
        <v>3686</v>
      </c>
      <c r="J3799" s="919"/>
      <c r="K3799" s="920">
        <v>1</v>
      </c>
      <c r="L3799" s="920">
        <v>12</v>
      </c>
      <c r="M3799" s="920">
        <f t="shared" si="118"/>
        <v>14400</v>
      </c>
      <c r="N3799" s="919"/>
      <c r="O3799" s="919"/>
      <c r="P3799" s="921">
        <f t="shared" si="119"/>
        <v>0</v>
      </c>
    </row>
    <row r="3800" spans="1:16" ht="20.100000000000001" customHeight="1" x14ac:dyDescent="0.25">
      <c r="A3800" s="918" t="s">
        <v>493</v>
      </c>
      <c r="B3800" s="944" t="s">
        <v>3901</v>
      </c>
      <c r="C3800" s="919" t="s">
        <v>3902</v>
      </c>
      <c r="D3800" s="919" t="s">
        <v>6617</v>
      </c>
      <c r="E3800" s="920">
        <v>1200</v>
      </c>
      <c r="F3800" s="919" t="s">
        <v>10598</v>
      </c>
      <c r="G3800" s="919" t="s">
        <v>10599</v>
      </c>
      <c r="H3800" s="919" t="s">
        <v>6617</v>
      </c>
      <c r="I3800" s="919" t="s">
        <v>3686</v>
      </c>
      <c r="J3800" s="919"/>
      <c r="K3800" s="920">
        <v>1</v>
      </c>
      <c r="L3800" s="920">
        <v>12</v>
      </c>
      <c r="M3800" s="920">
        <f t="shared" si="118"/>
        <v>14400</v>
      </c>
      <c r="N3800" s="919"/>
      <c r="O3800" s="919"/>
      <c r="P3800" s="921">
        <f t="shared" si="119"/>
        <v>0</v>
      </c>
    </row>
    <row r="3801" spans="1:16" ht="20.100000000000001" customHeight="1" x14ac:dyDescent="0.25">
      <c r="A3801" s="918" t="s">
        <v>493</v>
      </c>
      <c r="B3801" s="944" t="s">
        <v>3901</v>
      </c>
      <c r="C3801" s="919" t="s">
        <v>3902</v>
      </c>
      <c r="D3801" s="919" t="s">
        <v>6617</v>
      </c>
      <c r="E3801" s="920">
        <v>1200</v>
      </c>
      <c r="F3801" s="919" t="s">
        <v>10600</v>
      </c>
      <c r="G3801" s="919" t="s">
        <v>10601</v>
      </c>
      <c r="H3801" s="919" t="s">
        <v>6617</v>
      </c>
      <c r="I3801" s="919" t="s">
        <v>3686</v>
      </c>
      <c r="J3801" s="919"/>
      <c r="K3801" s="920">
        <v>1</v>
      </c>
      <c r="L3801" s="920">
        <v>12</v>
      </c>
      <c r="M3801" s="920">
        <f t="shared" si="118"/>
        <v>14400</v>
      </c>
      <c r="N3801" s="919"/>
      <c r="O3801" s="919"/>
      <c r="P3801" s="921">
        <f t="shared" si="119"/>
        <v>0</v>
      </c>
    </row>
    <row r="3802" spans="1:16" ht="20.100000000000001" customHeight="1" x14ac:dyDescent="0.25">
      <c r="A3802" s="918" t="s">
        <v>493</v>
      </c>
      <c r="B3802" s="944" t="s">
        <v>3901</v>
      </c>
      <c r="C3802" s="919" t="s">
        <v>3902</v>
      </c>
      <c r="D3802" s="919" t="s">
        <v>6617</v>
      </c>
      <c r="E3802" s="920">
        <v>1200</v>
      </c>
      <c r="F3802" s="919" t="s">
        <v>10602</v>
      </c>
      <c r="G3802" s="919" t="s">
        <v>10603</v>
      </c>
      <c r="H3802" s="919" t="s">
        <v>6617</v>
      </c>
      <c r="I3802" s="919" t="s">
        <v>3686</v>
      </c>
      <c r="J3802" s="919"/>
      <c r="K3802" s="920">
        <v>1</v>
      </c>
      <c r="L3802" s="920">
        <v>12</v>
      </c>
      <c r="M3802" s="920">
        <f t="shared" si="118"/>
        <v>14400</v>
      </c>
      <c r="N3802" s="919"/>
      <c r="O3802" s="919"/>
      <c r="P3802" s="921">
        <f t="shared" si="119"/>
        <v>0</v>
      </c>
    </row>
    <row r="3803" spans="1:16" ht="20.100000000000001" customHeight="1" x14ac:dyDescent="0.25">
      <c r="A3803" s="918" t="s">
        <v>493</v>
      </c>
      <c r="B3803" s="944" t="s">
        <v>3901</v>
      </c>
      <c r="C3803" s="919" t="s">
        <v>3902</v>
      </c>
      <c r="D3803" s="919" t="s">
        <v>6617</v>
      </c>
      <c r="E3803" s="920">
        <v>1200</v>
      </c>
      <c r="F3803" s="919" t="s">
        <v>10604</v>
      </c>
      <c r="G3803" s="919" t="s">
        <v>10605</v>
      </c>
      <c r="H3803" s="919" t="s">
        <v>6617</v>
      </c>
      <c r="I3803" s="919" t="s">
        <v>3686</v>
      </c>
      <c r="J3803" s="919"/>
      <c r="K3803" s="920">
        <v>1</v>
      </c>
      <c r="L3803" s="920">
        <v>12</v>
      </c>
      <c r="M3803" s="920">
        <f t="shared" si="118"/>
        <v>14400</v>
      </c>
      <c r="N3803" s="919"/>
      <c r="O3803" s="919"/>
      <c r="P3803" s="921">
        <f t="shared" si="119"/>
        <v>0</v>
      </c>
    </row>
    <row r="3804" spans="1:16" ht="20.100000000000001" customHeight="1" x14ac:dyDescent="0.25">
      <c r="A3804" s="918" t="s">
        <v>493</v>
      </c>
      <c r="B3804" s="944" t="s">
        <v>3901</v>
      </c>
      <c r="C3804" s="919" t="s">
        <v>3902</v>
      </c>
      <c r="D3804" s="919" t="s">
        <v>6617</v>
      </c>
      <c r="E3804" s="920">
        <v>1200</v>
      </c>
      <c r="F3804" s="919" t="s">
        <v>10606</v>
      </c>
      <c r="G3804" s="919" t="s">
        <v>10607</v>
      </c>
      <c r="H3804" s="919" t="s">
        <v>6617</v>
      </c>
      <c r="I3804" s="919" t="s">
        <v>3686</v>
      </c>
      <c r="J3804" s="919"/>
      <c r="K3804" s="920">
        <v>1</v>
      </c>
      <c r="L3804" s="920">
        <v>12</v>
      </c>
      <c r="M3804" s="920">
        <f t="shared" si="118"/>
        <v>14400</v>
      </c>
      <c r="N3804" s="919"/>
      <c r="O3804" s="919"/>
      <c r="P3804" s="921">
        <f t="shared" si="119"/>
        <v>0</v>
      </c>
    </row>
    <row r="3805" spans="1:16" ht="20.100000000000001" customHeight="1" x14ac:dyDescent="0.25">
      <c r="A3805" s="918" t="s">
        <v>493</v>
      </c>
      <c r="B3805" s="944" t="s">
        <v>3901</v>
      </c>
      <c r="C3805" s="919" t="s">
        <v>3902</v>
      </c>
      <c r="D3805" s="919" t="s">
        <v>6617</v>
      </c>
      <c r="E3805" s="920">
        <v>1200</v>
      </c>
      <c r="F3805" s="919" t="s">
        <v>10608</v>
      </c>
      <c r="G3805" s="919" t="s">
        <v>10609</v>
      </c>
      <c r="H3805" s="919" t="s">
        <v>6617</v>
      </c>
      <c r="I3805" s="919" t="s">
        <v>3686</v>
      </c>
      <c r="J3805" s="919"/>
      <c r="K3805" s="920">
        <v>1</v>
      </c>
      <c r="L3805" s="920">
        <v>12</v>
      </c>
      <c r="M3805" s="920">
        <f t="shared" si="118"/>
        <v>14400</v>
      </c>
      <c r="N3805" s="919"/>
      <c r="O3805" s="919"/>
      <c r="P3805" s="921">
        <f t="shared" si="119"/>
        <v>0</v>
      </c>
    </row>
    <row r="3806" spans="1:16" ht="20.100000000000001" customHeight="1" x14ac:dyDescent="0.25">
      <c r="A3806" s="918" t="s">
        <v>493</v>
      </c>
      <c r="B3806" s="944" t="s">
        <v>3901</v>
      </c>
      <c r="C3806" s="919" t="s">
        <v>3902</v>
      </c>
      <c r="D3806" s="919" t="s">
        <v>6617</v>
      </c>
      <c r="E3806" s="920">
        <v>1200</v>
      </c>
      <c r="F3806" s="919" t="s">
        <v>10610</v>
      </c>
      <c r="G3806" s="919" t="s">
        <v>10611</v>
      </c>
      <c r="H3806" s="919" t="s">
        <v>6617</v>
      </c>
      <c r="I3806" s="919" t="s">
        <v>3686</v>
      </c>
      <c r="J3806" s="919"/>
      <c r="K3806" s="920">
        <v>1</v>
      </c>
      <c r="L3806" s="920">
        <v>12</v>
      </c>
      <c r="M3806" s="920">
        <f t="shared" si="118"/>
        <v>14400</v>
      </c>
      <c r="N3806" s="919"/>
      <c r="O3806" s="919"/>
      <c r="P3806" s="921">
        <f t="shared" si="119"/>
        <v>0</v>
      </c>
    </row>
    <row r="3807" spans="1:16" ht="20.100000000000001" customHeight="1" x14ac:dyDescent="0.25">
      <c r="A3807" s="918" t="s">
        <v>493</v>
      </c>
      <c r="B3807" s="944" t="s">
        <v>3901</v>
      </c>
      <c r="C3807" s="919" t="s">
        <v>3902</v>
      </c>
      <c r="D3807" s="919" t="s">
        <v>6617</v>
      </c>
      <c r="E3807" s="920">
        <v>1200</v>
      </c>
      <c r="F3807" s="919" t="s">
        <v>4041</v>
      </c>
      <c r="G3807" s="919" t="s">
        <v>4042</v>
      </c>
      <c r="H3807" s="919" t="s">
        <v>6617</v>
      </c>
      <c r="I3807" s="919" t="s">
        <v>3686</v>
      </c>
      <c r="J3807" s="919"/>
      <c r="K3807" s="920">
        <v>1</v>
      </c>
      <c r="L3807" s="920">
        <v>12</v>
      </c>
      <c r="M3807" s="920">
        <f t="shared" si="118"/>
        <v>14400</v>
      </c>
      <c r="N3807" s="919"/>
      <c r="O3807" s="919"/>
      <c r="P3807" s="921">
        <f t="shared" si="119"/>
        <v>0</v>
      </c>
    </row>
    <row r="3808" spans="1:16" ht="20.100000000000001" customHeight="1" x14ac:dyDescent="0.25">
      <c r="A3808" s="918" t="s">
        <v>493</v>
      </c>
      <c r="B3808" s="944" t="s">
        <v>3901</v>
      </c>
      <c r="C3808" s="919" t="s">
        <v>3902</v>
      </c>
      <c r="D3808" s="919" t="s">
        <v>6617</v>
      </c>
      <c r="E3808" s="920">
        <v>1200</v>
      </c>
      <c r="F3808" s="919" t="s">
        <v>10612</v>
      </c>
      <c r="G3808" s="919" t="s">
        <v>10613</v>
      </c>
      <c r="H3808" s="919" t="s">
        <v>6617</v>
      </c>
      <c r="I3808" s="919" t="s">
        <v>3686</v>
      </c>
      <c r="J3808" s="919"/>
      <c r="K3808" s="920">
        <v>1</v>
      </c>
      <c r="L3808" s="920">
        <v>12</v>
      </c>
      <c r="M3808" s="920">
        <f t="shared" si="118"/>
        <v>14400</v>
      </c>
      <c r="N3808" s="919"/>
      <c r="O3808" s="919"/>
      <c r="P3808" s="921">
        <f t="shared" si="119"/>
        <v>0</v>
      </c>
    </row>
    <row r="3809" spans="1:16" ht="20.100000000000001" customHeight="1" x14ac:dyDescent="0.25">
      <c r="A3809" s="918" t="s">
        <v>493</v>
      </c>
      <c r="B3809" s="944" t="s">
        <v>3929</v>
      </c>
      <c r="C3809" s="919" t="s">
        <v>3902</v>
      </c>
      <c r="D3809" s="919" t="s">
        <v>4108</v>
      </c>
      <c r="E3809" s="920">
        <v>2500</v>
      </c>
      <c r="F3809" s="922" t="s">
        <v>4041</v>
      </c>
      <c r="G3809" s="919" t="s">
        <v>4042</v>
      </c>
      <c r="H3809" s="919" t="s">
        <v>4108</v>
      </c>
      <c r="I3809" s="919" t="s">
        <v>3679</v>
      </c>
      <c r="J3809" s="919"/>
      <c r="K3809" s="920">
        <v>1</v>
      </c>
      <c r="L3809" s="920">
        <v>12</v>
      </c>
      <c r="M3809" s="920">
        <f t="shared" si="118"/>
        <v>30000</v>
      </c>
      <c r="N3809" s="919"/>
      <c r="O3809" s="919"/>
      <c r="P3809" s="921">
        <f t="shared" si="119"/>
        <v>0</v>
      </c>
    </row>
    <row r="3810" spans="1:16" ht="20.100000000000001" customHeight="1" x14ac:dyDescent="0.25">
      <c r="A3810" s="918" t="s">
        <v>493</v>
      </c>
      <c r="B3810" s="944" t="s">
        <v>3929</v>
      </c>
      <c r="C3810" s="919" t="s">
        <v>3902</v>
      </c>
      <c r="D3810" s="919" t="s">
        <v>4244</v>
      </c>
      <c r="E3810" s="920">
        <v>2500</v>
      </c>
      <c r="F3810" s="922" t="s">
        <v>4041</v>
      </c>
      <c r="G3810" s="919" t="s">
        <v>4042</v>
      </c>
      <c r="H3810" s="919" t="s">
        <v>4244</v>
      </c>
      <c r="I3810" s="919" t="s">
        <v>3679</v>
      </c>
      <c r="J3810" s="919"/>
      <c r="K3810" s="920">
        <v>1</v>
      </c>
      <c r="L3810" s="920">
        <v>12</v>
      </c>
      <c r="M3810" s="920">
        <f t="shared" si="118"/>
        <v>30000</v>
      </c>
      <c r="N3810" s="919"/>
      <c r="O3810" s="919"/>
      <c r="P3810" s="921">
        <f t="shared" si="119"/>
        <v>0</v>
      </c>
    </row>
    <row r="3811" spans="1:16" ht="20.100000000000001" customHeight="1" x14ac:dyDescent="0.25">
      <c r="A3811" s="918" t="s">
        <v>493</v>
      </c>
      <c r="B3811" s="944" t="s">
        <v>3929</v>
      </c>
      <c r="C3811" s="919" t="s">
        <v>3902</v>
      </c>
      <c r="D3811" s="919" t="s">
        <v>6120</v>
      </c>
      <c r="E3811" s="920">
        <v>4000</v>
      </c>
      <c r="F3811" s="922" t="s">
        <v>4041</v>
      </c>
      <c r="G3811" s="919" t="s">
        <v>4042</v>
      </c>
      <c r="H3811" s="919" t="s">
        <v>6120</v>
      </c>
      <c r="I3811" s="919" t="s">
        <v>3724</v>
      </c>
      <c r="J3811" s="919"/>
      <c r="K3811" s="920">
        <v>1</v>
      </c>
      <c r="L3811" s="920">
        <v>12</v>
      </c>
      <c r="M3811" s="920">
        <f t="shared" si="118"/>
        <v>48000</v>
      </c>
      <c r="N3811" s="919"/>
      <c r="O3811" s="919"/>
      <c r="P3811" s="921">
        <f t="shared" si="119"/>
        <v>0</v>
      </c>
    </row>
    <row r="3812" spans="1:16" ht="20.100000000000001" customHeight="1" x14ac:dyDescent="0.25">
      <c r="A3812" s="918" t="s">
        <v>493</v>
      </c>
      <c r="B3812" s="944" t="s">
        <v>3929</v>
      </c>
      <c r="C3812" s="919" t="s">
        <v>3902</v>
      </c>
      <c r="D3812" s="919" t="s">
        <v>3999</v>
      </c>
      <c r="E3812" s="920">
        <v>2300</v>
      </c>
      <c r="F3812" s="922" t="s">
        <v>4041</v>
      </c>
      <c r="G3812" s="919" t="s">
        <v>4042</v>
      </c>
      <c r="H3812" s="919" t="s">
        <v>3999</v>
      </c>
      <c r="I3812" s="919" t="s">
        <v>3724</v>
      </c>
      <c r="J3812" s="919"/>
      <c r="K3812" s="920">
        <v>1</v>
      </c>
      <c r="L3812" s="920">
        <v>12</v>
      </c>
      <c r="M3812" s="920">
        <f t="shared" si="118"/>
        <v>27600</v>
      </c>
      <c r="N3812" s="919"/>
      <c r="O3812" s="919"/>
      <c r="P3812" s="921">
        <f t="shared" si="119"/>
        <v>0</v>
      </c>
    </row>
    <row r="3813" spans="1:16" ht="20.100000000000001" customHeight="1" x14ac:dyDescent="0.25">
      <c r="A3813" s="918" t="s">
        <v>493</v>
      </c>
      <c r="B3813" s="944" t="s">
        <v>3929</v>
      </c>
      <c r="C3813" s="919" t="s">
        <v>3902</v>
      </c>
      <c r="D3813" s="919" t="s">
        <v>3999</v>
      </c>
      <c r="E3813" s="920">
        <v>2300</v>
      </c>
      <c r="F3813" s="922" t="s">
        <v>4041</v>
      </c>
      <c r="G3813" s="919" t="s">
        <v>4042</v>
      </c>
      <c r="H3813" s="919" t="s">
        <v>3999</v>
      </c>
      <c r="I3813" s="919" t="s">
        <v>3724</v>
      </c>
      <c r="J3813" s="919"/>
      <c r="K3813" s="920">
        <v>1</v>
      </c>
      <c r="L3813" s="920">
        <v>12</v>
      </c>
      <c r="M3813" s="920">
        <f t="shared" si="118"/>
        <v>27600</v>
      </c>
      <c r="N3813" s="919"/>
      <c r="O3813" s="919"/>
      <c r="P3813" s="921">
        <f t="shared" si="119"/>
        <v>0</v>
      </c>
    </row>
    <row r="3814" spans="1:16" ht="20.100000000000001" customHeight="1" x14ac:dyDescent="0.25">
      <c r="A3814" s="918" t="s">
        <v>493</v>
      </c>
      <c r="B3814" s="944" t="s">
        <v>3929</v>
      </c>
      <c r="C3814" s="919" t="s">
        <v>3902</v>
      </c>
      <c r="D3814" s="919" t="s">
        <v>3999</v>
      </c>
      <c r="E3814" s="920">
        <v>2300</v>
      </c>
      <c r="F3814" s="922" t="s">
        <v>4041</v>
      </c>
      <c r="G3814" s="919" t="s">
        <v>4042</v>
      </c>
      <c r="H3814" s="919" t="s">
        <v>3999</v>
      </c>
      <c r="I3814" s="919" t="s">
        <v>3724</v>
      </c>
      <c r="J3814" s="919"/>
      <c r="K3814" s="920">
        <v>1</v>
      </c>
      <c r="L3814" s="920">
        <v>12</v>
      </c>
      <c r="M3814" s="920">
        <f t="shared" si="118"/>
        <v>27600</v>
      </c>
      <c r="N3814" s="919"/>
      <c r="O3814" s="919"/>
      <c r="P3814" s="921">
        <f t="shared" si="119"/>
        <v>0</v>
      </c>
    </row>
    <row r="3815" spans="1:16" ht="20.100000000000001" customHeight="1" x14ac:dyDescent="0.25">
      <c r="A3815" s="918" t="s">
        <v>493</v>
      </c>
      <c r="B3815" s="944" t="s">
        <v>3929</v>
      </c>
      <c r="C3815" s="919" t="s">
        <v>3902</v>
      </c>
      <c r="D3815" s="919" t="s">
        <v>4449</v>
      </c>
      <c r="E3815" s="920">
        <v>2300</v>
      </c>
      <c r="F3815" s="922" t="s">
        <v>4041</v>
      </c>
      <c r="G3815" s="919" t="s">
        <v>4042</v>
      </c>
      <c r="H3815" s="919" t="s">
        <v>4449</v>
      </c>
      <c r="I3815" s="919" t="s">
        <v>3724</v>
      </c>
      <c r="J3815" s="919"/>
      <c r="K3815" s="920">
        <v>1</v>
      </c>
      <c r="L3815" s="920">
        <v>12</v>
      </c>
      <c r="M3815" s="920">
        <f t="shared" si="118"/>
        <v>27600</v>
      </c>
      <c r="N3815" s="919"/>
      <c r="O3815" s="919"/>
      <c r="P3815" s="921">
        <f t="shared" si="119"/>
        <v>0</v>
      </c>
    </row>
    <row r="3816" spans="1:16" ht="20.100000000000001" customHeight="1" x14ac:dyDescent="0.25">
      <c r="A3816" s="918" t="s">
        <v>493</v>
      </c>
      <c r="B3816" s="944" t="s">
        <v>3929</v>
      </c>
      <c r="C3816" s="919" t="s">
        <v>3902</v>
      </c>
      <c r="D3816" s="919" t="s">
        <v>4462</v>
      </c>
      <c r="E3816" s="920">
        <v>1400</v>
      </c>
      <c r="F3816" s="922" t="s">
        <v>4041</v>
      </c>
      <c r="G3816" s="919" t="s">
        <v>4042</v>
      </c>
      <c r="H3816" s="919" t="s">
        <v>4462</v>
      </c>
      <c r="I3816" s="919" t="s">
        <v>3686</v>
      </c>
      <c r="J3816" s="919"/>
      <c r="K3816" s="920">
        <v>1</v>
      </c>
      <c r="L3816" s="920">
        <v>12</v>
      </c>
      <c r="M3816" s="920">
        <f t="shared" si="118"/>
        <v>16800</v>
      </c>
      <c r="N3816" s="919"/>
      <c r="O3816" s="919"/>
      <c r="P3816" s="921">
        <f t="shared" si="119"/>
        <v>0</v>
      </c>
    </row>
    <row r="3817" spans="1:16" ht="20.100000000000001" customHeight="1" x14ac:dyDescent="0.25">
      <c r="A3817" s="918" t="s">
        <v>493</v>
      </c>
      <c r="B3817" s="944" t="s">
        <v>3929</v>
      </c>
      <c r="C3817" s="919" t="s">
        <v>3902</v>
      </c>
      <c r="D3817" s="919" t="s">
        <v>7224</v>
      </c>
      <c r="E3817" s="920">
        <v>1400</v>
      </c>
      <c r="F3817" s="922" t="s">
        <v>4041</v>
      </c>
      <c r="G3817" s="919" t="s">
        <v>4042</v>
      </c>
      <c r="H3817" s="919" t="s">
        <v>7224</v>
      </c>
      <c r="I3817" s="919" t="s">
        <v>3686</v>
      </c>
      <c r="J3817" s="919"/>
      <c r="K3817" s="920">
        <v>1</v>
      </c>
      <c r="L3817" s="920">
        <v>12</v>
      </c>
      <c r="M3817" s="920">
        <f t="shared" si="118"/>
        <v>16800</v>
      </c>
      <c r="N3817" s="919"/>
      <c r="O3817" s="919"/>
      <c r="P3817" s="921">
        <f t="shared" si="119"/>
        <v>0</v>
      </c>
    </row>
    <row r="3818" spans="1:16" ht="20.100000000000001" customHeight="1" x14ac:dyDescent="0.25">
      <c r="A3818" s="918" t="s">
        <v>493</v>
      </c>
      <c r="B3818" s="944" t="s">
        <v>3901</v>
      </c>
      <c r="C3818" s="919" t="s">
        <v>3902</v>
      </c>
      <c r="D3818" s="919" t="s">
        <v>6120</v>
      </c>
      <c r="E3818" s="920">
        <v>4000</v>
      </c>
      <c r="F3818" s="919" t="s">
        <v>10614</v>
      </c>
      <c r="G3818" s="919" t="s">
        <v>10615</v>
      </c>
      <c r="H3818" s="919" t="s">
        <v>6120</v>
      </c>
      <c r="I3818" s="919" t="s">
        <v>3724</v>
      </c>
      <c r="J3818" s="919"/>
      <c r="K3818" s="920">
        <v>1</v>
      </c>
      <c r="L3818" s="920">
        <v>12</v>
      </c>
      <c r="M3818" s="920">
        <f t="shared" si="118"/>
        <v>48000</v>
      </c>
      <c r="N3818" s="919"/>
      <c r="O3818" s="919"/>
      <c r="P3818" s="921">
        <f t="shared" si="119"/>
        <v>0</v>
      </c>
    </row>
    <row r="3819" spans="1:16" ht="20.100000000000001" customHeight="1" x14ac:dyDescent="0.25">
      <c r="A3819" s="918" t="s">
        <v>493</v>
      </c>
      <c r="B3819" s="944" t="s">
        <v>3901</v>
      </c>
      <c r="C3819" s="919" t="s">
        <v>3902</v>
      </c>
      <c r="D3819" s="919" t="s">
        <v>3955</v>
      </c>
      <c r="E3819" s="920">
        <v>2500</v>
      </c>
      <c r="F3819" s="919" t="s">
        <v>4041</v>
      </c>
      <c r="G3819" s="919" t="s">
        <v>4042</v>
      </c>
      <c r="H3819" s="919" t="s">
        <v>3955</v>
      </c>
      <c r="I3819" s="919" t="s">
        <v>3679</v>
      </c>
      <c r="J3819" s="919"/>
      <c r="K3819" s="920">
        <v>1</v>
      </c>
      <c r="L3819" s="920">
        <v>12</v>
      </c>
      <c r="M3819" s="920">
        <f t="shared" si="118"/>
        <v>30000</v>
      </c>
      <c r="N3819" s="919"/>
      <c r="O3819" s="919"/>
      <c r="P3819" s="921">
        <f t="shared" si="119"/>
        <v>0</v>
      </c>
    </row>
    <row r="3820" spans="1:16" ht="20.100000000000001" customHeight="1" x14ac:dyDescent="0.25">
      <c r="A3820" s="918" t="s">
        <v>493</v>
      </c>
      <c r="B3820" s="944" t="s">
        <v>3901</v>
      </c>
      <c r="C3820" s="919" t="s">
        <v>3902</v>
      </c>
      <c r="D3820" s="919" t="s">
        <v>3999</v>
      </c>
      <c r="E3820" s="920">
        <v>2300</v>
      </c>
      <c r="F3820" s="919" t="s">
        <v>4041</v>
      </c>
      <c r="G3820" s="919" t="s">
        <v>4042</v>
      </c>
      <c r="H3820" s="919" t="s">
        <v>3999</v>
      </c>
      <c r="I3820" s="919" t="s">
        <v>3724</v>
      </c>
      <c r="J3820" s="919"/>
      <c r="K3820" s="920">
        <v>1</v>
      </c>
      <c r="L3820" s="920">
        <v>12</v>
      </c>
      <c r="M3820" s="920">
        <f t="shared" si="118"/>
        <v>27600</v>
      </c>
      <c r="N3820" s="919"/>
      <c r="O3820" s="919"/>
      <c r="P3820" s="921">
        <f t="shared" si="119"/>
        <v>0</v>
      </c>
    </row>
    <row r="3821" spans="1:16" ht="20.100000000000001" customHeight="1" x14ac:dyDescent="0.25">
      <c r="A3821" s="918" t="s">
        <v>493</v>
      </c>
      <c r="B3821" s="944" t="s">
        <v>3901</v>
      </c>
      <c r="C3821" s="919" t="s">
        <v>3902</v>
      </c>
      <c r="D3821" s="919" t="s">
        <v>3999</v>
      </c>
      <c r="E3821" s="920">
        <v>2300</v>
      </c>
      <c r="F3821" s="919" t="s">
        <v>10616</v>
      </c>
      <c r="G3821" s="919" t="s">
        <v>10617</v>
      </c>
      <c r="H3821" s="919" t="s">
        <v>3999</v>
      </c>
      <c r="I3821" s="919" t="s">
        <v>3724</v>
      </c>
      <c r="J3821" s="919"/>
      <c r="K3821" s="920">
        <v>1</v>
      </c>
      <c r="L3821" s="920">
        <v>12</v>
      </c>
      <c r="M3821" s="920">
        <f t="shared" si="118"/>
        <v>27600</v>
      </c>
      <c r="N3821" s="919"/>
      <c r="O3821" s="919"/>
      <c r="P3821" s="921">
        <f t="shared" si="119"/>
        <v>0</v>
      </c>
    </row>
    <row r="3822" spans="1:16" ht="20.100000000000001" customHeight="1" x14ac:dyDescent="0.25">
      <c r="A3822" s="918" t="s">
        <v>493</v>
      </c>
      <c r="B3822" s="944" t="s">
        <v>3901</v>
      </c>
      <c r="C3822" s="919" t="s">
        <v>3902</v>
      </c>
      <c r="D3822" s="919" t="s">
        <v>3999</v>
      </c>
      <c r="E3822" s="920">
        <v>2300</v>
      </c>
      <c r="F3822" s="919" t="s">
        <v>10618</v>
      </c>
      <c r="G3822" s="919" t="s">
        <v>10619</v>
      </c>
      <c r="H3822" s="919" t="s">
        <v>3999</v>
      </c>
      <c r="I3822" s="919" t="s">
        <v>3724</v>
      </c>
      <c r="J3822" s="919"/>
      <c r="K3822" s="920">
        <v>1</v>
      </c>
      <c r="L3822" s="920">
        <v>12</v>
      </c>
      <c r="M3822" s="920">
        <f t="shared" si="118"/>
        <v>27600</v>
      </c>
      <c r="N3822" s="919"/>
      <c r="O3822" s="919"/>
      <c r="P3822" s="921">
        <f t="shared" si="119"/>
        <v>0</v>
      </c>
    </row>
    <row r="3823" spans="1:16" ht="20.100000000000001" customHeight="1" x14ac:dyDescent="0.25">
      <c r="A3823" s="918" t="s">
        <v>493</v>
      </c>
      <c r="B3823" s="944" t="s">
        <v>3901</v>
      </c>
      <c r="C3823" s="919" t="s">
        <v>3902</v>
      </c>
      <c r="D3823" s="919" t="s">
        <v>3999</v>
      </c>
      <c r="E3823" s="920">
        <v>2300</v>
      </c>
      <c r="F3823" s="919" t="s">
        <v>10620</v>
      </c>
      <c r="G3823" s="919" t="s">
        <v>10621</v>
      </c>
      <c r="H3823" s="919" t="s">
        <v>3999</v>
      </c>
      <c r="I3823" s="919" t="s">
        <v>3724</v>
      </c>
      <c r="J3823" s="919"/>
      <c r="K3823" s="920">
        <v>1</v>
      </c>
      <c r="L3823" s="920">
        <v>12</v>
      </c>
      <c r="M3823" s="920">
        <f t="shared" si="118"/>
        <v>27600</v>
      </c>
      <c r="N3823" s="919"/>
      <c r="O3823" s="919"/>
      <c r="P3823" s="921">
        <f t="shared" si="119"/>
        <v>0</v>
      </c>
    </row>
    <row r="3824" spans="1:16" ht="20.100000000000001" customHeight="1" x14ac:dyDescent="0.25">
      <c r="A3824" s="918" t="s">
        <v>493</v>
      </c>
      <c r="B3824" s="944" t="s">
        <v>3901</v>
      </c>
      <c r="C3824" s="919" t="s">
        <v>3902</v>
      </c>
      <c r="D3824" s="919" t="s">
        <v>3999</v>
      </c>
      <c r="E3824" s="920">
        <v>2300</v>
      </c>
      <c r="F3824" s="919" t="s">
        <v>10622</v>
      </c>
      <c r="G3824" s="919" t="s">
        <v>10623</v>
      </c>
      <c r="H3824" s="919" t="s">
        <v>3999</v>
      </c>
      <c r="I3824" s="919" t="s">
        <v>3724</v>
      </c>
      <c r="J3824" s="919"/>
      <c r="K3824" s="920">
        <v>1</v>
      </c>
      <c r="L3824" s="920">
        <v>12</v>
      </c>
      <c r="M3824" s="920">
        <f t="shared" si="118"/>
        <v>27600</v>
      </c>
      <c r="N3824" s="919"/>
      <c r="O3824" s="919"/>
      <c r="P3824" s="921">
        <f t="shared" si="119"/>
        <v>0</v>
      </c>
    </row>
    <row r="3825" spans="1:16" ht="20.100000000000001" customHeight="1" x14ac:dyDescent="0.25">
      <c r="A3825" s="918" t="s">
        <v>493</v>
      </c>
      <c r="B3825" s="944" t="s">
        <v>3901</v>
      </c>
      <c r="C3825" s="919" t="s">
        <v>3902</v>
      </c>
      <c r="D3825" s="919" t="s">
        <v>4390</v>
      </c>
      <c r="E3825" s="920">
        <v>1400</v>
      </c>
      <c r="F3825" s="919" t="s">
        <v>10624</v>
      </c>
      <c r="G3825" s="919" t="s">
        <v>10625</v>
      </c>
      <c r="H3825" s="919" t="s">
        <v>4390</v>
      </c>
      <c r="I3825" s="919" t="s">
        <v>3686</v>
      </c>
      <c r="J3825" s="919"/>
      <c r="K3825" s="920">
        <v>1</v>
      </c>
      <c r="L3825" s="920">
        <v>12</v>
      </c>
      <c r="M3825" s="920">
        <f t="shared" si="118"/>
        <v>16800</v>
      </c>
      <c r="N3825" s="919"/>
      <c r="O3825" s="919"/>
      <c r="P3825" s="921">
        <f t="shared" si="119"/>
        <v>0</v>
      </c>
    </row>
    <row r="3826" spans="1:16" ht="20.100000000000001" customHeight="1" x14ac:dyDescent="0.25">
      <c r="A3826" s="918" t="s">
        <v>493</v>
      </c>
      <c r="B3826" s="944" t="s">
        <v>3901</v>
      </c>
      <c r="C3826" s="919" t="s">
        <v>3902</v>
      </c>
      <c r="D3826" s="919" t="s">
        <v>4390</v>
      </c>
      <c r="E3826" s="920">
        <v>1400</v>
      </c>
      <c r="F3826" s="919" t="s">
        <v>4041</v>
      </c>
      <c r="G3826" s="919" t="s">
        <v>4042</v>
      </c>
      <c r="H3826" s="919" t="s">
        <v>4390</v>
      </c>
      <c r="I3826" s="919" t="s">
        <v>3686</v>
      </c>
      <c r="J3826" s="919"/>
      <c r="K3826" s="920">
        <v>1</v>
      </c>
      <c r="L3826" s="920">
        <v>12</v>
      </c>
      <c r="M3826" s="920">
        <f t="shared" si="118"/>
        <v>16800</v>
      </c>
      <c r="N3826" s="919"/>
      <c r="O3826" s="919"/>
      <c r="P3826" s="921">
        <f t="shared" si="119"/>
        <v>0</v>
      </c>
    </row>
    <row r="3827" spans="1:16" ht="20.100000000000001" customHeight="1" x14ac:dyDescent="0.25">
      <c r="A3827" s="918" t="s">
        <v>493</v>
      </c>
      <c r="B3827" s="944" t="s">
        <v>3901</v>
      </c>
      <c r="C3827" s="919" t="s">
        <v>3902</v>
      </c>
      <c r="D3827" s="919" t="s">
        <v>7224</v>
      </c>
      <c r="E3827" s="920">
        <v>1400</v>
      </c>
      <c r="F3827" s="919" t="s">
        <v>10626</v>
      </c>
      <c r="G3827" s="919" t="s">
        <v>10627</v>
      </c>
      <c r="H3827" s="919" t="s">
        <v>7224</v>
      </c>
      <c r="I3827" s="919" t="s">
        <v>3686</v>
      </c>
      <c r="J3827" s="919"/>
      <c r="K3827" s="920">
        <v>1</v>
      </c>
      <c r="L3827" s="920">
        <v>12</v>
      </c>
      <c r="M3827" s="920">
        <f t="shared" si="118"/>
        <v>16800</v>
      </c>
      <c r="N3827" s="919"/>
      <c r="O3827" s="919"/>
      <c r="P3827" s="921">
        <f t="shared" si="119"/>
        <v>0</v>
      </c>
    </row>
    <row r="3828" spans="1:16" ht="20.100000000000001" customHeight="1" x14ac:dyDescent="0.25">
      <c r="A3828" s="918" t="s">
        <v>493</v>
      </c>
      <c r="B3828" s="944" t="s">
        <v>3901</v>
      </c>
      <c r="C3828" s="919" t="s">
        <v>3902</v>
      </c>
      <c r="D3828" s="919" t="s">
        <v>4462</v>
      </c>
      <c r="E3828" s="920">
        <v>1400</v>
      </c>
      <c r="F3828" s="919" t="s">
        <v>10628</v>
      </c>
      <c r="G3828" s="919" t="s">
        <v>10629</v>
      </c>
      <c r="H3828" s="919" t="s">
        <v>4462</v>
      </c>
      <c r="I3828" s="919" t="s">
        <v>3686</v>
      </c>
      <c r="J3828" s="919"/>
      <c r="K3828" s="920">
        <v>1</v>
      </c>
      <c r="L3828" s="920">
        <v>12</v>
      </c>
      <c r="M3828" s="920">
        <f t="shared" si="118"/>
        <v>16800</v>
      </c>
      <c r="N3828" s="919"/>
      <c r="O3828" s="919"/>
      <c r="P3828" s="921">
        <f t="shared" si="119"/>
        <v>0</v>
      </c>
    </row>
    <row r="3829" spans="1:16" ht="20.100000000000001" customHeight="1" x14ac:dyDescent="0.25">
      <c r="A3829" s="918" t="s">
        <v>493</v>
      </c>
      <c r="B3829" s="944" t="s">
        <v>3901</v>
      </c>
      <c r="C3829" s="919" t="s">
        <v>3902</v>
      </c>
      <c r="D3829" s="919" t="s">
        <v>4244</v>
      </c>
      <c r="E3829" s="920">
        <v>2500</v>
      </c>
      <c r="F3829" s="919" t="s">
        <v>10630</v>
      </c>
      <c r="G3829" s="919" t="s">
        <v>10631</v>
      </c>
      <c r="H3829" s="919" t="s">
        <v>4244</v>
      </c>
      <c r="I3829" s="919" t="s">
        <v>3679</v>
      </c>
      <c r="J3829" s="919"/>
      <c r="K3829" s="920">
        <v>1</v>
      </c>
      <c r="L3829" s="920">
        <v>12</v>
      </c>
      <c r="M3829" s="920">
        <f t="shared" si="118"/>
        <v>30000</v>
      </c>
      <c r="N3829" s="919"/>
      <c r="O3829" s="919"/>
      <c r="P3829" s="921">
        <f t="shared" si="119"/>
        <v>0</v>
      </c>
    </row>
    <row r="3830" spans="1:16" ht="20.100000000000001" customHeight="1" x14ac:dyDescent="0.25">
      <c r="A3830" s="918" t="s">
        <v>493</v>
      </c>
      <c r="B3830" s="944" t="s">
        <v>3901</v>
      </c>
      <c r="C3830" s="919" t="s">
        <v>3902</v>
      </c>
      <c r="D3830" s="919" t="s">
        <v>6668</v>
      </c>
      <c r="E3830" s="920">
        <v>2300</v>
      </c>
      <c r="F3830" s="919" t="s">
        <v>10632</v>
      </c>
      <c r="G3830" s="919" t="s">
        <v>10633</v>
      </c>
      <c r="H3830" s="919" t="s">
        <v>6668</v>
      </c>
      <c r="I3830" s="919" t="s">
        <v>3686</v>
      </c>
      <c r="J3830" s="919"/>
      <c r="K3830" s="920">
        <v>1</v>
      </c>
      <c r="L3830" s="920">
        <v>12</v>
      </c>
      <c r="M3830" s="920">
        <f t="shared" si="118"/>
        <v>27600</v>
      </c>
      <c r="N3830" s="919"/>
      <c r="O3830" s="919"/>
      <c r="P3830" s="921">
        <f t="shared" si="119"/>
        <v>0</v>
      </c>
    </row>
    <row r="3831" spans="1:16" ht="20.100000000000001" customHeight="1" x14ac:dyDescent="0.25">
      <c r="A3831" s="918" t="s">
        <v>493</v>
      </c>
      <c r="B3831" s="944" t="s">
        <v>3901</v>
      </c>
      <c r="C3831" s="919" t="s">
        <v>3902</v>
      </c>
      <c r="D3831" s="919" t="s">
        <v>4352</v>
      </c>
      <c r="E3831" s="920">
        <v>2300</v>
      </c>
      <c r="F3831" s="919" t="s">
        <v>10634</v>
      </c>
      <c r="G3831" s="919" t="s">
        <v>10635</v>
      </c>
      <c r="H3831" s="919" t="s">
        <v>4352</v>
      </c>
      <c r="I3831" s="919" t="s">
        <v>3679</v>
      </c>
      <c r="J3831" s="919"/>
      <c r="K3831" s="920">
        <v>1</v>
      </c>
      <c r="L3831" s="920">
        <v>12</v>
      </c>
      <c r="M3831" s="920">
        <f t="shared" si="118"/>
        <v>27600</v>
      </c>
      <c r="N3831" s="919"/>
      <c r="O3831" s="919"/>
      <c r="P3831" s="921">
        <f t="shared" si="119"/>
        <v>0</v>
      </c>
    </row>
    <row r="3832" spans="1:16" ht="20.100000000000001" customHeight="1" x14ac:dyDescent="0.25">
      <c r="A3832" s="918" t="s">
        <v>493</v>
      </c>
      <c r="B3832" s="944" t="s">
        <v>3901</v>
      </c>
      <c r="C3832" s="919" t="s">
        <v>3902</v>
      </c>
      <c r="D3832" s="919" t="s">
        <v>6120</v>
      </c>
      <c r="E3832" s="920">
        <v>4000</v>
      </c>
      <c r="F3832" s="919" t="s">
        <v>10636</v>
      </c>
      <c r="G3832" s="919" t="s">
        <v>10637</v>
      </c>
      <c r="H3832" s="919" t="s">
        <v>6120</v>
      </c>
      <c r="I3832" s="919" t="s">
        <v>3724</v>
      </c>
      <c r="J3832" s="919"/>
      <c r="K3832" s="920">
        <v>1</v>
      </c>
      <c r="L3832" s="920">
        <v>12</v>
      </c>
      <c r="M3832" s="920">
        <f t="shared" si="118"/>
        <v>48000</v>
      </c>
      <c r="N3832" s="919"/>
      <c r="O3832" s="919"/>
      <c r="P3832" s="921">
        <f t="shared" si="119"/>
        <v>0</v>
      </c>
    </row>
    <row r="3833" spans="1:16" ht="20.100000000000001" customHeight="1" x14ac:dyDescent="0.25">
      <c r="A3833" s="918" t="s">
        <v>493</v>
      </c>
      <c r="B3833" s="944" t="s">
        <v>3901</v>
      </c>
      <c r="C3833" s="919" t="s">
        <v>3902</v>
      </c>
      <c r="D3833" s="919" t="s">
        <v>3999</v>
      </c>
      <c r="E3833" s="920">
        <v>2300</v>
      </c>
      <c r="F3833" s="919" t="s">
        <v>10638</v>
      </c>
      <c r="G3833" s="919" t="s">
        <v>10639</v>
      </c>
      <c r="H3833" s="919" t="s">
        <v>3999</v>
      </c>
      <c r="I3833" s="919" t="s">
        <v>3724</v>
      </c>
      <c r="J3833" s="919"/>
      <c r="K3833" s="920">
        <v>1</v>
      </c>
      <c r="L3833" s="920">
        <v>12</v>
      </c>
      <c r="M3833" s="920">
        <f t="shared" si="118"/>
        <v>27600</v>
      </c>
      <c r="N3833" s="919"/>
      <c r="O3833" s="919"/>
      <c r="P3833" s="921">
        <f t="shared" si="119"/>
        <v>0</v>
      </c>
    </row>
    <row r="3834" spans="1:16" ht="20.100000000000001" customHeight="1" x14ac:dyDescent="0.25">
      <c r="A3834" s="918" t="s">
        <v>493</v>
      </c>
      <c r="B3834" s="944" t="s">
        <v>3901</v>
      </c>
      <c r="C3834" s="919" t="s">
        <v>3902</v>
      </c>
      <c r="D3834" s="919" t="s">
        <v>3999</v>
      </c>
      <c r="E3834" s="920">
        <v>2300</v>
      </c>
      <c r="F3834" s="919" t="s">
        <v>10640</v>
      </c>
      <c r="G3834" s="919" t="s">
        <v>10641</v>
      </c>
      <c r="H3834" s="919" t="s">
        <v>3999</v>
      </c>
      <c r="I3834" s="919" t="s">
        <v>3724</v>
      </c>
      <c r="J3834" s="919"/>
      <c r="K3834" s="920">
        <v>1</v>
      </c>
      <c r="L3834" s="920">
        <v>12</v>
      </c>
      <c r="M3834" s="920">
        <f t="shared" si="118"/>
        <v>27600</v>
      </c>
      <c r="N3834" s="919"/>
      <c r="O3834" s="919"/>
      <c r="P3834" s="921">
        <f t="shared" si="119"/>
        <v>0</v>
      </c>
    </row>
    <row r="3835" spans="1:16" ht="20.100000000000001" customHeight="1" x14ac:dyDescent="0.25">
      <c r="A3835" s="918" t="s">
        <v>493</v>
      </c>
      <c r="B3835" s="944" t="s">
        <v>3901</v>
      </c>
      <c r="C3835" s="919" t="s">
        <v>3902</v>
      </c>
      <c r="D3835" s="919" t="s">
        <v>3999</v>
      </c>
      <c r="E3835" s="920">
        <v>2300</v>
      </c>
      <c r="F3835" s="919" t="s">
        <v>10642</v>
      </c>
      <c r="G3835" s="919" t="s">
        <v>10643</v>
      </c>
      <c r="H3835" s="919" t="s">
        <v>3999</v>
      </c>
      <c r="I3835" s="919" t="s">
        <v>3724</v>
      </c>
      <c r="J3835" s="919"/>
      <c r="K3835" s="920">
        <v>1</v>
      </c>
      <c r="L3835" s="920">
        <v>12</v>
      </c>
      <c r="M3835" s="920">
        <f t="shared" si="118"/>
        <v>27600</v>
      </c>
      <c r="N3835" s="919"/>
      <c r="O3835" s="919"/>
      <c r="P3835" s="921">
        <f t="shared" si="119"/>
        <v>0</v>
      </c>
    </row>
    <row r="3836" spans="1:16" ht="20.100000000000001" customHeight="1" x14ac:dyDescent="0.25">
      <c r="A3836" s="918" t="s">
        <v>493</v>
      </c>
      <c r="B3836" s="944" t="s">
        <v>3901</v>
      </c>
      <c r="C3836" s="919" t="s">
        <v>3902</v>
      </c>
      <c r="D3836" s="919" t="s">
        <v>3999</v>
      </c>
      <c r="E3836" s="920">
        <v>2300</v>
      </c>
      <c r="F3836" s="919" t="s">
        <v>10644</v>
      </c>
      <c r="G3836" s="919" t="s">
        <v>10645</v>
      </c>
      <c r="H3836" s="919" t="s">
        <v>3999</v>
      </c>
      <c r="I3836" s="919" t="s">
        <v>3724</v>
      </c>
      <c r="J3836" s="919"/>
      <c r="K3836" s="920">
        <v>1</v>
      </c>
      <c r="L3836" s="920">
        <v>12</v>
      </c>
      <c r="M3836" s="920">
        <f t="shared" si="118"/>
        <v>27600</v>
      </c>
      <c r="N3836" s="919"/>
      <c r="O3836" s="919"/>
      <c r="P3836" s="921">
        <f t="shared" si="119"/>
        <v>0</v>
      </c>
    </row>
    <row r="3837" spans="1:16" ht="20.100000000000001" customHeight="1" x14ac:dyDescent="0.25">
      <c r="A3837" s="918" t="s">
        <v>493</v>
      </c>
      <c r="B3837" s="944" t="s">
        <v>3901</v>
      </c>
      <c r="C3837" s="919" t="s">
        <v>3902</v>
      </c>
      <c r="D3837" s="919" t="s">
        <v>3999</v>
      </c>
      <c r="E3837" s="920">
        <v>2300</v>
      </c>
      <c r="F3837" s="919" t="s">
        <v>10646</v>
      </c>
      <c r="G3837" s="919" t="s">
        <v>10647</v>
      </c>
      <c r="H3837" s="919" t="s">
        <v>3999</v>
      </c>
      <c r="I3837" s="919" t="s">
        <v>3724</v>
      </c>
      <c r="J3837" s="919"/>
      <c r="K3837" s="920">
        <v>1</v>
      </c>
      <c r="L3837" s="920">
        <v>12</v>
      </c>
      <c r="M3837" s="920">
        <f t="shared" si="118"/>
        <v>27600</v>
      </c>
      <c r="N3837" s="919"/>
      <c r="O3837" s="919"/>
      <c r="P3837" s="921">
        <f t="shared" si="119"/>
        <v>0</v>
      </c>
    </row>
    <row r="3838" spans="1:16" ht="20.100000000000001" customHeight="1" x14ac:dyDescent="0.25">
      <c r="A3838" s="918" t="s">
        <v>493</v>
      </c>
      <c r="B3838" s="944" t="s">
        <v>3901</v>
      </c>
      <c r="C3838" s="919" t="s">
        <v>3902</v>
      </c>
      <c r="D3838" s="919" t="s">
        <v>3999</v>
      </c>
      <c r="E3838" s="920">
        <v>2300</v>
      </c>
      <c r="F3838" s="919" t="s">
        <v>10648</v>
      </c>
      <c r="G3838" s="919" t="s">
        <v>10649</v>
      </c>
      <c r="H3838" s="919" t="s">
        <v>3999</v>
      </c>
      <c r="I3838" s="919" t="s">
        <v>3724</v>
      </c>
      <c r="J3838" s="919"/>
      <c r="K3838" s="920">
        <v>1</v>
      </c>
      <c r="L3838" s="920">
        <v>12</v>
      </c>
      <c r="M3838" s="920">
        <f t="shared" si="118"/>
        <v>27600</v>
      </c>
      <c r="N3838" s="919"/>
      <c r="O3838" s="919"/>
      <c r="P3838" s="921">
        <f t="shared" si="119"/>
        <v>0</v>
      </c>
    </row>
    <row r="3839" spans="1:16" ht="20.100000000000001" customHeight="1" x14ac:dyDescent="0.25">
      <c r="A3839" s="918" t="s">
        <v>493</v>
      </c>
      <c r="B3839" s="944" t="s">
        <v>3901</v>
      </c>
      <c r="C3839" s="919" t="s">
        <v>3902</v>
      </c>
      <c r="D3839" s="919" t="s">
        <v>4352</v>
      </c>
      <c r="E3839" s="920">
        <v>2300</v>
      </c>
      <c r="F3839" s="919" t="s">
        <v>10650</v>
      </c>
      <c r="G3839" s="919" t="s">
        <v>10651</v>
      </c>
      <c r="H3839" s="919" t="s">
        <v>4352</v>
      </c>
      <c r="I3839" s="919" t="s">
        <v>3724</v>
      </c>
      <c r="J3839" s="919"/>
      <c r="K3839" s="920">
        <v>1</v>
      </c>
      <c r="L3839" s="920">
        <v>12</v>
      </c>
      <c r="M3839" s="920">
        <f t="shared" si="118"/>
        <v>27600</v>
      </c>
      <c r="N3839" s="919"/>
      <c r="O3839" s="919"/>
      <c r="P3839" s="921">
        <f t="shared" si="119"/>
        <v>0</v>
      </c>
    </row>
    <row r="3840" spans="1:16" ht="20.100000000000001" customHeight="1" x14ac:dyDescent="0.25">
      <c r="A3840" s="918" t="s">
        <v>493</v>
      </c>
      <c r="B3840" s="944" t="s">
        <v>3901</v>
      </c>
      <c r="C3840" s="919" t="s">
        <v>3902</v>
      </c>
      <c r="D3840" s="919" t="s">
        <v>3999</v>
      </c>
      <c r="E3840" s="920">
        <v>2300</v>
      </c>
      <c r="F3840" s="919" t="s">
        <v>10652</v>
      </c>
      <c r="G3840" s="919" t="s">
        <v>10653</v>
      </c>
      <c r="H3840" s="919" t="s">
        <v>3999</v>
      </c>
      <c r="I3840" s="919" t="s">
        <v>3724</v>
      </c>
      <c r="J3840" s="919"/>
      <c r="K3840" s="920">
        <v>1</v>
      </c>
      <c r="L3840" s="920">
        <v>12</v>
      </c>
      <c r="M3840" s="920">
        <f t="shared" si="118"/>
        <v>27600</v>
      </c>
      <c r="N3840" s="919"/>
      <c r="O3840" s="919"/>
      <c r="P3840" s="921">
        <f t="shared" si="119"/>
        <v>0</v>
      </c>
    </row>
    <row r="3841" spans="1:16" ht="20.100000000000001" customHeight="1" x14ac:dyDescent="0.25">
      <c r="A3841" s="918" t="s">
        <v>493</v>
      </c>
      <c r="B3841" s="944" t="s">
        <v>3901</v>
      </c>
      <c r="C3841" s="919" t="s">
        <v>3902</v>
      </c>
      <c r="D3841" s="919" t="s">
        <v>4352</v>
      </c>
      <c r="E3841" s="920">
        <v>2300</v>
      </c>
      <c r="F3841" s="919" t="s">
        <v>10654</v>
      </c>
      <c r="G3841" s="919" t="s">
        <v>10655</v>
      </c>
      <c r="H3841" s="919" t="s">
        <v>4352</v>
      </c>
      <c r="I3841" s="919" t="s">
        <v>3724</v>
      </c>
      <c r="J3841" s="919"/>
      <c r="K3841" s="920">
        <v>1</v>
      </c>
      <c r="L3841" s="920">
        <v>12</v>
      </c>
      <c r="M3841" s="920">
        <f t="shared" si="118"/>
        <v>27600</v>
      </c>
      <c r="N3841" s="919"/>
      <c r="O3841" s="919"/>
      <c r="P3841" s="921">
        <f t="shared" si="119"/>
        <v>0</v>
      </c>
    </row>
    <row r="3842" spans="1:16" ht="20.100000000000001" customHeight="1" x14ac:dyDescent="0.25">
      <c r="A3842" s="918" t="s">
        <v>493</v>
      </c>
      <c r="B3842" s="944" t="s">
        <v>3901</v>
      </c>
      <c r="C3842" s="919" t="s">
        <v>3902</v>
      </c>
      <c r="D3842" s="919" t="s">
        <v>6203</v>
      </c>
      <c r="E3842" s="920">
        <v>2300</v>
      </c>
      <c r="F3842" s="919" t="s">
        <v>10656</v>
      </c>
      <c r="G3842" s="919" t="s">
        <v>10657</v>
      </c>
      <c r="H3842" s="919" t="s">
        <v>6203</v>
      </c>
      <c r="I3842" s="919" t="s">
        <v>3724</v>
      </c>
      <c r="J3842" s="919"/>
      <c r="K3842" s="920">
        <v>1</v>
      </c>
      <c r="L3842" s="920">
        <v>12</v>
      </c>
      <c r="M3842" s="920">
        <f t="shared" si="118"/>
        <v>27600</v>
      </c>
      <c r="N3842" s="919"/>
      <c r="O3842" s="919"/>
      <c r="P3842" s="921">
        <f t="shared" si="119"/>
        <v>0</v>
      </c>
    </row>
    <row r="3843" spans="1:16" ht="20.100000000000001" customHeight="1" x14ac:dyDescent="0.25">
      <c r="A3843" s="918" t="s">
        <v>493</v>
      </c>
      <c r="B3843" s="944" t="s">
        <v>3901</v>
      </c>
      <c r="C3843" s="919" t="s">
        <v>3902</v>
      </c>
      <c r="D3843" s="919" t="s">
        <v>4383</v>
      </c>
      <c r="E3843" s="920">
        <v>2300</v>
      </c>
      <c r="F3843" s="919" t="s">
        <v>10658</v>
      </c>
      <c r="G3843" s="919" t="s">
        <v>10659</v>
      </c>
      <c r="H3843" s="919" t="s">
        <v>4383</v>
      </c>
      <c r="I3843" s="919" t="s">
        <v>3724</v>
      </c>
      <c r="J3843" s="919"/>
      <c r="K3843" s="920">
        <v>1</v>
      </c>
      <c r="L3843" s="920">
        <v>12</v>
      </c>
      <c r="M3843" s="920">
        <f t="shared" si="118"/>
        <v>27600</v>
      </c>
      <c r="N3843" s="919"/>
      <c r="O3843" s="919"/>
      <c r="P3843" s="921">
        <f t="shared" si="119"/>
        <v>0</v>
      </c>
    </row>
    <row r="3844" spans="1:16" ht="20.100000000000001" customHeight="1" x14ac:dyDescent="0.25">
      <c r="A3844" s="918" t="s">
        <v>493</v>
      </c>
      <c r="B3844" s="944" t="s">
        <v>3901</v>
      </c>
      <c r="C3844" s="919" t="s">
        <v>3902</v>
      </c>
      <c r="D3844" s="919" t="s">
        <v>6324</v>
      </c>
      <c r="E3844" s="920">
        <v>2500</v>
      </c>
      <c r="F3844" s="919" t="s">
        <v>4041</v>
      </c>
      <c r="G3844" s="919" t="s">
        <v>4042</v>
      </c>
      <c r="H3844" s="919" t="s">
        <v>6324</v>
      </c>
      <c r="I3844" s="919" t="s">
        <v>3679</v>
      </c>
      <c r="J3844" s="919"/>
      <c r="K3844" s="920">
        <v>1</v>
      </c>
      <c r="L3844" s="920">
        <v>12</v>
      </c>
      <c r="M3844" s="920">
        <f t="shared" si="118"/>
        <v>30000</v>
      </c>
      <c r="N3844" s="919"/>
      <c r="O3844" s="919"/>
      <c r="P3844" s="921">
        <f t="shared" si="119"/>
        <v>0</v>
      </c>
    </row>
    <row r="3845" spans="1:16" ht="20.100000000000001" customHeight="1" x14ac:dyDescent="0.25">
      <c r="A3845" s="918" t="s">
        <v>493</v>
      </c>
      <c r="B3845" s="944" t="s">
        <v>3901</v>
      </c>
      <c r="C3845" s="919" t="s">
        <v>3902</v>
      </c>
      <c r="D3845" s="919" t="s">
        <v>6125</v>
      </c>
      <c r="E3845" s="920">
        <v>2300</v>
      </c>
      <c r="F3845" s="919" t="s">
        <v>10660</v>
      </c>
      <c r="G3845" s="919" t="s">
        <v>10661</v>
      </c>
      <c r="H3845" s="919" t="s">
        <v>6125</v>
      </c>
      <c r="I3845" s="919" t="s">
        <v>3724</v>
      </c>
      <c r="J3845" s="919"/>
      <c r="K3845" s="920">
        <v>1</v>
      </c>
      <c r="L3845" s="920">
        <v>12</v>
      </c>
      <c r="M3845" s="920">
        <f t="shared" si="118"/>
        <v>27600</v>
      </c>
      <c r="N3845" s="919"/>
      <c r="O3845" s="919"/>
      <c r="P3845" s="921">
        <f t="shared" si="119"/>
        <v>0</v>
      </c>
    </row>
    <row r="3846" spans="1:16" ht="20.100000000000001" customHeight="1" x14ac:dyDescent="0.25">
      <c r="A3846" s="918" t="s">
        <v>478</v>
      </c>
      <c r="B3846" s="944" t="s">
        <v>3901</v>
      </c>
      <c r="C3846" s="919" t="s">
        <v>3902</v>
      </c>
      <c r="D3846" s="919" t="s">
        <v>4492</v>
      </c>
      <c r="E3846" s="920">
        <v>2400</v>
      </c>
      <c r="F3846" s="919" t="s">
        <v>10662</v>
      </c>
      <c r="G3846" s="919" t="s">
        <v>10663</v>
      </c>
      <c r="H3846" s="919" t="s">
        <v>4492</v>
      </c>
      <c r="I3846" s="919" t="s">
        <v>3679</v>
      </c>
      <c r="J3846" s="919"/>
      <c r="K3846" s="920"/>
      <c r="L3846" s="920"/>
      <c r="M3846" s="920">
        <f t="shared" ref="M3846:M3909" si="120">E3846*L3846</f>
        <v>0</v>
      </c>
      <c r="N3846" s="919">
        <v>1</v>
      </c>
      <c r="O3846" s="919">
        <v>4</v>
      </c>
      <c r="P3846" s="921">
        <f t="shared" ref="P3846:P3909" si="121">E3846*O3846</f>
        <v>9600</v>
      </c>
    </row>
    <row r="3847" spans="1:16" ht="20.100000000000001" customHeight="1" x14ac:dyDescent="0.25">
      <c r="A3847" s="918" t="s">
        <v>478</v>
      </c>
      <c r="B3847" s="944" t="s">
        <v>3901</v>
      </c>
      <c r="C3847" s="919" t="s">
        <v>3902</v>
      </c>
      <c r="D3847" s="919" t="s">
        <v>4250</v>
      </c>
      <c r="E3847" s="920">
        <v>3500</v>
      </c>
      <c r="F3847" s="919" t="s">
        <v>10664</v>
      </c>
      <c r="G3847" s="919" t="s">
        <v>10665</v>
      </c>
      <c r="H3847" s="919" t="s">
        <v>4250</v>
      </c>
      <c r="I3847" s="919" t="s">
        <v>3679</v>
      </c>
      <c r="J3847" s="919"/>
      <c r="K3847" s="920"/>
      <c r="L3847" s="920"/>
      <c r="M3847" s="920">
        <f t="shared" si="120"/>
        <v>0</v>
      </c>
      <c r="N3847" s="919">
        <v>1</v>
      </c>
      <c r="O3847" s="919">
        <v>4</v>
      </c>
      <c r="P3847" s="921">
        <f t="shared" si="121"/>
        <v>14000</v>
      </c>
    </row>
    <row r="3848" spans="1:16" ht="20.100000000000001" customHeight="1" x14ac:dyDescent="0.25">
      <c r="A3848" s="918" t="s">
        <v>478</v>
      </c>
      <c r="B3848" s="944" t="s">
        <v>3901</v>
      </c>
      <c r="C3848" s="919" t="s">
        <v>3902</v>
      </c>
      <c r="D3848" s="919" t="s">
        <v>4382</v>
      </c>
      <c r="E3848" s="920">
        <v>2500</v>
      </c>
      <c r="F3848" s="919" t="s">
        <v>10666</v>
      </c>
      <c r="G3848" s="919" t="s">
        <v>10667</v>
      </c>
      <c r="H3848" s="919" t="s">
        <v>4382</v>
      </c>
      <c r="I3848" s="919" t="s">
        <v>3679</v>
      </c>
      <c r="J3848" s="919"/>
      <c r="K3848" s="920"/>
      <c r="L3848" s="920"/>
      <c r="M3848" s="920">
        <f t="shared" si="120"/>
        <v>0</v>
      </c>
      <c r="N3848" s="919">
        <v>1</v>
      </c>
      <c r="O3848" s="919">
        <v>4</v>
      </c>
      <c r="P3848" s="921">
        <f t="shared" si="121"/>
        <v>10000</v>
      </c>
    </row>
    <row r="3849" spans="1:16" ht="20.100000000000001" customHeight="1" x14ac:dyDescent="0.25">
      <c r="A3849" s="918" t="s">
        <v>478</v>
      </c>
      <c r="B3849" s="944" t="s">
        <v>3901</v>
      </c>
      <c r="C3849" s="919" t="s">
        <v>3902</v>
      </c>
      <c r="D3849" s="919" t="s">
        <v>4382</v>
      </c>
      <c r="E3849" s="920">
        <v>2500</v>
      </c>
      <c r="F3849" s="919" t="s">
        <v>10668</v>
      </c>
      <c r="G3849" s="919" t="s">
        <v>10669</v>
      </c>
      <c r="H3849" s="919" t="s">
        <v>4382</v>
      </c>
      <c r="I3849" s="919" t="s">
        <v>3679</v>
      </c>
      <c r="J3849" s="919"/>
      <c r="K3849" s="920"/>
      <c r="L3849" s="920"/>
      <c r="M3849" s="920">
        <f t="shared" si="120"/>
        <v>0</v>
      </c>
      <c r="N3849" s="919">
        <v>1</v>
      </c>
      <c r="O3849" s="919">
        <v>4</v>
      </c>
      <c r="P3849" s="921">
        <f t="shared" si="121"/>
        <v>10000</v>
      </c>
    </row>
    <row r="3850" spans="1:16" ht="20.100000000000001" customHeight="1" x14ac:dyDescent="0.25">
      <c r="A3850" s="918" t="s">
        <v>478</v>
      </c>
      <c r="B3850" s="944" t="s">
        <v>3901</v>
      </c>
      <c r="C3850" s="919" t="s">
        <v>3902</v>
      </c>
      <c r="D3850" s="919" t="s">
        <v>4382</v>
      </c>
      <c r="E3850" s="920">
        <v>2500</v>
      </c>
      <c r="F3850" s="919" t="s">
        <v>10670</v>
      </c>
      <c r="G3850" s="919" t="s">
        <v>10671</v>
      </c>
      <c r="H3850" s="919" t="s">
        <v>4382</v>
      </c>
      <c r="I3850" s="919" t="s">
        <v>3679</v>
      </c>
      <c r="J3850" s="919"/>
      <c r="K3850" s="920"/>
      <c r="L3850" s="920"/>
      <c r="M3850" s="920">
        <f t="shared" si="120"/>
        <v>0</v>
      </c>
      <c r="N3850" s="919">
        <v>1</v>
      </c>
      <c r="O3850" s="919">
        <v>4</v>
      </c>
      <c r="P3850" s="921">
        <f t="shared" si="121"/>
        <v>10000</v>
      </c>
    </row>
    <row r="3851" spans="1:16" ht="20.100000000000001" customHeight="1" x14ac:dyDescent="0.25">
      <c r="A3851" s="918" t="s">
        <v>478</v>
      </c>
      <c r="B3851" s="944" t="s">
        <v>3901</v>
      </c>
      <c r="C3851" s="919" t="s">
        <v>3902</v>
      </c>
      <c r="D3851" s="919" t="s">
        <v>4382</v>
      </c>
      <c r="E3851" s="920">
        <v>2500</v>
      </c>
      <c r="F3851" s="919" t="s">
        <v>10672</v>
      </c>
      <c r="G3851" s="919" t="s">
        <v>10673</v>
      </c>
      <c r="H3851" s="919" t="s">
        <v>4382</v>
      </c>
      <c r="I3851" s="919" t="s">
        <v>3679</v>
      </c>
      <c r="J3851" s="919"/>
      <c r="K3851" s="920"/>
      <c r="L3851" s="920"/>
      <c r="M3851" s="920">
        <f t="shared" si="120"/>
        <v>0</v>
      </c>
      <c r="N3851" s="919">
        <v>1</v>
      </c>
      <c r="O3851" s="919">
        <v>4</v>
      </c>
      <c r="P3851" s="921">
        <f t="shared" si="121"/>
        <v>10000</v>
      </c>
    </row>
    <row r="3852" spans="1:16" ht="20.100000000000001" customHeight="1" x14ac:dyDescent="0.25">
      <c r="A3852" s="918" t="s">
        <v>478</v>
      </c>
      <c r="B3852" s="944" t="s">
        <v>3901</v>
      </c>
      <c r="C3852" s="919" t="s">
        <v>3902</v>
      </c>
      <c r="D3852" s="919" t="s">
        <v>4382</v>
      </c>
      <c r="E3852" s="920">
        <v>2500</v>
      </c>
      <c r="F3852" s="919" t="s">
        <v>10674</v>
      </c>
      <c r="G3852" s="919" t="s">
        <v>10675</v>
      </c>
      <c r="H3852" s="919" t="s">
        <v>4382</v>
      </c>
      <c r="I3852" s="919" t="s">
        <v>3679</v>
      </c>
      <c r="J3852" s="919"/>
      <c r="K3852" s="920"/>
      <c r="L3852" s="920"/>
      <c r="M3852" s="920">
        <f t="shared" si="120"/>
        <v>0</v>
      </c>
      <c r="N3852" s="919">
        <v>1</v>
      </c>
      <c r="O3852" s="919">
        <v>4</v>
      </c>
      <c r="P3852" s="921">
        <f t="shared" si="121"/>
        <v>10000</v>
      </c>
    </row>
    <row r="3853" spans="1:16" ht="20.100000000000001" customHeight="1" x14ac:dyDescent="0.25">
      <c r="A3853" s="918" t="s">
        <v>478</v>
      </c>
      <c r="B3853" s="944" t="s">
        <v>3901</v>
      </c>
      <c r="C3853" s="919" t="s">
        <v>3902</v>
      </c>
      <c r="D3853" s="919" t="s">
        <v>4382</v>
      </c>
      <c r="E3853" s="920">
        <v>2500</v>
      </c>
      <c r="F3853" s="919" t="s">
        <v>10676</v>
      </c>
      <c r="G3853" s="919" t="s">
        <v>10677</v>
      </c>
      <c r="H3853" s="919" t="s">
        <v>4382</v>
      </c>
      <c r="I3853" s="919" t="s">
        <v>3679</v>
      </c>
      <c r="J3853" s="919"/>
      <c r="K3853" s="920"/>
      <c r="L3853" s="920"/>
      <c r="M3853" s="920">
        <f t="shared" si="120"/>
        <v>0</v>
      </c>
      <c r="N3853" s="919">
        <v>1</v>
      </c>
      <c r="O3853" s="919">
        <v>4</v>
      </c>
      <c r="P3853" s="921">
        <f t="shared" si="121"/>
        <v>10000</v>
      </c>
    </row>
    <row r="3854" spans="1:16" ht="20.100000000000001" customHeight="1" x14ac:dyDescent="0.25">
      <c r="A3854" s="918" t="s">
        <v>478</v>
      </c>
      <c r="B3854" s="944" t="s">
        <v>3901</v>
      </c>
      <c r="C3854" s="919" t="s">
        <v>3902</v>
      </c>
      <c r="D3854" s="919" t="s">
        <v>4382</v>
      </c>
      <c r="E3854" s="920">
        <v>2500</v>
      </c>
      <c r="F3854" s="919" t="s">
        <v>10678</v>
      </c>
      <c r="G3854" s="919" t="s">
        <v>10679</v>
      </c>
      <c r="H3854" s="919" t="s">
        <v>4382</v>
      </c>
      <c r="I3854" s="919" t="s">
        <v>3679</v>
      </c>
      <c r="J3854" s="919"/>
      <c r="K3854" s="920"/>
      <c r="L3854" s="920"/>
      <c r="M3854" s="920">
        <f t="shared" si="120"/>
        <v>0</v>
      </c>
      <c r="N3854" s="919">
        <v>1</v>
      </c>
      <c r="O3854" s="919">
        <v>4</v>
      </c>
      <c r="P3854" s="921">
        <f t="shared" si="121"/>
        <v>10000</v>
      </c>
    </row>
    <row r="3855" spans="1:16" ht="20.100000000000001" customHeight="1" x14ac:dyDescent="0.25">
      <c r="A3855" s="918" t="s">
        <v>478</v>
      </c>
      <c r="B3855" s="944" t="s">
        <v>3901</v>
      </c>
      <c r="C3855" s="919" t="s">
        <v>3902</v>
      </c>
      <c r="D3855" s="919" t="s">
        <v>4382</v>
      </c>
      <c r="E3855" s="920">
        <v>2500</v>
      </c>
      <c r="F3855" s="919" t="s">
        <v>10680</v>
      </c>
      <c r="G3855" s="919" t="s">
        <v>10681</v>
      </c>
      <c r="H3855" s="919" t="s">
        <v>4382</v>
      </c>
      <c r="I3855" s="919" t="s">
        <v>3679</v>
      </c>
      <c r="J3855" s="919"/>
      <c r="K3855" s="920"/>
      <c r="L3855" s="920"/>
      <c r="M3855" s="920">
        <f t="shared" si="120"/>
        <v>0</v>
      </c>
      <c r="N3855" s="919">
        <v>1</v>
      </c>
      <c r="O3855" s="919">
        <v>4</v>
      </c>
      <c r="P3855" s="921">
        <f t="shared" si="121"/>
        <v>10000</v>
      </c>
    </row>
    <row r="3856" spans="1:16" ht="20.100000000000001" customHeight="1" x14ac:dyDescent="0.25">
      <c r="A3856" s="918" t="s">
        <v>478</v>
      </c>
      <c r="B3856" s="944" t="s">
        <v>3901</v>
      </c>
      <c r="C3856" s="919" t="s">
        <v>3902</v>
      </c>
      <c r="D3856" s="919" t="s">
        <v>4382</v>
      </c>
      <c r="E3856" s="920">
        <v>2500</v>
      </c>
      <c r="F3856" s="919" t="s">
        <v>10682</v>
      </c>
      <c r="G3856" s="919" t="s">
        <v>10683</v>
      </c>
      <c r="H3856" s="919" t="s">
        <v>4382</v>
      </c>
      <c r="I3856" s="919" t="s">
        <v>3679</v>
      </c>
      <c r="J3856" s="919"/>
      <c r="K3856" s="920"/>
      <c r="L3856" s="920"/>
      <c r="M3856" s="920">
        <f t="shared" si="120"/>
        <v>0</v>
      </c>
      <c r="N3856" s="919">
        <v>1</v>
      </c>
      <c r="O3856" s="919">
        <v>1</v>
      </c>
      <c r="P3856" s="921">
        <f t="shared" si="121"/>
        <v>2500</v>
      </c>
    </row>
    <row r="3857" spans="1:16" ht="20.100000000000001" customHeight="1" x14ac:dyDescent="0.25">
      <c r="A3857" s="918" t="s">
        <v>478</v>
      </c>
      <c r="B3857" s="944" t="s">
        <v>3901</v>
      </c>
      <c r="C3857" s="919" t="s">
        <v>3902</v>
      </c>
      <c r="D3857" s="919" t="s">
        <v>4382</v>
      </c>
      <c r="E3857" s="920">
        <v>2500</v>
      </c>
      <c r="F3857" s="919" t="s">
        <v>10684</v>
      </c>
      <c r="G3857" s="919" t="s">
        <v>10685</v>
      </c>
      <c r="H3857" s="919" t="s">
        <v>4382</v>
      </c>
      <c r="I3857" s="919" t="s">
        <v>3679</v>
      </c>
      <c r="J3857" s="919"/>
      <c r="K3857" s="920"/>
      <c r="L3857" s="920"/>
      <c r="M3857" s="920">
        <f t="shared" si="120"/>
        <v>0</v>
      </c>
      <c r="N3857" s="919">
        <v>1</v>
      </c>
      <c r="O3857" s="919">
        <v>4</v>
      </c>
      <c r="P3857" s="921">
        <f t="shared" si="121"/>
        <v>10000</v>
      </c>
    </row>
    <row r="3858" spans="1:16" ht="20.100000000000001" customHeight="1" x14ac:dyDescent="0.25">
      <c r="A3858" s="918" t="s">
        <v>478</v>
      </c>
      <c r="B3858" s="944" t="s">
        <v>3901</v>
      </c>
      <c r="C3858" s="919" t="s">
        <v>3902</v>
      </c>
      <c r="D3858" s="919" t="s">
        <v>4382</v>
      </c>
      <c r="E3858" s="920">
        <v>2500</v>
      </c>
      <c r="F3858" s="919" t="s">
        <v>10686</v>
      </c>
      <c r="G3858" s="919" t="s">
        <v>10687</v>
      </c>
      <c r="H3858" s="919" t="s">
        <v>4382</v>
      </c>
      <c r="I3858" s="919" t="s">
        <v>3679</v>
      </c>
      <c r="J3858" s="919"/>
      <c r="K3858" s="920"/>
      <c r="L3858" s="920"/>
      <c r="M3858" s="920">
        <f t="shared" si="120"/>
        <v>0</v>
      </c>
      <c r="N3858" s="919">
        <v>1</v>
      </c>
      <c r="O3858" s="919">
        <v>4</v>
      </c>
      <c r="P3858" s="921">
        <f t="shared" si="121"/>
        <v>10000</v>
      </c>
    </row>
    <row r="3859" spans="1:16" ht="20.100000000000001" customHeight="1" x14ac:dyDescent="0.25">
      <c r="A3859" s="918" t="s">
        <v>478</v>
      </c>
      <c r="B3859" s="944" t="s">
        <v>3901</v>
      </c>
      <c r="C3859" s="919" t="s">
        <v>3902</v>
      </c>
      <c r="D3859" s="919" t="s">
        <v>4382</v>
      </c>
      <c r="E3859" s="920">
        <v>2500</v>
      </c>
      <c r="F3859" s="919" t="s">
        <v>10688</v>
      </c>
      <c r="G3859" s="919" t="s">
        <v>10689</v>
      </c>
      <c r="H3859" s="919" t="s">
        <v>4382</v>
      </c>
      <c r="I3859" s="919" t="s">
        <v>3679</v>
      </c>
      <c r="J3859" s="919"/>
      <c r="K3859" s="920"/>
      <c r="L3859" s="920"/>
      <c r="M3859" s="920">
        <f t="shared" si="120"/>
        <v>0</v>
      </c>
      <c r="N3859" s="919">
        <v>1</v>
      </c>
      <c r="O3859" s="919">
        <v>1</v>
      </c>
      <c r="P3859" s="921">
        <f t="shared" si="121"/>
        <v>2500</v>
      </c>
    </row>
    <row r="3860" spans="1:16" ht="20.100000000000001" customHeight="1" x14ac:dyDescent="0.25">
      <c r="A3860" s="918" t="s">
        <v>478</v>
      </c>
      <c r="B3860" s="944" t="s">
        <v>3901</v>
      </c>
      <c r="C3860" s="919" t="s">
        <v>3902</v>
      </c>
      <c r="D3860" s="919" t="s">
        <v>4492</v>
      </c>
      <c r="E3860" s="920">
        <v>2800</v>
      </c>
      <c r="F3860" s="919" t="s">
        <v>10690</v>
      </c>
      <c r="G3860" s="919" t="s">
        <v>10691</v>
      </c>
      <c r="H3860" s="919" t="s">
        <v>4492</v>
      </c>
      <c r="I3860" s="919" t="s">
        <v>3679</v>
      </c>
      <c r="J3860" s="919"/>
      <c r="K3860" s="920"/>
      <c r="L3860" s="920"/>
      <c r="M3860" s="920">
        <f t="shared" si="120"/>
        <v>0</v>
      </c>
      <c r="N3860" s="919">
        <v>1</v>
      </c>
      <c r="O3860" s="919">
        <v>4</v>
      </c>
      <c r="P3860" s="921">
        <f t="shared" si="121"/>
        <v>11200</v>
      </c>
    </row>
    <row r="3861" spans="1:16" ht="20.100000000000001" customHeight="1" x14ac:dyDescent="0.25">
      <c r="A3861" s="918" t="s">
        <v>478</v>
      </c>
      <c r="B3861" s="944" t="s">
        <v>3901</v>
      </c>
      <c r="C3861" s="919" t="s">
        <v>3902</v>
      </c>
      <c r="D3861" s="919" t="s">
        <v>4492</v>
      </c>
      <c r="E3861" s="920">
        <v>2800</v>
      </c>
      <c r="F3861" s="919" t="s">
        <v>10692</v>
      </c>
      <c r="G3861" s="919" t="s">
        <v>10693</v>
      </c>
      <c r="H3861" s="919" t="s">
        <v>4492</v>
      </c>
      <c r="I3861" s="919" t="s">
        <v>3679</v>
      </c>
      <c r="J3861" s="919"/>
      <c r="K3861" s="920"/>
      <c r="L3861" s="920"/>
      <c r="M3861" s="920">
        <f t="shared" si="120"/>
        <v>0</v>
      </c>
      <c r="N3861" s="919">
        <v>1</v>
      </c>
      <c r="O3861" s="919">
        <v>4</v>
      </c>
      <c r="P3861" s="921">
        <f t="shared" si="121"/>
        <v>11200</v>
      </c>
    </row>
    <row r="3862" spans="1:16" ht="20.100000000000001" customHeight="1" x14ac:dyDescent="0.25">
      <c r="A3862" s="918" t="s">
        <v>478</v>
      </c>
      <c r="B3862" s="944" t="s">
        <v>3901</v>
      </c>
      <c r="C3862" s="919" t="s">
        <v>3902</v>
      </c>
      <c r="D3862" s="919" t="s">
        <v>4492</v>
      </c>
      <c r="E3862" s="920">
        <v>2800</v>
      </c>
      <c r="F3862" s="919" t="s">
        <v>10694</v>
      </c>
      <c r="G3862" s="919" t="s">
        <v>10695</v>
      </c>
      <c r="H3862" s="919" t="s">
        <v>4492</v>
      </c>
      <c r="I3862" s="919" t="s">
        <v>3679</v>
      </c>
      <c r="J3862" s="919"/>
      <c r="K3862" s="920"/>
      <c r="L3862" s="920"/>
      <c r="M3862" s="920">
        <f t="shared" si="120"/>
        <v>0</v>
      </c>
      <c r="N3862" s="919">
        <v>1</v>
      </c>
      <c r="O3862" s="919">
        <v>1</v>
      </c>
      <c r="P3862" s="921">
        <f t="shared" si="121"/>
        <v>2800</v>
      </c>
    </row>
    <row r="3863" spans="1:16" ht="20.100000000000001" customHeight="1" x14ac:dyDescent="0.25">
      <c r="A3863" s="918" t="s">
        <v>478</v>
      </c>
      <c r="B3863" s="944" t="s">
        <v>3901</v>
      </c>
      <c r="C3863" s="919" t="s">
        <v>3902</v>
      </c>
      <c r="D3863" s="919" t="s">
        <v>4499</v>
      </c>
      <c r="E3863" s="920">
        <v>2500</v>
      </c>
      <c r="F3863" s="919" t="s">
        <v>10696</v>
      </c>
      <c r="G3863" s="919" t="s">
        <v>10697</v>
      </c>
      <c r="H3863" s="919" t="s">
        <v>4499</v>
      </c>
      <c r="I3863" s="919" t="s">
        <v>3679</v>
      </c>
      <c r="J3863" s="919"/>
      <c r="K3863" s="920"/>
      <c r="L3863" s="920"/>
      <c r="M3863" s="920">
        <f t="shared" si="120"/>
        <v>0</v>
      </c>
      <c r="N3863" s="919">
        <v>1</v>
      </c>
      <c r="O3863" s="919">
        <v>1</v>
      </c>
      <c r="P3863" s="921">
        <f t="shared" si="121"/>
        <v>2500</v>
      </c>
    </row>
    <row r="3864" spans="1:16" ht="20.100000000000001" customHeight="1" x14ac:dyDescent="0.25">
      <c r="A3864" s="918" t="s">
        <v>478</v>
      </c>
      <c r="B3864" s="944" t="s">
        <v>3901</v>
      </c>
      <c r="C3864" s="919" t="s">
        <v>3902</v>
      </c>
      <c r="D3864" s="919" t="s">
        <v>4881</v>
      </c>
      <c r="E3864" s="920">
        <v>3200</v>
      </c>
      <c r="F3864" s="919" t="s">
        <v>10698</v>
      </c>
      <c r="G3864" s="919" t="s">
        <v>10699</v>
      </c>
      <c r="H3864" s="919" t="s">
        <v>4881</v>
      </c>
      <c r="I3864" s="919" t="s">
        <v>3679</v>
      </c>
      <c r="J3864" s="919"/>
      <c r="K3864" s="920"/>
      <c r="L3864" s="920"/>
      <c r="M3864" s="920">
        <f t="shared" si="120"/>
        <v>0</v>
      </c>
      <c r="N3864" s="919">
        <v>1</v>
      </c>
      <c r="O3864" s="919">
        <v>4</v>
      </c>
      <c r="P3864" s="921">
        <f t="shared" si="121"/>
        <v>12800</v>
      </c>
    </row>
    <row r="3865" spans="1:16" ht="20.100000000000001" customHeight="1" x14ac:dyDescent="0.25">
      <c r="A3865" s="918" t="s">
        <v>478</v>
      </c>
      <c r="B3865" s="944" t="s">
        <v>3901</v>
      </c>
      <c r="C3865" s="919" t="s">
        <v>3902</v>
      </c>
      <c r="D3865" s="919" t="s">
        <v>4886</v>
      </c>
      <c r="E3865" s="920">
        <v>2300</v>
      </c>
      <c r="F3865" s="919" t="s">
        <v>10700</v>
      </c>
      <c r="G3865" s="919" t="s">
        <v>10701</v>
      </c>
      <c r="H3865" s="919" t="s">
        <v>4886</v>
      </c>
      <c r="I3865" s="919" t="s">
        <v>3679</v>
      </c>
      <c r="J3865" s="919"/>
      <c r="K3865" s="920"/>
      <c r="L3865" s="920"/>
      <c r="M3865" s="920">
        <f t="shared" si="120"/>
        <v>0</v>
      </c>
      <c r="N3865" s="919">
        <v>1</v>
      </c>
      <c r="O3865" s="919">
        <v>1</v>
      </c>
      <c r="P3865" s="921">
        <f t="shared" si="121"/>
        <v>2300</v>
      </c>
    </row>
    <row r="3866" spans="1:16" ht="20.100000000000001" customHeight="1" x14ac:dyDescent="0.25">
      <c r="A3866" s="918" t="s">
        <v>478</v>
      </c>
      <c r="B3866" s="944" t="s">
        <v>3901</v>
      </c>
      <c r="C3866" s="919" t="s">
        <v>3902</v>
      </c>
      <c r="D3866" s="919" t="s">
        <v>4657</v>
      </c>
      <c r="E3866" s="920">
        <v>1150</v>
      </c>
      <c r="F3866" s="919" t="s">
        <v>10702</v>
      </c>
      <c r="G3866" s="919" t="s">
        <v>10703</v>
      </c>
      <c r="H3866" s="919" t="s">
        <v>4657</v>
      </c>
      <c r="I3866" s="919" t="s">
        <v>3686</v>
      </c>
      <c r="J3866" s="919"/>
      <c r="K3866" s="920"/>
      <c r="L3866" s="920"/>
      <c r="M3866" s="920">
        <f t="shared" si="120"/>
        <v>0</v>
      </c>
      <c r="N3866" s="919">
        <v>1</v>
      </c>
      <c r="O3866" s="919">
        <v>4</v>
      </c>
      <c r="P3866" s="921">
        <f t="shared" si="121"/>
        <v>4600</v>
      </c>
    </row>
    <row r="3867" spans="1:16" ht="20.100000000000001" customHeight="1" x14ac:dyDescent="0.25">
      <c r="A3867" s="918" t="s">
        <v>478</v>
      </c>
      <c r="B3867" s="944" t="s">
        <v>3901</v>
      </c>
      <c r="C3867" s="919" t="s">
        <v>3902</v>
      </c>
      <c r="D3867" s="919" t="s">
        <v>4895</v>
      </c>
      <c r="E3867" s="920">
        <v>1150</v>
      </c>
      <c r="F3867" s="919" t="s">
        <v>10704</v>
      </c>
      <c r="G3867" s="919" t="s">
        <v>10705</v>
      </c>
      <c r="H3867" s="919" t="s">
        <v>4895</v>
      </c>
      <c r="I3867" s="919" t="s">
        <v>3693</v>
      </c>
      <c r="J3867" s="919"/>
      <c r="K3867" s="920"/>
      <c r="L3867" s="920"/>
      <c r="M3867" s="920">
        <f t="shared" si="120"/>
        <v>0</v>
      </c>
      <c r="N3867" s="919">
        <v>1</v>
      </c>
      <c r="O3867" s="919">
        <v>4</v>
      </c>
      <c r="P3867" s="921">
        <f t="shared" si="121"/>
        <v>4600</v>
      </c>
    </row>
    <row r="3868" spans="1:16" ht="20.100000000000001" customHeight="1" x14ac:dyDescent="0.25">
      <c r="A3868" s="918" t="s">
        <v>478</v>
      </c>
      <c r="B3868" s="944" t="s">
        <v>3901</v>
      </c>
      <c r="C3868" s="919" t="s">
        <v>3902</v>
      </c>
      <c r="D3868" s="919" t="s">
        <v>4895</v>
      </c>
      <c r="E3868" s="920">
        <v>1150</v>
      </c>
      <c r="F3868" s="919" t="s">
        <v>10706</v>
      </c>
      <c r="G3868" s="919" t="s">
        <v>10707</v>
      </c>
      <c r="H3868" s="919" t="s">
        <v>4895</v>
      </c>
      <c r="I3868" s="919" t="s">
        <v>3693</v>
      </c>
      <c r="J3868" s="919"/>
      <c r="K3868" s="920"/>
      <c r="L3868" s="920"/>
      <c r="M3868" s="920">
        <f t="shared" si="120"/>
        <v>0</v>
      </c>
      <c r="N3868" s="919">
        <v>1</v>
      </c>
      <c r="O3868" s="919">
        <v>4</v>
      </c>
      <c r="P3868" s="921">
        <f t="shared" si="121"/>
        <v>4600</v>
      </c>
    </row>
    <row r="3869" spans="1:16" ht="20.100000000000001" customHeight="1" x14ac:dyDescent="0.25">
      <c r="A3869" s="918" t="s">
        <v>478</v>
      </c>
      <c r="B3869" s="944" t="s">
        <v>3901</v>
      </c>
      <c r="C3869" s="919" t="s">
        <v>3902</v>
      </c>
      <c r="D3869" s="919" t="s">
        <v>4895</v>
      </c>
      <c r="E3869" s="920">
        <v>1150</v>
      </c>
      <c r="F3869" s="919" t="s">
        <v>10708</v>
      </c>
      <c r="G3869" s="919" t="s">
        <v>10709</v>
      </c>
      <c r="H3869" s="919" t="s">
        <v>4895</v>
      </c>
      <c r="I3869" s="919" t="s">
        <v>3693</v>
      </c>
      <c r="J3869" s="919"/>
      <c r="K3869" s="920"/>
      <c r="L3869" s="920"/>
      <c r="M3869" s="920">
        <f t="shared" si="120"/>
        <v>0</v>
      </c>
      <c r="N3869" s="919">
        <v>1</v>
      </c>
      <c r="O3869" s="919">
        <v>4</v>
      </c>
      <c r="P3869" s="921">
        <f t="shared" si="121"/>
        <v>4600</v>
      </c>
    </row>
    <row r="3870" spans="1:16" ht="20.100000000000001" customHeight="1" x14ac:dyDescent="0.25">
      <c r="A3870" s="918" t="s">
        <v>478</v>
      </c>
      <c r="B3870" s="944" t="s">
        <v>3901</v>
      </c>
      <c r="C3870" s="919" t="s">
        <v>3902</v>
      </c>
      <c r="D3870" s="919" t="s">
        <v>4502</v>
      </c>
      <c r="E3870" s="920">
        <v>1150</v>
      </c>
      <c r="F3870" s="919" t="s">
        <v>10710</v>
      </c>
      <c r="G3870" s="919" t="s">
        <v>10711</v>
      </c>
      <c r="H3870" s="919" t="s">
        <v>4502</v>
      </c>
      <c r="I3870" s="919" t="s">
        <v>3686</v>
      </c>
      <c r="J3870" s="919"/>
      <c r="K3870" s="920"/>
      <c r="L3870" s="920"/>
      <c r="M3870" s="920">
        <f t="shared" si="120"/>
        <v>0</v>
      </c>
      <c r="N3870" s="919">
        <v>1</v>
      </c>
      <c r="O3870" s="919">
        <v>4</v>
      </c>
      <c r="P3870" s="921">
        <f t="shared" si="121"/>
        <v>4600</v>
      </c>
    </row>
    <row r="3871" spans="1:16" ht="20.100000000000001" customHeight="1" x14ac:dyDescent="0.25">
      <c r="A3871" s="918" t="s">
        <v>478</v>
      </c>
      <c r="B3871" s="944" t="s">
        <v>3901</v>
      </c>
      <c r="C3871" s="919" t="s">
        <v>3902</v>
      </c>
      <c r="D3871" s="919" t="s">
        <v>4502</v>
      </c>
      <c r="E3871" s="920">
        <v>1150</v>
      </c>
      <c r="F3871" s="919" t="s">
        <v>10712</v>
      </c>
      <c r="G3871" s="919" t="s">
        <v>10713</v>
      </c>
      <c r="H3871" s="919" t="s">
        <v>4502</v>
      </c>
      <c r="I3871" s="919" t="s">
        <v>3686</v>
      </c>
      <c r="J3871" s="919"/>
      <c r="K3871" s="920"/>
      <c r="L3871" s="920"/>
      <c r="M3871" s="920">
        <f t="shared" si="120"/>
        <v>0</v>
      </c>
      <c r="N3871" s="919">
        <v>1</v>
      </c>
      <c r="O3871" s="919">
        <v>4</v>
      </c>
      <c r="P3871" s="921">
        <f t="shared" si="121"/>
        <v>4600</v>
      </c>
    </row>
    <row r="3872" spans="1:16" ht="20.100000000000001" customHeight="1" x14ac:dyDescent="0.25">
      <c r="A3872" s="918" t="s">
        <v>478</v>
      </c>
      <c r="B3872" s="944" t="s">
        <v>3901</v>
      </c>
      <c r="C3872" s="919" t="s">
        <v>3902</v>
      </c>
      <c r="D3872" s="919" t="s">
        <v>4502</v>
      </c>
      <c r="E3872" s="920">
        <v>1150</v>
      </c>
      <c r="F3872" s="919" t="s">
        <v>10714</v>
      </c>
      <c r="G3872" s="919" t="s">
        <v>10715</v>
      </c>
      <c r="H3872" s="919" t="s">
        <v>4502</v>
      </c>
      <c r="I3872" s="919" t="s">
        <v>3686</v>
      </c>
      <c r="J3872" s="919"/>
      <c r="K3872" s="920"/>
      <c r="L3872" s="920"/>
      <c r="M3872" s="920">
        <f t="shared" si="120"/>
        <v>0</v>
      </c>
      <c r="N3872" s="919">
        <v>1</v>
      </c>
      <c r="O3872" s="919">
        <v>4</v>
      </c>
      <c r="P3872" s="921">
        <f t="shared" si="121"/>
        <v>4600</v>
      </c>
    </row>
    <row r="3873" spans="1:16" ht="20.100000000000001" customHeight="1" x14ac:dyDescent="0.25">
      <c r="A3873" s="918" t="s">
        <v>478</v>
      </c>
      <c r="B3873" s="944" t="s">
        <v>3901</v>
      </c>
      <c r="C3873" s="919" t="s">
        <v>3902</v>
      </c>
      <c r="D3873" s="919" t="s">
        <v>4502</v>
      </c>
      <c r="E3873" s="920">
        <v>1150</v>
      </c>
      <c r="F3873" s="919" t="s">
        <v>10716</v>
      </c>
      <c r="G3873" s="919" t="s">
        <v>10717</v>
      </c>
      <c r="H3873" s="919" t="s">
        <v>4502</v>
      </c>
      <c r="I3873" s="919" t="s">
        <v>3686</v>
      </c>
      <c r="J3873" s="919"/>
      <c r="K3873" s="920"/>
      <c r="L3873" s="920"/>
      <c r="M3873" s="920">
        <f t="shared" si="120"/>
        <v>0</v>
      </c>
      <c r="N3873" s="919">
        <v>1</v>
      </c>
      <c r="O3873" s="919">
        <v>4</v>
      </c>
      <c r="P3873" s="921">
        <f t="shared" si="121"/>
        <v>4600</v>
      </c>
    </row>
    <row r="3874" spans="1:16" ht="20.100000000000001" customHeight="1" x14ac:dyDescent="0.25">
      <c r="A3874" s="918" t="s">
        <v>478</v>
      </c>
      <c r="B3874" s="944" t="s">
        <v>3901</v>
      </c>
      <c r="C3874" s="919" t="s">
        <v>3902</v>
      </c>
      <c r="D3874" s="919" t="s">
        <v>4502</v>
      </c>
      <c r="E3874" s="920">
        <v>1150</v>
      </c>
      <c r="F3874" s="919" t="s">
        <v>10718</v>
      </c>
      <c r="G3874" s="919" t="s">
        <v>10719</v>
      </c>
      <c r="H3874" s="919" t="s">
        <v>4502</v>
      </c>
      <c r="I3874" s="919" t="s">
        <v>3686</v>
      </c>
      <c r="J3874" s="919"/>
      <c r="K3874" s="920"/>
      <c r="L3874" s="920"/>
      <c r="M3874" s="920">
        <f t="shared" si="120"/>
        <v>0</v>
      </c>
      <c r="N3874" s="919">
        <v>1</v>
      </c>
      <c r="O3874" s="919">
        <v>4</v>
      </c>
      <c r="P3874" s="921">
        <f t="shared" si="121"/>
        <v>4600</v>
      </c>
    </row>
    <row r="3875" spans="1:16" ht="20.100000000000001" customHeight="1" x14ac:dyDescent="0.25">
      <c r="A3875" s="918" t="s">
        <v>478</v>
      </c>
      <c r="B3875" s="944" t="s">
        <v>3901</v>
      </c>
      <c r="C3875" s="919" t="s">
        <v>3902</v>
      </c>
      <c r="D3875" s="919" t="s">
        <v>4502</v>
      </c>
      <c r="E3875" s="920">
        <v>1150</v>
      </c>
      <c r="F3875" s="919" t="s">
        <v>10720</v>
      </c>
      <c r="G3875" s="919" t="s">
        <v>10721</v>
      </c>
      <c r="H3875" s="919" t="s">
        <v>4502</v>
      </c>
      <c r="I3875" s="919" t="s">
        <v>3686</v>
      </c>
      <c r="J3875" s="919"/>
      <c r="K3875" s="920"/>
      <c r="L3875" s="920"/>
      <c r="M3875" s="920">
        <f t="shared" si="120"/>
        <v>0</v>
      </c>
      <c r="N3875" s="919">
        <v>1</v>
      </c>
      <c r="O3875" s="919">
        <v>4</v>
      </c>
      <c r="P3875" s="921">
        <f t="shared" si="121"/>
        <v>4600</v>
      </c>
    </row>
    <row r="3876" spans="1:16" ht="20.100000000000001" customHeight="1" x14ac:dyDescent="0.25">
      <c r="A3876" s="918" t="s">
        <v>478</v>
      </c>
      <c r="B3876" s="944" t="s">
        <v>3901</v>
      </c>
      <c r="C3876" s="919" t="s">
        <v>3902</v>
      </c>
      <c r="D3876" s="919" t="s">
        <v>4502</v>
      </c>
      <c r="E3876" s="920">
        <v>1150</v>
      </c>
      <c r="F3876" s="919" t="s">
        <v>10722</v>
      </c>
      <c r="G3876" s="919" t="s">
        <v>10723</v>
      </c>
      <c r="H3876" s="919" t="s">
        <v>4502</v>
      </c>
      <c r="I3876" s="919" t="s">
        <v>3686</v>
      </c>
      <c r="J3876" s="919"/>
      <c r="K3876" s="920"/>
      <c r="L3876" s="920"/>
      <c r="M3876" s="920">
        <f t="shared" si="120"/>
        <v>0</v>
      </c>
      <c r="N3876" s="919">
        <v>1</v>
      </c>
      <c r="O3876" s="919">
        <v>4</v>
      </c>
      <c r="P3876" s="921">
        <f t="shared" si="121"/>
        <v>4600</v>
      </c>
    </row>
    <row r="3877" spans="1:16" ht="20.100000000000001" customHeight="1" x14ac:dyDescent="0.25">
      <c r="A3877" s="918" t="s">
        <v>478</v>
      </c>
      <c r="B3877" s="944" t="s">
        <v>3901</v>
      </c>
      <c r="C3877" s="919" t="s">
        <v>3902</v>
      </c>
      <c r="D3877" s="919" t="s">
        <v>4502</v>
      </c>
      <c r="E3877" s="920">
        <v>1150</v>
      </c>
      <c r="F3877" s="919" t="s">
        <v>10724</v>
      </c>
      <c r="G3877" s="919" t="s">
        <v>10725</v>
      </c>
      <c r="H3877" s="919" t="s">
        <v>4502</v>
      </c>
      <c r="I3877" s="919" t="s">
        <v>3686</v>
      </c>
      <c r="J3877" s="919"/>
      <c r="K3877" s="920"/>
      <c r="L3877" s="920"/>
      <c r="M3877" s="920">
        <f t="shared" si="120"/>
        <v>0</v>
      </c>
      <c r="N3877" s="919">
        <v>1</v>
      </c>
      <c r="O3877" s="919">
        <v>4</v>
      </c>
      <c r="P3877" s="921">
        <f t="shared" si="121"/>
        <v>4600</v>
      </c>
    </row>
    <row r="3878" spans="1:16" ht="20.100000000000001" customHeight="1" x14ac:dyDescent="0.25">
      <c r="A3878" s="918" t="s">
        <v>478</v>
      </c>
      <c r="B3878" s="944" t="s">
        <v>3901</v>
      </c>
      <c r="C3878" s="919" t="s">
        <v>3902</v>
      </c>
      <c r="D3878" s="919" t="s">
        <v>4502</v>
      </c>
      <c r="E3878" s="920">
        <v>1150</v>
      </c>
      <c r="F3878" s="919" t="s">
        <v>10726</v>
      </c>
      <c r="G3878" s="919" t="s">
        <v>10727</v>
      </c>
      <c r="H3878" s="919" t="s">
        <v>4502</v>
      </c>
      <c r="I3878" s="919" t="s">
        <v>3686</v>
      </c>
      <c r="J3878" s="919"/>
      <c r="K3878" s="920"/>
      <c r="L3878" s="920"/>
      <c r="M3878" s="920">
        <f t="shared" si="120"/>
        <v>0</v>
      </c>
      <c r="N3878" s="919">
        <v>1</v>
      </c>
      <c r="O3878" s="919">
        <v>4</v>
      </c>
      <c r="P3878" s="921">
        <f t="shared" si="121"/>
        <v>4600</v>
      </c>
    </row>
    <row r="3879" spans="1:16" ht="20.100000000000001" customHeight="1" x14ac:dyDescent="0.25">
      <c r="A3879" s="918" t="s">
        <v>478</v>
      </c>
      <c r="B3879" s="944" t="s">
        <v>3901</v>
      </c>
      <c r="C3879" s="919" t="s">
        <v>3902</v>
      </c>
      <c r="D3879" s="919" t="s">
        <v>4502</v>
      </c>
      <c r="E3879" s="920">
        <v>1150</v>
      </c>
      <c r="F3879" s="919" t="s">
        <v>10728</v>
      </c>
      <c r="G3879" s="919" t="s">
        <v>10729</v>
      </c>
      <c r="H3879" s="919" t="s">
        <v>4502</v>
      </c>
      <c r="I3879" s="919" t="s">
        <v>3686</v>
      </c>
      <c r="J3879" s="919"/>
      <c r="K3879" s="920"/>
      <c r="L3879" s="920"/>
      <c r="M3879" s="920">
        <f t="shared" si="120"/>
        <v>0</v>
      </c>
      <c r="N3879" s="919">
        <v>1</v>
      </c>
      <c r="O3879" s="919">
        <v>4</v>
      </c>
      <c r="P3879" s="921">
        <f t="shared" si="121"/>
        <v>4600</v>
      </c>
    </row>
    <row r="3880" spans="1:16" ht="20.100000000000001" customHeight="1" x14ac:dyDescent="0.25">
      <c r="A3880" s="918" t="s">
        <v>478</v>
      </c>
      <c r="B3880" s="944" t="s">
        <v>3901</v>
      </c>
      <c r="C3880" s="919" t="s">
        <v>3902</v>
      </c>
      <c r="D3880" s="919" t="s">
        <v>4502</v>
      </c>
      <c r="E3880" s="920">
        <v>1150</v>
      </c>
      <c r="F3880" s="919" t="s">
        <v>10730</v>
      </c>
      <c r="G3880" s="919" t="s">
        <v>10731</v>
      </c>
      <c r="H3880" s="919" t="s">
        <v>4502</v>
      </c>
      <c r="I3880" s="919" t="s">
        <v>3686</v>
      </c>
      <c r="J3880" s="919"/>
      <c r="K3880" s="920"/>
      <c r="L3880" s="920"/>
      <c r="M3880" s="920">
        <f t="shared" si="120"/>
        <v>0</v>
      </c>
      <c r="N3880" s="919">
        <v>1</v>
      </c>
      <c r="O3880" s="919">
        <v>1</v>
      </c>
      <c r="P3880" s="921">
        <f t="shared" si="121"/>
        <v>1150</v>
      </c>
    </row>
    <row r="3881" spans="1:16" ht="20.100000000000001" customHeight="1" x14ac:dyDescent="0.25">
      <c r="A3881" s="918" t="s">
        <v>478</v>
      </c>
      <c r="B3881" s="944" t="s">
        <v>3901</v>
      </c>
      <c r="C3881" s="919" t="s">
        <v>3902</v>
      </c>
      <c r="D3881" s="919" t="s">
        <v>4502</v>
      </c>
      <c r="E3881" s="920">
        <v>1150</v>
      </c>
      <c r="F3881" s="919" t="s">
        <v>10732</v>
      </c>
      <c r="G3881" s="919" t="s">
        <v>10733</v>
      </c>
      <c r="H3881" s="919" t="s">
        <v>4502</v>
      </c>
      <c r="I3881" s="919" t="s">
        <v>3686</v>
      </c>
      <c r="J3881" s="919"/>
      <c r="K3881" s="920"/>
      <c r="L3881" s="920"/>
      <c r="M3881" s="920">
        <f t="shared" si="120"/>
        <v>0</v>
      </c>
      <c r="N3881" s="919">
        <v>1</v>
      </c>
      <c r="O3881" s="919">
        <v>4</v>
      </c>
      <c r="P3881" s="921">
        <f t="shared" si="121"/>
        <v>4600</v>
      </c>
    </row>
    <row r="3882" spans="1:16" ht="20.100000000000001" customHeight="1" x14ac:dyDescent="0.25">
      <c r="A3882" s="918" t="s">
        <v>478</v>
      </c>
      <c r="B3882" s="944" t="s">
        <v>3901</v>
      </c>
      <c r="C3882" s="919" t="s">
        <v>3902</v>
      </c>
      <c r="D3882" s="919" t="s">
        <v>4502</v>
      </c>
      <c r="E3882" s="920">
        <v>1150</v>
      </c>
      <c r="F3882" s="919" t="s">
        <v>10734</v>
      </c>
      <c r="G3882" s="919" t="s">
        <v>10735</v>
      </c>
      <c r="H3882" s="919" t="s">
        <v>4502</v>
      </c>
      <c r="I3882" s="919" t="s">
        <v>3686</v>
      </c>
      <c r="J3882" s="919"/>
      <c r="K3882" s="920"/>
      <c r="L3882" s="920"/>
      <c r="M3882" s="920">
        <f t="shared" si="120"/>
        <v>0</v>
      </c>
      <c r="N3882" s="919">
        <v>1</v>
      </c>
      <c r="O3882" s="919">
        <v>4</v>
      </c>
      <c r="P3882" s="921">
        <f t="shared" si="121"/>
        <v>4600</v>
      </c>
    </row>
    <row r="3883" spans="1:16" ht="20.100000000000001" customHeight="1" x14ac:dyDescent="0.25">
      <c r="A3883" s="918" t="s">
        <v>478</v>
      </c>
      <c r="B3883" s="944" t="s">
        <v>3901</v>
      </c>
      <c r="C3883" s="919" t="s">
        <v>3902</v>
      </c>
      <c r="D3883" s="919" t="s">
        <v>4531</v>
      </c>
      <c r="E3883" s="920">
        <v>1800</v>
      </c>
      <c r="F3883" s="919" t="s">
        <v>10736</v>
      </c>
      <c r="G3883" s="919" t="s">
        <v>10737</v>
      </c>
      <c r="H3883" s="919" t="s">
        <v>4531</v>
      </c>
      <c r="I3883" s="919" t="s">
        <v>3679</v>
      </c>
      <c r="J3883" s="919"/>
      <c r="K3883" s="920"/>
      <c r="L3883" s="920"/>
      <c r="M3883" s="920">
        <f t="shared" si="120"/>
        <v>0</v>
      </c>
      <c r="N3883" s="919">
        <v>1</v>
      </c>
      <c r="O3883" s="919">
        <v>4</v>
      </c>
      <c r="P3883" s="921">
        <f t="shared" si="121"/>
        <v>7200</v>
      </c>
    </row>
    <row r="3884" spans="1:16" ht="20.100000000000001" customHeight="1" x14ac:dyDescent="0.25">
      <c r="A3884" s="918" t="s">
        <v>478</v>
      </c>
      <c r="B3884" s="944" t="s">
        <v>3901</v>
      </c>
      <c r="C3884" s="919" t="s">
        <v>3902</v>
      </c>
      <c r="D3884" s="919" t="s">
        <v>4531</v>
      </c>
      <c r="E3884" s="920">
        <v>1800</v>
      </c>
      <c r="F3884" s="919" t="s">
        <v>10738</v>
      </c>
      <c r="G3884" s="919" t="s">
        <v>10739</v>
      </c>
      <c r="H3884" s="919" t="s">
        <v>4531</v>
      </c>
      <c r="I3884" s="919" t="s">
        <v>3679</v>
      </c>
      <c r="J3884" s="919"/>
      <c r="K3884" s="920"/>
      <c r="L3884" s="920"/>
      <c r="M3884" s="920">
        <f t="shared" si="120"/>
        <v>0</v>
      </c>
      <c r="N3884" s="919">
        <v>1</v>
      </c>
      <c r="O3884" s="919">
        <v>4</v>
      </c>
      <c r="P3884" s="921">
        <f t="shared" si="121"/>
        <v>7200</v>
      </c>
    </row>
    <row r="3885" spans="1:16" ht="20.100000000000001" customHeight="1" x14ac:dyDescent="0.25">
      <c r="A3885" s="918" t="s">
        <v>478</v>
      </c>
      <c r="B3885" s="944" t="s">
        <v>3901</v>
      </c>
      <c r="C3885" s="919" t="s">
        <v>3902</v>
      </c>
      <c r="D3885" s="919" t="s">
        <v>4531</v>
      </c>
      <c r="E3885" s="920">
        <v>1800</v>
      </c>
      <c r="F3885" s="919" t="s">
        <v>10740</v>
      </c>
      <c r="G3885" s="919" t="s">
        <v>10741</v>
      </c>
      <c r="H3885" s="919" t="s">
        <v>4531</v>
      </c>
      <c r="I3885" s="919" t="s">
        <v>3679</v>
      </c>
      <c r="J3885" s="919"/>
      <c r="K3885" s="920"/>
      <c r="L3885" s="920"/>
      <c r="M3885" s="920">
        <f t="shared" si="120"/>
        <v>0</v>
      </c>
      <c r="N3885" s="919">
        <v>1</v>
      </c>
      <c r="O3885" s="919">
        <v>4</v>
      </c>
      <c r="P3885" s="921">
        <f t="shared" si="121"/>
        <v>7200</v>
      </c>
    </row>
    <row r="3886" spans="1:16" ht="20.100000000000001" customHeight="1" x14ac:dyDescent="0.25">
      <c r="A3886" s="918" t="s">
        <v>478</v>
      </c>
      <c r="B3886" s="944" t="s">
        <v>3901</v>
      </c>
      <c r="C3886" s="919" t="s">
        <v>3902</v>
      </c>
      <c r="D3886" s="919" t="s">
        <v>4531</v>
      </c>
      <c r="E3886" s="920">
        <v>1800</v>
      </c>
      <c r="F3886" s="919" t="s">
        <v>10742</v>
      </c>
      <c r="G3886" s="919" t="s">
        <v>10743</v>
      </c>
      <c r="H3886" s="919" t="s">
        <v>4531</v>
      </c>
      <c r="I3886" s="919" t="s">
        <v>3679</v>
      </c>
      <c r="J3886" s="919"/>
      <c r="K3886" s="920"/>
      <c r="L3886" s="920"/>
      <c r="M3886" s="920">
        <f t="shared" si="120"/>
        <v>0</v>
      </c>
      <c r="N3886" s="919">
        <v>1</v>
      </c>
      <c r="O3886" s="919">
        <v>4</v>
      </c>
      <c r="P3886" s="921">
        <f t="shared" si="121"/>
        <v>7200</v>
      </c>
    </row>
    <row r="3887" spans="1:16" ht="20.100000000000001" customHeight="1" x14ac:dyDescent="0.25">
      <c r="A3887" s="918" t="s">
        <v>478</v>
      </c>
      <c r="B3887" s="944" t="s">
        <v>3901</v>
      </c>
      <c r="C3887" s="919" t="s">
        <v>3902</v>
      </c>
      <c r="D3887" s="919" t="s">
        <v>4531</v>
      </c>
      <c r="E3887" s="920">
        <v>1800</v>
      </c>
      <c r="F3887" s="919" t="s">
        <v>10744</v>
      </c>
      <c r="G3887" s="919" t="s">
        <v>10745</v>
      </c>
      <c r="H3887" s="919" t="s">
        <v>4531</v>
      </c>
      <c r="I3887" s="919" t="s">
        <v>3679</v>
      </c>
      <c r="J3887" s="919"/>
      <c r="K3887" s="920"/>
      <c r="L3887" s="920"/>
      <c r="M3887" s="920">
        <f t="shared" si="120"/>
        <v>0</v>
      </c>
      <c r="N3887" s="919">
        <v>1</v>
      </c>
      <c r="O3887" s="919">
        <v>4</v>
      </c>
      <c r="P3887" s="921">
        <f t="shared" si="121"/>
        <v>7200</v>
      </c>
    </row>
    <row r="3888" spans="1:16" ht="20.100000000000001" customHeight="1" x14ac:dyDescent="0.25">
      <c r="A3888" s="918" t="s">
        <v>478</v>
      </c>
      <c r="B3888" s="944" t="s">
        <v>3901</v>
      </c>
      <c r="C3888" s="919" t="s">
        <v>3902</v>
      </c>
      <c r="D3888" s="919" t="s">
        <v>4531</v>
      </c>
      <c r="E3888" s="920">
        <v>1800</v>
      </c>
      <c r="F3888" s="919" t="s">
        <v>10746</v>
      </c>
      <c r="G3888" s="919" t="s">
        <v>10747</v>
      </c>
      <c r="H3888" s="919" t="s">
        <v>4531</v>
      </c>
      <c r="I3888" s="919" t="s">
        <v>3679</v>
      </c>
      <c r="J3888" s="919"/>
      <c r="K3888" s="920"/>
      <c r="L3888" s="920"/>
      <c r="M3888" s="920">
        <f t="shared" si="120"/>
        <v>0</v>
      </c>
      <c r="N3888" s="919">
        <v>1</v>
      </c>
      <c r="O3888" s="919">
        <v>4</v>
      </c>
      <c r="P3888" s="921">
        <f t="shared" si="121"/>
        <v>7200</v>
      </c>
    </row>
    <row r="3889" spans="1:16" ht="20.100000000000001" customHeight="1" x14ac:dyDescent="0.25">
      <c r="A3889" s="918" t="s">
        <v>478</v>
      </c>
      <c r="B3889" s="944" t="s">
        <v>3901</v>
      </c>
      <c r="C3889" s="919" t="s">
        <v>3902</v>
      </c>
      <c r="D3889" s="919" t="s">
        <v>4531</v>
      </c>
      <c r="E3889" s="920">
        <v>1800</v>
      </c>
      <c r="F3889" s="919" t="s">
        <v>10748</v>
      </c>
      <c r="G3889" s="919" t="s">
        <v>10749</v>
      </c>
      <c r="H3889" s="919" t="s">
        <v>4531</v>
      </c>
      <c r="I3889" s="919" t="s">
        <v>3679</v>
      </c>
      <c r="J3889" s="919"/>
      <c r="K3889" s="920"/>
      <c r="L3889" s="920"/>
      <c r="M3889" s="920">
        <f t="shared" si="120"/>
        <v>0</v>
      </c>
      <c r="N3889" s="919">
        <v>1</v>
      </c>
      <c r="O3889" s="919">
        <v>4</v>
      </c>
      <c r="P3889" s="921">
        <f t="shared" si="121"/>
        <v>7200</v>
      </c>
    </row>
    <row r="3890" spans="1:16" ht="20.100000000000001" customHeight="1" x14ac:dyDescent="0.25">
      <c r="A3890" s="918" t="s">
        <v>478</v>
      </c>
      <c r="B3890" s="944" t="s">
        <v>3901</v>
      </c>
      <c r="C3890" s="919" t="s">
        <v>3902</v>
      </c>
      <c r="D3890" s="919" t="s">
        <v>4531</v>
      </c>
      <c r="E3890" s="920">
        <v>1800</v>
      </c>
      <c r="F3890" s="919" t="s">
        <v>10750</v>
      </c>
      <c r="G3890" s="919" t="s">
        <v>10751</v>
      </c>
      <c r="H3890" s="919" t="s">
        <v>4531</v>
      </c>
      <c r="I3890" s="919" t="s">
        <v>3679</v>
      </c>
      <c r="J3890" s="919"/>
      <c r="K3890" s="920"/>
      <c r="L3890" s="920"/>
      <c r="M3890" s="920">
        <f t="shared" si="120"/>
        <v>0</v>
      </c>
      <c r="N3890" s="919">
        <v>1</v>
      </c>
      <c r="O3890" s="919">
        <v>4</v>
      </c>
      <c r="P3890" s="921">
        <f t="shared" si="121"/>
        <v>7200</v>
      </c>
    </row>
    <row r="3891" spans="1:16" ht="20.100000000000001" customHeight="1" x14ac:dyDescent="0.25">
      <c r="A3891" s="918" t="s">
        <v>478</v>
      </c>
      <c r="B3891" s="944" t="s">
        <v>3901</v>
      </c>
      <c r="C3891" s="919" t="s">
        <v>3902</v>
      </c>
      <c r="D3891" s="919" t="s">
        <v>4531</v>
      </c>
      <c r="E3891" s="920">
        <v>1800</v>
      </c>
      <c r="F3891" s="919" t="s">
        <v>10752</v>
      </c>
      <c r="G3891" s="919" t="s">
        <v>10753</v>
      </c>
      <c r="H3891" s="919" t="s">
        <v>4531</v>
      </c>
      <c r="I3891" s="919" t="s">
        <v>3679</v>
      </c>
      <c r="J3891" s="919"/>
      <c r="K3891" s="920"/>
      <c r="L3891" s="920"/>
      <c r="M3891" s="920">
        <f t="shared" si="120"/>
        <v>0</v>
      </c>
      <c r="N3891" s="919">
        <v>1</v>
      </c>
      <c r="O3891" s="919">
        <v>4</v>
      </c>
      <c r="P3891" s="921">
        <f t="shared" si="121"/>
        <v>7200</v>
      </c>
    </row>
    <row r="3892" spans="1:16" ht="20.100000000000001" customHeight="1" x14ac:dyDescent="0.25">
      <c r="A3892" s="918" t="s">
        <v>478</v>
      </c>
      <c r="B3892" s="944" t="s">
        <v>3901</v>
      </c>
      <c r="C3892" s="919" t="s">
        <v>3902</v>
      </c>
      <c r="D3892" s="919" t="s">
        <v>4531</v>
      </c>
      <c r="E3892" s="920">
        <v>1800</v>
      </c>
      <c r="F3892" s="919" t="s">
        <v>10754</v>
      </c>
      <c r="G3892" s="919" t="s">
        <v>10755</v>
      </c>
      <c r="H3892" s="919" t="s">
        <v>4531</v>
      </c>
      <c r="I3892" s="919" t="s">
        <v>3679</v>
      </c>
      <c r="J3892" s="919"/>
      <c r="K3892" s="920"/>
      <c r="L3892" s="920"/>
      <c r="M3892" s="920">
        <f t="shared" si="120"/>
        <v>0</v>
      </c>
      <c r="N3892" s="919">
        <v>1</v>
      </c>
      <c r="O3892" s="919">
        <v>4</v>
      </c>
      <c r="P3892" s="921">
        <f t="shared" si="121"/>
        <v>7200</v>
      </c>
    </row>
    <row r="3893" spans="1:16" ht="20.100000000000001" customHeight="1" x14ac:dyDescent="0.25">
      <c r="A3893" s="918" t="s">
        <v>478</v>
      </c>
      <c r="B3893" s="944" t="s">
        <v>3901</v>
      </c>
      <c r="C3893" s="919" t="s">
        <v>3902</v>
      </c>
      <c r="D3893" s="919" t="s">
        <v>4531</v>
      </c>
      <c r="E3893" s="920">
        <v>1800</v>
      </c>
      <c r="F3893" s="919" t="s">
        <v>10756</v>
      </c>
      <c r="G3893" s="919" t="s">
        <v>10757</v>
      </c>
      <c r="H3893" s="919" t="s">
        <v>4531</v>
      </c>
      <c r="I3893" s="919" t="s">
        <v>3679</v>
      </c>
      <c r="J3893" s="919"/>
      <c r="K3893" s="920"/>
      <c r="L3893" s="920"/>
      <c r="M3893" s="920">
        <f t="shared" si="120"/>
        <v>0</v>
      </c>
      <c r="N3893" s="919">
        <v>1</v>
      </c>
      <c r="O3893" s="919">
        <v>4</v>
      </c>
      <c r="P3893" s="921">
        <f t="shared" si="121"/>
        <v>7200</v>
      </c>
    </row>
    <row r="3894" spans="1:16" ht="20.100000000000001" customHeight="1" x14ac:dyDescent="0.25">
      <c r="A3894" s="918" t="s">
        <v>478</v>
      </c>
      <c r="B3894" s="944" t="s">
        <v>3901</v>
      </c>
      <c r="C3894" s="919" t="s">
        <v>3902</v>
      </c>
      <c r="D3894" s="919" t="s">
        <v>4531</v>
      </c>
      <c r="E3894" s="920">
        <v>1800</v>
      </c>
      <c r="F3894" s="919" t="s">
        <v>10758</v>
      </c>
      <c r="G3894" s="919" t="s">
        <v>10759</v>
      </c>
      <c r="H3894" s="919" t="s">
        <v>4531</v>
      </c>
      <c r="I3894" s="919" t="s">
        <v>3679</v>
      </c>
      <c r="J3894" s="919"/>
      <c r="K3894" s="920"/>
      <c r="L3894" s="920"/>
      <c r="M3894" s="920">
        <f t="shared" si="120"/>
        <v>0</v>
      </c>
      <c r="N3894" s="919">
        <v>1</v>
      </c>
      <c r="O3894" s="919">
        <v>4</v>
      </c>
      <c r="P3894" s="921">
        <f t="shared" si="121"/>
        <v>7200</v>
      </c>
    </row>
    <row r="3895" spans="1:16" ht="20.100000000000001" customHeight="1" x14ac:dyDescent="0.25">
      <c r="A3895" s="918" t="s">
        <v>478</v>
      </c>
      <c r="B3895" s="944" t="s">
        <v>3901</v>
      </c>
      <c r="C3895" s="919" t="s">
        <v>3902</v>
      </c>
      <c r="D3895" s="919" t="s">
        <v>4531</v>
      </c>
      <c r="E3895" s="920">
        <v>1800</v>
      </c>
      <c r="F3895" s="919" t="s">
        <v>10760</v>
      </c>
      <c r="G3895" s="919" t="s">
        <v>10761</v>
      </c>
      <c r="H3895" s="919" t="s">
        <v>4531</v>
      </c>
      <c r="I3895" s="919" t="s">
        <v>3679</v>
      </c>
      <c r="J3895" s="919"/>
      <c r="K3895" s="920"/>
      <c r="L3895" s="920"/>
      <c r="M3895" s="920">
        <f t="shared" si="120"/>
        <v>0</v>
      </c>
      <c r="N3895" s="919">
        <v>1</v>
      </c>
      <c r="O3895" s="919">
        <v>4</v>
      </c>
      <c r="P3895" s="921">
        <f t="shared" si="121"/>
        <v>7200</v>
      </c>
    </row>
    <row r="3896" spans="1:16" ht="20.100000000000001" customHeight="1" x14ac:dyDescent="0.25">
      <c r="A3896" s="918" t="s">
        <v>478</v>
      </c>
      <c r="B3896" s="944" t="s">
        <v>3901</v>
      </c>
      <c r="C3896" s="919" t="s">
        <v>3902</v>
      </c>
      <c r="D3896" s="919" t="s">
        <v>4531</v>
      </c>
      <c r="E3896" s="920">
        <v>1800</v>
      </c>
      <c r="F3896" s="919" t="s">
        <v>10762</v>
      </c>
      <c r="G3896" s="919" t="s">
        <v>10763</v>
      </c>
      <c r="H3896" s="919" t="s">
        <v>4531</v>
      </c>
      <c r="I3896" s="919" t="s">
        <v>3679</v>
      </c>
      <c r="J3896" s="919"/>
      <c r="K3896" s="920"/>
      <c r="L3896" s="920"/>
      <c r="M3896" s="920">
        <f t="shared" si="120"/>
        <v>0</v>
      </c>
      <c r="N3896" s="919">
        <v>1</v>
      </c>
      <c r="O3896" s="919">
        <v>3</v>
      </c>
      <c r="P3896" s="921">
        <f t="shared" si="121"/>
        <v>5400</v>
      </c>
    </row>
    <row r="3897" spans="1:16" ht="20.100000000000001" customHeight="1" x14ac:dyDescent="0.25">
      <c r="A3897" s="918" t="s">
        <v>478</v>
      </c>
      <c r="B3897" s="944" t="s">
        <v>3901</v>
      </c>
      <c r="C3897" s="919" t="s">
        <v>3902</v>
      </c>
      <c r="D3897" s="919" t="s">
        <v>4531</v>
      </c>
      <c r="E3897" s="920">
        <v>1800</v>
      </c>
      <c r="F3897" s="919" t="s">
        <v>10764</v>
      </c>
      <c r="G3897" s="919" t="s">
        <v>10765</v>
      </c>
      <c r="H3897" s="919" t="s">
        <v>4531</v>
      </c>
      <c r="I3897" s="919" t="s">
        <v>3679</v>
      </c>
      <c r="J3897" s="919"/>
      <c r="K3897" s="920"/>
      <c r="L3897" s="920"/>
      <c r="M3897" s="920">
        <f t="shared" si="120"/>
        <v>0</v>
      </c>
      <c r="N3897" s="919">
        <v>1</v>
      </c>
      <c r="O3897" s="919">
        <v>4</v>
      </c>
      <c r="P3897" s="921">
        <f t="shared" si="121"/>
        <v>7200</v>
      </c>
    </row>
    <row r="3898" spans="1:16" ht="20.100000000000001" customHeight="1" x14ac:dyDescent="0.25">
      <c r="A3898" s="918" t="s">
        <v>478</v>
      </c>
      <c r="B3898" s="944" t="s">
        <v>3901</v>
      </c>
      <c r="C3898" s="919" t="s">
        <v>3902</v>
      </c>
      <c r="D3898" s="919" t="s">
        <v>4382</v>
      </c>
      <c r="E3898" s="920">
        <v>2500</v>
      </c>
      <c r="F3898" s="919" t="s">
        <v>10766</v>
      </c>
      <c r="G3898" s="919" t="s">
        <v>10767</v>
      </c>
      <c r="H3898" s="919" t="s">
        <v>4382</v>
      </c>
      <c r="I3898" s="919" t="s">
        <v>3679</v>
      </c>
      <c r="J3898" s="919"/>
      <c r="K3898" s="920"/>
      <c r="L3898" s="920"/>
      <c r="M3898" s="920">
        <f t="shared" si="120"/>
        <v>0</v>
      </c>
      <c r="N3898" s="919">
        <v>1</v>
      </c>
      <c r="O3898" s="919">
        <v>1</v>
      </c>
      <c r="P3898" s="921">
        <f t="shared" si="121"/>
        <v>2500</v>
      </c>
    </row>
    <row r="3899" spans="1:16" ht="20.100000000000001" customHeight="1" x14ac:dyDescent="0.25">
      <c r="A3899" s="918" t="s">
        <v>478</v>
      </c>
      <c r="B3899" s="944" t="s">
        <v>3901</v>
      </c>
      <c r="C3899" s="919" t="s">
        <v>3902</v>
      </c>
      <c r="D3899" s="919" t="s">
        <v>4382</v>
      </c>
      <c r="E3899" s="920">
        <v>2500</v>
      </c>
      <c r="F3899" s="919" t="s">
        <v>10768</v>
      </c>
      <c r="G3899" s="919" t="s">
        <v>10769</v>
      </c>
      <c r="H3899" s="919" t="s">
        <v>4382</v>
      </c>
      <c r="I3899" s="919" t="s">
        <v>3679</v>
      </c>
      <c r="J3899" s="919"/>
      <c r="K3899" s="920"/>
      <c r="L3899" s="920"/>
      <c r="M3899" s="920">
        <f t="shared" si="120"/>
        <v>0</v>
      </c>
      <c r="N3899" s="919">
        <v>1</v>
      </c>
      <c r="O3899" s="919">
        <v>4</v>
      </c>
      <c r="P3899" s="921">
        <f t="shared" si="121"/>
        <v>10000</v>
      </c>
    </row>
    <row r="3900" spans="1:16" ht="20.100000000000001" customHeight="1" x14ac:dyDescent="0.25">
      <c r="A3900" s="918" t="s">
        <v>478</v>
      </c>
      <c r="B3900" s="944" t="s">
        <v>3901</v>
      </c>
      <c r="C3900" s="919" t="s">
        <v>3902</v>
      </c>
      <c r="D3900" s="919" t="s">
        <v>4382</v>
      </c>
      <c r="E3900" s="920">
        <v>2500</v>
      </c>
      <c r="F3900" s="919" t="s">
        <v>10770</v>
      </c>
      <c r="G3900" s="919" t="s">
        <v>10771</v>
      </c>
      <c r="H3900" s="919" t="s">
        <v>4382</v>
      </c>
      <c r="I3900" s="919" t="s">
        <v>3679</v>
      </c>
      <c r="J3900" s="919"/>
      <c r="K3900" s="920"/>
      <c r="L3900" s="920"/>
      <c r="M3900" s="920">
        <f t="shared" si="120"/>
        <v>0</v>
      </c>
      <c r="N3900" s="919">
        <v>1</v>
      </c>
      <c r="O3900" s="919">
        <v>4</v>
      </c>
      <c r="P3900" s="921">
        <f t="shared" si="121"/>
        <v>10000</v>
      </c>
    </row>
    <row r="3901" spans="1:16" ht="20.100000000000001" customHeight="1" x14ac:dyDescent="0.25">
      <c r="A3901" s="918" t="s">
        <v>478</v>
      </c>
      <c r="B3901" s="944" t="s">
        <v>3901</v>
      </c>
      <c r="C3901" s="919" t="s">
        <v>3902</v>
      </c>
      <c r="D3901" s="919" t="s">
        <v>4382</v>
      </c>
      <c r="E3901" s="920">
        <v>2500</v>
      </c>
      <c r="F3901" s="919" t="s">
        <v>10772</v>
      </c>
      <c r="G3901" s="919" t="s">
        <v>10773</v>
      </c>
      <c r="H3901" s="919" t="s">
        <v>4382</v>
      </c>
      <c r="I3901" s="919" t="s">
        <v>3679</v>
      </c>
      <c r="J3901" s="919"/>
      <c r="K3901" s="920"/>
      <c r="L3901" s="920"/>
      <c r="M3901" s="920">
        <f t="shared" si="120"/>
        <v>0</v>
      </c>
      <c r="N3901" s="919">
        <v>1</v>
      </c>
      <c r="O3901" s="919">
        <v>4</v>
      </c>
      <c r="P3901" s="921">
        <f t="shared" si="121"/>
        <v>10000</v>
      </c>
    </row>
    <row r="3902" spans="1:16" ht="20.100000000000001" customHeight="1" x14ac:dyDescent="0.25">
      <c r="A3902" s="918" t="s">
        <v>478</v>
      </c>
      <c r="B3902" s="944" t="s">
        <v>3901</v>
      </c>
      <c r="C3902" s="919" t="s">
        <v>3902</v>
      </c>
      <c r="D3902" s="919" t="s">
        <v>4382</v>
      </c>
      <c r="E3902" s="920">
        <v>2500</v>
      </c>
      <c r="F3902" s="919" t="s">
        <v>10774</v>
      </c>
      <c r="G3902" s="919" t="s">
        <v>10775</v>
      </c>
      <c r="H3902" s="919" t="s">
        <v>4382</v>
      </c>
      <c r="I3902" s="919" t="s">
        <v>3679</v>
      </c>
      <c r="J3902" s="919"/>
      <c r="K3902" s="920"/>
      <c r="L3902" s="920"/>
      <c r="M3902" s="920">
        <f t="shared" si="120"/>
        <v>0</v>
      </c>
      <c r="N3902" s="919">
        <v>1</v>
      </c>
      <c r="O3902" s="919">
        <v>4</v>
      </c>
      <c r="P3902" s="921">
        <f t="shared" si="121"/>
        <v>10000</v>
      </c>
    </row>
    <row r="3903" spans="1:16" ht="20.100000000000001" customHeight="1" x14ac:dyDescent="0.25">
      <c r="A3903" s="918" t="s">
        <v>478</v>
      </c>
      <c r="B3903" s="944" t="s">
        <v>3901</v>
      </c>
      <c r="C3903" s="919" t="s">
        <v>3902</v>
      </c>
      <c r="D3903" s="919" t="s">
        <v>4382</v>
      </c>
      <c r="E3903" s="920">
        <v>2500</v>
      </c>
      <c r="F3903" s="919" t="s">
        <v>10776</v>
      </c>
      <c r="G3903" s="919" t="s">
        <v>10777</v>
      </c>
      <c r="H3903" s="919" t="s">
        <v>4382</v>
      </c>
      <c r="I3903" s="919" t="s">
        <v>3679</v>
      </c>
      <c r="J3903" s="919"/>
      <c r="K3903" s="920"/>
      <c r="L3903" s="920"/>
      <c r="M3903" s="920">
        <f t="shared" si="120"/>
        <v>0</v>
      </c>
      <c r="N3903" s="919">
        <v>1</v>
      </c>
      <c r="O3903" s="919">
        <v>4</v>
      </c>
      <c r="P3903" s="921">
        <f t="shared" si="121"/>
        <v>10000</v>
      </c>
    </row>
    <row r="3904" spans="1:16" ht="20.100000000000001" customHeight="1" x14ac:dyDescent="0.25">
      <c r="A3904" s="918" t="s">
        <v>478</v>
      </c>
      <c r="B3904" s="944" t="s">
        <v>3901</v>
      </c>
      <c r="C3904" s="919" t="s">
        <v>3902</v>
      </c>
      <c r="D3904" s="919" t="s">
        <v>4382</v>
      </c>
      <c r="E3904" s="920">
        <v>2500</v>
      </c>
      <c r="F3904" s="919" t="s">
        <v>10778</v>
      </c>
      <c r="G3904" s="919" t="s">
        <v>10779</v>
      </c>
      <c r="H3904" s="919" t="s">
        <v>4382</v>
      </c>
      <c r="I3904" s="919" t="s">
        <v>3679</v>
      </c>
      <c r="J3904" s="919"/>
      <c r="K3904" s="920"/>
      <c r="L3904" s="920"/>
      <c r="M3904" s="920">
        <f t="shared" si="120"/>
        <v>0</v>
      </c>
      <c r="N3904" s="919">
        <v>1</v>
      </c>
      <c r="O3904" s="919">
        <v>4</v>
      </c>
      <c r="P3904" s="921">
        <f t="shared" si="121"/>
        <v>10000</v>
      </c>
    </row>
    <row r="3905" spans="1:16" ht="20.100000000000001" customHeight="1" x14ac:dyDescent="0.25">
      <c r="A3905" s="918" t="s">
        <v>478</v>
      </c>
      <c r="B3905" s="944" t="s">
        <v>3901</v>
      </c>
      <c r="C3905" s="919" t="s">
        <v>3902</v>
      </c>
      <c r="D3905" s="919" t="s">
        <v>4382</v>
      </c>
      <c r="E3905" s="920">
        <v>2500</v>
      </c>
      <c r="F3905" s="919" t="s">
        <v>10780</v>
      </c>
      <c r="G3905" s="919" t="s">
        <v>10781</v>
      </c>
      <c r="H3905" s="919" t="s">
        <v>4382</v>
      </c>
      <c r="I3905" s="919" t="s">
        <v>3679</v>
      </c>
      <c r="J3905" s="919"/>
      <c r="K3905" s="920"/>
      <c r="L3905" s="920"/>
      <c r="M3905" s="920">
        <f t="shared" si="120"/>
        <v>0</v>
      </c>
      <c r="N3905" s="919">
        <v>1</v>
      </c>
      <c r="O3905" s="919">
        <v>4</v>
      </c>
      <c r="P3905" s="921">
        <f t="shared" si="121"/>
        <v>10000</v>
      </c>
    </row>
    <row r="3906" spans="1:16" ht="20.100000000000001" customHeight="1" x14ac:dyDescent="0.25">
      <c r="A3906" s="918" t="s">
        <v>478</v>
      </c>
      <c r="B3906" s="944" t="s">
        <v>3901</v>
      </c>
      <c r="C3906" s="919" t="s">
        <v>3902</v>
      </c>
      <c r="D3906" s="919" t="s">
        <v>4382</v>
      </c>
      <c r="E3906" s="920">
        <v>2500</v>
      </c>
      <c r="F3906" s="919" t="s">
        <v>10782</v>
      </c>
      <c r="G3906" s="919" t="s">
        <v>10783</v>
      </c>
      <c r="H3906" s="919" t="s">
        <v>4382</v>
      </c>
      <c r="I3906" s="919" t="s">
        <v>3679</v>
      </c>
      <c r="J3906" s="919"/>
      <c r="K3906" s="920"/>
      <c r="L3906" s="920"/>
      <c r="M3906" s="920">
        <f t="shared" si="120"/>
        <v>0</v>
      </c>
      <c r="N3906" s="919">
        <v>1</v>
      </c>
      <c r="O3906" s="919">
        <v>4</v>
      </c>
      <c r="P3906" s="921">
        <f t="shared" si="121"/>
        <v>10000</v>
      </c>
    </row>
    <row r="3907" spans="1:16" ht="20.100000000000001" customHeight="1" x14ac:dyDescent="0.25">
      <c r="A3907" s="918" t="s">
        <v>478</v>
      </c>
      <c r="B3907" s="944" t="s">
        <v>3901</v>
      </c>
      <c r="C3907" s="919" t="s">
        <v>3902</v>
      </c>
      <c r="D3907" s="919" t="s">
        <v>4382</v>
      </c>
      <c r="E3907" s="920">
        <v>2500</v>
      </c>
      <c r="F3907" s="919" t="s">
        <v>10784</v>
      </c>
      <c r="G3907" s="919" t="s">
        <v>10785</v>
      </c>
      <c r="H3907" s="919" t="s">
        <v>4382</v>
      </c>
      <c r="I3907" s="919" t="s">
        <v>3679</v>
      </c>
      <c r="J3907" s="919"/>
      <c r="K3907" s="920"/>
      <c r="L3907" s="920"/>
      <c r="M3907" s="920">
        <f t="shared" si="120"/>
        <v>0</v>
      </c>
      <c r="N3907" s="919">
        <v>1</v>
      </c>
      <c r="O3907" s="919">
        <v>4</v>
      </c>
      <c r="P3907" s="921">
        <f t="shared" si="121"/>
        <v>10000</v>
      </c>
    </row>
    <row r="3908" spans="1:16" ht="20.100000000000001" customHeight="1" x14ac:dyDescent="0.25">
      <c r="A3908" s="918" t="s">
        <v>478</v>
      </c>
      <c r="B3908" s="944" t="s">
        <v>3901</v>
      </c>
      <c r="C3908" s="919" t="s">
        <v>3902</v>
      </c>
      <c r="D3908" s="919" t="s">
        <v>4382</v>
      </c>
      <c r="E3908" s="920">
        <v>2500</v>
      </c>
      <c r="F3908" s="919" t="s">
        <v>4041</v>
      </c>
      <c r="G3908" s="919" t="s">
        <v>4042</v>
      </c>
      <c r="H3908" s="919" t="s">
        <v>4382</v>
      </c>
      <c r="I3908" s="919" t="s">
        <v>3679</v>
      </c>
      <c r="J3908" s="919"/>
      <c r="K3908" s="920">
        <v>1</v>
      </c>
      <c r="L3908" s="920">
        <v>12</v>
      </c>
      <c r="M3908" s="920">
        <f t="shared" si="120"/>
        <v>30000</v>
      </c>
      <c r="N3908" s="919"/>
      <c r="O3908" s="919"/>
      <c r="P3908" s="921">
        <f t="shared" si="121"/>
        <v>0</v>
      </c>
    </row>
    <row r="3909" spans="1:16" ht="20.100000000000001" customHeight="1" x14ac:dyDescent="0.25">
      <c r="A3909" s="918" t="s">
        <v>478</v>
      </c>
      <c r="B3909" s="944" t="s">
        <v>3901</v>
      </c>
      <c r="C3909" s="919" t="s">
        <v>3902</v>
      </c>
      <c r="D3909" s="919" t="s">
        <v>4382</v>
      </c>
      <c r="E3909" s="920">
        <v>2500</v>
      </c>
      <c r="F3909" s="919" t="s">
        <v>10786</v>
      </c>
      <c r="G3909" s="919" t="s">
        <v>10787</v>
      </c>
      <c r="H3909" s="919" t="s">
        <v>4382</v>
      </c>
      <c r="I3909" s="919" t="s">
        <v>3679</v>
      </c>
      <c r="J3909" s="919"/>
      <c r="K3909" s="920"/>
      <c r="L3909" s="920"/>
      <c r="M3909" s="920">
        <f t="shared" si="120"/>
        <v>0</v>
      </c>
      <c r="N3909" s="919">
        <v>1</v>
      </c>
      <c r="O3909" s="919">
        <v>4</v>
      </c>
      <c r="P3909" s="921">
        <f t="shared" si="121"/>
        <v>10000</v>
      </c>
    </row>
    <row r="3910" spans="1:16" ht="20.100000000000001" customHeight="1" x14ac:dyDescent="0.25">
      <c r="A3910" s="918" t="s">
        <v>478</v>
      </c>
      <c r="B3910" s="944" t="s">
        <v>3901</v>
      </c>
      <c r="C3910" s="919" t="s">
        <v>3902</v>
      </c>
      <c r="D3910" s="919" t="s">
        <v>4382</v>
      </c>
      <c r="E3910" s="920">
        <v>2500</v>
      </c>
      <c r="F3910" s="919" t="s">
        <v>10788</v>
      </c>
      <c r="G3910" s="919" t="s">
        <v>10789</v>
      </c>
      <c r="H3910" s="919" t="s">
        <v>4382</v>
      </c>
      <c r="I3910" s="919" t="s">
        <v>3679</v>
      </c>
      <c r="J3910" s="919"/>
      <c r="K3910" s="920"/>
      <c r="L3910" s="920"/>
      <c r="M3910" s="920">
        <f t="shared" ref="M3910:M3973" si="122">E3910*L3910</f>
        <v>0</v>
      </c>
      <c r="N3910" s="919">
        <v>1</v>
      </c>
      <c r="O3910" s="919">
        <v>4</v>
      </c>
      <c r="P3910" s="921">
        <f t="shared" ref="P3910:P3973" si="123">E3910*O3910</f>
        <v>10000</v>
      </c>
    </row>
    <row r="3911" spans="1:16" ht="20.100000000000001" customHeight="1" x14ac:dyDescent="0.25">
      <c r="A3911" s="918" t="s">
        <v>478</v>
      </c>
      <c r="B3911" s="944" t="s">
        <v>3901</v>
      </c>
      <c r="C3911" s="919" t="s">
        <v>3902</v>
      </c>
      <c r="D3911" s="919" t="s">
        <v>4382</v>
      </c>
      <c r="E3911" s="920">
        <v>2500</v>
      </c>
      <c r="F3911" s="919" t="s">
        <v>10790</v>
      </c>
      <c r="G3911" s="919" t="s">
        <v>10791</v>
      </c>
      <c r="H3911" s="919" t="s">
        <v>4382</v>
      </c>
      <c r="I3911" s="919" t="s">
        <v>3679</v>
      </c>
      <c r="J3911" s="919"/>
      <c r="K3911" s="920"/>
      <c r="L3911" s="920"/>
      <c r="M3911" s="920">
        <f t="shared" si="122"/>
        <v>0</v>
      </c>
      <c r="N3911" s="919">
        <v>1</v>
      </c>
      <c r="O3911" s="919">
        <v>1</v>
      </c>
      <c r="P3911" s="921">
        <f t="shared" si="123"/>
        <v>2500</v>
      </c>
    </row>
    <row r="3912" spans="1:16" ht="20.100000000000001" customHeight="1" x14ac:dyDescent="0.25">
      <c r="A3912" s="918" t="s">
        <v>478</v>
      </c>
      <c r="B3912" s="944" t="s">
        <v>3901</v>
      </c>
      <c r="C3912" s="919" t="s">
        <v>3902</v>
      </c>
      <c r="D3912" s="919" t="s">
        <v>4382</v>
      </c>
      <c r="E3912" s="920">
        <v>2500</v>
      </c>
      <c r="F3912" s="919" t="s">
        <v>10792</v>
      </c>
      <c r="G3912" s="919" t="s">
        <v>10793</v>
      </c>
      <c r="H3912" s="919" t="s">
        <v>4382</v>
      </c>
      <c r="I3912" s="919" t="s">
        <v>3679</v>
      </c>
      <c r="J3912" s="919"/>
      <c r="K3912" s="920"/>
      <c r="L3912" s="920"/>
      <c r="M3912" s="920">
        <f t="shared" si="122"/>
        <v>0</v>
      </c>
      <c r="N3912" s="919">
        <v>1</v>
      </c>
      <c r="O3912" s="919">
        <v>4</v>
      </c>
      <c r="P3912" s="921">
        <f t="shared" si="123"/>
        <v>10000</v>
      </c>
    </row>
    <row r="3913" spans="1:16" ht="20.100000000000001" customHeight="1" x14ac:dyDescent="0.25">
      <c r="A3913" s="918" t="s">
        <v>478</v>
      </c>
      <c r="B3913" s="944" t="s">
        <v>3901</v>
      </c>
      <c r="C3913" s="919" t="s">
        <v>3902</v>
      </c>
      <c r="D3913" s="919" t="s">
        <v>4592</v>
      </c>
      <c r="E3913" s="920">
        <v>1150</v>
      </c>
      <c r="F3913" s="919" t="s">
        <v>10794</v>
      </c>
      <c r="G3913" s="919" t="s">
        <v>10795</v>
      </c>
      <c r="H3913" s="919" t="s">
        <v>4592</v>
      </c>
      <c r="I3913" s="919" t="s">
        <v>3686</v>
      </c>
      <c r="J3913" s="919"/>
      <c r="K3913" s="920"/>
      <c r="L3913" s="920"/>
      <c r="M3913" s="920">
        <f t="shared" si="122"/>
        <v>0</v>
      </c>
      <c r="N3913" s="919">
        <v>1</v>
      </c>
      <c r="O3913" s="919">
        <v>4</v>
      </c>
      <c r="P3913" s="921">
        <f t="shared" si="123"/>
        <v>4600</v>
      </c>
    </row>
    <row r="3914" spans="1:16" ht="20.100000000000001" customHeight="1" x14ac:dyDescent="0.25">
      <c r="A3914" s="918" t="s">
        <v>478</v>
      </c>
      <c r="B3914" s="944" t="s">
        <v>3901</v>
      </c>
      <c r="C3914" s="919" t="s">
        <v>3902</v>
      </c>
      <c r="D3914" s="919" t="s">
        <v>4592</v>
      </c>
      <c r="E3914" s="920">
        <v>1150</v>
      </c>
      <c r="F3914" s="919" t="s">
        <v>10796</v>
      </c>
      <c r="G3914" s="919" t="s">
        <v>10797</v>
      </c>
      <c r="H3914" s="919" t="s">
        <v>4592</v>
      </c>
      <c r="I3914" s="919" t="s">
        <v>3686</v>
      </c>
      <c r="J3914" s="919"/>
      <c r="K3914" s="920"/>
      <c r="L3914" s="920"/>
      <c r="M3914" s="920">
        <f t="shared" si="122"/>
        <v>0</v>
      </c>
      <c r="N3914" s="919">
        <v>1</v>
      </c>
      <c r="O3914" s="919">
        <v>4</v>
      </c>
      <c r="P3914" s="921">
        <f t="shared" si="123"/>
        <v>4600</v>
      </c>
    </row>
    <row r="3915" spans="1:16" ht="20.100000000000001" customHeight="1" x14ac:dyDescent="0.25">
      <c r="A3915" s="918" t="s">
        <v>478</v>
      </c>
      <c r="B3915" s="944" t="s">
        <v>3901</v>
      </c>
      <c r="C3915" s="919" t="s">
        <v>3902</v>
      </c>
      <c r="D3915" s="919" t="s">
        <v>4592</v>
      </c>
      <c r="E3915" s="920">
        <v>1150</v>
      </c>
      <c r="F3915" s="919" t="s">
        <v>10798</v>
      </c>
      <c r="G3915" s="919" t="s">
        <v>10799</v>
      </c>
      <c r="H3915" s="919" t="s">
        <v>4592</v>
      </c>
      <c r="I3915" s="919" t="s">
        <v>3686</v>
      </c>
      <c r="J3915" s="919"/>
      <c r="K3915" s="920"/>
      <c r="L3915" s="920"/>
      <c r="M3915" s="920">
        <f t="shared" si="122"/>
        <v>0</v>
      </c>
      <c r="N3915" s="919">
        <v>1</v>
      </c>
      <c r="O3915" s="919">
        <v>3</v>
      </c>
      <c r="P3915" s="921">
        <f t="shared" si="123"/>
        <v>3450</v>
      </c>
    </row>
    <row r="3916" spans="1:16" ht="20.100000000000001" customHeight="1" x14ac:dyDescent="0.25">
      <c r="A3916" s="918" t="s">
        <v>478</v>
      </c>
      <c r="B3916" s="944" t="s">
        <v>3901</v>
      </c>
      <c r="C3916" s="919" t="s">
        <v>3902</v>
      </c>
      <c r="D3916" s="919" t="s">
        <v>4592</v>
      </c>
      <c r="E3916" s="920">
        <v>1150</v>
      </c>
      <c r="F3916" s="919" t="s">
        <v>10800</v>
      </c>
      <c r="G3916" s="919" t="s">
        <v>10801</v>
      </c>
      <c r="H3916" s="919" t="s">
        <v>4592</v>
      </c>
      <c r="I3916" s="919" t="s">
        <v>3686</v>
      </c>
      <c r="J3916" s="919"/>
      <c r="K3916" s="920"/>
      <c r="L3916" s="920"/>
      <c r="M3916" s="920">
        <f t="shared" si="122"/>
        <v>0</v>
      </c>
      <c r="N3916" s="919">
        <v>1</v>
      </c>
      <c r="O3916" s="919">
        <v>4</v>
      </c>
      <c r="P3916" s="921">
        <f t="shared" si="123"/>
        <v>4600</v>
      </c>
    </row>
    <row r="3917" spans="1:16" ht="20.100000000000001" customHeight="1" x14ac:dyDescent="0.25">
      <c r="A3917" s="918" t="s">
        <v>478</v>
      </c>
      <c r="B3917" s="944" t="s">
        <v>3901</v>
      </c>
      <c r="C3917" s="919" t="s">
        <v>3902</v>
      </c>
      <c r="D3917" s="919" t="s">
        <v>4592</v>
      </c>
      <c r="E3917" s="920">
        <v>1150</v>
      </c>
      <c r="F3917" s="919" t="s">
        <v>10802</v>
      </c>
      <c r="G3917" s="919" t="s">
        <v>10803</v>
      </c>
      <c r="H3917" s="919" t="s">
        <v>4592</v>
      </c>
      <c r="I3917" s="919" t="s">
        <v>3686</v>
      </c>
      <c r="J3917" s="919"/>
      <c r="K3917" s="920"/>
      <c r="L3917" s="920"/>
      <c r="M3917" s="920">
        <f t="shared" si="122"/>
        <v>0</v>
      </c>
      <c r="N3917" s="919">
        <v>1</v>
      </c>
      <c r="O3917" s="919">
        <v>4</v>
      </c>
      <c r="P3917" s="921">
        <f t="shared" si="123"/>
        <v>4600</v>
      </c>
    </row>
    <row r="3918" spans="1:16" ht="20.100000000000001" customHeight="1" x14ac:dyDescent="0.25">
      <c r="A3918" s="918" t="s">
        <v>478</v>
      </c>
      <c r="B3918" s="944" t="s">
        <v>3901</v>
      </c>
      <c r="C3918" s="919" t="s">
        <v>3902</v>
      </c>
      <c r="D3918" s="919" t="s">
        <v>4592</v>
      </c>
      <c r="E3918" s="920">
        <v>1150</v>
      </c>
      <c r="F3918" s="919" t="s">
        <v>10804</v>
      </c>
      <c r="G3918" s="919" t="s">
        <v>10805</v>
      </c>
      <c r="H3918" s="919" t="s">
        <v>4592</v>
      </c>
      <c r="I3918" s="919" t="s">
        <v>3686</v>
      </c>
      <c r="J3918" s="919"/>
      <c r="K3918" s="920"/>
      <c r="L3918" s="920"/>
      <c r="M3918" s="920">
        <f t="shared" si="122"/>
        <v>0</v>
      </c>
      <c r="N3918" s="919">
        <v>1</v>
      </c>
      <c r="O3918" s="919">
        <v>4</v>
      </c>
      <c r="P3918" s="921">
        <f t="shared" si="123"/>
        <v>4600</v>
      </c>
    </row>
    <row r="3919" spans="1:16" ht="20.100000000000001" customHeight="1" x14ac:dyDescent="0.25">
      <c r="A3919" s="918" t="s">
        <v>478</v>
      </c>
      <c r="B3919" s="944" t="s">
        <v>3901</v>
      </c>
      <c r="C3919" s="919" t="s">
        <v>3902</v>
      </c>
      <c r="D3919" s="919" t="s">
        <v>4592</v>
      </c>
      <c r="E3919" s="920">
        <v>1150</v>
      </c>
      <c r="F3919" s="919" t="s">
        <v>10806</v>
      </c>
      <c r="G3919" s="919" t="s">
        <v>10807</v>
      </c>
      <c r="H3919" s="919" t="s">
        <v>4592</v>
      </c>
      <c r="I3919" s="919" t="s">
        <v>3686</v>
      </c>
      <c r="J3919" s="919"/>
      <c r="K3919" s="920"/>
      <c r="L3919" s="920"/>
      <c r="M3919" s="920">
        <f t="shared" si="122"/>
        <v>0</v>
      </c>
      <c r="N3919" s="919">
        <v>1</v>
      </c>
      <c r="O3919" s="919">
        <v>4</v>
      </c>
      <c r="P3919" s="921">
        <f t="shared" si="123"/>
        <v>4600</v>
      </c>
    </row>
    <row r="3920" spans="1:16" ht="20.100000000000001" customHeight="1" x14ac:dyDescent="0.25">
      <c r="A3920" s="918" t="s">
        <v>478</v>
      </c>
      <c r="B3920" s="944" t="s">
        <v>3901</v>
      </c>
      <c r="C3920" s="919" t="s">
        <v>3902</v>
      </c>
      <c r="D3920" s="919" t="s">
        <v>4592</v>
      </c>
      <c r="E3920" s="920">
        <v>1150</v>
      </c>
      <c r="F3920" s="919" t="s">
        <v>10808</v>
      </c>
      <c r="G3920" s="919" t="s">
        <v>10809</v>
      </c>
      <c r="H3920" s="919" t="s">
        <v>4592</v>
      </c>
      <c r="I3920" s="919" t="s">
        <v>3686</v>
      </c>
      <c r="J3920" s="919"/>
      <c r="K3920" s="920"/>
      <c r="L3920" s="920"/>
      <c r="M3920" s="920">
        <f t="shared" si="122"/>
        <v>0</v>
      </c>
      <c r="N3920" s="919">
        <v>1</v>
      </c>
      <c r="O3920" s="919">
        <v>4</v>
      </c>
      <c r="P3920" s="921">
        <f t="shared" si="123"/>
        <v>4600</v>
      </c>
    </row>
    <row r="3921" spans="1:16" ht="20.100000000000001" customHeight="1" x14ac:dyDescent="0.25">
      <c r="A3921" s="918" t="s">
        <v>478</v>
      </c>
      <c r="B3921" s="944" t="s">
        <v>3901</v>
      </c>
      <c r="C3921" s="919" t="s">
        <v>3902</v>
      </c>
      <c r="D3921" s="919" t="s">
        <v>4592</v>
      </c>
      <c r="E3921" s="920">
        <v>1150</v>
      </c>
      <c r="F3921" s="919" t="s">
        <v>10810</v>
      </c>
      <c r="G3921" s="919" t="s">
        <v>10811</v>
      </c>
      <c r="H3921" s="919" t="s">
        <v>4592</v>
      </c>
      <c r="I3921" s="919" t="s">
        <v>3686</v>
      </c>
      <c r="J3921" s="919"/>
      <c r="K3921" s="920"/>
      <c r="L3921" s="920"/>
      <c r="M3921" s="920">
        <f t="shared" si="122"/>
        <v>0</v>
      </c>
      <c r="N3921" s="919">
        <v>1</v>
      </c>
      <c r="O3921" s="919">
        <v>4</v>
      </c>
      <c r="P3921" s="921">
        <f t="shared" si="123"/>
        <v>4600</v>
      </c>
    </row>
    <row r="3922" spans="1:16" ht="20.100000000000001" customHeight="1" x14ac:dyDescent="0.25">
      <c r="A3922" s="918" t="s">
        <v>478</v>
      </c>
      <c r="B3922" s="944" t="s">
        <v>3901</v>
      </c>
      <c r="C3922" s="919" t="s">
        <v>3902</v>
      </c>
      <c r="D3922" s="919" t="s">
        <v>4592</v>
      </c>
      <c r="E3922" s="920">
        <v>1150</v>
      </c>
      <c r="F3922" s="919" t="s">
        <v>10812</v>
      </c>
      <c r="G3922" s="919" t="s">
        <v>10813</v>
      </c>
      <c r="H3922" s="919" t="s">
        <v>4592</v>
      </c>
      <c r="I3922" s="919" t="s">
        <v>3686</v>
      </c>
      <c r="J3922" s="919"/>
      <c r="K3922" s="920"/>
      <c r="L3922" s="920"/>
      <c r="M3922" s="920">
        <f t="shared" si="122"/>
        <v>0</v>
      </c>
      <c r="N3922" s="919">
        <v>1</v>
      </c>
      <c r="O3922" s="919">
        <v>4</v>
      </c>
      <c r="P3922" s="921">
        <f t="shared" si="123"/>
        <v>4600</v>
      </c>
    </row>
    <row r="3923" spans="1:16" ht="20.100000000000001" customHeight="1" x14ac:dyDescent="0.25">
      <c r="A3923" s="918" t="s">
        <v>478</v>
      </c>
      <c r="B3923" s="944" t="s">
        <v>3901</v>
      </c>
      <c r="C3923" s="919" t="s">
        <v>3902</v>
      </c>
      <c r="D3923" s="919" t="s">
        <v>4592</v>
      </c>
      <c r="E3923" s="920">
        <v>1150</v>
      </c>
      <c r="F3923" s="919" t="s">
        <v>10814</v>
      </c>
      <c r="G3923" s="919" t="s">
        <v>10815</v>
      </c>
      <c r="H3923" s="919" t="s">
        <v>4592</v>
      </c>
      <c r="I3923" s="919" t="s">
        <v>3686</v>
      </c>
      <c r="J3923" s="919"/>
      <c r="K3923" s="920"/>
      <c r="L3923" s="920"/>
      <c r="M3923" s="920">
        <f t="shared" si="122"/>
        <v>0</v>
      </c>
      <c r="N3923" s="919">
        <v>1</v>
      </c>
      <c r="O3923" s="919">
        <v>4</v>
      </c>
      <c r="P3923" s="921">
        <f t="shared" si="123"/>
        <v>4600</v>
      </c>
    </row>
    <row r="3924" spans="1:16" ht="20.100000000000001" customHeight="1" x14ac:dyDescent="0.25">
      <c r="A3924" s="918" t="s">
        <v>478</v>
      </c>
      <c r="B3924" s="944" t="s">
        <v>3901</v>
      </c>
      <c r="C3924" s="919" t="s">
        <v>3902</v>
      </c>
      <c r="D3924" s="919" t="s">
        <v>4592</v>
      </c>
      <c r="E3924" s="920">
        <v>1150</v>
      </c>
      <c r="F3924" s="919" t="s">
        <v>10816</v>
      </c>
      <c r="G3924" s="919" t="s">
        <v>10817</v>
      </c>
      <c r="H3924" s="919" t="s">
        <v>4592</v>
      </c>
      <c r="I3924" s="919" t="s">
        <v>3686</v>
      </c>
      <c r="J3924" s="919"/>
      <c r="K3924" s="920"/>
      <c r="L3924" s="920"/>
      <c r="M3924" s="920">
        <f t="shared" si="122"/>
        <v>0</v>
      </c>
      <c r="N3924" s="919">
        <v>1</v>
      </c>
      <c r="O3924" s="919">
        <v>4</v>
      </c>
      <c r="P3924" s="921">
        <f t="shared" si="123"/>
        <v>4600</v>
      </c>
    </row>
    <row r="3925" spans="1:16" ht="20.100000000000001" customHeight="1" x14ac:dyDescent="0.25">
      <c r="A3925" s="918" t="s">
        <v>478</v>
      </c>
      <c r="B3925" s="944" t="s">
        <v>3901</v>
      </c>
      <c r="C3925" s="919" t="s">
        <v>3902</v>
      </c>
      <c r="D3925" s="919" t="s">
        <v>4592</v>
      </c>
      <c r="E3925" s="920">
        <v>1150</v>
      </c>
      <c r="F3925" s="919" t="s">
        <v>10818</v>
      </c>
      <c r="G3925" s="919" t="s">
        <v>10819</v>
      </c>
      <c r="H3925" s="919" t="s">
        <v>4592</v>
      </c>
      <c r="I3925" s="919" t="s">
        <v>3686</v>
      </c>
      <c r="J3925" s="919"/>
      <c r="K3925" s="920"/>
      <c r="L3925" s="920"/>
      <c r="M3925" s="920">
        <f t="shared" si="122"/>
        <v>0</v>
      </c>
      <c r="N3925" s="919">
        <v>1</v>
      </c>
      <c r="O3925" s="919">
        <v>1</v>
      </c>
      <c r="P3925" s="921">
        <f t="shared" si="123"/>
        <v>1150</v>
      </c>
    </row>
    <row r="3926" spans="1:16" ht="20.100000000000001" customHeight="1" x14ac:dyDescent="0.25">
      <c r="A3926" s="918" t="s">
        <v>478</v>
      </c>
      <c r="B3926" s="944" t="s">
        <v>3901</v>
      </c>
      <c r="C3926" s="919" t="s">
        <v>3902</v>
      </c>
      <c r="D3926" s="919" t="s">
        <v>4592</v>
      </c>
      <c r="E3926" s="920">
        <v>1150</v>
      </c>
      <c r="F3926" s="919" t="s">
        <v>10820</v>
      </c>
      <c r="G3926" s="919" t="s">
        <v>10821</v>
      </c>
      <c r="H3926" s="919" t="s">
        <v>4592</v>
      </c>
      <c r="I3926" s="919" t="s">
        <v>3686</v>
      </c>
      <c r="J3926" s="919"/>
      <c r="K3926" s="920"/>
      <c r="L3926" s="920"/>
      <c r="M3926" s="920">
        <f t="shared" si="122"/>
        <v>0</v>
      </c>
      <c r="N3926" s="919">
        <v>1</v>
      </c>
      <c r="O3926" s="919">
        <v>4</v>
      </c>
      <c r="P3926" s="921">
        <f t="shared" si="123"/>
        <v>4600</v>
      </c>
    </row>
    <row r="3927" spans="1:16" ht="20.100000000000001" customHeight="1" x14ac:dyDescent="0.25">
      <c r="A3927" s="918" t="s">
        <v>478</v>
      </c>
      <c r="B3927" s="944" t="s">
        <v>3901</v>
      </c>
      <c r="C3927" s="919" t="s">
        <v>3902</v>
      </c>
      <c r="D3927" s="919" t="s">
        <v>4109</v>
      </c>
      <c r="E3927" s="920">
        <v>1400</v>
      </c>
      <c r="F3927" s="919" t="s">
        <v>10822</v>
      </c>
      <c r="G3927" s="919" t="s">
        <v>10823</v>
      </c>
      <c r="H3927" s="919" t="s">
        <v>4109</v>
      </c>
      <c r="I3927" s="919" t="s">
        <v>3686</v>
      </c>
      <c r="J3927" s="919"/>
      <c r="K3927" s="920"/>
      <c r="L3927" s="920"/>
      <c r="M3927" s="920">
        <f t="shared" si="122"/>
        <v>0</v>
      </c>
      <c r="N3927" s="919">
        <v>1</v>
      </c>
      <c r="O3927" s="919">
        <v>4</v>
      </c>
      <c r="P3927" s="921">
        <f t="shared" si="123"/>
        <v>5600</v>
      </c>
    </row>
    <row r="3928" spans="1:16" ht="20.100000000000001" customHeight="1" x14ac:dyDescent="0.25">
      <c r="A3928" s="918" t="s">
        <v>478</v>
      </c>
      <c r="B3928" s="944" t="s">
        <v>3901</v>
      </c>
      <c r="C3928" s="919" t="s">
        <v>3902</v>
      </c>
      <c r="D3928" s="919" t="s">
        <v>4109</v>
      </c>
      <c r="E3928" s="920">
        <v>1400</v>
      </c>
      <c r="F3928" s="919" t="s">
        <v>10824</v>
      </c>
      <c r="G3928" s="919" t="s">
        <v>10825</v>
      </c>
      <c r="H3928" s="919" t="s">
        <v>4109</v>
      </c>
      <c r="I3928" s="919" t="s">
        <v>3686</v>
      </c>
      <c r="J3928" s="919"/>
      <c r="K3928" s="920"/>
      <c r="L3928" s="920"/>
      <c r="M3928" s="920">
        <f t="shared" si="122"/>
        <v>0</v>
      </c>
      <c r="N3928" s="919">
        <v>1</v>
      </c>
      <c r="O3928" s="919">
        <v>4</v>
      </c>
      <c r="P3928" s="921">
        <f t="shared" si="123"/>
        <v>5600</v>
      </c>
    </row>
    <row r="3929" spans="1:16" ht="20.100000000000001" customHeight="1" x14ac:dyDescent="0.25">
      <c r="A3929" s="918" t="s">
        <v>478</v>
      </c>
      <c r="B3929" s="944" t="s">
        <v>3901</v>
      </c>
      <c r="C3929" s="919" t="s">
        <v>3902</v>
      </c>
      <c r="D3929" s="919" t="s">
        <v>4109</v>
      </c>
      <c r="E3929" s="920">
        <v>1400</v>
      </c>
      <c r="F3929" s="919" t="s">
        <v>10826</v>
      </c>
      <c r="G3929" s="919" t="s">
        <v>10827</v>
      </c>
      <c r="H3929" s="919" t="s">
        <v>4109</v>
      </c>
      <c r="I3929" s="919" t="s">
        <v>3686</v>
      </c>
      <c r="J3929" s="919"/>
      <c r="K3929" s="920"/>
      <c r="L3929" s="920"/>
      <c r="M3929" s="920">
        <f t="shared" si="122"/>
        <v>0</v>
      </c>
      <c r="N3929" s="919">
        <v>1</v>
      </c>
      <c r="O3929" s="919">
        <v>4</v>
      </c>
      <c r="P3929" s="921">
        <f t="shared" si="123"/>
        <v>5600</v>
      </c>
    </row>
    <row r="3930" spans="1:16" ht="20.100000000000001" customHeight="1" x14ac:dyDescent="0.25">
      <c r="A3930" s="918" t="s">
        <v>478</v>
      </c>
      <c r="B3930" s="944" t="s">
        <v>3901</v>
      </c>
      <c r="C3930" s="919" t="s">
        <v>3902</v>
      </c>
      <c r="D3930" s="919" t="s">
        <v>4109</v>
      </c>
      <c r="E3930" s="920">
        <v>1400</v>
      </c>
      <c r="F3930" s="919" t="s">
        <v>4041</v>
      </c>
      <c r="G3930" s="919" t="s">
        <v>4042</v>
      </c>
      <c r="H3930" s="919" t="s">
        <v>4109</v>
      </c>
      <c r="I3930" s="919" t="s">
        <v>3686</v>
      </c>
      <c r="J3930" s="919"/>
      <c r="K3930" s="920">
        <v>1</v>
      </c>
      <c r="L3930" s="920">
        <v>12</v>
      </c>
      <c r="M3930" s="920">
        <f t="shared" si="122"/>
        <v>16800</v>
      </c>
      <c r="N3930" s="919"/>
      <c r="O3930" s="919"/>
      <c r="P3930" s="921">
        <f t="shared" si="123"/>
        <v>0</v>
      </c>
    </row>
    <row r="3931" spans="1:16" ht="20.100000000000001" customHeight="1" x14ac:dyDescent="0.25">
      <c r="A3931" s="918" t="s">
        <v>478</v>
      </c>
      <c r="B3931" s="944" t="s">
        <v>3901</v>
      </c>
      <c r="C3931" s="919" t="s">
        <v>3902</v>
      </c>
      <c r="D3931" s="919" t="s">
        <v>4109</v>
      </c>
      <c r="E3931" s="920">
        <v>1400</v>
      </c>
      <c r="F3931" s="919" t="s">
        <v>10828</v>
      </c>
      <c r="G3931" s="919" t="s">
        <v>10829</v>
      </c>
      <c r="H3931" s="919" t="s">
        <v>4109</v>
      </c>
      <c r="I3931" s="919" t="s">
        <v>3686</v>
      </c>
      <c r="J3931" s="919"/>
      <c r="K3931" s="920"/>
      <c r="L3931" s="920"/>
      <c r="M3931" s="920">
        <f t="shared" si="122"/>
        <v>0</v>
      </c>
      <c r="N3931" s="919">
        <v>1</v>
      </c>
      <c r="O3931" s="919">
        <v>4</v>
      </c>
      <c r="P3931" s="921">
        <f t="shared" si="123"/>
        <v>5600</v>
      </c>
    </row>
    <row r="3932" spans="1:16" ht="20.100000000000001" customHeight="1" x14ac:dyDescent="0.25">
      <c r="A3932" s="918" t="s">
        <v>478</v>
      </c>
      <c r="B3932" s="944" t="s">
        <v>3901</v>
      </c>
      <c r="C3932" s="919" t="s">
        <v>3902</v>
      </c>
      <c r="D3932" s="919" t="s">
        <v>4109</v>
      </c>
      <c r="E3932" s="920">
        <v>1400</v>
      </c>
      <c r="F3932" s="919" t="s">
        <v>10830</v>
      </c>
      <c r="G3932" s="919" t="s">
        <v>10831</v>
      </c>
      <c r="H3932" s="919" t="s">
        <v>4109</v>
      </c>
      <c r="I3932" s="919" t="s">
        <v>3686</v>
      </c>
      <c r="J3932" s="919"/>
      <c r="K3932" s="920"/>
      <c r="L3932" s="920"/>
      <c r="M3932" s="920">
        <f t="shared" si="122"/>
        <v>0</v>
      </c>
      <c r="N3932" s="919">
        <v>1</v>
      </c>
      <c r="O3932" s="919">
        <v>4</v>
      </c>
      <c r="P3932" s="921">
        <f t="shared" si="123"/>
        <v>5600</v>
      </c>
    </row>
    <row r="3933" spans="1:16" ht="20.100000000000001" customHeight="1" x14ac:dyDescent="0.25">
      <c r="A3933" s="918" t="s">
        <v>478</v>
      </c>
      <c r="B3933" s="944" t="s">
        <v>3901</v>
      </c>
      <c r="C3933" s="919" t="s">
        <v>3902</v>
      </c>
      <c r="D3933" s="919" t="s">
        <v>4109</v>
      </c>
      <c r="E3933" s="920">
        <v>1400</v>
      </c>
      <c r="F3933" s="919" t="s">
        <v>4041</v>
      </c>
      <c r="G3933" s="919" t="s">
        <v>4062</v>
      </c>
      <c r="H3933" s="919" t="s">
        <v>4109</v>
      </c>
      <c r="I3933" s="919" t="s">
        <v>3686</v>
      </c>
      <c r="J3933" s="919"/>
      <c r="K3933" s="920">
        <v>1</v>
      </c>
      <c r="L3933" s="920">
        <v>12</v>
      </c>
      <c r="M3933" s="920">
        <f t="shared" si="122"/>
        <v>16800</v>
      </c>
      <c r="N3933" s="919"/>
      <c r="O3933" s="919"/>
      <c r="P3933" s="921">
        <f t="shared" si="123"/>
        <v>0</v>
      </c>
    </row>
    <row r="3934" spans="1:16" ht="20.100000000000001" customHeight="1" x14ac:dyDescent="0.25">
      <c r="A3934" s="918" t="s">
        <v>478</v>
      </c>
      <c r="B3934" s="944" t="s">
        <v>3901</v>
      </c>
      <c r="C3934" s="919" t="s">
        <v>3902</v>
      </c>
      <c r="D3934" s="919" t="s">
        <v>4109</v>
      </c>
      <c r="E3934" s="920">
        <v>1400</v>
      </c>
      <c r="F3934" s="919" t="s">
        <v>4041</v>
      </c>
      <c r="G3934" s="919" t="s">
        <v>4062</v>
      </c>
      <c r="H3934" s="919" t="s">
        <v>4109</v>
      </c>
      <c r="I3934" s="919" t="s">
        <v>3686</v>
      </c>
      <c r="J3934" s="919"/>
      <c r="K3934" s="920">
        <v>1</v>
      </c>
      <c r="L3934" s="920">
        <v>12</v>
      </c>
      <c r="M3934" s="920">
        <f t="shared" si="122"/>
        <v>16800</v>
      </c>
      <c r="N3934" s="919"/>
      <c r="O3934" s="919"/>
      <c r="P3934" s="921">
        <f t="shared" si="123"/>
        <v>0</v>
      </c>
    </row>
    <row r="3935" spans="1:16" ht="20.100000000000001" customHeight="1" x14ac:dyDescent="0.25">
      <c r="A3935" s="918" t="s">
        <v>478</v>
      </c>
      <c r="B3935" s="944" t="s">
        <v>3901</v>
      </c>
      <c r="C3935" s="919" t="s">
        <v>3902</v>
      </c>
      <c r="D3935" s="919" t="s">
        <v>4109</v>
      </c>
      <c r="E3935" s="920">
        <v>1400</v>
      </c>
      <c r="F3935" s="919" t="s">
        <v>10832</v>
      </c>
      <c r="G3935" s="919" t="s">
        <v>10833</v>
      </c>
      <c r="H3935" s="919" t="s">
        <v>4109</v>
      </c>
      <c r="I3935" s="919" t="s">
        <v>3686</v>
      </c>
      <c r="J3935" s="919"/>
      <c r="K3935" s="920"/>
      <c r="L3935" s="920"/>
      <c r="M3935" s="920">
        <f t="shared" si="122"/>
        <v>0</v>
      </c>
      <c r="N3935" s="919">
        <v>1</v>
      </c>
      <c r="O3935" s="919">
        <v>4</v>
      </c>
      <c r="P3935" s="921">
        <f t="shared" si="123"/>
        <v>5600</v>
      </c>
    </row>
    <row r="3936" spans="1:16" ht="20.100000000000001" customHeight="1" x14ac:dyDescent="0.25">
      <c r="A3936" s="918" t="s">
        <v>478</v>
      </c>
      <c r="B3936" s="944" t="s">
        <v>3901</v>
      </c>
      <c r="C3936" s="919" t="s">
        <v>3902</v>
      </c>
      <c r="D3936" s="919" t="s">
        <v>4109</v>
      </c>
      <c r="E3936" s="920">
        <v>1400</v>
      </c>
      <c r="F3936" s="919" t="s">
        <v>10834</v>
      </c>
      <c r="G3936" s="919" t="s">
        <v>10835</v>
      </c>
      <c r="H3936" s="919" t="s">
        <v>4109</v>
      </c>
      <c r="I3936" s="919" t="s">
        <v>3686</v>
      </c>
      <c r="J3936" s="919"/>
      <c r="K3936" s="920"/>
      <c r="L3936" s="920"/>
      <c r="M3936" s="920">
        <f t="shared" si="122"/>
        <v>0</v>
      </c>
      <c r="N3936" s="919">
        <v>1</v>
      </c>
      <c r="O3936" s="919">
        <v>4</v>
      </c>
      <c r="P3936" s="921">
        <f t="shared" si="123"/>
        <v>5600</v>
      </c>
    </row>
    <row r="3937" spans="1:16" ht="20.100000000000001" customHeight="1" x14ac:dyDescent="0.25">
      <c r="A3937" s="918" t="s">
        <v>478</v>
      </c>
      <c r="B3937" s="944" t="s">
        <v>3901</v>
      </c>
      <c r="C3937" s="919" t="s">
        <v>3902</v>
      </c>
      <c r="D3937" s="919" t="s">
        <v>4109</v>
      </c>
      <c r="E3937" s="920">
        <v>1400</v>
      </c>
      <c r="F3937" s="919" t="s">
        <v>10836</v>
      </c>
      <c r="G3937" s="919" t="s">
        <v>10837</v>
      </c>
      <c r="H3937" s="919" t="s">
        <v>4109</v>
      </c>
      <c r="I3937" s="919" t="s">
        <v>3686</v>
      </c>
      <c r="J3937" s="919"/>
      <c r="K3937" s="920"/>
      <c r="L3937" s="920"/>
      <c r="M3937" s="920">
        <f t="shared" si="122"/>
        <v>0</v>
      </c>
      <c r="N3937" s="919">
        <v>1</v>
      </c>
      <c r="O3937" s="919">
        <v>4</v>
      </c>
      <c r="P3937" s="921">
        <f t="shared" si="123"/>
        <v>5600</v>
      </c>
    </row>
    <row r="3938" spans="1:16" ht="20.100000000000001" customHeight="1" x14ac:dyDescent="0.25">
      <c r="A3938" s="918" t="s">
        <v>478</v>
      </c>
      <c r="B3938" s="944" t="s">
        <v>3901</v>
      </c>
      <c r="C3938" s="919" t="s">
        <v>3902</v>
      </c>
      <c r="D3938" s="919" t="s">
        <v>4109</v>
      </c>
      <c r="E3938" s="920">
        <v>1400</v>
      </c>
      <c r="F3938" s="919" t="s">
        <v>10838</v>
      </c>
      <c r="G3938" s="919" t="s">
        <v>10839</v>
      </c>
      <c r="H3938" s="919" t="s">
        <v>4109</v>
      </c>
      <c r="I3938" s="919" t="s">
        <v>3686</v>
      </c>
      <c r="J3938" s="919"/>
      <c r="K3938" s="920"/>
      <c r="L3938" s="920"/>
      <c r="M3938" s="920">
        <f t="shared" si="122"/>
        <v>0</v>
      </c>
      <c r="N3938" s="919">
        <v>1</v>
      </c>
      <c r="O3938" s="919">
        <v>4</v>
      </c>
      <c r="P3938" s="921">
        <f t="shared" si="123"/>
        <v>5600</v>
      </c>
    </row>
    <row r="3939" spans="1:16" ht="20.100000000000001" customHeight="1" x14ac:dyDescent="0.25">
      <c r="A3939" s="918" t="s">
        <v>478</v>
      </c>
      <c r="B3939" s="944" t="s">
        <v>3901</v>
      </c>
      <c r="C3939" s="919" t="s">
        <v>3902</v>
      </c>
      <c r="D3939" s="919" t="s">
        <v>4109</v>
      </c>
      <c r="E3939" s="920">
        <v>1400</v>
      </c>
      <c r="F3939" s="919" t="s">
        <v>4041</v>
      </c>
      <c r="G3939" s="919" t="s">
        <v>4062</v>
      </c>
      <c r="H3939" s="919" t="s">
        <v>4109</v>
      </c>
      <c r="I3939" s="919" t="s">
        <v>3686</v>
      </c>
      <c r="J3939" s="919"/>
      <c r="K3939" s="920">
        <v>1</v>
      </c>
      <c r="L3939" s="920">
        <v>12</v>
      </c>
      <c r="M3939" s="920">
        <f t="shared" si="122"/>
        <v>16800</v>
      </c>
      <c r="N3939" s="919"/>
      <c r="O3939" s="919"/>
      <c r="P3939" s="921">
        <f t="shared" si="123"/>
        <v>0</v>
      </c>
    </row>
    <row r="3940" spans="1:16" ht="20.100000000000001" customHeight="1" x14ac:dyDescent="0.25">
      <c r="A3940" s="918" t="s">
        <v>478</v>
      </c>
      <c r="B3940" s="944" t="s">
        <v>3901</v>
      </c>
      <c r="C3940" s="919" t="s">
        <v>3902</v>
      </c>
      <c r="D3940" s="919" t="s">
        <v>4109</v>
      </c>
      <c r="E3940" s="920">
        <v>1400</v>
      </c>
      <c r="F3940" s="919" t="s">
        <v>10840</v>
      </c>
      <c r="G3940" s="919" t="s">
        <v>10841</v>
      </c>
      <c r="H3940" s="919" t="s">
        <v>4109</v>
      </c>
      <c r="I3940" s="919" t="s">
        <v>3686</v>
      </c>
      <c r="J3940" s="919"/>
      <c r="K3940" s="920"/>
      <c r="L3940" s="920"/>
      <c r="M3940" s="920">
        <f t="shared" si="122"/>
        <v>0</v>
      </c>
      <c r="N3940" s="919">
        <v>1</v>
      </c>
      <c r="O3940" s="919">
        <v>1</v>
      </c>
      <c r="P3940" s="921">
        <f t="shared" si="123"/>
        <v>1400</v>
      </c>
    </row>
    <row r="3941" spans="1:16" ht="20.100000000000001" customHeight="1" x14ac:dyDescent="0.25">
      <c r="A3941" s="918" t="s">
        <v>478</v>
      </c>
      <c r="B3941" s="944" t="s">
        <v>3901</v>
      </c>
      <c r="C3941" s="919" t="s">
        <v>3902</v>
      </c>
      <c r="D3941" s="919" t="s">
        <v>4109</v>
      </c>
      <c r="E3941" s="920">
        <v>1400</v>
      </c>
      <c r="F3941" s="919" t="s">
        <v>10842</v>
      </c>
      <c r="G3941" s="919" t="s">
        <v>10843</v>
      </c>
      <c r="H3941" s="919" t="s">
        <v>4109</v>
      </c>
      <c r="I3941" s="919" t="s">
        <v>3686</v>
      </c>
      <c r="J3941" s="919"/>
      <c r="K3941" s="920"/>
      <c r="L3941" s="920"/>
      <c r="M3941" s="920">
        <f t="shared" si="122"/>
        <v>0</v>
      </c>
      <c r="N3941" s="919">
        <v>1</v>
      </c>
      <c r="O3941" s="919">
        <v>4</v>
      </c>
      <c r="P3941" s="921">
        <f t="shared" si="123"/>
        <v>5600</v>
      </c>
    </row>
    <row r="3942" spans="1:16" ht="20.100000000000001" customHeight="1" x14ac:dyDescent="0.25">
      <c r="A3942" s="918" t="s">
        <v>478</v>
      </c>
      <c r="B3942" s="944" t="s">
        <v>3901</v>
      </c>
      <c r="C3942" s="919" t="s">
        <v>3902</v>
      </c>
      <c r="D3942" s="919" t="s">
        <v>4657</v>
      </c>
      <c r="E3942" s="920">
        <v>1150</v>
      </c>
      <c r="F3942" s="919" t="s">
        <v>10844</v>
      </c>
      <c r="G3942" s="919" t="s">
        <v>10845</v>
      </c>
      <c r="H3942" s="919" t="s">
        <v>4657</v>
      </c>
      <c r="I3942" s="919" t="s">
        <v>3686</v>
      </c>
      <c r="J3942" s="919"/>
      <c r="K3942" s="920"/>
      <c r="L3942" s="920"/>
      <c r="M3942" s="920">
        <f t="shared" si="122"/>
        <v>0</v>
      </c>
      <c r="N3942" s="919">
        <v>1</v>
      </c>
      <c r="O3942" s="919">
        <v>1</v>
      </c>
      <c r="P3942" s="921">
        <f t="shared" si="123"/>
        <v>1150</v>
      </c>
    </row>
    <row r="3943" spans="1:16" ht="20.100000000000001" customHeight="1" x14ac:dyDescent="0.25">
      <c r="A3943" s="918" t="s">
        <v>478</v>
      </c>
      <c r="B3943" s="944" t="s">
        <v>3901</v>
      </c>
      <c r="C3943" s="919" t="s">
        <v>3902</v>
      </c>
      <c r="D3943" s="919" t="s">
        <v>4502</v>
      </c>
      <c r="E3943" s="920">
        <v>1150</v>
      </c>
      <c r="F3943" s="919" t="s">
        <v>10846</v>
      </c>
      <c r="G3943" s="919" t="s">
        <v>10847</v>
      </c>
      <c r="H3943" s="919" t="s">
        <v>4502</v>
      </c>
      <c r="I3943" s="919" t="s">
        <v>3686</v>
      </c>
      <c r="J3943" s="919"/>
      <c r="K3943" s="920"/>
      <c r="L3943" s="920"/>
      <c r="M3943" s="920">
        <f t="shared" si="122"/>
        <v>0</v>
      </c>
      <c r="N3943" s="919">
        <v>1</v>
      </c>
      <c r="O3943" s="919">
        <v>4</v>
      </c>
      <c r="P3943" s="921">
        <f t="shared" si="123"/>
        <v>4600</v>
      </c>
    </row>
    <row r="3944" spans="1:16" ht="20.100000000000001" customHeight="1" x14ac:dyDescent="0.25">
      <c r="A3944" s="918" t="s">
        <v>478</v>
      </c>
      <c r="B3944" s="944" t="s">
        <v>3901</v>
      </c>
      <c r="C3944" s="919" t="s">
        <v>3902</v>
      </c>
      <c r="D3944" s="919" t="s">
        <v>4502</v>
      </c>
      <c r="E3944" s="920">
        <v>1150</v>
      </c>
      <c r="F3944" s="919" t="s">
        <v>10848</v>
      </c>
      <c r="G3944" s="919" t="s">
        <v>10849</v>
      </c>
      <c r="H3944" s="919" t="s">
        <v>4502</v>
      </c>
      <c r="I3944" s="919" t="s">
        <v>3686</v>
      </c>
      <c r="J3944" s="919"/>
      <c r="K3944" s="920"/>
      <c r="L3944" s="920"/>
      <c r="M3944" s="920">
        <f t="shared" si="122"/>
        <v>0</v>
      </c>
      <c r="N3944" s="919">
        <v>1</v>
      </c>
      <c r="O3944" s="919">
        <v>4</v>
      </c>
      <c r="P3944" s="921">
        <f t="shared" si="123"/>
        <v>4600</v>
      </c>
    </row>
    <row r="3945" spans="1:16" ht="20.100000000000001" customHeight="1" x14ac:dyDescent="0.25">
      <c r="A3945" s="918" t="s">
        <v>478</v>
      </c>
      <c r="B3945" s="944" t="s">
        <v>3901</v>
      </c>
      <c r="C3945" s="919" t="s">
        <v>3902</v>
      </c>
      <c r="D3945" s="919" t="s">
        <v>4502</v>
      </c>
      <c r="E3945" s="920">
        <v>1150</v>
      </c>
      <c r="F3945" s="919" t="s">
        <v>10850</v>
      </c>
      <c r="G3945" s="919" t="s">
        <v>10851</v>
      </c>
      <c r="H3945" s="919" t="s">
        <v>4502</v>
      </c>
      <c r="I3945" s="919" t="s">
        <v>3686</v>
      </c>
      <c r="J3945" s="919"/>
      <c r="K3945" s="920"/>
      <c r="L3945" s="920"/>
      <c r="M3945" s="920">
        <f t="shared" si="122"/>
        <v>0</v>
      </c>
      <c r="N3945" s="919">
        <v>1</v>
      </c>
      <c r="O3945" s="919">
        <v>4</v>
      </c>
      <c r="P3945" s="921">
        <f t="shared" si="123"/>
        <v>4600</v>
      </c>
    </row>
    <row r="3946" spans="1:16" ht="20.100000000000001" customHeight="1" x14ac:dyDescent="0.25">
      <c r="A3946" s="918" t="s">
        <v>478</v>
      </c>
      <c r="B3946" s="944" t="s">
        <v>3901</v>
      </c>
      <c r="C3946" s="919" t="s">
        <v>3902</v>
      </c>
      <c r="D3946" s="919" t="s">
        <v>4502</v>
      </c>
      <c r="E3946" s="920">
        <v>1150</v>
      </c>
      <c r="F3946" s="919" t="s">
        <v>10852</v>
      </c>
      <c r="G3946" s="919" t="s">
        <v>10853</v>
      </c>
      <c r="H3946" s="919" t="s">
        <v>4502</v>
      </c>
      <c r="I3946" s="919" t="s">
        <v>3686</v>
      </c>
      <c r="J3946" s="919"/>
      <c r="K3946" s="920"/>
      <c r="L3946" s="920"/>
      <c r="M3946" s="920">
        <f t="shared" si="122"/>
        <v>0</v>
      </c>
      <c r="N3946" s="919">
        <v>1</v>
      </c>
      <c r="O3946" s="919">
        <v>4</v>
      </c>
      <c r="P3946" s="921">
        <f t="shared" si="123"/>
        <v>4600</v>
      </c>
    </row>
    <row r="3947" spans="1:16" ht="20.100000000000001" customHeight="1" x14ac:dyDescent="0.25">
      <c r="A3947" s="918" t="s">
        <v>478</v>
      </c>
      <c r="B3947" s="944" t="s">
        <v>3901</v>
      </c>
      <c r="C3947" s="919" t="s">
        <v>3902</v>
      </c>
      <c r="D3947" s="919" t="s">
        <v>4502</v>
      </c>
      <c r="E3947" s="920">
        <v>1150</v>
      </c>
      <c r="F3947" s="919" t="s">
        <v>10854</v>
      </c>
      <c r="G3947" s="919" t="s">
        <v>10855</v>
      </c>
      <c r="H3947" s="919" t="s">
        <v>4502</v>
      </c>
      <c r="I3947" s="919" t="s">
        <v>3686</v>
      </c>
      <c r="J3947" s="919"/>
      <c r="K3947" s="920"/>
      <c r="L3947" s="920"/>
      <c r="M3947" s="920">
        <f t="shared" si="122"/>
        <v>0</v>
      </c>
      <c r="N3947" s="919">
        <v>1</v>
      </c>
      <c r="O3947" s="919">
        <v>4</v>
      </c>
      <c r="P3947" s="921">
        <f t="shared" si="123"/>
        <v>4600</v>
      </c>
    </row>
    <row r="3948" spans="1:16" ht="20.100000000000001" customHeight="1" x14ac:dyDescent="0.25">
      <c r="A3948" s="918" t="s">
        <v>478</v>
      </c>
      <c r="B3948" s="944" t="s">
        <v>3901</v>
      </c>
      <c r="C3948" s="919" t="s">
        <v>3902</v>
      </c>
      <c r="D3948" s="919" t="s">
        <v>4502</v>
      </c>
      <c r="E3948" s="920">
        <v>1150</v>
      </c>
      <c r="F3948" s="919" t="s">
        <v>10856</v>
      </c>
      <c r="G3948" s="919" t="s">
        <v>10857</v>
      </c>
      <c r="H3948" s="919" t="s">
        <v>4502</v>
      </c>
      <c r="I3948" s="919" t="s">
        <v>3686</v>
      </c>
      <c r="J3948" s="919"/>
      <c r="K3948" s="920"/>
      <c r="L3948" s="920"/>
      <c r="M3948" s="920">
        <f t="shared" si="122"/>
        <v>0</v>
      </c>
      <c r="N3948" s="919">
        <v>1</v>
      </c>
      <c r="O3948" s="919">
        <v>4</v>
      </c>
      <c r="P3948" s="921">
        <f t="shared" si="123"/>
        <v>4600</v>
      </c>
    </row>
    <row r="3949" spans="1:16" ht="20.100000000000001" customHeight="1" x14ac:dyDescent="0.25">
      <c r="A3949" s="918" t="s">
        <v>478</v>
      </c>
      <c r="B3949" s="944" t="s">
        <v>3901</v>
      </c>
      <c r="C3949" s="919" t="s">
        <v>3902</v>
      </c>
      <c r="D3949" s="919" t="s">
        <v>4502</v>
      </c>
      <c r="E3949" s="920">
        <v>1150</v>
      </c>
      <c r="F3949" s="919" t="s">
        <v>10858</v>
      </c>
      <c r="G3949" s="919" t="s">
        <v>10859</v>
      </c>
      <c r="H3949" s="919" t="s">
        <v>4502</v>
      </c>
      <c r="I3949" s="919" t="s">
        <v>3686</v>
      </c>
      <c r="J3949" s="919"/>
      <c r="K3949" s="920"/>
      <c r="L3949" s="920"/>
      <c r="M3949" s="920">
        <f t="shared" si="122"/>
        <v>0</v>
      </c>
      <c r="N3949" s="919">
        <v>1</v>
      </c>
      <c r="O3949" s="919">
        <v>4</v>
      </c>
      <c r="P3949" s="921">
        <f t="shared" si="123"/>
        <v>4600</v>
      </c>
    </row>
    <row r="3950" spans="1:16" ht="20.100000000000001" customHeight="1" x14ac:dyDescent="0.25">
      <c r="A3950" s="918" t="s">
        <v>478</v>
      </c>
      <c r="B3950" s="944" t="s">
        <v>3901</v>
      </c>
      <c r="C3950" s="919" t="s">
        <v>3902</v>
      </c>
      <c r="D3950" s="919" t="s">
        <v>4502</v>
      </c>
      <c r="E3950" s="920">
        <v>1150</v>
      </c>
      <c r="F3950" s="919" t="s">
        <v>10860</v>
      </c>
      <c r="G3950" s="919" t="s">
        <v>10861</v>
      </c>
      <c r="H3950" s="919" t="s">
        <v>4502</v>
      </c>
      <c r="I3950" s="919" t="s">
        <v>3686</v>
      </c>
      <c r="J3950" s="919"/>
      <c r="K3950" s="920"/>
      <c r="L3950" s="920"/>
      <c r="M3950" s="920">
        <f t="shared" si="122"/>
        <v>0</v>
      </c>
      <c r="N3950" s="919">
        <v>1</v>
      </c>
      <c r="O3950" s="919">
        <v>4</v>
      </c>
      <c r="P3950" s="921">
        <f t="shared" si="123"/>
        <v>4600</v>
      </c>
    </row>
    <row r="3951" spans="1:16" ht="20.100000000000001" customHeight="1" x14ac:dyDescent="0.25">
      <c r="A3951" s="918" t="s">
        <v>478</v>
      </c>
      <c r="B3951" s="944" t="s">
        <v>3901</v>
      </c>
      <c r="C3951" s="919" t="s">
        <v>3902</v>
      </c>
      <c r="D3951" s="919" t="s">
        <v>4502</v>
      </c>
      <c r="E3951" s="920">
        <v>1150</v>
      </c>
      <c r="F3951" s="919" t="s">
        <v>10862</v>
      </c>
      <c r="G3951" s="919" t="s">
        <v>10863</v>
      </c>
      <c r="H3951" s="919" t="s">
        <v>4502</v>
      </c>
      <c r="I3951" s="919" t="s">
        <v>3686</v>
      </c>
      <c r="J3951" s="919"/>
      <c r="K3951" s="920"/>
      <c r="L3951" s="920"/>
      <c r="M3951" s="920">
        <f t="shared" si="122"/>
        <v>0</v>
      </c>
      <c r="N3951" s="919">
        <v>1</v>
      </c>
      <c r="O3951" s="919">
        <v>4</v>
      </c>
      <c r="P3951" s="921">
        <f t="shared" si="123"/>
        <v>4600</v>
      </c>
    </row>
    <row r="3952" spans="1:16" ht="20.100000000000001" customHeight="1" x14ac:dyDescent="0.25">
      <c r="A3952" s="918" t="s">
        <v>478</v>
      </c>
      <c r="B3952" s="944" t="s">
        <v>3901</v>
      </c>
      <c r="C3952" s="919" t="s">
        <v>3902</v>
      </c>
      <c r="D3952" s="919" t="s">
        <v>4502</v>
      </c>
      <c r="E3952" s="920">
        <v>1150</v>
      </c>
      <c r="F3952" s="919" t="s">
        <v>10864</v>
      </c>
      <c r="G3952" s="919" t="s">
        <v>10865</v>
      </c>
      <c r="H3952" s="919" t="s">
        <v>4502</v>
      </c>
      <c r="I3952" s="919" t="s">
        <v>3686</v>
      </c>
      <c r="J3952" s="919"/>
      <c r="K3952" s="920"/>
      <c r="L3952" s="920"/>
      <c r="M3952" s="920">
        <f t="shared" si="122"/>
        <v>0</v>
      </c>
      <c r="N3952" s="919">
        <v>1</v>
      </c>
      <c r="O3952" s="919">
        <v>4</v>
      </c>
      <c r="P3952" s="921">
        <f t="shared" si="123"/>
        <v>4600</v>
      </c>
    </row>
    <row r="3953" spans="1:16" ht="20.100000000000001" customHeight="1" x14ac:dyDescent="0.25">
      <c r="A3953" s="918" t="s">
        <v>478</v>
      </c>
      <c r="B3953" s="944" t="s">
        <v>3901</v>
      </c>
      <c r="C3953" s="919" t="s">
        <v>3902</v>
      </c>
      <c r="D3953" s="919" t="s">
        <v>4502</v>
      </c>
      <c r="E3953" s="920">
        <v>1150</v>
      </c>
      <c r="F3953" s="919" t="s">
        <v>10866</v>
      </c>
      <c r="G3953" s="919" t="s">
        <v>10867</v>
      </c>
      <c r="H3953" s="919" t="s">
        <v>4502</v>
      </c>
      <c r="I3953" s="919" t="s">
        <v>3686</v>
      </c>
      <c r="J3953" s="919"/>
      <c r="K3953" s="920"/>
      <c r="L3953" s="920"/>
      <c r="M3953" s="920">
        <f t="shared" si="122"/>
        <v>0</v>
      </c>
      <c r="N3953" s="919">
        <v>1</v>
      </c>
      <c r="O3953" s="919">
        <v>4</v>
      </c>
      <c r="P3953" s="921">
        <f t="shared" si="123"/>
        <v>4600</v>
      </c>
    </row>
    <row r="3954" spans="1:16" ht="20.100000000000001" customHeight="1" x14ac:dyDescent="0.25">
      <c r="A3954" s="918" t="s">
        <v>478</v>
      </c>
      <c r="B3954" s="944" t="s">
        <v>3901</v>
      </c>
      <c r="C3954" s="919" t="s">
        <v>3902</v>
      </c>
      <c r="D3954" s="919" t="s">
        <v>4502</v>
      </c>
      <c r="E3954" s="920">
        <v>1150</v>
      </c>
      <c r="F3954" s="919" t="s">
        <v>10868</v>
      </c>
      <c r="G3954" s="919" t="s">
        <v>10869</v>
      </c>
      <c r="H3954" s="919" t="s">
        <v>4502</v>
      </c>
      <c r="I3954" s="919" t="s">
        <v>3686</v>
      </c>
      <c r="J3954" s="919"/>
      <c r="K3954" s="920"/>
      <c r="L3954" s="920"/>
      <c r="M3954" s="920">
        <f t="shared" si="122"/>
        <v>0</v>
      </c>
      <c r="N3954" s="919">
        <v>1</v>
      </c>
      <c r="O3954" s="919">
        <v>4</v>
      </c>
      <c r="P3954" s="921">
        <f t="shared" si="123"/>
        <v>4600</v>
      </c>
    </row>
    <row r="3955" spans="1:16" ht="20.100000000000001" customHeight="1" x14ac:dyDescent="0.25">
      <c r="A3955" s="918" t="s">
        <v>478</v>
      </c>
      <c r="B3955" s="944" t="s">
        <v>3901</v>
      </c>
      <c r="C3955" s="919" t="s">
        <v>3902</v>
      </c>
      <c r="D3955" s="919" t="s">
        <v>4502</v>
      </c>
      <c r="E3955" s="920">
        <v>1150</v>
      </c>
      <c r="F3955" s="919" t="s">
        <v>10870</v>
      </c>
      <c r="G3955" s="919" t="s">
        <v>10871</v>
      </c>
      <c r="H3955" s="919" t="s">
        <v>4502</v>
      </c>
      <c r="I3955" s="919" t="s">
        <v>3686</v>
      </c>
      <c r="J3955" s="919"/>
      <c r="K3955" s="920"/>
      <c r="L3955" s="920"/>
      <c r="M3955" s="920">
        <f t="shared" si="122"/>
        <v>0</v>
      </c>
      <c r="N3955" s="919">
        <v>1</v>
      </c>
      <c r="O3955" s="919">
        <v>4</v>
      </c>
      <c r="P3955" s="921">
        <f t="shared" si="123"/>
        <v>4600</v>
      </c>
    </row>
    <row r="3956" spans="1:16" ht="20.100000000000001" customHeight="1" x14ac:dyDescent="0.25">
      <c r="A3956" s="918" t="s">
        <v>478</v>
      </c>
      <c r="B3956" s="944" t="s">
        <v>3901</v>
      </c>
      <c r="C3956" s="919" t="s">
        <v>3902</v>
      </c>
      <c r="D3956" s="919" t="s">
        <v>4502</v>
      </c>
      <c r="E3956" s="920">
        <v>1150</v>
      </c>
      <c r="F3956" s="919" t="s">
        <v>10872</v>
      </c>
      <c r="G3956" s="919" t="s">
        <v>10873</v>
      </c>
      <c r="H3956" s="919" t="s">
        <v>4502</v>
      </c>
      <c r="I3956" s="919" t="s">
        <v>3686</v>
      </c>
      <c r="J3956" s="919"/>
      <c r="K3956" s="920"/>
      <c r="L3956" s="920"/>
      <c r="M3956" s="920">
        <f t="shared" si="122"/>
        <v>0</v>
      </c>
      <c r="N3956" s="919">
        <v>1</v>
      </c>
      <c r="O3956" s="919">
        <v>1</v>
      </c>
      <c r="P3956" s="921">
        <f t="shared" si="123"/>
        <v>1150</v>
      </c>
    </row>
    <row r="3957" spans="1:16" ht="20.100000000000001" customHeight="1" x14ac:dyDescent="0.25">
      <c r="A3957" s="918" t="s">
        <v>478</v>
      </c>
      <c r="B3957" s="944" t="s">
        <v>3901</v>
      </c>
      <c r="C3957" s="919" t="s">
        <v>3902</v>
      </c>
      <c r="D3957" s="919" t="s">
        <v>4502</v>
      </c>
      <c r="E3957" s="920">
        <v>1150</v>
      </c>
      <c r="F3957" s="919" t="s">
        <v>10874</v>
      </c>
      <c r="G3957" s="919" t="s">
        <v>10875</v>
      </c>
      <c r="H3957" s="919" t="s">
        <v>4502</v>
      </c>
      <c r="I3957" s="919" t="s">
        <v>3686</v>
      </c>
      <c r="J3957" s="919"/>
      <c r="K3957" s="920"/>
      <c r="L3957" s="920"/>
      <c r="M3957" s="920">
        <f t="shared" si="122"/>
        <v>0</v>
      </c>
      <c r="N3957" s="919">
        <v>1</v>
      </c>
      <c r="O3957" s="919">
        <v>4</v>
      </c>
      <c r="P3957" s="921">
        <f t="shared" si="123"/>
        <v>4600</v>
      </c>
    </row>
    <row r="3958" spans="1:16" ht="20.100000000000001" customHeight="1" x14ac:dyDescent="0.25">
      <c r="A3958" s="918" t="s">
        <v>478</v>
      </c>
      <c r="B3958" s="944" t="s">
        <v>3901</v>
      </c>
      <c r="C3958" s="919" t="s">
        <v>3902</v>
      </c>
      <c r="D3958" s="919" t="s">
        <v>4502</v>
      </c>
      <c r="E3958" s="920">
        <v>1150</v>
      </c>
      <c r="F3958" s="919" t="s">
        <v>10876</v>
      </c>
      <c r="G3958" s="919" t="s">
        <v>10877</v>
      </c>
      <c r="H3958" s="919" t="s">
        <v>4502</v>
      </c>
      <c r="I3958" s="919" t="s">
        <v>3686</v>
      </c>
      <c r="J3958" s="919"/>
      <c r="K3958" s="920"/>
      <c r="L3958" s="920"/>
      <c r="M3958" s="920">
        <f t="shared" si="122"/>
        <v>0</v>
      </c>
      <c r="N3958" s="919">
        <v>1</v>
      </c>
      <c r="O3958" s="919">
        <v>4</v>
      </c>
      <c r="P3958" s="921">
        <f t="shared" si="123"/>
        <v>4600</v>
      </c>
    </row>
    <row r="3959" spans="1:16" ht="20.100000000000001" customHeight="1" x14ac:dyDescent="0.25">
      <c r="A3959" s="918" t="s">
        <v>478</v>
      </c>
      <c r="B3959" s="944" t="s">
        <v>3901</v>
      </c>
      <c r="C3959" s="919" t="s">
        <v>3902</v>
      </c>
      <c r="D3959" s="919" t="s">
        <v>4502</v>
      </c>
      <c r="E3959" s="920">
        <v>1150</v>
      </c>
      <c r="F3959" s="919" t="s">
        <v>10878</v>
      </c>
      <c r="G3959" s="919" t="s">
        <v>10879</v>
      </c>
      <c r="H3959" s="919" t="s">
        <v>4502</v>
      </c>
      <c r="I3959" s="919" t="s">
        <v>3686</v>
      </c>
      <c r="J3959" s="919"/>
      <c r="K3959" s="920"/>
      <c r="L3959" s="920"/>
      <c r="M3959" s="920">
        <f t="shared" si="122"/>
        <v>0</v>
      </c>
      <c r="N3959" s="919">
        <v>1</v>
      </c>
      <c r="O3959" s="919">
        <v>4</v>
      </c>
      <c r="P3959" s="921">
        <f t="shared" si="123"/>
        <v>4600</v>
      </c>
    </row>
    <row r="3960" spans="1:16" ht="20.100000000000001" customHeight="1" x14ac:dyDescent="0.25">
      <c r="A3960" s="918" t="s">
        <v>478</v>
      </c>
      <c r="B3960" s="944" t="s">
        <v>3901</v>
      </c>
      <c r="C3960" s="919" t="s">
        <v>3902</v>
      </c>
      <c r="D3960" s="919" t="s">
        <v>4502</v>
      </c>
      <c r="E3960" s="920">
        <v>1150</v>
      </c>
      <c r="F3960" s="919" t="s">
        <v>10880</v>
      </c>
      <c r="G3960" s="919" t="s">
        <v>10881</v>
      </c>
      <c r="H3960" s="919" t="s">
        <v>4502</v>
      </c>
      <c r="I3960" s="919" t="s">
        <v>3686</v>
      </c>
      <c r="J3960" s="919"/>
      <c r="K3960" s="920"/>
      <c r="L3960" s="920"/>
      <c r="M3960" s="920">
        <f t="shared" si="122"/>
        <v>0</v>
      </c>
      <c r="N3960" s="919">
        <v>1</v>
      </c>
      <c r="O3960" s="919">
        <v>4</v>
      </c>
      <c r="P3960" s="921">
        <f t="shared" si="123"/>
        <v>4600</v>
      </c>
    </row>
    <row r="3961" spans="1:16" ht="20.100000000000001" customHeight="1" x14ac:dyDescent="0.25">
      <c r="A3961" s="918" t="s">
        <v>478</v>
      </c>
      <c r="B3961" s="944" t="s">
        <v>3901</v>
      </c>
      <c r="C3961" s="919" t="s">
        <v>3902</v>
      </c>
      <c r="D3961" s="919" t="s">
        <v>4502</v>
      </c>
      <c r="E3961" s="920">
        <v>1150</v>
      </c>
      <c r="F3961" s="919" t="s">
        <v>10882</v>
      </c>
      <c r="G3961" s="919" t="s">
        <v>10883</v>
      </c>
      <c r="H3961" s="919" t="s">
        <v>4502</v>
      </c>
      <c r="I3961" s="919" t="s">
        <v>3686</v>
      </c>
      <c r="J3961" s="919"/>
      <c r="K3961" s="920"/>
      <c r="L3961" s="920"/>
      <c r="M3961" s="920">
        <f t="shared" si="122"/>
        <v>0</v>
      </c>
      <c r="N3961" s="919">
        <v>1</v>
      </c>
      <c r="O3961" s="919">
        <v>4</v>
      </c>
      <c r="P3961" s="921">
        <f t="shared" si="123"/>
        <v>4600</v>
      </c>
    </row>
    <row r="3962" spans="1:16" ht="20.100000000000001" customHeight="1" x14ac:dyDescent="0.25">
      <c r="A3962" s="918" t="s">
        <v>478</v>
      </c>
      <c r="B3962" s="944" t="s">
        <v>3901</v>
      </c>
      <c r="C3962" s="919" t="s">
        <v>3902</v>
      </c>
      <c r="D3962" s="919" t="s">
        <v>4502</v>
      </c>
      <c r="E3962" s="920">
        <v>1150</v>
      </c>
      <c r="F3962" s="919" t="s">
        <v>10884</v>
      </c>
      <c r="G3962" s="919" t="s">
        <v>10885</v>
      </c>
      <c r="H3962" s="919" t="s">
        <v>4502</v>
      </c>
      <c r="I3962" s="919" t="s">
        <v>3686</v>
      </c>
      <c r="J3962" s="919"/>
      <c r="K3962" s="920"/>
      <c r="L3962" s="920"/>
      <c r="M3962" s="920">
        <f t="shared" si="122"/>
        <v>0</v>
      </c>
      <c r="N3962" s="919">
        <v>1</v>
      </c>
      <c r="O3962" s="919">
        <v>4</v>
      </c>
      <c r="P3962" s="921">
        <f t="shared" si="123"/>
        <v>4600</v>
      </c>
    </row>
    <row r="3963" spans="1:16" ht="20.100000000000001" customHeight="1" x14ac:dyDescent="0.25">
      <c r="A3963" s="918" t="s">
        <v>478</v>
      </c>
      <c r="B3963" s="944" t="s">
        <v>3901</v>
      </c>
      <c r="C3963" s="919" t="s">
        <v>3902</v>
      </c>
      <c r="D3963" s="919" t="s">
        <v>4502</v>
      </c>
      <c r="E3963" s="920">
        <v>1150</v>
      </c>
      <c r="F3963" s="919" t="s">
        <v>10886</v>
      </c>
      <c r="G3963" s="919" t="s">
        <v>10887</v>
      </c>
      <c r="H3963" s="919" t="s">
        <v>4502</v>
      </c>
      <c r="I3963" s="919" t="s">
        <v>3686</v>
      </c>
      <c r="J3963" s="919"/>
      <c r="K3963" s="920"/>
      <c r="L3963" s="920"/>
      <c r="M3963" s="920">
        <f t="shared" si="122"/>
        <v>0</v>
      </c>
      <c r="N3963" s="919">
        <v>1</v>
      </c>
      <c r="O3963" s="919">
        <v>4</v>
      </c>
      <c r="P3963" s="921">
        <f t="shared" si="123"/>
        <v>4600</v>
      </c>
    </row>
    <row r="3964" spans="1:16" ht="20.100000000000001" customHeight="1" x14ac:dyDescent="0.25">
      <c r="A3964" s="918" t="s">
        <v>478</v>
      </c>
      <c r="B3964" s="944" t="s">
        <v>3901</v>
      </c>
      <c r="C3964" s="919" t="s">
        <v>3902</v>
      </c>
      <c r="D3964" s="919" t="s">
        <v>4502</v>
      </c>
      <c r="E3964" s="920">
        <v>1150</v>
      </c>
      <c r="F3964" s="919" t="s">
        <v>10888</v>
      </c>
      <c r="G3964" s="919" t="s">
        <v>10889</v>
      </c>
      <c r="H3964" s="919" t="s">
        <v>4502</v>
      </c>
      <c r="I3964" s="919" t="s">
        <v>3686</v>
      </c>
      <c r="J3964" s="919"/>
      <c r="K3964" s="920"/>
      <c r="L3964" s="920"/>
      <c r="M3964" s="920">
        <f t="shared" si="122"/>
        <v>0</v>
      </c>
      <c r="N3964" s="919">
        <v>1</v>
      </c>
      <c r="O3964" s="919">
        <v>4</v>
      </c>
      <c r="P3964" s="921">
        <f t="shared" si="123"/>
        <v>4600</v>
      </c>
    </row>
    <row r="3965" spans="1:16" ht="20.100000000000001" customHeight="1" x14ac:dyDescent="0.25">
      <c r="A3965" s="918" t="s">
        <v>478</v>
      </c>
      <c r="B3965" s="944" t="s">
        <v>3901</v>
      </c>
      <c r="C3965" s="919" t="s">
        <v>3902</v>
      </c>
      <c r="D3965" s="919" t="s">
        <v>4502</v>
      </c>
      <c r="E3965" s="920">
        <v>1150</v>
      </c>
      <c r="F3965" s="919" t="s">
        <v>10890</v>
      </c>
      <c r="G3965" s="919" t="s">
        <v>10891</v>
      </c>
      <c r="H3965" s="919" t="s">
        <v>4502</v>
      </c>
      <c r="I3965" s="919" t="s">
        <v>3686</v>
      </c>
      <c r="J3965" s="919"/>
      <c r="K3965" s="920"/>
      <c r="L3965" s="920"/>
      <c r="M3965" s="920">
        <f t="shared" si="122"/>
        <v>0</v>
      </c>
      <c r="N3965" s="919">
        <v>1</v>
      </c>
      <c r="O3965" s="919">
        <v>4</v>
      </c>
      <c r="P3965" s="921">
        <f t="shared" si="123"/>
        <v>4600</v>
      </c>
    </row>
    <row r="3966" spans="1:16" ht="20.100000000000001" customHeight="1" x14ac:dyDescent="0.25">
      <c r="A3966" s="918" t="s">
        <v>478</v>
      </c>
      <c r="B3966" s="944" t="s">
        <v>3901</v>
      </c>
      <c r="C3966" s="919" t="s">
        <v>3902</v>
      </c>
      <c r="D3966" s="919" t="s">
        <v>4502</v>
      </c>
      <c r="E3966" s="920">
        <v>1150</v>
      </c>
      <c r="F3966" s="919" t="s">
        <v>10892</v>
      </c>
      <c r="G3966" s="919" t="s">
        <v>10893</v>
      </c>
      <c r="H3966" s="919" t="s">
        <v>4502</v>
      </c>
      <c r="I3966" s="919" t="s">
        <v>3686</v>
      </c>
      <c r="J3966" s="919"/>
      <c r="K3966" s="920"/>
      <c r="L3966" s="920"/>
      <c r="M3966" s="920">
        <f t="shared" si="122"/>
        <v>0</v>
      </c>
      <c r="N3966" s="919">
        <v>1</v>
      </c>
      <c r="O3966" s="919">
        <v>4</v>
      </c>
      <c r="P3966" s="921">
        <f t="shared" si="123"/>
        <v>4600</v>
      </c>
    </row>
    <row r="3967" spans="1:16" ht="20.100000000000001" customHeight="1" x14ac:dyDescent="0.25">
      <c r="A3967" s="918" t="s">
        <v>478</v>
      </c>
      <c r="B3967" s="944" t="s">
        <v>3901</v>
      </c>
      <c r="C3967" s="919" t="s">
        <v>3902</v>
      </c>
      <c r="D3967" s="919" t="s">
        <v>4502</v>
      </c>
      <c r="E3967" s="920">
        <v>1150</v>
      </c>
      <c r="F3967" s="919" t="s">
        <v>10894</v>
      </c>
      <c r="G3967" s="919" t="s">
        <v>10895</v>
      </c>
      <c r="H3967" s="919" t="s">
        <v>4502</v>
      </c>
      <c r="I3967" s="919" t="s">
        <v>3686</v>
      </c>
      <c r="J3967" s="919"/>
      <c r="K3967" s="920"/>
      <c r="L3967" s="920"/>
      <c r="M3967" s="920">
        <f t="shared" si="122"/>
        <v>0</v>
      </c>
      <c r="N3967" s="919">
        <v>1</v>
      </c>
      <c r="O3967" s="919">
        <v>4</v>
      </c>
      <c r="P3967" s="921">
        <f t="shared" si="123"/>
        <v>4600</v>
      </c>
    </row>
    <row r="3968" spans="1:16" ht="20.100000000000001" customHeight="1" x14ac:dyDescent="0.25">
      <c r="A3968" s="918" t="s">
        <v>478</v>
      </c>
      <c r="B3968" s="944" t="s">
        <v>3901</v>
      </c>
      <c r="C3968" s="919" t="s">
        <v>3902</v>
      </c>
      <c r="D3968" s="919" t="s">
        <v>4502</v>
      </c>
      <c r="E3968" s="920">
        <v>1150</v>
      </c>
      <c r="F3968" s="919" t="s">
        <v>10896</v>
      </c>
      <c r="G3968" s="919" t="s">
        <v>10897</v>
      </c>
      <c r="H3968" s="919" t="s">
        <v>4502</v>
      </c>
      <c r="I3968" s="919" t="s">
        <v>3686</v>
      </c>
      <c r="J3968" s="919"/>
      <c r="K3968" s="920"/>
      <c r="L3968" s="920"/>
      <c r="M3968" s="920">
        <f t="shared" si="122"/>
        <v>0</v>
      </c>
      <c r="N3968" s="919">
        <v>1</v>
      </c>
      <c r="O3968" s="919">
        <v>4</v>
      </c>
      <c r="P3968" s="921">
        <f t="shared" si="123"/>
        <v>4600</v>
      </c>
    </row>
    <row r="3969" spans="1:16" ht="20.100000000000001" customHeight="1" x14ac:dyDescent="0.25">
      <c r="A3969" s="918" t="s">
        <v>478</v>
      </c>
      <c r="B3969" s="944" t="s">
        <v>3901</v>
      </c>
      <c r="C3969" s="919" t="s">
        <v>3902</v>
      </c>
      <c r="D3969" s="919" t="s">
        <v>4502</v>
      </c>
      <c r="E3969" s="920">
        <v>1150</v>
      </c>
      <c r="F3969" s="919" t="s">
        <v>10898</v>
      </c>
      <c r="G3969" s="919" t="s">
        <v>10899</v>
      </c>
      <c r="H3969" s="919" t="s">
        <v>4502</v>
      </c>
      <c r="I3969" s="919" t="s">
        <v>3686</v>
      </c>
      <c r="J3969" s="919"/>
      <c r="K3969" s="920"/>
      <c r="L3969" s="920"/>
      <c r="M3969" s="920">
        <f t="shared" si="122"/>
        <v>0</v>
      </c>
      <c r="N3969" s="919">
        <v>1</v>
      </c>
      <c r="O3969" s="919">
        <v>4</v>
      </c>
      <c r="P3969" s="921">
        <f t="shared" si="123"/>
        <v>4600</v>
      </c>
    </row>
    <row r="3970" spans="1:16" ht="20.100000000000001" customHeight="1" x14ac:dyDescent="0.25">
      <c r="A3970" s="918" t="s">
        <v>478</v>
      </c>
      <c r="B3970" s="944" t="s">
        <v>3901</v>
      </c>
      <c r="C3970" s="919" t="s">
        <v>3902</v>
      </c>
      <c r="D3970" s="919" t="s">
        <v>4502</v>
      </c>
      <c r="E3970" s="920">
        <v>1150</v>
      </c>
      <c r="F3970" s="919" t="s">
        <v>10900</v>
      </c>
      <c r="G3970" s="919" t="s">
        <v>10901</v>
      </c>
      <c r="H3970" s="919" t="s">
        <v>4502</v>
      </c>
      <c r="I3970" s="919" t="s">
        <v>3686</v>
      </c>
      <c r="J3970" s="919"/>
      <c r="K3970" s="920"/>
      <c r="L3970" s="920"/>
      <c r="M3970" s="920">
        <f t="shared" si="122"/>
        <v>0</v>
      </c>
      <c r="N3970" s="919">
        <v>1</v>
      </c>
      <c r="O3970" s="919">
        <v>4</v>
      </c>
      <c r="P3970" s="921">
        <f t="shared" si="123"/>
        <v>4600</v>
      </c>
    </row>
    <row r="3971" spans="1:16" ht="20.100000000000001" customHeight="1" x14ac:dyDescent="0.25">
      <c r="A3971" s="918" t="s">
        <v>478</v>
      </c>
      <c r="B3971" s="944" t="s">
        <v>3901</v>
      </c>
      <c r="C3971" s="919" t="s">
        <v>3902</v>
      </c>
      <c r="D3971" s="919" t="s">
        <v>4502</v>
      </c>
      <c r="E3971" s="920">
        <v>1150</v>
      </c>
      <c r="F3971" s="919" t="s">
        <v>10902</v>
      </c>
      <c r="G3971" s="919" t="s">
        <v>10903</v>
      </c>
      <c r="H3971" s="919" t="s">
        <v>4502</v>
      </c>
      <c r="I3971" s="919" t="s">
        <v>3686</v>
      </c>
      <c r="J3971" s="919"/>
      <c r="K3971" s="920"/>
      <c r="L3971" s="920"/>
      <c r="M3971" s="920">
        <f t="shared" si="122"/>
        <v>0</v>
      </c>
      <c r="N3971" s="919">
        <v>1</v>
      </c>
      <c r="O3971" s="919">
        <v>4</v>
      </c>
      <c r="P3971" s="921">
        <f t="shared" si="123"/>
        <v>4600</v>
      </c>
    </row>
    <row r="3972" spans="1:16" ht="20.100000000000001" customHeight="1" x14ac:dyDescent="0.25">
      <c r="A3972" s="918" t="s">
        <v>478</v>
      </c>
      <c r="B3972" s="944" t="s">
        <v>3901</v>
      </c>
      <c r="C3972" s="919" t="s">
        <v>3902</v>
      </c>
      <c r="D3972" s="919" t="s">
        <v>4502</v>
      </c>
      <c r="E3972" s="920">
        <v>1150</v>
      </c>
      <c r="F3972" s="919" t="s">
        <v>10904</v>
      </c>
      <c r="G3972" s="919" t="s">
        <v>10905</v>
      </c>
      <c r="H3972" s="919" t="s">
        <v>4502</v>
      </c>
      <c r="I3972" s="919" t="s">
        <v>3686</v>
      </c>
      <c r="J3972" s="919"/>
      <c r="K3972" s="920"/>
      <c r="L3972" s="920"/>
      <c r="M3972" s="920">
        <f t="shared" si="122"/>
        <v>0</v>
      </c>
      <c r="N3972" s="919">
        <v>1</v>
      </c>
      <c r="O3972" s="919">
        <v>4</v>
      </c>
      <c r="P3972" s="921">
        <f t="shared" si="123"/>
        <v>4600</v>
      </c>
    </row>
    <row r="3973" spans="1:16" ht="20.100000000000001" customHeight="1" x14ac:dyDescent="0.25">
      <c r="A3973" s="918" t="s">
        <v>478</v>
      </c>
      <c r="B3973" s="944" t="s">
        <v>3901</v>
      </c>
      <c r="C3973" s="919" t="s">
        <v>3902</v>
      </c>
      <c r="D3973" s="919" t="s">
        <v>4502</v>
      </c>
      <c r="E3973" s="920">
        <v>1150</v>
      </c>
      <c r="F3973" s="919" t="s">
        <v>10906</v>
      </c>
      <c r="G3973" s="919" t="s">
        <v>10907</v>
      </c>
      <c r="H3973" s="919" t="s">
        <v>4502</v>
      </c>
      <c r="I3973" s="919" t="s">
        <v>3686</v>
      </c>
      <c r="J3973" s="919"/>
      <c r="K3973" s="920"/>
      <c r="L3973" s="920"/>
      <c r="M3973" s="920">
        <f t="shared" si="122"/>
        <v>0</v>
      </c>
      <c r="N3973" s="919">
        <v>1</v>
      </c>
      <c r="O3973" s="919">
        <v>4</v>
      </c>
      <c r="P3973" s="921">
        <f t="shared" si="123"/>
        <v>4600</v>
      </c>
    </row>
    <row r="3974" spans="1:16" ht="20.100000000000001" customHeight="1" x14ac:dyDescent="0.25">
      <c r="A3974" s="918" t="s">
        <v>478</v>
      </c>
      <c r="B3974" s="944" t="s">
        <v>3901</v>
      </c>
      <c r="C3974" s="919" t="s">
        <v>3902</v>
      </c>
      <c r="D3974" s="919" t="s">
        <v>4502</v>
      </c>
      <c r="E3974" s="920">
        <v>1150</v>
      </c>
      <c r="F3974" s="919" t="s">
        <v>10908</v>
      </c>
      <c r="G3974" s="919" t="s">
        <v>10909</v>
      </c>
      <c r="H3974" s="919" t="s">
        <v>4502</v>
      </c>
      <c r="I3974" s="919" t="s">
        <v>3686</v>
      </c>
      <c r="J3974" s="919"/>
      <c r="K3974" s="920"/>
      <c r="L3974" s="920"/>
      <c r="M3974" s="920">
        <f t="shared" ref="M3974:M4037" si="124">E3974*L3974</f>
        <v>0</v>
      </c>
      <c r="N3974" s="919">
        <v>1</v>
      </c>
      <c r="O3974" s="919">
        <v>4</v>
      </c>
      <c r="P3974" s="921">
        <f t="shared" ref="P3974:P4037" si="125">E3974*O3974</f>
        <v>4600</v>
      </c>
    </row>
    <row r="3975" spans="1:16" ht="20.100000000000001" customHeight="1" x14ac:dyDescent="0.25">
      <c r="A3975" s="918" t="s">
        <v>478</v>
      </c>
      <c r="B3975" s="944" t="s">
        <v>3901</v>
      </c>
      <c r="C3975" s="919" t="s">
        <v>3902</v>
      </c>
      <c r="D3975" s="919" t="s">
        <v>4502</v>
      </c>
      <c r="E3975" s="920">
        <v>1150</v>
      </c>
      <c r="F3975" s="919" t="s">
        <v>10910</v>
      </c>
      <c r="G3975" s="919" t="s">
        <v>10911</v>
      </c>
      <c r="H3975" s="919" t="s">
        <v>4502</v>
      </c>
      <c r="I3975" s="919" t="s">
        <v>3686</v>
      </c>
      <c r="J3975" s="919"/>
      <c r="K3975" s="920"/>
      <c r="L3975" s="920"/>
      <c r="M3975" s="920">
        <f t="shared" si="124"/>
        <v>0</v>
      </c>
      <c r="N3975" s="919">
        <v>1</v>
      </c>
      <c r="O3975" s="919">
        <v>4</v>
      </c>
      <c r="P3975" s="921">
        <f t="shared" si="125"/>
        <v>4600</v>
      </c>
    </row>
    <row r="3976" spans="1:16" ht="20.100000000000001" customHeight="1" x14ac:dyDescent="0.25">
      <c r="A3976" s="918" t="s">
        <v>478</v>
      </c>
      <c r="B3976" s="944" t="s">
        <v>3901</v>
      </c>
      <c r="C3976" s="919" t="s">
        <v>3902</v>
      </c>
      <c r="D3976" s="919" t="s">
        <v>4502</v>
      </c>
      <c r="E3976" s="920">
        <v>1150</v>
      </c>
      <c r="F3976" s="919" t="s">
        <v>10912</v>
      </c>
      <c r="G3976" s="919" t="s">
        <v>10913</v>
      </c>
      <c r="H3976" s="919" t="s">
        <v>4502</v>
      </c>
      <c r="I3976" s="919" t="s">
        <v>3686</v>
      </c>
      <c r="J3976" s="919"/>
      <c r="K3976" s="920"/>
      <c r="L3976" s="920"/>
      <c r="M3976" s="920">
        <f t="shared" si="124"/>
        <v>0</v>
      </c>
      <c r="N3976" s="919">
        <v>1</v>
      </c>
      <c r="O3976" s="919">
        <v>4</v>
      </c>
      <c r="P3976" s="921">
        <f t="shared" si="125"/>
        <v>4600</v>
      </c>
    </row>
    <row r="3977" spans="1:16" ht="20.100000000000001" customHeight="1" x14ac:dyDescent="0.25">
      <c r="A3977" s="918" t="s">
        <v>478</v>
      </c>
      <c r="B3977" s="944" t="s">
        <v>3901</v>
      </c>
      <c r="C3977" s="919" t="s">
        <v>3902</v>
      </c>
      <c r="D3977" s="919" t="s">
        <v>4502</v>
      </c>
      <c r="E3977" s="920">
        <v>1150</v>
      </c>
      <c r="F3977" s="919" t="s">
        <v>10914</v>
      </c>
      <c r="G3977" s="919" t="s">
        <v>10915</v>
      </c>
      <c r="H3977" s="919" t="s">
        <v>4502</v>
      </c>
      <c r="I3977" s="919" t="s">
        <v>3686</v>
      </c>
      <c r="J3977" s="919"/>
      <c r="K3977" s="920"/>
      <c r="L3977" s="920"/>
      <c r="M3977" s="920">
        <f t="shared" si="124"/>
        <v>0</v>
      </c>
      <c r="N3977" s="919">
        <v>1</v>
      </c>
      <c r="O3977" s="919">
        <v>4</v>
      </c>
      <c r="P3977" s="921">
        <f t="shared" si="125"/>
        <v>4600</v>
      </c>
    </row>
    <row r="3978" spans="1:16" ht="20.100000000000001" customHeight="1" x14ac:dyDescent="0.25">
      <c r="A3978" s="918" t="s">
        <v>478</v>
      </c>
      <c r="B3978" s="944" t="s">
        <v>3901</v>
      </c>
      <c r="C3978" s="919" t="s">
        <v>3902</v>
      </c>
      <c r="D3978" s="919" t="s">
        <v>4502</v>
      </c>
      <c r="E3978" s="920">
        <v>1150</v>
      </c>
      <c r="F3978" s="919" t="s">
        <v>10916</v>
      </c>
      <c r="G3978" s="919" t="s">
        <v>10917</v>
      </c>
      <c r="H3978" s="919" t="s">
        <v>4502</v>
      </c>
      <c r="I3978" s="919" t="s">
        <v>3686</v>
      </c>
      <c r="J3978" s="919"/>
      <c r="K3978" s="920"/>
      <c r="L3978" s="920"/>
      <c r="M3978" s="920">
        <f t="shared" si="124"/>
        <v>0</v>
      </c>
      <c r="N3978" s="919">
        <v>1</v>
      </c>
      <c r="O3978" s="919">
        <v>4</v>
      </c>
      <c r="P3978" s="921">
        <f t="shared" si="125"/>
        <v>4600</v>
      </c>
    </row>
    <row r="3979" spans="1:16" ht="20.100000000000001" customHeight="1" x14ac:dyDescent="0.25">
      <c r="A3979" s="918" t="s">
        <v>478</v>
      </c>
      <c r="B3979" s="944" t="s">
        <v>3901</v>
      </c>
      <c r="C3979" s="919" t="s">
        <v>3902</v>
      </c>
      <c r="D3979" s="919" t="s">
        <v>4502</v>
      </c>
      <c r="E3979" s="920">
        <v>1150</v>
      </c>
      <c r="F3979" s="919" t="s">
        <v>10918</v>
      </c>
      <c r="G3979" s="919" t="s">
        <v>10919</v>
      </c>
      <c r="H3979" s="919" t="s">
        <v>4502</v>
      </c>
      <c r="I3979" s="919" t="s">
        <v>3686</v>
      </c>
      <c r="J3979" s="919"/>
      <c r="K3979" s="920"/>
      <c r="L3979" s="920"/>
      <c r="M3979" s="920">
        <f t="shared" si="124"/>
        <v>0</v>
      </c>
      <c r="N3979" s="919">
        <v>1</v>
      </c>
      <c r="O3979" s="919">
        <v>4</v>
      </c>
      <c r="P3979" s="921">
        <f t="shared" si="125"/>
        <v>4600</v>
      </c>
    </row>
    <row r="3980" spans="1:16" ht="20.100000000000001" customHeight="1" x14ac:dyDescent="0.25">
      <c r="A3980" s="918" t="s">
        <v>478</v>
      </c>
      <c r="B3980" s="944" t="s">
        <v>3901</v>
      </c>
      <c r="C3980" s="919" t="s">
        <v>3902</v>
      </c>
      <c r="D3980" s="919" t="s">
        <v>4502</v>
      </c>
      <c r="E3980" s="920">
        <v>1150</v>
      </c>
      <c r="F3980" s="919" t="s">
        <v>10920</v>
      </c>
      <c r="G3980" s="919" t="s">
        <v>10921</v>
      </c>
      <c r="H3980" s="919" t="s">
        <v>4502</v>
      </c>
      <c r="I3980" s="919" t="s">
        <v>3686</v>
      </c>
      <c r="J3980" s="919"/>
      <c r="K3980" s="920"/>
      <c r="L3980" s="920"/>
      <c r="M3980" s="920">
        <f t="shared" si="124"/>
        <v>0</v>
      </c>
      <c r="N3980" s="919">
        <v>1</v>
      </c>
      <c r="O3980" s="919">
        <v>4</v>
      </c>
      <c r="P3980" s="921">
        <f t="shared" si="125"/>
        <v>4600</v>
      </c>
    </row>
    <row r="3981" spans="1:16" ht="20.100000000000001" customHeight="1" x14ac:dyDescent="0.25">
      <c r="A3981" s="918" t="s">
        <v>478</v>
      </c>
      <c r="B3981" s="944" t="s">
        <v>3901</v>
      </c>
      <c r="C3981" s="919" t="s">
        <v>3902</v>
      </c>
      <c r="D3981" s="919" t="s">
        <v>4502</v>
      </c>
      <c r="E3981" s="920">
        <v>1150</v>
      </c>
      <c r="F3981" s="919" t="s">
        <v>10922</v>
      </c>
      <c r="G3981" s="919" t="s">
        <v>10923</v>
      </c>
      <c r="H3981" s="919" t="s">
        <v>4502</v>
      </c>
      <c r="I3981" s="919" t="s">
        <v>3686</v>
      </c>
      <c r="J3981" s="919"/>
      <c r="K3981" s="920"/>
      <c r="L3981" s="920"/>
      <c r="M3981" s="920">
        <f t="shared" si="124"/>
        <v>0</v>
      </c>
      <c r="N3981" s="919">
        <v>1</v>
      </c>
      <c r="O3981" s="919">
        <v>4</v>
      </c>
      <c r="P3981" s="921">
        <f t="shared" si="125"/>
        <v>4600</v>
      </c>
    </row>
    <row r="3982" spans="1:16" ht="20.100000000000001" customHeight="1" x14ac:dyDescent="0.25">
      <c r="A3982" s="918" t="s">
        <v>478</v>
      </c>
      <c r="B3982" s="944" t="s">
        <v>3901</v>
      </c>
      <c r="C3982" s="919" t="s">
        <v>3902</v>
      </c>
      <c r="D3982" s="919" t="s">
        <v>4502</v>
      </c>
      <c r="E3982" s="920">
        <v>1150</v>
      </c>
      <c r="F3982" s="919" t="s">
        <v>10924</v>
      </c>
      <c r="G3982" s="919" t="s">
        <v>10925</v>
      </c>
      <c r="H3982" s="919" t="s">
        <v>4502</v>
      </c>
      <c r="I3982" s="919" t="s">
        <v>3686</v>
      </c>
      <c r="J3982" s="919"/>
      <c r="K3982" s="920"/>
      <c r="L3982" s="920"/>
      <c r="M3982" s="920">
        <f t="shared" si="124"/>
        <v>0</v>
      </c>
      <c r="N3982" s="919">
        <v>1</v>
      </c>
      <c r="O3982" s="919">
        <v>3</v>
      </c>
      <c r="P3982" s="921">
        <f t="shared" si="125"/>
        <v>3450</v>
      </c>
    </row>
    <row r="3983" spans="1:16" ht="20.100000000000001" customHeight="1" x14ac:dyDescent="0.25">
      <c r="A3983" s="918" t="s">
        <v>478</v>
      </c>
      <c r="B3983" s="944" t="s">
        <v>3901</v>
      </c>
      <c r="C3983" s="919" t="s">
        <v>3902</v>
      </c>
      <c r="D3983" s="919" t="s">
        <v>4502</v>
      </c>
      <c r="E3983" s="920">
        <v>1150</v>
      </c>
      <c r="F3983" s="919" t="s">
        <v>10926</v>
      </c>
      <c r="G3983" s="919" t="s">
        <v>10927</v>
      </c>
      <c r="H3983" s="919" t="s">
        <v>4502</v>
      </c>
      <c r="I3983" s="919" t="s">
        <v>3686</v>
      </c>
      <c r="J3983" s="919"/>
      <c r="K3983" s="920"/>
      <c r="L3983" s="920"/>
      <c r="M3983" s="920">
        <f t="shared" si="124"/>
        <v>0</v>
      </c>
      <c r="N3983" s="919">
        <v>1</v>
      </c>
      <c r="O3983" s="919">
        <v>4</v>
      </c>
      <c r="P3983" s="921">
        <f t="shared" si="125"/>
        <v>4600</v>
      </c>
    </row>
    <row r="3984" spans="1:16" ht="20.100000000000001" customHeight="1" x14ac:dyDescent="0.25">
      <c r="A3984" s="918" t="s">
        <v>478</v>
      </c>
      <c r="B3984" s="944" t="s">
        <v>3901</v>
      </c>
      <c r="C3984" s="919" t="s">
        <v>3902</v>
      </c>
      <c r="D3984" s="919" t="s">
        <v>4502</v>
      </c>
      <c r="E3984" s="920">
        <v>1150</v>
      </c>
      <c r="F3984" s="919" t="s">
        <v>10928</v>
      </c>
      <c r="G3984" s="919" t="s">
        <v>10929</v>
      </c>
      <c r="H3984" s="919" t="s">
        <v>4502</v>
      </c>
      <c r="I3984" s="919" t="s">
        <v>3686</v>
      </c>
      <c r="J3984" s="919"/>
      <c r="K3984" s="920"/>
      <c r="L3984" s="920"/>
      <c r="M3984" s="920">
        <f t="shared" si="124"/>
        <v>0</v>
      </c>
      <c r="N3984" s="919">
        <v>1</v>
      </c>
      <c r="O3984" s="919">
        <v>3</v>
      </c>
      <c r="P3984" s="921">
        <f t="shared" si="125"/>
        <v>3450</v>
      </c>
    </row>
    <row r="3985" spans="1:16" ht="20.100000000000001" customHeight="1" x14ac:dyDescent="0.25">
      <c r="A3985" s="918" t="s">
        <v>478</v>
      </c>
      <c r="B3985" s="944" t="s">
        <v>3901</v>
      </c>
      <c r="C3985" s="919" t="s">
        <v>3902</v>
      </c>
      <c r="D3985" s="919" t="s">
        <v>4502</v>
      </c>
      <c r="E3985" s="920">
        <v>1150</v>
      </c>
      <c r="F3985" s="919" t="s">
        <v>10930</v>
      </c>
      <c r="G3985" s="919" t="s">
        <v>10931</v>
      </c>
      <c r="H3985" s="919" t="s">
        <v>4502</v>
      </c>
      <c r="I3985" s="919" t="s">
        <v>3686</v>
      </c>
      <c r="J3985" s="919"/>
      <c r="K3985" s="920"/>
      <c r="L3985" s="920"/>
      <c r="M3985" s="920">
        <f t="shared" si="124"/>
        <v>0</v>
      </c>
      <c r="N3985" s="919">
        <v>1</v>
      </c>
      <c r="O3985" s="919">
        <v>4</v>
      </c>
      <c r="P3985" s="921">
        <f t="shared" si="125"/>
        <v>4600</v>
      </c>
    </row>
    <row r="3986" spans="1:16" ht="20.100000000000001" customHeight="1" x14ac:dyDescent="0.25">
      <c r="A3986" s="918" t="s">
        <v>478</v>
      </c>
      <c r="B3986" s="944" t="s">
        <v>3901</v>
      </c>
      <c r="C3986" s="919" t="s">
        <v>3902</v>
      </c>
      <c r="D3986" s="919" t="s">
        <v>4502</v>
      </c>
      <c r="E3986" s="920">
        <v>1150</v>
      </c>
      <c r="F3986" s="919" t="s">
        <v>10932</v>
      </c>
      <c r="G3986" s="919" t="s">
        <v>10933</v>
      </c>
      <c r="H3986" s="919" t="s">
        <v>4502</v>
      </c>
      <c r="I3986" s="919" t="s">
        <v>3686</v>
      </c>
      <c r="J3986" s="919"/>
      <c r="K3986" s="920"/>
      <c r="L3986" s="920"/>
      <c r="M3986" s="920">
        <f t="shared" si="124"/>
        <v>0</v>
      </c>
      <c r="N3986" s="919">
        <v>1</v>
      </c>
      <c r="O3986" s="919">
        <v>4</v>
      </c>
      <c r="P3986" s="921">
        <f t="shared" si="125"/>
        <v>4600</v>
      </c>
    </row>
    <row r="3987" spans="1:16" ht="20.100000000000001" customHeight="1" x14ac:dyDescent="0.25">
      <c r="A3987" s="918" t="s">
        <v>478</v>
      </c>
      <c r="B3987" s="944" t="s">
        <v>3901</v>
      </c>
      <c r="C3987" s="919" t="s">
        <v>3902</v>
      </c>
      <c r="D3987" s="919" t="s">
        <v>4502</v>
      </c>
      <c r="E3987" s="920">
        <v>1150</v>
      </c>
      <c r="F3987" s="919" t="s">
        <v>10934</v>
      </c>
      <c r="G3987" s="919" t="s">
        <v>10935</v>
      </c>
      <c r="H3987" s="919" t="s">
        <v>4502</v>
      </c>
      <c r="I3987" s="919" t="s">
        <v>3686</v>
      </c>
      <c r="J3987" s="919"/>
      <c r="K3987" s="920"/>
      <c r="L3987" s="920"/>
      <c r="M3987" s="920">
        <f t="shared" si="124"/>
        <v>0</v>
      </c>
      <c r="N3987" s="919">
        <v>1</v>
      </c>
      <c r="O3987" s="919">
        <v>1</v>
      </c>
      <c r="P3987" s="921">
        <f t="shared" si="125"/>
        <v>1150</v>
      </c>
    </row>
    <row r="3988" spans="1:16" ht="20.100000000000001" customHeight="1" x14ac:dyDescent="0.25">
      <c r="A3988" s="918" t="s">
        <v>478</v>
      </c>
      <c r="B3988" s="944" t="s">
        <v>3901</v>
      </c>
      <c r="C3988" s="919" t="s">
        <v>3902</v>
      </c>
      <c r="D3988" s="919" t="s">
        <v>4774</v>
      </c>
      <c r="E3988" s="920">
        <v>2000</v>
      </c>
      <c r="F3988" s="919" t="s">
        <v>10936</v>
      </c>
      <c r="G3988" s="919" t="s">
        <v>10937</v>
      </c>
      <c r="H3988" s="919" t="s">
        <v>4774</v>
      </c>
      <c r="I3988" s="919" t="s">
        <v>3679</v>
      </c>
      <c r="J3988" s="919"/>
      <c r="K3988" s="920"/>
      <c r="L3988" s="920"/>
      <c r="M3988" s="920">
        <f t="shared" si="124"/>
        <v>0</v>
      </c>
      <c r="N3988" s="919">
        <v>1</v>
      </c>
      <c r="O3988" s="919">
        <v>4</v>
      </c>
      <c r="P3988" s="921">
        <f t="shared" si="125"/>
        <v>8000</v>
      </c>
    </row>
    <row r="3989" spans="1:16" ht="20.100000000000001" customHeight="1" x14ac:dyDescent="0.25">
      <c r="A3989" s="918" t="s">
        <v>478</v>
      </c>
      <c r="B3989" s="944" t="s">
        <v>3901</v>
      </c>
      <c r="C3989" s="919" t="s">
        <v>3902</v>
      </c>
      <c r="D3989" s="919" t="s">
        <v>4774</v>
      </c>
      <c r="E3989" s="920">
        <v>2000</v>
      </c>
      <c r="F3989" s="919" t="s">
        <v>10938</v>
      </c>
      <c r="G3989" s="919" t="s">
        <v>10939</v>
      </c>
      <c r="H3989" s="919" t="s">
        <v>4774</v>
      </c>
      <c r="I3989" s="919" t="s">
        <v>3679</v>
      </c>
      <c r="J3989" s="919"/>
      <c r="K3989" s="920"/>
      <c r="L3989" s="920"/>
      <c r="M3989" s="920">
        <f t="shared" si="124"/>
        <v>0</v>
      </c>
      <c r="N3989" s="919">
        <v>1</v>
      </c>
      <c r="O3989" s="919">
        <v>3</v>
      </c>
      <c r="P3989" s="921">
        <f t="shared" si="125"/>
        <v>6000</v>
      </c>
    </row>
    <row r="3990" spans="1:16" ht="20.100000000000001" customHeight="1" x14ac:dyDescent="0.25">
      <c r="A3990" s="918" t="s">
        <v>478</v>
      </c>
      <c r="B3990" s="944" t="s">
        <v>3901</v>
      </c>
      <c r="C3990" s="919" t="s">
        <v>3902</v>
      </c>
      <c r="D3990" s="919" t="s">
        <v>4774</v>
      </c>
      <c r="E3990" s="920">
        <v>2000</v>
      </c>
      <c r="F3990" s="919" t="s">
        <v>10940</v>
      </c>
      <c r="G3990" s="919" t="s">
        <v>10941</v>
      </c>
      <c r="H3990" s="919" t="s">
        <v>4774</v>
      </c>
      <c r="I3990" s="919" t="s">
        <v>3679</v>
      </c>
      <c r="J3990" s="919"/>
      <c r="K3990" s="920"/>
      <c r="L3990" s="920"/>
      <c r="M3990" s="920">
        <f t="shared" si="124"/>
        <v>0</v>
      </c>
      <c r="N3990" s="919">
        <v>1</v>
      </c>
      <c r="O3990" s="919">
        <v>4</v>
      </c>
      <c r="P3990" s="921">
        <f t="shared" si="125"/>
        <v>8000</v>
      </c>
    </row>
    <row r="3991" spans="1:16" ht="20.100000000000001" customHeight="1" x14ac:dyDescent="0.25">
      <c r="A3991" s="918" t="s">
        <v>478</v>
      </c>
      <c r="B3991" s="944" t="s">
        <v>3901</v>
      </c>
      <c r="C3991" s="919" t="s">
        <v>3902</v>
      </c>
      <c r="D3991" s="919" t="s">
        <v>4774</v>
      </c>
      <c r="E3991" s="920">
        <v>2000</v>
      </c>
      <c r="F3991" s="919" t="s">
        <v>10942</v>
      </c>
      <c r="G3991" s="919" t="s">
        <v>10943</v>
      </c>
      <c r="H3991" s="919" t="s">
        <v>4774</v>
      </c>
      <c r="I3991" s="919" t="s">
        <v>3679</v>
      </c>
      <c r="J3991" s="919"/>
      <c r="K3991" s="920"/>
      <c r="L3991" s="920"/>
      <c r="M3991" s="920">
        <f t="shared" si="124"/>
        <v>0</v>
      </c>
      <c r="N3991" s="919">
        <v>1</v>
      </c>
      <c r="O3991" s="919">
        <v>4</v>
      </c>
      <c r="P3991" s="921">
        <f t="shared" si="125"/>
        <v>8000</v>
      </c>
    </row>
    <row r="3992" spans="1:16" ht="20.100000000000001" customHeight="1" x14ac:dyDescent="0.25">
      <c r="A3992" s="918" t="s">
        <v>478</v>
      </c>
      <c r="B3992" s="944" t="s">
        <v>3901</v>
      </c>
      <c r="C3992" s="919" t="s">
        <v>3902</v>
      </c>
      <c r="D3992" s="919" t="s">
        <v>4777</v>
      </c>
      <c r="E3992" s="920">
        <v>2000</v>
      </c>
      <c r="F3992" s="919" t="s">
        <v>10944</v>
      </c>
      <c r="G3992" s="919" t="s">
        <v>10945</v>
      </c>
      <c r="H3992" s="919" t="s">
        <v>4777</v>
      </c>
      <c r="I3992" s="919" t="s">
        <v>3679</v>
      </c>
      <c r="J3992" s="919"/>
      <c r="K3992" s="920"/>
      <c r="L3992" s="920"/>
      <c r="M3992" s="920">
        <f t="shared" si="124"/>
        <v>0</v>
      </c>
      <c r="N3992" s="919">
        <v>1</v>
      </c>
      <c r="O3992" s="919">
        <v>4</v>
      </c>
      <c r="P3992" s="921">
        <f t="shared" si="125"/>
        <v>8000</v>
      </c>
    </row>
    <row r="3993" spans="1:16" ht="20.100000000000001" customHeight="1" x14ac:dyDescent="0.25">
      <c r="A3993" s="918" t="s">
        <v>478</v>
      </c>
      <c r="B3993" s="944" t="s">
        <v>3901</v>
      </c>
      <c r="C3993" s="919" t="s">
        <v>3902</v>
      </c>
      <c r="D3993" s="919" t="s">
        <v>4774</v>
      </c>
      <c r="E3993" s="920">
        <v>2000</v>
      </c>
      <c r="F3993" s="919" t="s">
        <v>10946</v>
      </c>
      <c r="G3993" s="919" t="s">
        <v>10947</v>
      </c>
      <c r="H3993" s="919" t="s">
        <v>4774</v>
      </c>
      <c r="I3993" s="919" t="s">
        <v>3679</v>
      </c>
      <c r="J3993" s="919"/>
      <c r="K3993" s="920"/>
      <c r="L3993" s="920"/>
      <c r="M3993" s="920">
        <f t="shared" si="124"/>
        <v>0</v>
      </c>
      <c r="N3993" s="919">
        <v>1</v>
      </c>
      <c r="O3993" s="919">
        <v>4</v>
      </c>
      <c r="P3993" s="921">
        <f t="shared" si="125"/>
        <v>8000</v>
      </c>
    </row>
    <row r="3994" spans="1:16" ht="20.100000000000001" customHeight="1" x14ac:dyDescent="0.25">
      <c r="A3994" s="918" t="s">
        <v>478</v>
      </c>
      <c r="B3994" s="944" t="s">
        <v>3901</v>
      </c>
      <c r="C3994" s="919" t="s">
        <v>3902</v>
      </c>
      <c r="D3994" s="919" t="s">
        <v>4774</v>
      </c>
      <c r="E3994" s="920">
        <v>2000</v>
      </c>
      <c r="F3994" s="919" t="s">
        <v>10948</v>
      </c>
      <c r="G3994" s="919" t="s">
        <v>10949</v>
      </c>
      <c r="H3994" s="919" t="s">
        <v>4774</v>
      </c>
      <c r="I3994" s="919" t="s">
        <v>3679</v>
      </c>
      <c r="J3994" s="919"/>
      <c r="K3994" s="920"/>
      <c r="L3994" s="920"/>
      <c r="M3994" s="920">
        <f t="shared" si="124"/>
        <v>0</v>
      </c>
      <c r="N3994" s="919">
        <v>1</v>
      </c>
      <c r="O3994" s="919">
        <v>4</v>
      </c>
      <c r="P3994" s="921">
        <f t="shared" si="125"/>
        <v>8000</v>
      </c>
    </row>
    <row r="3995" spans="1:16" ht="20.100000000000001" customHeight="1" x14ac:dyDescent="0.25">
      <c r="A3995" s="918" t="s">
        <v>478</v>
      </c>
      <c r="B3995" s="944" t="s">
        <v>3901</v>
      </c>
      <c r="C3995" s="919" t="s">
        <v>3902</v>
      </c>
      <c r="D3995" s="919" t="s">
        <v>4774</v>
      </c>
      <c r="E3995" s="920">
        <v>2000</v>
      </c>
      <c r="F3995" s="919" t="s">
        <v>10950</v>
      </c>
      <c r="G3995" s="919" t="s">
        <v>10951</v>
      </c>
      <c r="H3995" s="919" t="s">
        <v>4774</v>
      </c>
      <c r="I3995" s="919" t="s">
        <v>3679</v>
      </c>
      <c r="J3995" s="919"/>
      <c r="K3995" s="920"/>
      <c r="L3995" s="920"/>
      <c r="M3995" s="920">
        <f t="shared" si="124"/>
        <v>0</v>
      </c>
      <c r="N3995" s="919">
        <v>1</v>
      </c>
      <c r="O3995" s="919">
        <v>4</v>
      </c>
      <c r="P3995" s="921">
        <f t="shared" si="125"/>
        <v>8000</v>
      </c>
    </row>
    <row r="3996" spans="1:16" ht="20.100000000000001" customHeight="1" x14ac:dyDescent="0.25">
      <c r="A3996" s="918" t="s">
        <v>478</v>
      </c>
      <c r="B3996" s="944" t="s">
        <v>3901</v>
      </c>
      <c r="C3996" s="919" t="s">
        <v>3902</v>
      </c>
      <c r="D3996" s="919" t="s">
        <v>4777</v>
      </c>
      <c r="E3996" s="920">
        <v>2000</v>
      </c>
      <c r="F3996" s="919" t="s">
        <v>10952</v>
      </c>
      <c r="G3996" s="919" t="s">
        <v>10953</v>
      </c>
      <c r="H3996" s="919" t="s">
        <v>4777</v>
      </c>
      <c r="I3996" s="919" t="s">
        <v>3679</v>
      </c>
      <c r="J3996" s="919"/>
      <c r="K3996" s="920"/>
      <c r="L3996" s="920"/>
      <c r="M3996" s="920">
        <f t="shared" si="124"/>
        <v>0</v>
      </c>
      <c r="N3996" s="919">
        <v>1</v>
      </c>
      <c r="O3996" s="919">
        <v>4</v>
      </c>
      <c r="P3996" s="921">
        <f t="shared" si="125"/>
        <v>8000</v>
      </c>
    </row>
    <row r="3997" spans="1:16" ht="20.100000000000001" customHeight="1" x14ac:dyDescent="0.25">
      <c r="A3997" s="918" t="s">
        <v>478</v>
      </c>
      <c r="B3997" s="944" t="s">
        <v>3901</v>
      </c>
      <c r="C3997" s="919" t="s">
        <v>3902</v>
      </c>
      <c r="D3997" s="919" t="s">
        <v>4774</v>
      </c>
      <c r="E3997" s="920">
        <v>2000</v>
      </c>
      <c r="F3997" s="919" t="s">
        <v>10954</v>
      </c>
      <c r="G3997" s="919" t="s">
        <v>10955</v>
      </c>
      <c r="H3997" s="919" t="s">
        <v>4774</v>
      </c>
      <c r="I3997" s="919" t="s">
        <v>3679</v>
      </c>
      <c r="J3997" s="919"/>
      <c r="K3997" s="920"/>
      <c r="L3997" s="920"/>
      <c r="M3997" s="920">
        <f t="shared" si="124"/>
        <v>0</v>
      </c>
      <c r="N3997" s="919">
        <v>1</v>
      </c>
      <c r="O3997" s="919">
        <v>4</v>
      </c>
      <c r="P3997" s="921">
        <f t="shared" si="125"/>
        <v>8000</v>
      </c>
    </row>
    <row r="3998" spans="1:16" ht="20.100000000000001" customHeight="1" x14ac:dyDescent="0.25">
      <c r="A3998" s="918" t="s">
        <v>478</v>
      </c>
      <c r="B3998" s="944" t="s">
        <v>3901</v>
      </c>
      <c r="C3998" s="919" t="s">
        <v>3902</v>
      </c>
      <c r="D3998" s="919" t="s">
        <v>4774</v>
      </c>
      <c r="E3998" s="920">
        <v>2000</v>
      </c>
      <c r="F3998" s="919" t="s">
        <v>10956</v>
      </c>
      <c r="G3998" s="919" t="s">
        <v>10957</v>
      </c>
      <c r="H3998" s="919" t="s">
        <v>4774</v>
      </c>
      <c r="I3998" s="919" t="s">
        <v>3679</v>
      </c>
      <c r="J3998" s="919"/>
      <c r="K3998" s="920"/>
      <c r="L3998" s="920"/>
      <c r="M3998" s="920">
        <f t="shared" si="124"/>
        <v>0</v>
      </c>
      <c r="N3998" s="919">
        <v>1</v>
      </c>
      <c r="O3998" s="919">
        <v>4</v>
      </c>
      <c r="P3998" s="921">
        <f t="shared" si="125"/>
        <v>8000</v>
      </c>
    </row>
    <row r="3999" spans="1:16" ht="20.100000000000001" customHeight="1" x14ac:dyDescent="0.25">
      <c r="A3999" s="918" t="s">
        <v>478</v>
      </c>
      <c r="B3999" s="944" t="s">
        <v>3901</v>
      </c>
      <c r="C3999" s="919" t="s">
        <v>3902</v>
      </c>
      <c r="D3999" s="919" t="s">
        <v>4774</v>
      </c>
      <c r="E3999" s="920">
        <v>2000</v>
      </c>
      <c r="F3999" s="919" t="s">
        <v>10958</v>
      </c>
      <c r="G3999" s="919" t="s">
        <v>10959</v>
      </c>
      <c r="H3999" s="919" t="s">
        <v>4774</v>
      </c>
      <c r="I3999" s="919" t="s">
        <v>3679</v>
      </c>
      <c r="J3999" s="919"/>
      <c r="K3999" s="920"/>
      <c r="L3999" s="920"/>
      <c r="M3999" s="920">
        <f t="shared" si="124"/>
        <v>0</v>
      </c>
      <c r="N3999" s="919">
        <v>1</v>
      </c>
      <c r="O3999" s="919">
        <v>4</v>
      </c>
      <c r="P3999" s="921">
        <f t="shared" si="125"/>
        <v>8000</v>
      </c>
    </row>
    <row r="4000" spans="1:16" ht="20.100000000000001" customHeight="1" x14ac:dyDescent="0.25">
      <c r="A4000" s="918" t="s">
        <v>478</v>
      </c>
      <c r="B4000" s="944" t="s">
        <v>3901</v>
      </c>
      <c r="C4000" s="919" t="s">
        <v>3902</v>
      </c>
      <c r="D4000" s="919" t="s">
        <v>4774</v>
      </c>
      <c r="E4000" s="920">
        <v>2000</v>
      </c>
      <c r="F4000" s="919" t="s">
        <v>4041</v>
      </c>
      <c r="G4000" s="919" t="s">
        <v>4062</v>
      </c>
      <c r="H4000" s="919" t="s">
        <v>4774</v>
      </c>
      <c r="I4000" s="919" t="s">
        <v>3679</v>
      </c>
      <c r="J4000" s="919"/>
      <c r="K4000" s="920">
        <v>1</v>
      </c>
      <c r="L4000" s="920">
        <v>12</v>
      </c>
      <c r="M4000" s="920">
        <f t="shared" si="124"/>
        <v>24000</v>
      </c>
      <c r="N4000" s="919"/>
      <c r="O4000" s="919"/>
      <c r="P4000" s="921">
        <f t="shared" si="125"/>
        <v>0</v>
      </c>
    </row>
    <row r="4001" spans="1:16" ht="20.100000000000001" customHeight="1" x14ac:dyDescent="0.25">
      <c r="A4001" s="918" t="s">
        <v>478</v>
      </c>
      <c r="B4001" s="944" t="s">
        <v>3901</v>
      </c>
      <c r="C4001" s="919" t="s">
        <v>3902</v>
      </c>
      <c r="D4001" s="919" t="s">
        <v>4774</v>
      </c>
      <c r="E4001" s="920">
        <v>2000</v>
      </c>
      <c r="F4001" s="919" t="s">
        <v>10960</v>
      </c>
      <c r="G4001" s="919" t="s">
        <v>10961</v>
      </c>
      <c r="H4001" s="919" t="s">
        <v>4774</v>
      </c>
      <c r="I4001" s="919" t="s">
        <v>3679</v>
      </c>
      <c r="J4001" s="919"/>
      <c r="K4001" s="920"/>
      <c r="L4001" s="920"/>
      <c r="M4001" s="920">
        <f t="shared" si="124"/>
        <v>0</v>
      </c>
      <c r="N4001" s="919">
        <v>1</v>
      </c>
      <c r="O4001" s="919">
        <v>4</v>
      </c>
      <c r="P4001" s="921">
        <f t="shared" si="125"/>
        <v>8000</v>
      </c>
    </row>
    <row r="4002" spans="1:16" ht="20.100000000000001" customHeight="1" x14ac:dyDescent="0.25">
      <c r="A4002" s="918" t="s">
        <v>478</v>
      </c>
      <c r="B4002" s="944" t="s">
        <v>3901</v>
      </c>
      <c r="C4002" s="919" t="s">
        <v>3902</v>
      </c>
      <c r="D4002" s="919" t="s">
        <v>10962</v>
      </c>
      <c r="E4002" s="920">
        <v>2100</v>
      </c>
      <c r="F4002" s="919" t="s">
        <v>10963</v>
      </c>
      <c r="G4002" s="919" t="s">
        <v>10964</v>
      </c>
      <c r="H4002" s="919" t="s">
        <v>10962</v>
      </c>
      <c r="I4002" s="919" t="s">
        <v>3679</v>
      </c>
      <c r="J4002" s="919"/>
      <c r="K4002" s="920"/>
      <c r="L4002" s="920"/>
      <c r="M4002" s="920">
        <f t="shared" si="124"/>
        <v>0</v>
      </c>
      <c r="N4002" s="919">
        <v>1</v>
      </c>
      <c r="O4002" s="919">
        <v>4</v>
      </c>
      <c r="P4002" s="921">
        <f t="shared" si="125"/>
        <v>8400</v>
      </c>
    </row>
    <row r="4003" spans="1:16" ht="20.100000000000001" customHeight="1" x14ac:dyDescent="0.25">
      <c r="A4003" s="918" t="s">
        <v>478</v>
      </c>
      <c r="B4003" s="944" t="s">
        <v>3901</v>
      </c>
      <c r="C4003" s="919" t="s">
        <v>3902</v>
      </c>
      <c r="D4003" s="919" t="s">
        <v>4812</v>
      </c>
      <c r="E4003" s="920">
        <v>2000</v>
      </c>
      <c r="F4003" s="919" t="s">
        <v>4041</v>
      </c>
      <c r="G4003" s="919" t="s">
        <v>4042</v>
      </c>
      <c r="H4003" s="919" t="s">
        <v>4812</v>
      </c>
      <c r="I4003" s="919" t="s">
        <v>3679</v>
      </c>
      <c r="J4003" s="919"/>
      <c r="K4003" s="920">
        <v>1</v>
      </c>
      <c r="L4003" s="920">
        <v>12</v>
      </c>
      <c r="M4003" s="920">
        <f t="shared" si="124"/>
        <v>24000</v>
      </c>
      <c r="N4003" s="919"/>
      <c r="O4003" s="919"/>
      <c r="P4003" s="921">
        <f t="shared" si="125"/>
        <v>0</v>
      </c>
    </row>
    <row r="4004" spans="1:16" ht="20.100000000000001" customHeight="1" x14ac:dyDescent="0.25">
      <c r="A4004" s="918" t="s">
        <v>478</v>
      </c>
      <c r="B4004" s="944" t="s">
        <v>3901</v>
      </c>
      <c r="C4004" s="919" t="s">
        <v>3902</v>
      </c>
      <c r="D4004" s="919" t="s">
        <v>4812</v>
      </c>
      <c r="E4004" s="920">
        <v>2000</v>
      </c>
      <c r="F4004" s="919" t="s">
        <v>10965</v>
      </c>
      <c r="G4004" s="919" t="s">
        <v>10966</v>
      </c>
      <c r="H4004" s="919" t="s">
        <v>4812</v>
      </c>
      <c r="I4004" s="919" t="s">
        <v>3679</v>
      </c>
      <c r="J4004" s="919"/>
      <c r="K4004" s="920"/>
      <c r="L4004" s="920"/>
      <c r="M4004" s="920">
        <f t="shared" si="124"/>
        <v>0</v>
      </c>
      <c r="N4004" s="919">
        <v>1</v>
      </c>
      <c r="O4004" s="919">
        <v>4</v>
      </c>
      <c r="P4004" s="921">
        <f t="shared" si="125"/>
        <v>8000</v>
      </c>
    </row>
    <row r="4005" spans="1:16" ht="20.100000000000001" customHeight="1" x14ac:dyDescent="0.25">
      <c r="A4005" s="918" t="s">
        <v>478</v>
      </c>
      <c r="B4005" s="944" t="s">
        <v>3901</v>
      </c>
      <c r="C4005" s="919" t="s">
        <v>3902</v>
      </c>
      <c r="D4005" s="919" t="s">
        <v>4812</v>
      </c>
      <c r="E4005" s="920">
        <v>2000</v>
      </c>
      <c r="F4005" s="919" t="s">
        <v>10967</v>
      </c>
      <c r="G4005" s="919" t="s">
        <v>10968</v>
      </c>
      <c r="H4005" s="919" t="s">
        <v>4812</v>
      </c>
      <c r="I4005" s="919" t="s">
        <v>3679</v>
      </c>
      <c r="J4005" s="919"/>
      <c r="K4005" s="920"/>
      <c r="L4005" s="920"/>
      <c r="M4005" s="920">
        <f t="shared" si="124"/>
        <v>0</v>
      </c>
      <c r="N4005" s="919">
        <v>1</v>
      </c>
      <c r="O4005" s="919">
        <v>4</v>
      </c>
      <c r="P4005" s="921">
        <f t="shared" si="125"/>
        <v>8000</v>
      </c>
    </row>
    <row r="4006" spans="1:16" ht="20.100000000000001" customHeight="1" x14ac:dyDescent="0.25">
      <c r="A4006" s="918" t="s">
        <v>478</v>
      </c>
      <c r="B4006" s="944" t="s">
        <v>3901</v>
      </c>
      <c r="C4006" s="919" t="s">
        <v>3902</v>
      </c>
      <c r="D4006" s="919" t="s">
        <v>4815</v>
      </c>
      <c r="E4006" s="920">
        <v>2000</v>
      </c>
      <c r="F4006" s="919" t="s">
        <v>10969</v>
      </c>
      <c r="G4006" s="919" t="s">
        <v>10970</v>
      </c>
      <c r="H4006" s="919" t="s">
        <v>4815</v>
      </c>
      <c r="I4006" s="919" t="s">
        <v>3679</v>
      </c>
      <c r="J4006" s="919"/>
      <c r="K4006" s="920"/>
      <c r="L4006" s="920"/>
      <c r="M4006" s="920">
        <f t="shared" si="124"/>
        <v>0</v>
      </c>
      <c r="N4006" s="919">
        <v>1</v>
      </c>
      <c r="O4006" s="919">
        <v>4</v>
      </c>
      <c r="P4006" s="921">
        <f t="shared" si="125"/>
        <v>8000</v>
      </c>
    </row>
    <row r="4007" spans="1:16" ht="20.100000000000001" customHeight="1" x14ac:dyDescent="0.25">
      <c r="A4007" s="918" t="s">
        <v>478</v>
      </c>
      <c r="B4007" s="944" t="s">
        <v>3901</v>
      </c>
      <c r="C4007" s="919" t="s">
        <v>3902</v>
      </c>
      <c r="D4007" s="919" t="s">
        <v>4815</v>
      </c>
      <c r="E4007" s="920">
        <v>2000</v>
      </c>
      <c r="F4007" s="919" t="s">
        <v>10971</v>
      </c>
      <c r="G4007" s="919" t="s">
        <v>10972</v>
      </c>
      <c r="H4007" s="919" t="s">
        <v>4815</v>
      </c>
      <c r="I4007" s="919" t="s">
        <v>3679</v>
      </c>
      <c r="J4007" s="919"/>
      <c r="K4007" s="920"/>
      <c r="L4007" s="920"/>
      <c r="M4007" s="920">
        <f t="shared" si="124"/>
        <v>0</v>
      </c>
      <c r="N4007" s="919">
        <v>1</v>
      </c>
      <c r="O4007" s="919">
        <v>1</v>
      </c>
      <c r="P4007" s="921">
        <f t="shared" si="125"/>
        <v>2000</v>
      </c>
    </row>
    <row r="4008" spans="1:16" ht="20.100000000000001" customHeight="1" x14ac:dyDescent="0.25">
      <c r="A4008" s="918" t="s">
        <v>478</v>
      </c>
      <c r="B4008" s="944" t="s">
        <v>3901</v>
      </c>
      <c r="C4008" s="919" t="s">
        <v>3902</v>
      </c>
      <c r="D4008" s="919" t="s">
        <v>4812</v>
      </c>
      <c r="E4008" s="920">
        <v>2000</v>
      </c>
      <c r="F4008" s="919" t="s">
        <v>10973</v>
      </c>
      <c r="G4008" s="919" t="s">
        <v>10974</v>
      </c>
      <c r="H4008" s="919" t="s">
        <v>4812</v>
      </c>
      <c r="I4008" s="919" t="s">
        <v>3679</v>
      </c>
      <c r="J4008" s="919"/>
      <c r="K4008" s="920"/>
      <c r="L4008" s="920"/>
      <c r="M4008" s="920">
        <f t="shared" si="124"/>
        <v>0</v>
      </c>
      <c r="N4008" s="919">
        <v>1</v>
      </c>
      <c r="O4008" s="919">
        <v>1</v>
      </c>
      <c r="P4008" s="921">
        <f t="shared" si="125"/>
        <v>2000</v>
      </c>
    </row>
    <row r="4009" spans="1:16" ht="20.100000000000001" customHeight="1" x14ac:dyDescent="0.25">
      <c r="A4009" s="918" t="s">
        <v>478</v>
      </c>
      <c r="B4009" s="944" t="s">
        <v>3901</v>
      </c>
      <c r="C4009" s="919" t="s">
        <v>3902</v>
      </c>
      <c r="D4009" s="919" t="s">
        <v>4812</v>
      </c>
      <c r="E4009" s="920">
        <v>2000</v>
      </c>
      <c r="F4009" s="919" t="s">
        <v>10975</v>
      </c>
      <c r="G4009" s="919" t="s">
        <v>10976</v>
      </c>
      <c r="H4009" s="919" t="s">
        <v>4812</v>
      </c>
      <c r="I4009" s="919" t="s">
        <v>3679</v>
      </c>
      <c r="J4009" s="919"/>
      <c r="K4009" s="920"/>
      <c r="L4009" s="920"/>
      <c r="M4009" s="920">
        <f t="shared" si="124"/>
        <v>0</v>
      </c>
      <c r="N4009" s="919">
        <v>1</v>
      </c>
      <c r="O4009" s="919">
        <v>4</v>
      </c>
      <c r="P4009" s="921">
        <f t="shared" si="125"/>
        <v>8000</v>
      </c>
    </row>
    <row r="4010" spans="1:16" ht="20.100000000000001" customHeight="1" x14ac:dyDescent="0.25">
      <c r="A4010" s="918" t="s">
        <v>478</v>
      </c>
      <c r="B4010" s="944" t="s">
        <v>3901</v>
      </c>
      <c r="C4010" s="919" t="s">
        <v>3902</v>
      </c>
      <c r="D4010" s="919" t="s">
        <v>10151</v>
      </c>
      <c r="E4010" s="920">
        <v>1350</v>
      </c>
      <c r="F4010" s="919" t="s">
        <v>10977</v>
      </c>
      <c r="G4010" s="919" t="s">
        <v>10978</v>
      </c>
      <c r="H4010" s="919" t="s">
        <v>10151</v>
      </c>
      <c r="I4010" s="919" t="s">
        <v>3686</v>
      </c>
      <c r="J4010" s="919"/>
      <c r="K4010" s="920"/>
      <c r="L4010" s="920"/>
      <c r="M4010" s="920">
        <f t="shared" si="124"/>
        <v>0</v>
      </c>
      <c r="N4010" s="919">
        <v>1</v>
      </c>
      <c r="O4010" s="919">
        <v>4</v>
      </c>
      <c r="P4010" s="921">
        <f t="shared" si="125"/>
        <v>5400</v>
      </c>
    </row>
    <row r="4011" spans="1:16" ht="20.100000000000001" customHeight="1" x14ac:dyDescent="0.25">
      <c r="A4011" s="918" t="s">
        <v>478</v>
      </c>
      <c r="B4011" s="944" t="s">
        <v>3901</v>
      </c>
      <c r="C4011" s="919" t="s">
        <v>3902</v>
      </c>
      <c r="D4011" s="919" t="s">
        <v>10151</v>
      </c>
      <c r="E4011" s="920">
        <v>1350</v>
      </c>
      <c r="F4011" s="919" t="s">
        <v>10979</v>
      </c>
      <c r="G4011" s="919" t="s">
        <v>10980</v>
      </c>
      <c r="H4011" s="919" t="s">
        <v>10151</v>
      </c>
      <c r="I4011" s="919" t="s">
        <v>3686</v>
      </c>
      <c r="J4011" s="919"/>
      <c r="K4011" s="920"/>
      <c r="L4011" s="920"/>
      <c r="M4011" s="920">
        <f t="shared" si="124"/>
        <v>0</v>
      </c>
      <c r="N4011" s="919">
        <v>1</v>
      </c>
      <c r="O4011" s="919">
        <v>4</v>
      </c>
      <c r="P4011" s="921">
        <f t="shared" si="125"/>
        <v>5400</v>
      </c>
    </row>
    <row r="4012" spans="1:16" ht="20.100000000000001" customHeight="1" x14ac:dyDescent="0.25">
      <c r="A4012" s="918" t="s">
        <v>478</v>
      </c>
      <c r="B4012" s="944" t="s">
        <v>3901</v>
      </c>
      <c r="C4012" s="919" t="s">
        <v>3902</v>
      </c>
      <c r="D4012" s="919" t="s">
        <v>10151</v>
      </c>
      <c r="E4012" s="920">
        <v>1350</v>
      </c>
      <c r="F4012" s="919" t="s">
        <v>10981</v>
      </c>
      <c r="G4012" s="919" t="s">
        <v>10982</v>
      </c>
      <c r="H4012" s="919" t="s">
        <v>10151</v>
      </c>
      <c r="I4012" s="919" t="s">
        <v>3686</v>
      </c>
      <c r="J4012" s="919"/>
      <c r="K4012" s="920"/>
      <c r="L4012" s="920"/>
      <c r="M4012" s="920">
        <f t="shared" si="124"/>
        <v>0</v>
      </c>
      <c r="N4012" s="919">
        <v>1</v>
      </c>
      <c r="O4012" s="919">
        <v>4</v>
      </c>
      <c r="P4012" s="921">
        <f t="shared" si="125"/>
        <v>5400</v>
      </c>
    </row>
    <row r="4013" spans="1:16" ht="20.100000000000001" customHeight="1" x14ac:dyDescent="0.25">
      <c r="A4013" s="918" t="s">
        <v>478</v>
      </c>
      <c r="B4013" s="944" t="s">
        <v>3901</v>
      </c>
      <c r="C4013" s="919" t="s">
        <v>3902</v>
      </c>
      <c r="D4013" s="919" t="s">
        <v>4347</v>
      </c>
      <c r="E4013" s="920">
        <v>3000</v>
      </c>
      <c r="F4013" s="919" t="s">
        <v>10983</v>
      </c>
      <c r="G4013" s="919" t="s">
        <v>10984</v>
      </c>
      <c r="H4013" s="919" t="s">
        <v>4347</v>
      </c>
      <c r="I4013" s="919" t="s">
        <v>3679</v>
      </c>
      <c r="J4013" s="919"/>
      <c r="K4013" s="920"/>
      <c r="L4013" s="920"/>
      <c r="M4013" s="920">
        <f t="shared" si="124"/>
        <v>0</v>
      </c>
      <c r="N4013" s="919">
        <v>1</v>
      </c>
      <c r="O4013" s="919">
        <v>3</v>
      </c>
      <c r="P4013" s="921">
        <f t="shared" si="125"/>
        <v>9000</v>
      </c>
    </row>
    <row r="4014" spans="1:16" ht="20.100000000000001" customHeight="1" x14ac:dyDescent="0.25">
      <c r="A4014" s="918" t="s">
        <v>478</v>
      </c>
      <c r="B4014" s="944" t="s">
        <v>3901</v>
      </c>
      <c r="C4014" s="919" t="s">
        <v>3902</v>
      </c>
      <c r="D4014" s="919" t="s">
        <v>4820</v>
      </c>
      <c r="E4014" s="920">
        <v>2600</v>
      </c>
      <c r="F4014" s="919" t="s">
        <v>10985</v>
      </c>
      <c r="G4014" s="919" t="s">
        <v>10986</v>
      </c>
      <c r="H4014" s="919" t="s">
        <v>4820</v>
      </c>
      <c r="I4014" s="919" t="s">
        <v>3679</v>
      </c>
      <c r="J4014" s="919"/>
      <c r="K4014" s="920"/>
      <c r="L4014" s="920"/>
      <c r="M4014" s="920">
        <f t="shared" si="124"/>
        <v>0</v>
      </c>
      <c r="N4014" s="919">
        <v>1</v>
      </c>
      <c r="O4014" s="919">
        <v>3</v>
      </c>
      <c r="P4014" s="921">
        <f t="shared" si="125"/>
        <v>7800</v>
      </c>
    </row>
    <row r="4015" spans="1:16" ht="20.100000000000001" customHeight="1" x14ac:dyDescent="0.25">
      <c r="A4015" s="918" t="s">
        <v>478</v>
      </c>
      <c r="B4015" s="944" t="s">
        <v>3901</v>
      </c>
      <c r="C4015" s="919" t="s">
        <v>3902</v>
      </c>
      <c r="D4015" s="919" t="s">
        <v>4823</v>
      </c>
      <c r="E4015" s="920">
        <v>2600</v>
      </c>
      <c r="F4015" s="919" t="s">
        <v>10987</v>
      </c>
      <c r="G4015" s="919" t="s">
        <v>10988</v>
      </c>
      <c r="H4015" s="919" t="s">
        <v>4823</v>
      </c>
      <c r="I4015" s="919" t="s">
        <v>3679</v>
      </c>
      <c r="J4015" s="919"/>
      <c r="K4015" s="920"/>
      <c r="L4015" s="920"/>
      <c r="M4015" s="920">
        <f t="shared" si="124"/>
        <v>0</v>
      </c>
      <c r="N4015" s="919">
        <v>1</v>
      </c>
      <c r="O4015" s="919">
        <v>3</v>
      </c>
      <c r="P4015" s="921">
        <f t="shared" si="125"/>
        <v>7800</v>
      </c>
    </row>
    <row r="4016" spans="1:16" ht="20.100000000000001" customHeight="1" x14ac:dyDescent="0.25">
      <c r="A4016" s="918" t="s">
        <v>478</v>
      </c>
      <c r="B4016" s="944" t="s">
        <v>3901</v>
      </c>
      <c r="C4016" s="919" t="s">
        <v>3902</v>
      </c>
      <c r="D4016" s="919" t="s">
        <v>4823</v>
      </c>
      <c r="E4016" s="920">
        <v>2600</v>
      </c>
      <c r="F4016" s="919" t="s">
        <v>10989</v>
      </c>
      <c r="G4016" s="919" t="s">
        <v>10990</v>
      </c>
      <c r="H4016" s="919" t="s">
        <v>4823</v>
      </c>
      <c r="I4016" s="919" t="s">
        <v>3679</v>
      </c>
      <c r="J4016" s="919"/>
      <c r="K4016" s="920"/>
      <c r="L4016" s="920"/>
      <c r="M4016" s="920">
        <f t="shared" si="124"/>
        <v>0</v>
      </c>
      <c r="N4016" s="919">
        <v>1</v>
      </c>
      <c r="O4016" s="919">
        <v>3</v>
      </c>
      <c r="P4016" s="921">
        <f t="shared" si="125"/>
        <v>7800</v>
      </c>
    </row>
    <row r="4017" spans="1:16" ht="20.100000000000001" customHeight="1" x14ac:dyDescent="0.25">
      <c r="A4017" s="918" t="s">
        <v>478</v>
      </c>
      <c r="B4017" s="944" t="s">
        <v>3901</v>
      </c>
      <c r="C4017" s="919" t="s">
        <v>3902</v>
      </c>
      <c r="D4017" s="919" t="s">
        <v>4823</v>
      </c>
      <c r="E4017" s="920">
        <v>2600</v>
      </c>
      <c r="F4017" s="919" t="s">
        <v>10991</v>
      </c>
      <c r="G4017" s="919" t="s">
        <v>10992</v>
      </c>
      <c r="H4017" s="919" t="s">
        <v>4823</v>
      </c>
      <c r="I4017" s="919" t="s">
        <v>3679</v>
      </c>
      <c r="J4017" s="919"/>
      <c r="K4017" s="920"/>
      <c r="L4017" s="920"/>
      <c r="M4017" s="920">
        <f t="shared" si="124"/>
        <v>0</v>
      </c>
      <c r="N4017" s="919">
        <v>1</v>
      </c>
      <c r="O4017" s="919">
        <v>3</v>
      </c>
      <c r="P4017" s="921">
        <f t="shared" si="125"/>
        <v>7800</v>
      </c>
    </row>
    <row r="4018" spans="1:16" ht="20.100000000000001" customHeight="1" x14ac:dyDescent="0.25">
      <c r="A4018" s="918" t="s">
        <v>478</v>
      </c>
      <c r="B4018" s="944" t="s">
        <v>3901</v>
      </c>
      <c r="C4018" s="919" t="s">
        <v>3902</v>
      </c>
      <c r="D4018" s="919" t="s">
        <v>10993</v>
      </c>
      <c r="E4018" s="920">
        <v>3000</v>
      </c>
      <c r="F4018" s="919" t="s">
        <v>10994</v>
      </c>
      <c r="G4018" s="919" t="s">
        <v>10995</v>
      </c>
      <c r="H4018" s="919" t="s">
        <v>10993</v>
      </c>
      <c r="I4018" s="919" t="s">
        <v>3679</v>
      </c>
      <c r="J4018" s="919"/>
      <c r="K4018" s="920"/>
      <c r="L4018" s="920"/>
      <c r="M4018" s="920">
        <f t="shared" si="124"/>
        <v>0</v>
      </c>
      <c r="N4018" s="919">
        <v>1</v>
      </c>
      <c r="O4018" s="919">
        <v>1</v>
      </c>
      <c r="P4018" s="921">
        <f t="shared" si="125"/>
        <v>3000</v>
      </c>
    </row>
    <row r="4019" spans="1:16" ht="20.100000000000001" customHeight="1" x14ac:dyDescent="0.25">
      <c r="A4019" s="918" t="s">
        <v>478</v>
      </c>
      <c r="B4019" s="944" t="s">
        <v>3901</v>
      </c>
      <c r="C4019" s="919" t="s">
        <v>3902</v>
      </c>
      <c r="D4019" s="919" t="s">
        <v>10993</v>
      </c>
      <c r="E4019" s="920">
        <v>3000</v>
      </c>
      <c r="F4019" s="919" t="s">
        <v>10996</v>
      </c>
      <c r="G4019" s="919" t="s">
        <v>10997</v>
      </c>
      <c r="H4019" s="919" t="s">
        <v>10993</v>
      </c>
      <c r="I4019" s="919" t="s">
        <v>3679</v>
      </c>
      <c r="J4019" s="919"/>
      <c r="K4019" s="920"/>
      <c r="L4019" s="920"/>
      <c r="M4019" s="920">
        <f t="shared" si="124"/>
        <v>0</v>
      </c>
      <c r="N4019" s="919">
        <v>1</v>
      </c>
      <c r="O4019" s="919">
        <v>4</v>
      </c>
      <c r="P4019" s="921">
        <f t="shared" si="125"/>
        <v>12000</v>
      </c>
    </row>
    <row r="4020" spans="1:16" ht="20.100000000000001" customHeight="1" x14ac:dyDescent="0.25">
      <c r="A4020" s="918" t="s">
        <v>478</v>
      </c>
      <c r="B4020" s="944" t="s">
        <v>3901</v>
      </c>
      <c r="C4020" s="919" t="s">
        <v>3902</v>
      </c>
      <c r="D4020" s="919" t="s">
        <v>10998</v>
      </c>
      <c r="E4020" s="920">
        <v>3700</v>
      </c>
      <c r="F4020" s="919" t="s">
        <v>10999</v>
      </c>
      <c r="G4020" s="919" t="s">
        <v>11000</v>
      </c>
      <c r="H4020" s="919" t="s">
        <v>10998</v>
      </c>
      <c r="I4020" s="919" t="s">
        <v>3679</v>
      </c>
      <c r="J4020" s="919"/>
      <c r="K4020" s="920"/>
      <c r="L4020" s="920"/>
      <c r="M4020" s="920">
        <f t="shared" si="124"/>
        <v>0</v>
      </c>
      <c r="N4020" s="919">
        <v>1</v>
      </c>
      <c r="O4020" s="919">
        <v>1</v>
      </c>
      <c r="P4020" s="921">
        <f t="shared" si="125"/>
        <v>3700</v>
      </c>
    </row>
    <row r="4021" spans="1:16" ht="20.100000000000001" customHeight="1" x14ac:dyDescent="0.25">
      <c r="A4021" s="918" t="s">
        <v>478</v>
      </c>
      <c r="B4021" s="944" t="s">
        <v>3901</v>
      </c>
      <c r="C4021" s="919" t="s">
        <v>3902</v>
      </c>
      <c r="D4021" s="919" t="s">
        <v>4840</v>
      </c>
      <c r="E4021" s="920">
        <v>3700</v>
      </c>
      <c r="F4021" s="919" t="s">
        <v>11001</v>
      </c>
      <c r="G4021" s="919" t="s">
        <v>11002</v>
      </c>
      <c r="H4021" s="919" t="s">
        <v>4840</v>
      </c>
      <c r="I4021" s="919" t="s">
        <v>3679</v>
      </c>
      <c r="J4021" s="919"/>
      <c r="K4021" s="920"/>
      <c r="L4021" s="920"/>
      <c r="M4021" s="920">
        <f t="shared" si="124"/>
        <v>0</v>
      </c>
      <c r="N4021" s="919">
        <v>1</v>
      </c>
      <c r="O4021" s="919">
        <v>4</v>
      </c>
      <c r="P4021" s="921">
        <f t="shared" si="125"/>
        <v>14800</v>
      </c>
    </row>
    <row r="4022" spans="1:16" ht="20.100000000000001" customHeight="1" x14ac:dyDescent="0.25">
      <c r="A4022" s="918" t="s">
        <v>478</v>
      </c>
      <c r="B4022" s="944" t="s">
        <v>3901</v>
      </c>
      <c r="C4022" s="919" t="s">
        <v>3902</v>
      </c>
      <c r="D4022" s="919" t="s">
        <v>4840</v>
      </c>
      <c r="E4022" s="920">
        <v>3700</v>
      </c>
      <c r="F4022" s="919" t="s">
        <v>11003</v>
      </c>
      <c r="G4022" s="919" t="s">
        <v>11004</v>
      </c>
      <c r="H4022" s="919" t="s">
        <v>4840</v>
      </c>
      <c r="I4022" s="919" t="s">
        <v>3679</v>
      </c>
      <c r="J4022" s="919"/>
      <c r="K4022" s="920"/>
      <c r="L4022" s="920"/>
      <c r="M4022" s="920">
        <f t="shared" si="124"/>
        <v>0</v>
      </c>
      <c r="N4022" s="919">
        <v>1</v>
      </c>
      <c r="O4022" s="919">
        <v>4</v>
      </c>
      <c r="P4022" s="921">
        <f t="shared" si="125"/>
        <v>14800</v>
      </c>
    </row>
    <row r="4023" spans="1:16" ht="20.100000000000001" customHeight="1" x14ac:dyDescent="0.25">
      <c r="A4023" s="918" t="s">
        <v>478</v>
      </c>
      <c r="B4023" s="944" t="s">
        <v>3901</v>
      </c>
      <c r="C4023" s="919" t="s">
        <v>3902</v>
      </c>
      <c r="D4023" s="919" t="s">
        <v>4840</v>
      </c>
      <c r="E4023" s="920">
        <v>3700</v>
      </c>
      <c r="F4023" s="919" t="s">
        <v>4041</v>
      </c>
      <c r="G4023" s="919" t="s">
        <v>4042</v>
      </c>
      <c r="H4023" s="919" t="s">
        <v>4840</v>
      </c>
      <c r="I4023" s="919" t="s">
        <v>3679</v>
      </c>
      <c r="J4023" s="919"/>
      <c r="K4023" s="920">
        <v>1</v>
      </c>
      <c r="L4023" s="920">
        <v>12</v>
      </c>
      <c r="M4023" s="920">
        <f t="shared" si="124"/>
        <v>44400</v>
      </c>
      <c r="N4023" s="919"/>
      <c r="O4023" s="919"/>
      <c r="P4023" s="921">
        <f t="shared" si="125"/>
        <v>0</v>
      </c>
    </row>
    <row r="4024" spans="1:16" ht="20.100000000000001" customHeight="1" x14ac:dyDescent="0.25">
      <c r="A4024" s="918" t="s">
        <v>478</v>
      </c>
      <c r="B4024" s="944" t="s">
        <v>3901</v>
      </c>
      <c r="C4024" s="919" t="s">
        <v>3902</v>
      </c>
      <c r="D4024" s="919" t="s">
        <v>4840</v>
      </c>
      <c r="E4024" s="920">
        <v>3700</v>
      </c>
      <c r="F4024" s="919" t="s">
        <v>11005</v>
      </c>
      <c r="G4024" s="919" t="s">
        <v>11006</v>
      </c>
      <c r="H4024" s="919" t="s">
        <v>4840</v>
      </c>
      <c r="I4024" s="919" t="s">
        <v>3679</v>
      </c>
      <c r="J4024" s="919"/>
      <c r="K4024" s="920"/>
      <c r="L4024" s="920"/>
      <c r="M4024" s="920">
        <f t="shared" si="124"/>
        <v>0</v>
      </c>
      <c r="N4024" s="919">
        <v>1</v>
      </c>
      <c r="O4024" s="919">
        <v>4</v>
      </c>
      <c r="P4024" s="921">
        <f t="shared" si="125"/>
        <v>14800</v>
      </c>
    </row>
    <row r="4025" spans="1:16" ht="20.100000000000001" customHeight="1" x14ac:dyDescent="0.25">
      <c r="A4025" s="918" t="s">
        <v>478</v>
      </c>
      <c r="B4025" s="944" t="s">
        <v>3901</v>
      </c>
      <c r="C4025" s="919" t="s">
        <v>3902</v>
      </c>
      <c r="D4025" s="919" t="s">
        <v>4840</v>
      </c>
      <c r="E4025" s="920">
        <v>3700</v>
      </c>
      <c r="F4025" s="919" t="s">
        <v>11007</v>
      </c>
      <c r="G4025" s="919" t="s">
        <v>11008</v>
      </c>
      <c r="H4025" s="919" t="s">
        <v>4840</v>
      </c>
      <c r="I4025" s="919" t="s">
        <v>3679</v>
      </c>
      <c r="J4025" s="919"/>
      <c r="K4025" s="920"/>
      <c r="L4025" s="920"/>
      <c r="M4025" s="920">
        <f t="shared" si="124"/>
        <v>0</v>
      </c>
      <c r="N4025" s="919">
        <v>1</v>
      </c>
      <c r="O4025" s="919">
        <v>1</v>
      </c>
      <c r="P4025" s="921">
        <f t="shared" si="125"/>
        <v>3700</v>
      </c>
    </row>
    <row r="4026" spans="1:16" ht="20.100000000000001" customHeight="1" x14ac:dyDescent="0.25">
      <c r="A4026" s="918" t="s">
        <v>478</v>
      </c>
      <c r="B4026" s="944" t="s">
        <v>3901</v>
      </c>
      <c r="C4026" s="919" t="s">
        <v>3902</v>
      </c>
      <c r="D4026" s="919" t="s">
        <v>4840</v>
      </c>
      <c r="E4026" s="920">
        <v>3700</v>
      </c>
      <c r="F4026" s="919" t="s">
        <v>11009</v>
      </c>
      <c r="G4026" s="919" t="s">
        <v>11010</v>
      </c>
      <c r="H4026" s="919" t="s">
        <v>4840</v>
      </c>
      <c r="I4026" s="919" t="s">
        <v>3679</v>
      </c>
      <c r="J4026" s="919"/>
      <c r="K4026" s="920"/>
      <c r="L4026" s="920"/>
      <c r="M4026" s="920">
        <f t="shared" si="124"/>
        <v>0</v>
      </c>
      <c r="N4026" s="919">
        <v>1</v>
      </c>
      <c r="O4026" s="919">
        <v>4</v>
      </c>
      <c r="P4026" s="921">
        <f t="shared" si="125"/>
        <v>14800</v>
      </c>
    </row>
    <row r="4027" spans="1:16" ht="20.100000000000001" customHeight="1" x14ac:dyDescent="0.25">
      <c r="A4027" s="918" t="s">
        <v>478</v>
      </c>
      <c r="B4027" s="944" t="s">
        <v>3901</v>
      </c>
      <c r="C4027" s="919" t="s">
        <v>3902</v>
      </c>
      <c r="D4027" s="919" t="s">
        <v>4840</v>
      </c>
      <c r="E4027" s="920">
        <v>3700</v>
      </c>
      <c r="F4027" s="919" t="s">
        <v>11011</v>
      </c>
      <c r="G4027" s="919" t="s">
        <v>11012</v>
      </c>
      <c r="H4027" s="919" t="s">
        <v>4840</v>
      </c>
      <c r="I4027" s="919" t="s">
        <v>3679</v>
      </c>
      <c r="J4027" s="919"/>
      <c r="K4027" s="920"/>
      <c r="L4027" s="920"/>
      <c r="M4027" s="920">
        <f t="shared" si="124"/>
        <v>0</v>
      </c>
      <c r="N4027" s="919">
        <v>1</v>
      </c>
      <c r="O4027" s="919">
        <v>1</v>
      </c>
      <c r="P4027" s="921">
        <f t="shared" si="125"/>
        <v>3700</v>
      </c>
    </row>
    <row r="4028" spans="1:16" ht="20.100000000000001" customHeight="1" x14ac:dyDescent="0.25">
      <c r="A4028" s="918" t="s">
        <v>478</v>
      </c>
      <c r="B4028" s="944" t="s">
        <v>3901</v>
      </c>
      <c r="C4028" s="919" t="s">
        <v>3902</v>
      </c>
      <c r="D4028" s="919" t="s">
        <v>4840</v>
      </c>
      <c r="E4028" s="920">
        <v>3700</v>
      </c>
      <c r="F4028" s="919" t="s">
        <v>11013</v>
      </c>
      <c r="G4028" s="919" t="s">
        <v>11014</v>
      </c>
      <c r="H4028" s="919" t="s">
        <v>4840</v>
      </c>
      <c r="I4028" s="919" t="s">
        <v>3679</v>
      </c>
      <c r="J4028" s="919"/>
      <c r="K4028" s="920"/>
      <c r="L4028" s="920"/>
      <c r="M4028" s="920">
        <f t="shared" si="124"/>
        <v>0</v>
      </c>
      <c r="N4028" s="919">
        <v>1</v>
      </c>
      <c r="O4028" s="919">
        <v>4</v>
      </c>
      <c r="P4028" s="921">
        <f t="shared" si="125"/>
        <v>14800</v>
      </c>
    </row>
    <row r="4029" spans="1:16" ht="20.100000000000001" customHeight="1" x14ac:dyDescent="0.25">
      <c r="A4029" s="918" t="s">
        <v>478</v>
      </c>
      <c r="B4029" s="944" t="s">
        <v>3901</v>
      </c>
      <c r="C4029" s="919" t="s">
        <v>3902</v>
      </c>
      <c r="D4029" s="919" t="s">
        <v>4840</v>
      </c>
      <c r="E4029" s="920">
        <v>3700</v>
      </c>
      <c r="F4029" s="919" t="s">
        <v>11015</v>
      </c>
      <c r="G4029" s="919" t="s">
        <v>11016</v>
      </c>
      <c r="H4029" s="919" t="s">
        <v>4840</v>
      </c>
      <c r="I4029" s="919" t="s">
        <v>3679</v>
      </c>
      <c r="J4029" s="919"/>
      <c r="K4029" s="920"/>
      <c r="L4029" s="920"/>
      <c r="M4029" s="920">
        <f t="shared" si="124"/>
        <v>0</v>
      </c>
      <c r="N4029" s="919">
        <v>1</v>
      </c>
      <c r="O4029" s="919">
        <v>4</v>
      </c>
      <c r="P4029" s="921">
        <f t="shared" si="125"/>
        <v>14800</v>
      </c>
    </row>
    <row r="4030" spans="1:16" ht="20.100000000000001" customHeight="1" x14ac:dyDescent="0.25">
      <c r="A4030" s="918" t="s">
        <v>478</v>
      </c>
      <c r="B4030" s="944" t="s">
        <v>3901</v>
      </c>
      <c r="C4030" s="919" t="s">
        <v>3902</v>
      </c>
      <c r="D4030" s="919" t="s">
        <v>4840</v>
      </c>
      <c r="E4030" s="920">
        <v>3700</v>
      </c>
      <c r="F4030" s="919" t="s">
        <v>11017</v>
      </c>
      <c r="G4030" s="919" t="s">
        <v>11018</v>
      </c>
      <c r="H4030" s="919" t="s">
        <v>4840</v>
      </c>
      <c r="I4030" s="919" t="s">
        <v>3679</v>
      </c>
      <c r="J4030" s="919"/>
      <c r="K4030" s="920"/>
      <c r="L4030" s="920"/>
      <c r="M4030" s="920">
        <f t="shared" si="124"/>
        <v>0</v>
      </c>
      <c r="N4030" s="919">
        <v>1</v>
      </c>
      <c r="O4030" s="919">
        <v>4</v>
      </c>
      <c r="P4030" s="921">
        <f t="shared" si="125"/>
        <v>14800</v>
      </c>
    </row>
    <row r="4031" spans="1:16" ht="20.100000000000001" customHeight="1" x14ac:dyDescent="0.25">
      <c r="A4031" s="918" t="s">
        <v>478</v>
      </c>
      <c r="B4031" s="944" t="s">
        <v>3901</v>
      </c>
      <c r="C4031" s="919" t="s">
        <v>3902</v>
      </c>
      <c r="D4031" s="919" t="s">
        <v>4840</v>
      </c>
      <c r="E4031" s="920">
        <v>3700</v>
      </c>
      <c r="F4031" s="919" t="s">
        <v>11019</v>
      </c>
      <c r="G4031" s="919" t="s">
        <v>11020</v>
      </c>
      <c r="H4031" s="919" t="s">
        <v>4840</v>
      </c>
      <c r="I4031" s="919" t="s">
        <v>3679</v>
      </c>
      <c r="J4031" s="919"/>
      <c r="K4031" s="920"/>
      <c r="L4031" s="920"/>
      <c r="M4031" s="920">
        <f t="shared" si="124"/>
        <v>0</v>
      </c>
      <c r="N4031" s="919">
        <v>1</v>
      </c>
      <c r="O4031" s="919">
        <v>4</v>
      </c>
      <c r="P4031" s="921">
        <f t="shared" si="125"/>
        <v>14800</v>
      </c>
    </row>
    <row r="4032" spans="1:16" ht="20.100000000000001" customHeight="1" x14ac:dyDescent="0.25">
      <c r="A4032" s="918" t="s">
        <v>478</v>
      </c>
      <c r="B4032" s="944" t="s">
        <v>3901</v>
      </c>
      <c r="C4032" s="919" t="s">
        <v>3902</v>
      </c>
      <c r="D4032" s="919" t="s">
        <v>4840</v>
      </c>
      <c r="E4032" s="920">
        <v>3700</v>
      </c>
      <c r="F4032" s="919" t="s">
        <v>11021</v>
      </c>
      <c r="G4032" s="919" t="s">
        <v>11022</v>
      </c>
      <c r="H4032" s="919" t="s">
        <v>4840</v>
      </c>
      <c r="I4032" s="919" t="s">
        <v>3679</v>
      </c>
      <c r="J4032" s="919"/>
      <c r="K4032" s="920"/>
      <c r="L4032" s="920"/>
      <c r="M4032" s="920">
        <f t="shared" si="124"/>
        <v>0</v>
      </c>
      <c r="N4032" s="919">
        <v>1</v>
      </c>
      <c r="O4032" s="919">
        <v>4</v>
      </c>
      <c r="P4032" s="921">
        <f t="shared" si="125"/>
        <v>14800</v>
      </c>
    </row>
    <row r="4033" spans="1:16" ht="20.100000000000001" customHeight="1" x14ac:dyDescent="0.25">
      <c r="A4033" s="918" t="s">
        <v>478</v>
      </c>
      <c r="B4033" s="944" t="s">
        <v>3901</v>
      </c>
      <c r="C4033" s="919" t="s">
        <v>3902</v>
      </c>
      <c r="D4033" s="919" t="s">
        <v>4840</v>
      </c>
      <c r="E4033" s="920">
        <v>3700</v>
      </c>
      <c r="F4033" s="919" t="s">
        <v>11023</v>
      </c>
      <c r="G4033" s="919" t="s">
        <v>11024</v>
      </c>
      <c r="H4033" s="919" t="s">
        <v>4840</v>
      </c>
      <c r="I4033" s="919" t="s">
        <v>3679</v>
      </c>
      <c r="J4033" s="919"/>
      <c r="K4033" s="920"/>
      <c r="L4033" s="920"/>
      <c r="M4033" s="920">
        <f t="shared" si="124"/>
        <v>0</v>
      </c>
      <c r="N4033" s="919">
        <v>1</v>
      </c>
      <c r="O4033" s="919">
        <v>4</v>
      </c>
      <c r="P4033" s="921">
        <f t="shared" si="125"/>
        <v>14800</v>
      </c>
    </row>
    <row r="4034" spans="1:16" ht="20.100000000000001" customHeight="1" x14ac:dyDescent="0.25">
      <c r="A4034" s="918" t="s">
        <v>478</v>
      </c>
      <c r="B4034" s="944" t="s">
        <v>3901</v>
      </c>
      <c r="C4034" s="919" t="s">
        <v>3902</v>
      </c>
      <c r="D4034" s="919" t="s">
        <v>4840</v>
      </c>
      <c r="E4034" s="920">
        <v>3700</v>
      </c>
      <c r="F4034" s="919" t="s">
        <v>11025</v>
      </c>
      <c r="G4034" s="919" t="s">
        <v>11026</v>
      </c>
      <c r="H4034" s="919" t="s">
        <v>4840</v>
      </c>
      <c r="I4034" s="919" t="s">
        <v>3679</v>
      </c>
      <c r="J4034" s="919"/>
      <c r="K4034" s="920"/>
      <c r="L4034" s="920"/>
      <c r="M4034" s="920">
        <f t="shared" si="124"/>
        <v>0</v>
      </c>
      <c r="N4034" s="919">
        <v>1</v>
      </c>
      <c r="O4034" s="919">
        <v>1</v>
      </c>
      <c r="P4034" s="921">
        <f t="shared" si="125"/>
        <v>3700</v>
      </c>
    </row>
    <row r="4035" spans="1:16" ht="20.100000000000001" customHeight="1" x14ac:dyDescent="0.25">
      <c r="A4035" s="918" t="s">
        <v>478</v>
      </c>
      <c r="B4035" s="944" t="s">
        <v>3901</v>
      </c>
      <c r="C4035" s="919" t="s">
        <v>3902</v>
      </c>
      <c r="D4035" s="919" t="s">
        <v>4840</v>
      </c>
      <c r="E4035" s="920">
        <v>3700</v>
      </c>
      <c r="F4035" s="919" t="s">
        <v>11027</v>
      </c>
      <c r="G4035" s="919" t="s">
        <v>11028</v>
      </c>
      <c r="H4035" s="919" t="s">
        <v>4840</v>
      </c>
      <c r="I4035" s="919" t="s">
        <v>3679</v>
      </c>
      <c r="J4035" s="919"/>
      <c r="K4035" s="920"/>
      <c r="L4035" s="920"/>
      <c r="M4035" s="920">
        <f t="shared" si="124"/>
        <v>0</v>
      </c>
      <c r="N4035" s="919">
        <v>1</v>
      </c>
      <c r="O4035" s="919">
        <v>4</v>
      </c>
      <c r="P4035" s="921">
        <f t="shared" si="125"/>
        <v>14800</v>
      </c>
    </row>
    <row r="4036" spans="1:16" ht="20.100000000000001" customHeight="1" x14ac:dyDescent="0.25">
      <c r="A4036" s="918" t="s">
        <v>478</v>
      </c>
      <c r="B4036" s="944" t="s">
        <v>3901</v>
      </c>
      <c r="C4036" s="919" t="s">
        <v>3902</v>
      </c>
      <c r="D4036" s="919" t="s">
        <v>4840</v>
      </c>
      <c r="E4036" s="920">
        <v>3700</v>
      </c>
      <c r="F4036" s="919" t="s">
        <v>11029</v>
      </c>
      <c r="G4036" s="919" t="s">
        <v>11030</v>
      </c>
      <c r="H4036" s="919" t="s">
        <v>4840</v>
      </c>
      <c r="I4036" s="919" t="s">
        <v>3679</v>
      </c>
      <c r="J4036" s="919"/>
      <c r="K4036" s="920"/>
      <c r="L4036" s="920"/>
      <c r="M4036" s="920">
        <f t="shared" si="124"/>
        <v>0</v>
      </c>
      <c r="N4036" s="919">
        <v>1</v>
      </c>
      <c r="O4036" s="919">
        <v>4</v>
      </c>
      <c r="P4036" s="921">
        <f t="shared" si="125"/>
        <v>14800</v>
      </c>
    </row>
    <row r="4037" spans="1:16" ht="20.100000000000001" customHeight="1" x14ac:dyDescent="0.25">
      <c r="A4037" s="918" t="s">
        <v>478</v>
      </c>
      <c r="B4037" s="944" t="s">
        <v>3901</v>
      </c>
      <c r="C4037" s="919" t="s">
        <v>3902</v>
      </c>
      <c r="D4037" s="919" t="s">
        <v>4840</v>
      </c>
      <c r="E4037" s="920">
        <v>3700</v>
      </c>
      <c r="F4037" s="919" t="s">
        <v>4041</v>
      </c>
      <c r="G4037" s="919" t="s">
        <v>4042</v>
      </c>
      <c r="H4037" s="919" t="s">
        <v>4840</v>
      </c>
      <c r="I4037" s="919" t="s">
        <v>3679</v>
      </c>
      <c r="J4037" s="919"/>
      <c r="K4037" s="920">
        <v>1</v>
      </c>
      <c r="L4037" s="920">
        <v>12</v>
      </c>
      <c r="M4037" s="920">
        <f t="shared" si="124"/>
        <v>44400</v>
      </c>
      <c r="N4037" s="919"/>
      <c r="O4037" s="919"/>
      <c r="P4037" s="921">
        <f t="shared" si="125"/>
        <v>0</v>
      </c>
    </row>
    <row r="4038" spans="1:16" ht="20.100000000000001" customHeight="1" x14ac:dyDescent="0.25">
      <c r="A4038" s="918" t="s">
        <v>478</v>
      </c>
      <c r="B4038" s="944" t="s">
        <v>3901</v>
      </c>
      <c r="C4038" s="919" t="s">
        <v>3902</v>
      </c>
      <c r="D4038" s="919" t="s">
        <v>4840</v>
      </c>
      <c r="E4038" s="920">
        <v>3700</v>
      </c>
      <c r="F4038" s="919" t="s">
        <v>11031</v>
      </c>
      <c r="G4038" s="919" t="s">
        <v>11032</v>
      </c>
      <c r="H4038" s="919" t="s">
        <v>4840</v>
      </c>
      <c r="I4038" s="919" t="s">
        <v>3679</v>
      </c>
      <c r="J4038" s="919"/>
      <c r="K4038" s="920"/>
      <c r="L4038" s="920"/>
      <c r="M4038" s="920">
        <f t="shared" ref="M4038:M4101" si="126">E4038*L4038</f>
        <v>0</v>
      </c>
      <c r="N4038" s="919">
        <v>1</v>
      </c>
      <c r="O4038" s="919">
        <v>4</v>
      </c>
      <c r="P4038" s="921">
        <f t="shared" ref="P4038:P4101" si="127">E4038*O4038</f>
        <v>14800</v>
      </c>
    </row>
    <row r="4039" spans="1:16" ht="20.100000000000001" customHeight="1" x14ac:dyDescent="0.25">
      <c r="A4039" s="918" t="s">
        <v>478</v>
      </c>
      <c r="B4039" s="944" t="s">
        <v>3901</v>
      </c>
      <c r="C4039" s="919" t="s">
        <v>3902</v>
      </c>
      <c r="D4039" s="919" t="s">
        <v>4840</v>
      </c>
      <c r="E4039" s="920">
        <v>3700</v>
      </c>
      <c r="F4039" s="919" t="s">
        <v>11033</v>
      </c>
      <c r="G4039" s="919" t="s">
        <v>11034</v>
      </c>
      <c r="H4039" s="919" t="s">
        <v>4840</v>
      </c>
      <c r="I4039" s="919" t="s">
        <v>3679</v>
      </c>
      <c r="J4039" s="919"/>
      <c r="K4039" s="920"/>
      <c r="L4039" s="920"/>
      <c r="M4039" s="920">
        <f t="shared" si="126"/>
        <v>0</v>
      </c>
      <c r="N4039" s="919">
        <v>1</v>
      </c>
      <c r="O4039" s="919">
        <v>4</v>
      </c>
      <c r="P4039" s="921">
        <f t="shared" si="127"/>
        <v>14800</v>
      </c>
    </row>
    <row r="4040" spans="1:16" ht="20.100000000000001" customHeight="1" x14ac:dyDescent="0.25">
      <c r="A4040" s="918" t="s">
        <v>478</v>
      </c>
      <c r="B4040" s="944" t="s">
        <v>3901</v>
      </c>
      <c r="C4040" s="919" t="s">
        <v>3902</v>
      </c>
      <c r="D4040" s="919" t="s">
        <v>4840</v>
      </c>
      <c r="E4040" s="920">
        <v>3700</v>
      </c>
      <c r="F4040" s="919" t="s">
        <v>11035</v>
      </c>
      <c r="G4040" s="919" t="s">
        <v>11036</v>
      </c>
      <c r="H4040" s="919" t="s">
        <v>4840</v>
      </c>
      <c r="I4040" s="919" t="s">
        <v>3679</v>
      </c>
      <c r="J4040" s="919"/>
      <c r="K4040" s="920"/>
      <c r="L4040" s="920"/>
      <c r="M4040" s="920">
        <f t="shared" si="126"/>
        <v>0</v>
      </c>
      <c r="N4040" s="919">
        <v>1</v>
      </c>
      <c r="O4040" s="919">
        <v>4</v>
      </c>
      <c r="P4040" s="921">
        <f t="shared" si="127"/>
        <v>14800</v>
      </c>
    </row>
    <row r="4041" spans="1:16" ht="20.100000000000001" customHeight="1" x14ac:dyDescent="0.25">
      <c r="A4041" s="918" t="s">
        <v>478</v>
      </c>
      <c r="B4041" s="944" t="s">
        <v>3901</v>
      </c>
      <c r="C4041" s="919" t="s">
        <v>3902</v>
      </c>
      <c r="D4041" s="919" t="s">
        <v>4840</v>
      </c>
      <c r="E4041" s="920">
        <v>3700</v>
      </c>
      <c r="F4041" s="919" t="s">
        <v>11037</v>
      </c>
      <c r="G4041" s="919" t="s">
        <v>11038</v>
      </c>
      <c r="H4041" s="919" t="s">
        <v>4840</v>
      </c>
      <c r="I4041" s="919" t="s">
        <v>3679</v>
      </c>
      <c r="J4041" s="919"/>
      <c r="K4041" s="920"/>
      <c r="L4041" s="920"/>
      <c r="M4041" s="920">
        <f t="shared" si="126"/>
        <v>0</v>
      </c>
      <c r="N4041" s="919">
        <v>1</v>
      </c>
      <c r="O4041" s="919">
        <v>4</v>
      </c>
      <c r="P4041" s="921">
        <f t="shared" si="127"/>
        <v>14800</v>
      </c>
    </row>
    <row r="4042" spans="1:16" ht="20.100000000000001" customHeight="1" x14ac:dyDescent="0.25">
      <c r="A4042" s="918" t="s">
        <v>478</v>
      </c>
      <c r="B4042" s="944" t="s">
        <v>3901</v>
      </c>
      <c r="C4042" s="919" t="s">
        <v>3902</v>
      </c>
      <c r="D4042" s="919" t="s">
        <v>4840</v>
      </c>
      <c r="E4042" s="920">
        <v>3700</v>
      </c>
      <c r="F4042" s="919" t="s">
        <v>11039</v>
      </c>
      <c r="G4042" s="919" t="s">
        <v>11040</v>
      </c>
      <c r="H4042" s="919" t="s">
        <v>4840</v>
      </c>
      <c r="I4042" s="919" t="s">
        <v>3679</v>
      </c>
      <c r="J4042" s="919"/>
      <c r="K4042" s="920"/>
      <c r="L4042" s="920"/>
      <c r="M4042" s="920">
        <f t="shared" si="126"/>
        <v>0</v>
      </c>
      <c r="N4042" s="919">
        <v>1</v>
      </c>
      <c r="O4042" s="919">
        <v>4</v>
      </c>
      <c r="P4042" s="921">
        <f t="shared" si="127"/>
        <v>14800</v>
      </c>
    </row>
    <row r="4043" spans="1:16" ht="20.100000000000001" customHeight="1" x14ac:dyDescent="0.25">
      <c r="A4043" s="918" t="s">
        <v>478</v>
      </c>
      <c r="B4043" s="944" t="s">
        <v>3901</v>
      </c>
      <c r="C4043" s="919" t="s">
        <v>3902</v>
      </c>
      <c r="D4043" s="919" t="s">
        <v>4840</v>
      </c>
      <c r="E4043" s="920">
        <v>3700</v>
      </c>
      <c r="F4043" s="919" t="s">
        <v>11041</v>
      </c>
      <c r="G4043" s="919" t="s">
        <v>11042</v>
      </c>
      <c r="H4043" s="919" t="s">
        <v>4840</v>
      </c>
      <c r="I4043" s="919" t="s">
        <v>3679</v>
      </c>
      <c r="J4043" s="919"/>
      <c r="K4043" s="920"/>
      <c r="L4043" s="920"/>
      <c r="M4043" s="920">
        <f t="shared" si="126"/>
        <v>0</v>
      </c>
      <c r="N4043" s="919">
        <v>1</v>
      </c>
      <c r="O4043" s="919">
        <v>4</v>
      </c>
      <c r="P4043" s="921">
        <f t="shared" si="127"/>
        <v>14800</v>
      </c>
    </row>
    <row r="4044" spans="1:16" ht="20.100000000000001" customHeight="1" x14ac:dyDescent="0.25">
      <c r="A4044" s="918" t="s">
        <v>478</v>
      </c>
      <c r="B4044" s="944" t="s">
        <v>3901</v>
      </c>
      <c r="C4044" s="919" t="s">
        <v>3902</v>
      </c>
      <c r="D4044" s="919" t="s">
        <v>4840</v>
      </c>
      <c r="E4044" s="920">
        <v>3700</v>
      </c>
      <c r="F4044" s="919" t="s">
        <v>11043</v>
      </c>
      <c r="G4044" s="919" t="s">
        <v>11044</v>
      </c>
      <c r="H4044" s="919" t="s">
        <v>4840</v>
      </c>
      <c r="I4044" s="919" t="s">
        <v>3679</v>
      </c>
      <c r="J4044" s="919"/>
      <c r="K4044" s="920"/>
      <c r="L4044" s="920"/>
      <c r="M4044" s="920">
        <f t="shared" si="126"/>
        <v>0</v>
      </c>
      <c r="N4044" s="919">
        <v>1</v>
      </c>
      <c r="O4044" s="919">
        <v>1</v>
      </c>
      <c r="P4044" s="921">
        <f t="shared" si="127"/>
        <v>3700</v>
      </c>
    </row>
    <row r="4045" spans="1:16" ht="20.100000000000001" customHeight="1" x14ac:dyDescent="0.25">
      <c r="A4045" s="918" t="s">
        <v>478</v>
      </c>
      <c r="B4045" s="944" t="s">
        <v>3901</v>
      </c>
      <c r="C4045" s="919" t="s">
        <v>3902</v>
      </c>
      <c r="D4045" s="919" t="s">
        <v>4840</v>
      </c>
      <c r="E4045" s="920">
        <v>3700</v>
      </c>
      <c r="F4045" s="919" t="s">
        <v>11045</v>
      </c>
      <c r="G4045" s="919" t="s">
        <v>11046</v>
      </c>
      <c r="H4045" s="919" t="s">
        <v>4840</v>
      </c>
      <c r="I4045" s="919" t="s">
        <v>3679</v>
      </c>
      <c r="J4045" s="919"/>
      <c r="K4045" s="920"/>
      <c r="L4045" s="920"/>
      <c r="M4045" s="920">
        <f t="shared" si="126"/>
        <v>0</v>
      </c>
      <c r="N4045" s="919">
        <v>1</v>
      </c>
      <c r="O4045" s="919">
        <v>4</v>
      </c>
      <c r="P4045" s="921">
        <f t="shared" si="127"/>
        <v>14800</v>
      </c>
    </row>
    <row r="4046" spans="1:16" ht="20.100000000000001" customHeight="1" x14ac:dyDescent="0.25">
      <c r="A4046" s="918" t="s">
        <v>478</v>
      </c>
      <c r="B4046" s="944" t="s">
        <v>3901</v>
      </c>
      <c r="C4046" s="919" t="s">
        <v>3902</v>
      </c>
      <c r="D4046" s="919" t="s">
        <v>4840</v>
      </c>
      <c r="E4046" s="920">
        <v>3700</v>
      </c>
      <c r="F4046" s="919" t="s">
        <v>11047</v>
      </c>
      <c r="G4046" s="919" t="s">
        <v>11048</v>
      </c>
      <c r="H4046" s="919" t="s">
        <v>4840</v>
      </c>
      <c r="I4046" s="919" t="s">
        <v>3679</v>
      </c>
      <c r="J4046" s="919"/>
      <c r="K4046" s="920"/>
      <c r="L4046" s="920"/>
      <c r="M4046" s="920">
        <f t="shared" si="126"/>
        <v>0</v>
      </c>
      <c r="N4046" s="919">
        <v>1</v>
      </c>
      <c r="O4046" s="919">
        <v>4</v>
      </c>
      <c r="P4046" s="921">
        <f t="shared" si="127"/>
        <v>14800</v>
      </c>
    </row>
    <row r="4047" spans="1:16" ht="20.100000000000001" customHeight="1" x14ac:dyDescent="0.25">
      <c r="A4047" s="918" t="s">
        <v>478</v>
      </c>
      <c r="B4047" s="944" t="s">
        <v>3901</v>
      </c>
      <c r="C4047" s="919" t="s">
        <v>3902</v>
      </c>
      <c r="D4047" s="919" t="s">
        <v>4840</v>
      </c>
      <c r="E4047" s="920">
        <v>3700</v>
      </c>
      <c r="F4047" s="919" t="s">
        <v>11049</v>
      </c>
      <c r="G4047" s="919" t="s">
        <v>11050</v>
      </c>
      <c r="H4047" s="919" t="s">
        <v>4840</v>
      </c>
      <c r="I4047" s="919" t="s">
        <v>3679</v>
      </c>
      <c r="J4047" s="919"/>
      <c r="K4047" s="920"/>
      <c r="L4047" s="920"/>
      <c r="M4047" s="920">
        <f t="shared" si="126"/>
        <v>0</v>
      </c>
      <c r="N4047" s="919">
        <v>1</v>
      </c>
      <c r="O4047" s="919">
        <v>4</v>
      </c>
      <c r="P4047" s="921">
        <f t="shared" si="127"/>
        <v>14800</v>
      </c>
    </row>
    <row r="4048" spans="1:16" ht="20.100000000000001" customHeight="1" x14ac:dyDescent="0.25">
      <c r="A4048" s="918" t="s">
        <v>478</v>
      </c>
      <c r="B4048" s="944" t="s">
        <v>3901</v>
      </c>
      <c r="C4048" s="919" t="s">
        <v>3902</v>
      </c>
      <c r="D4048" s="919" t="s">
        <v>4840</v>
      </c>
      <c r="E4048" s="920">
        <v>3700</v>
      </c>
      <c r="F4048" s="919" t="s">
        <v>11051</v>
      </c>
      <c r="G4048" s="919" t="s">
        <v>11052</v>
      </c>
      <c r="H4048" s="919" t="s">
        <v>4840</v>
      </c>
      <c r="I4048" s="919" t="s">
        <v>3679</v>
      </c>
      <c r="J4048" s="919"/>
      <c r="K4048" s="920"/>
      <c r="L4048" s="920"/>
      <c r="M4048" s="920">
        <f t="shared" si="126"/>
        <v>0</v>
      </c>
      <c r="N4048" s="919">
        <v>1</v>
      </c>
      <c r="O4048" s="919">
        <v>4</v>
      </c>
      <c r="P4048" s="921">
        <f t="shared" si="127"/>
        <v>14800</v>
      </c>
    </row>
    <row r="4049" spans="1:16" ht="20.100000000000001" customHeight="1" x14ac:dyDescent="0.25">
      <c r="A4049" s="918" t="s">
        <v>478</v>
      </c>
      <c r="B4049" s="944" t="s">
        <v>3901</v>
      </c>
      <c r="C4049" s="919" t="s">
        <v>3902</v>
      </c>
      <c r="D4049" s="919" t="s">
        <v>4851</v>
      </c>
      <c r="E4049" s="920">
        <v>3700</v>
      </c>
      <c r="F4049" s="919" t="s">
        <v>11053</v>
      </c>
      <c r="G4049" s="919" t="s">
        <v>11054</v>
      </c>
      <c r="H4049" s="919" t="s">
        <v>4851</v>
      </c>
      <c r="I4049" s="919" t="s">
        <v>3679</v>
      </c>
      <c r="J4049" s="919"/>
      <c r="K4049" s="920"/>
      <c r="L4049" s="920"/>
      <c r="M4049" s="920">
        <f t="shared" si="126"/>
        <v>0</v>
      </c>
      <c r="N4049" s="919">
        <v>1</v>
      </c>
      <c r="O4049" s="919">
        <v>1</v>
      </c>
      <c r="P4049" s="921">
        <f t="shared" si="127"/>
        <v>3700</v>
      </c>
    </row>
    <row r="4050" spans="1:16" ht="20.100000000000001" customHeight="1" x14ac:dyDescent="0.25">
      <c r="A4050" s="918" t="s">
        <v>478</v>
      </c>
      <c r="B4050" s="944" t="s">
        <v>3901</v>
      </c>
      <c r="C4050" s="919" t="s">
        <v>3902</v>
      </c>
      <c r="D4050" s="919" t="s">
        <v>4858</v>
      </c>
      <c r="E4050" s="920">
        <v>3700</v>
      </c>
      <c r="F4050" s="919" t="s">
        <v>11055</v>
      </c>
      <c r="G4050" s="919" t="s">
        <v>11056</v>
      </c>
      <c r="H4050" s="919" t="s">
        <v>4858</v>
      </c>
      <c r="I4050" s="919" t="s">
        <v>3679</v>
      </c>
      <c r="J4050" s="919"/>
      <c r="K4050" s="920"/>
      <c r="L4050" s="920"/>
      <c r="M4050" s="920">
        <f t="shared" si="126"/>
        <v>0</v>
      </c>
      <c r="N4050" s="919">
        <v>1</v>
      </c>
      <c r="O4050" s="919">
        <v>4</v>
      </c>
      <c r="P4050" s="921">
        <f t="shared" si="127"/>
        <v>14800</v>
      </c>
    </row>
    <row r="4051" spans="1:16" ht="20.100000000000001" customHeight="1" x14ac:dyDescent="0.25">
      <c r="A4051" s="918" t="s">
        <v>479</v>
      </c>
      <c r="B4051" s="944" t="s">
        <v>3901</v>
      </c>
      <c r="C4051" s="919" t="s">
        <v>3902</v>
      </c>
      <c r="D4051" s="919" t="s">
        <v>4128</v>
      </c>
      <c r="E4051" s="920">
        <v>2000</v>
      </c>
      <c r="F4051" s="919" t="s">
        <v>11057</v>
      </c>
      <c r="G4051" s="919" t="s">
        <v>11058</v>
      </c>
      <c r="H4051" s="919" t="s">
        <v>4128</v>
      </c>
      <c r="I4051" s="919" t="s">
        <v>3679</v>
      </c>
      <c r="J4051" s="919"/>
      <c r="K4051" s="920"/>
      <c r="L4051" s="920"/>
      <c r="M4051" s="920">
        <f t="shared" si="126"/>
        <v>0</v>
      </c>
      <c r="N4051" s="919">
        <v>1</v>
      </c>
      <c r="O4051" s="919">
        <v>1</v>
      </c>
      <c r="P4051" s="921">
        <f t="shared" si="127"/>
        <v>2000</v>
      </c>
    </row>
    <row r="4052" spans="1:16" ht="20.100000000000001" customHeight="1" x14ac:dyDescent="0.25">
      <c r="A4052" s="918" t="s">
        <v>479</v>
      </c>
      <c r="B4052" s="944" t="s">
        <v>3901</v>
      </c>
      <c r="C4052" s="919" t="s">
        <v>3902</v>
      </c>
      <c r="D4052" s="919" t="s">
        <v>4128</v>
      </c>
      <c r="E4052" s="920">
        <v>2000</v>
      </c>
      <c r="F4052" s="919" t="s">
        <v>11059</v>
      </c>
      <c r="G4052" s="919" t="s">
        <v>11060</v>
      </c>
      <c r="H4052" s="919" t="s">
        <v>4128</v>
      </c>
      <c r="I4052" s="919" t="s">
        <v>3679</v>
      </c>
      <c r="J4052" s="919"/>
      <c r="K4052" s="920">
        <v>1</v>
      </c>
      <c r="L4052" s="920">
        <v>12</v>
      </c>
      <c r="M4052" s="920">
        <f t="shared" si="126"/>
        <v>24000</v>
      </c>
      <c r="N4052" s="919"/>
      <c r="O4052" s="919"/>
      <c r="P4052" s="921">
        <f t="shared" si="127"/>
        <v>0</v>
      </c>
    </row>
    <row r="4053" spans="1:16" ht="20.100000000000001" customHeight="1" x14ac:dyDescent="0.25">
      <c r="A4053" s="918" t="s">
        <v>479</v>
      </c>
      <c r="B4053" s="944" t="s">
        <v>3901</v>
      </c>
      <c r="C4053" s="919" t="s">
        <v>3902</v>
      </c>
      <c r="D4053" s="919" t="s">
        <v>7826</v>
      </c>
      <c r="E4053" s="920">
        <v>2000</v>
      </c>
      <c r="F4053" s="919" t="s">
        <v>11061</v>
      </c>
      <c r="G4053" s="919" t="s">
        <v>11062</v>
      </c>
      <c r="H4053" s="919" t="s">
        <v>7826</v>
      </c>
      <c r="I4053" s="919" t="s">
        <v>3679</v>
      </c>
      <c r="J4053" s="919"/>
      <c r="K4053" s="920"/>
      <c r="L4053" s="920"/>
      <c r="M4053" s="920">
        <f t="shared" si="126"/>
        <v>0</v>
      </c>
      <c r="N4053" s="919">
        <v>1</v>
      </c>
      <c r="O4053" s="919">
        <v>1</v>
      </c>
      <c r="P4053" s="921">
        <f t="shared" si="127"/>
        <v>2000</v>
      </c>
    </row>
    <row r="4054" spans="1:16" ht="20.100000000000001" customHeight="1" x14ac:dyDescent="0.25">
      <c r="A4054" s="918" t="s">
        <v>479</v>
      </c>
      <c r="B4054" s="944" t="s">
        <v>3901</v>
      </c>
      <c r="C4054" s="919" t="s">
        <v>3902</v>
      </c>
      <c r="D4054" s="919" t="s">
        <v>4250</v>
      </c>
      <c r="E4054" s="920">
        <v>3500</v>
      </c>
      <c r="F4054" s="919" t="s">
        <v>11063</v>
      </c>
      <c r="G4054" s="919" t="s">
        <v>11064</v>
      </c>
      <c r="H4054" s="919" t="s">
        <v>4250</v>
      </c>
      <c r="I4054" s="919" t="s">
        <v>3679</v>
      </c>
      <c r="J4054" s="919"/>
      <c r="K4054" s="920"/>
      <c r="L4054" s="920"/>
      <c r="M4054" s="920">
        <f t="shared" si="126"/>
        <v>0</v>
      </c>
      <c r="N4054" s="919">
        <v>1</v>
      </c>
      <c r="O4054" s="919">
        <v>4</v>
      </c>
      <c r="P4054" s="921">
        <f t="shared" si="127"/>
        <v>14000</v>
      </c>
    </row>
    <row r="4055" spans="1:16" ht="20.100000000000001" customHeight="1" x14ac:dyDescent="0.25">
      <c r="A4055" s="918" t="s">
        <v>479</v>
      </c>
      <c r="B4055" s="944" t="s">
        <v>3901</v>
      </c>
      <c r="C4055" s="919" t="s">
        <v>3902</v>
      </c>
      <c r="D4055" s="919" t="s">
        <v>4492</v>
      </c>
      <c r="E4055" s="920">
        <v>2800</v>
      </c>
      <c r="F4055" s="919" t="s">
        <v>11065</v>
      </c>
      <c r="G4055" s="919" t="s">
        <v>11066</v>
      </c>
      <c r="H4055" s="919" t="s">
        <v>4492</v>
      </c>
      <c r="I4055" s="919" t="s">
        <v>3679</v>
      </c>
      <c r="J4055" s="919"/>
      <c r="K4055" s="920"/>
      <c r="L4055" s="920"/>
      <c r="M4055" s="920">
        <f t="shared" si="126"/>
        <v>0</v>
      </c>
      <c r="N4055" s="919">
        <v>1</v>
      </c>
      <c r="O4055" s="919">
        <v>1</v>
      </c>
      <c r="P4055" s="921">
        <f t="shared" si="127"/>
        <v>2800</v>
      </c>
    </row>
    <row r="4056" spans="1:16" ht="20.100000000000001" customHeight="1" x14ac:dyDescent="0.25">
      <c r="A4056" s="918" t="s">
        <v>479</v>
      </c>
      <c r="B4056" s="944" t="s">
        <v>3901</v>
      </c>
      <c r="C4056" s="919" t="s">
        <v>3902</v>
      </c>
      <c r="D4056" s="919" t="s">
        <v>4492</v>
      </c>
      <c r="E4056" s="920">
        <v>2800</v>
      </c>
      <c r="F4056" s="919" t="s">
        <v>11067</v>
      </c>
      <c r="G4056" s="919" t="s">
        <v>11068</v>
      </c>
      <c r="H4056" s="919" t="s">
        <v>4492</v>
      </c>
      <c r="I4056" s="919" t="s">
        <v>3679</v>
      </c>
      <c r="J4056" s="919"/>
      <c r="K4056" s="920"/>
      <c r="L4056" s="920"/>
      <c r="M4056" s="920">
        <f t="shared" si="126"/>
        <v>0</v>
      </c>
      <c r="N4056" s="919">
        <v>1</v>
      </c>
      <c r="O4056" s="919">
        <v>4</v>
      </c>
      <c r="P4056" s="921">
        <f t="shared" si="127"/>
        <v>11200</v>
      </c>
    </row>
    <row r="4057" spans="1:16" ht="20.100000000000001" customHeight="1" x14ac:dyDescent="0.25">
      <c r="A4057" s="918" t="s">
        <v>479</v>
      </c>
      <c r="B4057" s="944" t="s">
        <v>3901</v>
      </c>
      <c r="C4057" s="919" t="s">
        <v>3902</v>
      </c>
      <c r="D4057" s="919" t="s">
        <v>4492</v>
      </c>
      <c r="E4057" s="920">
        <v>2800</v>
      </c>
      <c r="F4057" s="919" t="s">
        <v>4041</v>
      </c>
      <c r="G4057" s="919" t="s">
        <v>4062</v>
      </c>
      <c r="H4057" s="919" t="s">
        <v>4492</v>
      </c>
      <c r="I4057" s="919" t="s">
        <v>3679</v>
      </c>
      <c r="J4057" s="919"/>
      <c r="K4057" s="920">
        <v>1</v>
      </c>
      <c r="L4057" s="920">
        <v>12</v>
      </c>
      <c r="M4057" s="920">
        <f t="shared" si="126"/>
        <v>33600</v>
      </c>
      <c r="N4057" s="919"/>
      <c r="O4057" s="919"/>
      <c r="P4057" s="921">
        <f t="shared" si="127"/>
        <v>0</v>
      </c>
    </row>
    <row r="4058" spans="1:16" ht="20.100000000000001" customHeight="1" x14ac:dyDescent="0.25">
      <c r="A4058" s="918" t="s">
        <v>479</v>
      </c>
      <c r="B4058" s="944" t="s">
        <v>3901</v>
      </c>
      <c r="C4058" s="919" t="s">
        <v>3902</v>
      </c>
      <c r="D4058" s="919" t="s">
        <v>5448</v>
      </c>
      <c r="E4058" s="920">
        <v>4500</v>
      </c>
      <c r="F4058" s="919" t="s">
        <v>11069</v>
      </c>
      <c r="G4058" s="919" t="s">
        <v>11070</v>
      </c>
      <c r="H4058" s="919" t="s">
        <v>5448</v>
      </c>
      <c r="I4058" s="919" t="s">
        <v>3679</v>
      </c>
      <c r="J4058" s="919"/>
      <c r="K4058" s="920"/>
      <c r="L4058" s="920"/>
      <c r="M4058" s="920">
        <f t="shared" si="126"/>
        <v>0</v>
      </c>
      <c r="N4058" s="919">
        <v>1</v>
      </c>
      <c r="O4058" s="919">
        <v>4</v>
      </c>
      <c r="P4058" s="921">
        <f t="shared" si="127"/>
        <v>18000</v>
      </c>
    </row>
    <row r="4059" spans="1:16" ht="20.100000000000001" customHeight="1" x14ac:dyDescent="0.25">
      <c r="A4059" s="918" t="s">
        <v>479</v>
      </c>
      <c r="B4059" s="944" t="s">
        <v>3901</v>
      </c>
      <c r="C4059" s="919" t="s">
        <v>3902</v>
      </c>
      <c r="D4059" s="919" t="s">
        <v>5448</v>
      </c>
      <c r="E4059" s="920">
        <v>4500</v>
      </c>
      <c r="F4059" s="919" t="s">
        <v>11071</v>
      </c>
      <c r="G4059" s="919" t="s">
        <v>11072</v>
      </c>
      <c r="H4059" s="919" t="s">
        <v>5448</v>
      </c>
      <c r="I4059" s="919" t="s">
        <v>3679</v>
      </c>
      <c r="J4059" s="919"/>
      <c r="K4059" s="920"/>
      <c r="L4059" s="920"/>
      <c r="M4059" s="920">
        <f t="shared" si="126"/>
        <v>0</v>
      </c>
      <c r="N4059" s="919">
        <v>1</v>
      </c>
      <c r="O4059" s="919">
        <v>4</v>
      </c>
      <c r="P4059" s="921">
        <f t="shared" si="127"/>
        <v>18000</v>
      </c>
    </row>
    <row r="4060" spans="1:16" ht="20.100000000000001" customHeight="1" x14ac:dyDescent="0.25">
      <c r="A4060" s="918" t="s">
        <v>479</v>
      </c>
      <c r="B4060" s="944" t="s">
        <v>3901</v>
      </c>
      <c r="C4060" s="919" t="s">
        <v>3902</v>
      </c>
      <c r="D4060" s="919" t="s">
        <v>5448</v>
      </c>
      <c r="E4060" s="920">
        <v>4500</v>
      </c>
      <c r="F4060" s="919" t="s">
        <v>11073</v>
      </c>
      <c r="G4060" s="919" t="s">
        <v>11074</v>
      </c>
      <c r="H4060" s="919" t="s">
        <v>5448</v>
      </c>
      <c r="I4060" s="919" t="s">
        <v>3679</v>
      </c>
      <c r="J4060" s="919"/>
      <c r="K4060" s="920"/>
      <c r="L4060" s="920"/>
      <c r="M4060" s="920">
        <f t="shared" si="126"/>
        <v>0</v>
      </c>
      <c r="N4060" s="919">
        <v>1</v>
      </c>
      <c r="O4060" s="919">
        <v>4</v>
      </c>
      <c r="P4060" s="921">
        <f t="shared" si="127"/>
        <v>18000</v>
      </c>
    </row>
    <row r="4061" spans="1:16" ht="20.100000000000001" customHeight="1" x14ac:dyDescent="0.25">
      <c r="A4061" s="918" t="s">
        <v>479</v>
      </c>
      <c r="B4061" s="944" t="s">
        <v>3901</v>
      </c>
      <c r="C4061" s="919" t="s">
        <v>3902</v>
      </c>
      <c r="D4061" s="919" t="s">
        <v>4774</v>
      </c>
      <c r="E4061" s="920">
        <v>2000</v>
      </c>
      <c r="F4061" s="919" t="s">
        <v>11075</v>
      </c>
      <c r="G4061" s="919" t="s">
        <v>11076</v>
      </c>
      <c r="H4061" s="919" t="s">
        <v>4774</v>
      </c>
      <c r="I4061" s="919" t="s">
        <v>3679</v>
      </c>
      <c r="J4061" s="919"/>
      <c r="K4061" s="920"/>
      <c r="L4061" s="920"/>
      <c r="M4061" s="920">
        <f t="shared" si="126"/>
        <v>0</v>
      </c>
      <c r="N4061" s="919">
        <v>1</v>
      </c>
      <c r="O4061" s="919">
        <v>4</v>
      </c>
      <c r="P4061" s="921">
        <f t="shared" si="127"/>
        <v>8000</v>
      </c>
    </row>
    <row r="4062" spans="1:16" ht="20.100000000000001" customHeight="1" x14ac:dyDescent="0.25">
      <c r="A4062" s="918" t="s">
        <v>479</v>
      </c>
      <c r="B4062" s="944" t="s">
        <v>3901</v>
      </c>
      <c r="C4062" s="919" t="s">
        <v>3902</v>
      </c>
      <c r="D4062" s="919" t="s">
        <v>4774</v>
      </c>
      <c r="E4062" s="920">
        <v>2000</v>
      </c>
      <c r="F4062" s="919" t="s">
        <v>11077</v>
      </c>
      <c r="G4062" s="919" t="s">
        <v>11078</v>
      </c>
      <c r="H4062" s="919" t="s">
        <v>4774</v>
      </c>
      <c r="I4062" s="919" t="s">
        <v>3679</v>
      </c>
      <c r="J4062" s="919"/>
      <c r="K4062" s="920"/>
      <c r="L4062" s="920"/>
      <c r="M4062" s="920">
        <f t="shared" si="126"/>
        <v>0</v>
      </c>
      <c r="N4062" s="919">
        <v>1</v>
      </c>
      <c r="O4062" s="919">
        <v>4</v>
      </c>
      <c r="P4062" s="921">
        <f t="shared" si="127"/>
        <v>8000</v>
      </c>
    </row>
    <row r="4063" spans="1:16" ht="20.100000000000001" customHeight="1" x14ac:dyDescent="0.25">
      <c r="A4063" s="918" t="s">
        <v>479</v>
      </c>
      <c r="B4063" s="944" t="s">
        <v>3901</v>
      </c>
      <c r="C4063" s="919" t="s">
        <v>3902</v>
      </c>
      <c r="D4063" s="919" t="s">
        <v>4774</v>
      </c>
      <c r="E4063" s="920">
        <v>2000</v>
      </c>
      <c r="F4063" s="919" t="s">
        <v>11079</v>
      </c>
      <c r="G4063" s="919" t="s">
        <v>11080</v>
      </c>
      <c r="H4063" s="919" t="s">
        <v>4774</v>
      </c>
      <c r="I4063" s="919" t="s">
        <v>3679</v>
      </c>
      <c r="J4063" s="919"/>
      <c r="K4063" s="920"/>
      <c r="L4063" s="920"/>
      <c r="M4063" s="920">
        <f t="shared" si="126"/>
        <v>0</v>
      </c>
      <c r="N4063" s="919">
        <v>1</v>
      </c>
      <c r="O4063" s="919">
        <v>4</v>
      </c>
      <c r="P4063" s="921">
        <f t="shared" si="127"/>
        <v>8000</v>
      </c>
    </row>
    <row r="4064" spans="1:16" ht="20.100000000000001" customHeight="1" x14ac:dyDescent="0.25">
      <c r="A4064" s="918" t="s">
        <v>479</v>
      </c>
      <c r="B4064" s="944" t="s">
        <v>3901</v>
      </c>
      <c r="C4064" s="919" t="s">
        <v>3902</v>
      </c>
      <c r="D4064" s="919" t="s">
        <v>4502</v>
      </c>
      <c r="E4064" s="920">
        <v>1150</v>
      </c>
      <c r="F4064" s="919" t="s">
        <v>11081</v>
      </c>
      <c r="G4064" s="919" t="s">
        <v>11082</v>
      </c>
      <c r="H4064" s="919" t="s">
        <v>4502</v>
      </c>
      <c r="I4064" s="919" t="s">
        <v>3686</v>
      </c>
      <c r="J4064" s="919"/>
      <c r="K4064" s="920"/>
      <c r="L4064" s="920"/>
      <c r="M4064" s="920">
        <f t="shared" si="126"/>
        <v>0</v>
      </c>
      <c r="N4064" s="919">
        <v>1</v>
      </c>
      <c r="O4064" s="919">
        <v>4</v>
      </c>
      <c r="P4064" s="921">
        <f t="shared" si="127"/>
        <v>4600</v>
      </c>
    </row>
    <row r="4065" spans="1:16" ht="20.100000000000001" customHeight="1" x14ac:dyDescent="0.25">
      <c r="A4065" s="918" t="s">
        <v>479</v>
      </c>
      <c r="B4065" s="944" t="s">
        <v>3901</v>
      </c>
      <c r="C4065" s="919" t="s">
        <v>3902</v>
      </c>
      <c r="D4065" s="919" t="s">
        <v>4502</v>
      </c>
      <c r="E4065" s="920">
        <v>1150</v>
      </c>
      <c r="F4065" s="919" t="s">
        <v>11083</v>
      </c>
      <c r="G4065" s="919" t="s">
        <v>11084</v>
      </c>
      <c r="H4065" s="919" t="s">
        <v>4502</v>
      </c>
      <c r="I4065" s="919" t="s">
        <v>3686</v>
      </c>
      <c r="J4065" s="919"/>
      <c r="K4065" s="920"/>
      <c r="L4065" s="920"/>
      <c r="M4065" s="920">
        <f t="shared" si="126"/>
        <v>0</v>
      </c>
      <c r="N4065" s="919">
        <v>1</v>
      </c>
      <c r="O4065" s="919">
        <v>4</v>
      </c>
      <c r="P4065" s="921">
        <f t="shared" si="127"/>
        <v>4600</v>
      </c>
    </row>
    <row r="4066" spans="1:16" ht="20.100000000000001" customHeight="1" x14ac:dyDescent="0.25">
      <c r="A4066" s="918" t="s">
        <v>479</v>
      </c>
      <c r="B4066" s="944" t="s">
        <v>3901</v>
      </c>
      <c r="C4066" s="919" t="s">
        <v>3902</v>
      </c>
      <c r="D4066" s="919" t="s">
        <v>4502</v>
      </c>
      <c r="E4066" s="920">
        <v>1150</v>
      </c>
      <c r="F4066" s="919" t="s">
        <v>11085</v>
      </c>
      <c r="G4066" s="919" t="s">
        <v>11086</v>
      </c>
      <c r="H4066" s="919" t="s">
        <v>4502</v>
      </c>
      <c r="I4066" s="919" t="s">
        <v>3686</v>
      </c>
      <c r="J4066" s="919"/>
      <c r="K4066" s="920"/>
      <c r="L4066" s="920"/>
      <c r="M4066" s="920">
        <f t="shared" si="126"/>
        <v>0</v>
      </c>
      <c r="N4066" s="919">
        <v>1</v>
      </c>
      <c r="O4066" s="919">
        <v>4</v>
      </c>
      <c r="P4066" s="921">
        <f t="shared" si="127"/>
        <v>4600</v>
      </c>
    </row>
    <row r="4067" spans="1:16" ht="20.100000000000001" customHeight="1" x14ac:dyDescent="0.25">
      <c r="A4067" s="918" t="s">
        <v>479</v>
      </c>
      <c r="B4067" s="944" t="s">
        <v>3901</v>
      </c>
      <c r="C4067" s="919" t="s">
        <v>3902</v>
      </c>
      <c r="D4067" s="919" t="s">
        <v>4502</v>
      </c>
      <c r="E4067" s="920">
        <v>1150</v>
      </c>
      <c r="F4067" s="919" t="s">
        <v>11087</v>
      </c>
      <c r="G4067" s="919" t="s">
        <v>11088</v>
      </c>
      <c r="H4067" s="919" t="s">
        <v>4502</v>
      </c>
      <c r="I4067" s="919" t="s">
        <v>3686</v>
      </c>
      <c r="J4067" s="919"/>
      <c r="K4067" s="920"/>
      <c r="L4067" s="920"/>
      <c r="M4067" s="920">
        <f t="shared" si="126"/>
        <v>0</v>
      </c>
      <c r="N4067" s="919">
        <v>1</v>
      </c>
      <c r="O4067" s="919">
        <v>4</v>
      </c>
      <c r="P4067" s="921">
        <f t="shared" si="127"/>
        <v>4600</v>
      </c>
    </row>
    <row r="4068" spans="1:16" ht="20.100000000000001" customHeight="1" x14ac:dyDescent="0.25">
      <c r="A4068" s="918" t="s">
        <v>479</v>
      </c>
      <c r="B4068" s="944" t="s">
        <v>3901</v>
      </c>
      <c r="C4068" s="919" t="s">
        <v>3902</v>
      </c>
      <c r="D4068" s="919" t="s">
        <v>4502</v>
      </c>
      <c r="E4068" s="920">
        <v>1150</v>
      </c>
      <c r="F4068" s="919" t="s">
        <v>11089</v>
      </c>
      <c r="G4068" s="919" t="s">
        <v>11090</v>
      </c>
      <c r="H4068" s="919" t="s">
        <v>4502</v>
      </c>
      <c r="I4068" s="919" t="s">
        <v>3686</v>
      </c>
      <c r="J4068" s="919"/>
      <c r="K4068" s="920"/>
      <c r="L4068" s="920"/>
      <c r="M4068" s="920">
        <f t="shared" si="126"/>
        <v>0</v>
      </c>
      <c r="N4068" s="919">
        <v>1</v>
      </c>
      <c r="O4068" s="919">
        <v>3</v>
      </c>
      <c r="P4068" s="921">
        <f t="shared" si="127"/>
        <v>3450</v>
      </c>
    </row>
    <row r="4069" spans="1:16" ht="20.100000000000001" customHeight="1" x14ac:dyDescent="0.25">
      <c r="A4069" s="918" t="s">
        <v>479</v>
      </c>
      <c r="B4069" s="944" t="s">
        <v>3901</v>
      </c>
      <c r="C4069" s="919" t="s">
        <v>3902</v>
      </c>
      <c r="D4069" s="919" t="s">
        <v>4531</v>
      </c>
      <c r="E4069" s="920">
        <v>1800</v>
      </c>
      <c r="F4069" s="919" t="s">
        <v>11091</v>
      </c>
      <c r="G4069" s="919" t="s">
        <v>11092</v>
      </c>
      <c r="H4069" s="919" t="s">
        <v>4531</v>
      </c>
      <c r="I4069" s="919" t="s">
        <v>3679</v>
      </c>
      <c r="J4069" s="919"/>
      <c r="K4069" s="920"/>
      <c r="L4069" s="920"/>
      <c r="M4069" s="920">
        <f t="shared" si="126"/>
        <v>0</v>
      </c>
      <c r="N4069" s="919">
        <v>1</v>
      </c>
      <c r="O4069" s="919">
        <v>1</v>
      </c>
      <c r="P4069" s="921">
        <f t="shared" si="127"/>
        <v>1800</v>
      </c>
    </row>
    <row r="4070" spans="1:16" ht="20.100000000000001" customHeight="1" x14ac:dyDescent="0.25">
      <c r="A4070" s="918" t="s">
        <v>479</v>
      </c>
      <c r="B4070" s="944" t="s">
        <v>3901</v>
      </c>
      <c r="C4070" s="919" t="s">
        <v>3902</v>
      </c>
      <c r="D4070" s="919" t="s">
        <v>4531</v>
      </c>
      <c r="E4070" s="920">
        <v>1800</v>
      </c>
      <c r="F4070" s="919" t="s">
        <v>11093</v>
      </c>
      <c r="G4070" s="919" t="s">
        <v>11094</v>
      </c>
      <c r="H4070" s="919" t="s">
        <v>4531</v>
      </c>
      <c r="I4070" s="919" t="s">
        <v>3679</v>
      </c>
      <c r="J4070" s="919"/>
      <c r="K4070" s="920"/>
      <c r="L4070" s="920"/>
      <c r="M4070" s="920">
        <f t="shared" si="126"/>
        <v>0</v>
      </c>
      <c r="N4070" s="919">
        <v>1</v>
      </c>
      <c r="O4070" s="919">
        <v>4</v>
      </c>
      <c r="P4070" s="921">
        <f t="shared" si="127"/>
        <v>7200</v>
      </c>
    </row>
    <row r="4071" spans="1:16" ht="20.100000000000001" customHeight="1" x14ac:dyDescent="0.25">
      <c r="A4071" s="918" t="s">
        <v>479</v>
      </c>
      <c r="B4071" s="944" t="s">
        <v>3901</v>
      </c>
      <c r="C4071" s="919" t="s">
        <v>3902</v>
      </c>
      <c r="D4071" s="919" t="s">
        <v>4531</v>
      </c>
      <c r="E4071" s="920">
        <v>1800</v>
      </c>
      <c r="F4071" s="919" t="s">
        <v>11095</v>
      </c>
      <c r="G4071" s="919" t="s">
        <v>11096</v>
      </c>
      <c r="H4071" s="919" t="s">
        <v>4531</v>
      </c>
      <c r="I4071" s="919" t="s">
        <v>3679</v>
      </c>
      <c r="J4071" s="919"/>
      <c r="K4071" s="920"/>
      <c r="L4071" s="920"/>
      <c r="M4071" s="920">
        <f t="shared" si="126"/>
        <v>0</v>
      </c>
      <c r="N4071" s="919">
        <v>1</v>
      </c>
      <c r="O4071" s="919">
        <v>3</v>
      </c>
      <c r="P4071" s="921">
        <f t="shared" si="127"/>
        <v>5400</v>
      </c>
    </row>
    <row r="4072" spans="1:16" ht="20.100000000000001" customHeight="1" x14ac:dyDescent="0.25">
      <c r="A4072" s="918" t="s">
        <v>479</v>
      </c>
      <c r="B4072" s="944" t="s">
        <v>3901</v>
      </c>
      <c r="C4072" s="919" t="s">
        <v>3902</v>
      </c>
      <c r="D4072" s="919" t="s">
        <v>4531</v>
      </c>
      <c r="E4072" s="920">
        <v>1800</v>
      </c>
      <c r="F4072" s="919" t="s">
        <v>11097</v>
      </c>
      <c r="G4072" s="919" t="s">
        <v>11098</v>
      </c>
      <c r="H4072" s="919" t="s">
        <v>4531</v>
      </c>
      <c r="I4072" s="919" t="s">
        <v>3679</v>
      </c>
      <c r="J4072" s="919"/>
      <c r="K4072" s="920"/>
      <c r="L4072" s="920"/>
      <c r="M4072" s="920">
        <f t="shared" si="126"/>
        <v>0</v>
      </c>
      <c r="N4072" s="919">
        <v>1</v>
      </c>
      <c r="O4072" s="919">
        <v>1</v>
      </c>
      <c r="P4072" s="921">
        <f t="shared" si="127"/>
        <v>1800</v>
      </c>
    </row>
    <row r="4073" spans="1:16" ht="20.100000000000001" customHeight="1" x14ac:dyDescent="0.25">
      <c r="A4073" s="918" t="s">
        <v>479</v>
      </c>
      <c r="B4073" s="944" t="s">
        <v>3901</v>
      </c>
      <c r="C4073" s="919" t="s">
        <v>3902</v>
      </c>
      <c r="D4073" s="919" t="s">
        <v>4531</v>
      </c>
      <c r="E4073" s="920">
        <v>1800</v>
      </c>
      <c r="F4073" s="919" t="s">
        <v>11099</v>
      </c>
      <c r="G4073" s="919" t="s">
        <v>11100</v>
      </c>
      <c r="H4073" s="919" t="s">
        <v>4531</v>
      </c>
      <c r="I4073" s="919" t="s">
        <v>3679</v>
      </c>
      <c r="J4073" s="919"/>
      <c r="K4073" s="920"/>
      <c r="L4073" s="920"/>
      <c r="M4073" s="920">
        <f t="shared" si="126"/>
        <v>0</v>
      </c>
      <c r="N4073" s="919">
        <v>1</v>
      </c>
      <c r="O4073" s="919">
        <v>4</v>
      </c>
      <c r="P4073" s="921">
        <f t="shared" si="127"/>
        <v>7200</v>
      </c>
    </row>
    <row r="4074" spans="1:16" ht="20.100000000000001" customHeight="1" x14ac:dyDescent="0.25">
      <c r="A4074" s="918" t="s">
        <v>479</v>
      </c>
      <c r="B4074" s="944" t="s">
        <v>3901</v>
      </c>
      <c r="C4074" s="919" t="s">
        <v>3902</v>
      </c>
      <c r="D4074" s="919" t="s">
        <v>4531</v>
      </c>
      <c r="E4074" s="920">
        <v>1800</v>
      </c>
      <c r="F4074" s="919" t="s">
        <v>11101</v>
      </c>
      <c r="G4074" s="919" t="s">
        <v>11102</v>
      </c>
      <c r="H4074" s="919" t="s">
        <v>4531</v>
      </c>
      <c r="I4074" s="919" t="s">
        <v>3679</v>
      </c>
      <c r="J4074" s="919"/>
      <c r="K4074" s="920"/>
      <c r="L4074" s="920"/>
      <c r="M4074" s="920">
        <f t="shared" si="126"/>
        <v>0</v>
      </c>
      <c r="N4074" s="919">
        <v>1</v>
      </c>
      <c r="O4074" s="919">
        <v>1</v>
      </c>
      <c r="P4074" s="921">
        <f t="shared" si="127"/>
        <v>1800</v>
      </c>
    </row>
    <row r="4075" spans="1:16" ht="20.100000000000001" customHeight="1" x14ac:dyDescent="0.25">
      <c r="A4075" s="918" t="s">
        <v>479</v>
      </c>
      <c r="B4075" s="944" t="s">
        <v>3901</v>
      </c>
      <c r="C4075" s="919" t="s">
        <v>3902</v>
      </c>
      <c r="D4075" s="919" t="s">
        <v>4531</v>
      </c>
      <c r="E4075" s="920">
        <v>1800</v>
      </c>
      <c r="F4075" s="919" t="s">
        <v>11103</v>
      </c>
      <c r="G4075" s="919" t="s">
        <v>11104</v>
      </c>
      <c r="H4075" s="919" t="s">
        <v>4531</v>
      </c>
      <c r="I4075" s="919" t="s">
        <v>3679</v>
      </c>
      <c r="J4075" s="919"/>
      <c r="K4075" s="920"/>
      <c r="L4075" s="920"/>
      <c r="M4075" s="920">
        <f t="shared" si="126"/>
        <v>0</v>
      </c>
      <c r="N4075" s="919">
        <v>1</v>
      </c>
      <c r="O4075" s="919">
        <v>4</v>
      </c>
      <c r="P4075" s="921">
        <f t="shared" si="127"/>
        <v>7200</v>
      </c>
    </row>
    <row r="4076" spans="1:16" ht="20.100000000000001" customHeight="1" x14ac:dyDescent="0.25">
      <c r="A4076" s="918" t="s">
        <v>479</v>
      </c>
      <c r="B4076" s="944" t="s">
        <v>3901</v>
      </c>
      <c r="C4076" s="919" t="s">
        <v>3902</v>
      </c>
      <c r="D4076" s="919" t="s">
        <v>4382</v>
      </c>
      <c r="E4076" s="920">
        <v>2500</v>
      </c>
      <c r="F4076" s="919" t="s">
        <v>11105</v>
      </c>
      <c r="G4076" s="919" t="s">
        <v>11106</v>
      </c>
      <c r="H4076" s="919" t="s">
        <v>4382</v>
      </c>
      <c r="I4076" s="919" t="s">
        <v>3679</v>
      </c>
      <c r="J4076" s="919"/>
      <c r="K4076" s="920"/>
      <c r="L4076" s="920"/>
      <c r="M4076" s="920">
        <f t="shared" si="126"/>
        <v>0</v>
      </c>
      <c r="N4076" s="919">
        <v>1</v>
      </c>
      <c r="O4076" s="919">
        <v>1</v>
      </c>
      <c r="P4076" s="921">
        <f t="shared" si="127"/>
        <v>2500</v>
      </c>
    </row>
    <row r="4077" spans="1:16" ht="20.100000000000001" customHeight="1" x14ac:dyDescent="0.25">
      <c r="A4077" s="918" t="s">
        <v>479</v>
      </c>
      <c r="B4077" s="944" t="s">
        <v>3901</v>
      </c>
      <c r="C4077" s="919" t="s">
        <v>3902</v>
      </c>
      <c r="D4077" s="919" t="s">
        <v>4382</v>
      </c>
      <c r="E4077" s="920">
        <v>2500</v>
      </c>
      <c r="F4077" s="919" t="s">
        <v>11107</v>
      </c>
      <c r="G4077" s="919" t="s">
        <v>11108</v>
      </c>
      <c r="H4077" s="919" t="s">
        <v>4382</v>
      </c>
      <c r="I4077" s="919" t="s">
        <v>3679</v>
      </c>
      <c r="J4077" s="919"/>
      <c r="K4077" s="920"/>
      <c r="L4077" s="920"/>
      <c r="M4077" s="920">
        <f t="shared" si="126"/>
        <v>0</v>
      </c>
      <c r="N4077" s="919">
        <v>1</v>
      </c>
      <c r="O4077" s="919">
        <v>1</v>
      </c>
      <c r="P4077" s="921">
        <f t="shared" si="127"/>
        <v>2500</v>
      </c>
    </row>
    <row r="4078" spans="1:16" ht="20.100000000000001" customHeight="1" x14ac:dyDescent="0.25">
      <c r="A4078" s="918" t="s">
        <v>479</v>
      </c>
      <c r="B4078" s="944" t="s">
        <v>3901</v>
      </c>
      <c r="C4078" s="919" t="s">
        <v>3902</v>
      </c>
      <c r="D4078" s="919" t="s">
        <v>4382</v>
      </c>
      <c r="E4078" s="920">
        <v>2500</v>
      </c>
      <c r="F4078" s="919" t="s">
        <v>11109</v>
      </c>
      <c r="G4078" s="919" t="s">
        <v>11110</v>
      </c>
      <c r="H4078" s="919" t="s">
        <v>4382</v>
      </c>
      <c r="I4078" s="919" t="s">
        <v>3679</v>
      </c>
      <c r="J4078" s="919"/>
      <c r="K4078" s="920"/>
      <c r="L4078" s="920"/>
      <c r="M4078" s="920">
        <f t="shared" si="126"/>
        <v>0</v>
      </c>
      <c r="N4078" s="919">
        <v>1</v>
      </c>
      <c r="O4078" s="919">
        <v>1</v>
      </c>
      <c r="P4078" s="921">
        <f t="shared" si="127"/>
        <v>2500</v>
      </c>
    </row>
    <row r="4079" spans="1:16" ht="20.100000000000001" customHeight="1" x14ac:dyDescent="0.25">
      <c r="A4079" s="918" t="s">
        <v>479</v>
      </c>
      <c r="B4079" s="944" t="s">
        <v>3901</v>
      </c>
      <c r="C4079" s="919" t="s">
        <v>3902</v>
      </c>
      <c r="D4079" s="919" t="s">
        <v>4382</v>
      </c>
      <c r="E4079" s="920">
        <v>2500</v>
      </c>
      <c r="F4079" s="919" t="s">
        <v>11111</v>
      </c>
      <c r="G4079" s="919" t="s">
        <v>11112</v>
      </c>
      <c r="H4079" s="919" t="s">
        <v>4382</v>
      </c>
      <c r="I4079" s="919" t="s">
        <v>3679</v>
      </c>
      <c r="J4079" s="919"/>
      <c r="K4079" s="920"/>
      <c r="L4079" s="920"/>
      <c r="M4079" s="920">
        <f t="shared" si="126"/>
        <v>0</v>
      </c>
      <c r="N4079" s="919">
        <v>1</v>
      </c>
      <c r="O4079" s="919">
        <v>1</v>
      </c>
      <c r="P4079" s="921">
        <f t="shared" si="127"/>
        <v>2500</v>
      </c>
    </row>
    <row r="4080" spans="1:16" ht="20.100000000000001" customHeight="1" x14ac:dyDescent="0.25">
      <c r="A4080" s="918" t="s">
        <v>479</v>
      </c>
      <c r="B4080" s="944" t="s">
        <v>3901</v>
      </c>
      <c r="C4080" s="919" t="s">
        <v>3902</v>
      </c>
      <c r="D4080" s="919" t="s">
        <v>4382</v>
      </c>
      <c r="E4080" s="920">
        <v>2500</v>
      </c>
      <c r="F4080" s="919" t="s">
        <v>11113</v>
      </c>
      <c r="G4080" s="919" t="s">
        <v>11114</v>
      </c>
      <c r="H4080" s="919" t="s">
        <v>4382</v>
      </c>
      <c r="I4080" s="919" t="s">
        <v>3679</v>
      </c>
      <c r="J4080" s="919"/>
      <c r="K4080" s="920"/>
      <c r="L4080" s="920"/>
      <c r="M4080" s="920">
        <f t="shared" si="126"/>
        <v>0</v>
      </c>
      <c r="N4080" s="919">
        <v>1</v>
      </c>
      <c r="O4080" s="919">
        <v>1</v>
      </c>
      <c r="P4080" s="921">
        <f t="shared" si="127"/>
        <v>2500</v>
      </c>
    </row>
    <row r="4081" spans="1:16" ht="20.100000000000001" customHeight="1" x14ac:dyDescent="0.25">
      <c r="A4081" s="918" t="s">
        <v>479</v>
      </c>
      <c r="B4081" s="944" t="s">
        <v>3901</v>
      </c>
      <c r="C4081" s="919" t="s">
        <v>3902</v>
      </c>
      <c r="D4081" s="919" t="s">
        <v>4382</v>
      </c>
      <c r="E4081" s="920">
        <v>2500</v>
      </c>
      <c r="F4081" s="919" t="s">
        <v>11115</v>
      </c>
      <c r="G4081" s="919" t="s">
        <v>11116</v>
      </c>
      <c r="H4081" s="919" t="s">
        <v>4382</v>
      </c>
      <c r="I4081" s="919" t="s">
        <v>3679</v>
      </c>
      <c r="J4081" s="919"/>
      <c r="K4081" s="920"/>
      <c r="L4081" s="920"/>
      <c r="M4081" s="920">
        <f t="shared" si="126"/>
        <v>0</v>
      </c>
      <c r="N4081" s="919">
        <v>1</v>
      </c>
      <c r="O4081" s="919">
        <v>1</v>
      </c>
      <c r="P4081" s="921">
        <f t="shared" si="127"/>
        <v>2500</v>
      </c>
    </row>
    <row r="4082" spans="1:16" ht="20.100000000000001" customHeight="1" x14ac:dyDescent="0.25">
      <c r="A4082" s="918" t="s">
        <v>479</v>
      </c>
      <c r="B4082" s="944" t="s">
        <v>3901</v>
      </c>
      <c r="C4082" s="919" t="s">
        <v>3902</v>
      </c>
      <c r="D4082" s="919" t="s">
        <v>4592</v>
      </c>
      <c r="E4082" s="920">
        <v>1150</v>
      </c>
      <c r="F4082" s="919" t="s">
        <v>11117</v>
      </c>
      <c r="G4082" s="919" t="s">
        <v>11118</v>
      </c>
      <c r="H4082" s="919" t="s">
        <v>4592</v>
      </c>
      <c r="I4082" s="919" t="s">
        <v>3686</v>
      </c>
      <c r="J4082" s="919"/>
      <c r="K4082" s="920"/>
      <c r="L4082" s="920"/>
      <c r="M4082" s="920">
        <f t="shared" si="126"/>
        <v>0</v>
      </c>
      <c r="N4082" s="919">
        <v>1</v>
      </c>
      <c r="O4082" s="919">
        <v>3</v>
      </c>
      <c r="P4082" s="921">
        <f t="shared" si="127"/>
        <v>3450</v>
      </c>
    </row>
    <row r="4083" spans="1:16" ht="20.100000000000001" customHeight="1" x14ac:dyDescent="0.25">
      <c r="A4083" s="918" t="s">
        <v>479</v>
      </c>
      <c r="B4083" s="944" t="s">
        <v>3901</v>
      </c>
      <c r="C4083" s="919" t="s">
        <v>3902</v>
      </c>
      <c r="D4083" s="919" t="s">
        <v>4592</v>
      </c>
      <c r="E4083" s="920">
        <v>1150</v>
      </c>
      <c r="F4083" s="919" t="s">
        <v>11119</v>
      </c>
      <c r="G4083" s="919" t="s">
        <v>11120</v>
      </c>
      <c r="H4083" s="919" t="s">
        <v>4592</v>
      </c>
      <c r="I4083" s="919" t="s">
        <v>3686</v>
      </c>
      <c r="J4083" s="919"/>
      <c r="K4083" s="920"/>
      <c r="L4083" s="920"/>
      <c r="M4083" s="920">
        <f t="shared" si="126"/>
        <v>0</v>
      </c>
      <c r="N4083" s="919">
        <v>1</v>
      </c>
      <c r="O4083" s="919">
        <v>4</v>
      </c>
      <c r="P4083" s="921">
        <f t="shared" si="127"/>
        <v>4600</v>
      </c>
    </row>
    <row r="4084" spans="1:16" ht="20.100000000000001" customHeight="1" x14ac:dyDescent="0.25">
      <c r="A4084" s="918" t="s">
        <v>479</v>
      </c>
      <c r="B4084" s="944" t="s">
        <v>3901</v>
      </c>
      <c r="C4084" s="919" t="s">
        <v>3902</v>
      </c>
      <c r="D4084" s="919" t="s">
        <v>4592</v>
      </c>
      <c r="E4084" s="920">
        <v>1150</v>
      </c>
      <c r="F4084" s="919" t="s">
        <v>11121</v>
      </c>
      <c r="G4084" s="919" t="s">
        <v>11122</v>
      </c>
      <c r="H4084" s="919" t="s">
        <v>4592</v>
      </c>
      <c r="I4084" s="919" t="s">
        <v>3686</v>
      </c>
      <c r="J4084" s="919"/>
      <c r="K4084" s="920"/>
      <c r="L4084" s="920"/>
      <c r="M4084" s="920">
        <f t="shared" si="126"/>
        <v>0</v>
      </c>
      <c r="N4084" s="919">
        <v>1</v>
      </c>
      <c r="O4084" s="919">
        <v>1</v>
      </c>
      <c r="P4084" s="921">
        <f t="shared" si="127"/>
        <v>1150</v>
      </c>
    </row>
    <row r="4085" spans="1:16" ht="20.100000000000001" customHeight="1" x14ac:dyDescent="0.25">
      <c r="A4085" s="918" t="s">
        <v>479</v>
      </c>
      <c r="B4085" s="944" t="s">
        <v>3901</v>
      </c>
      <c r="C4085" s="919" t="s">
        <v>3902</v>
      </c>
      <c r="D4085" s="919" t="s">
        <v>4592</v>
      </c>
      <c r="E4085" s="920">
        <v>1150</v>
      </c>
      <c r="F4085" s="919" t="s">
        <v>11123</v>
      </c>
      <c r="G4085" s="919" t="s">
        <v>11124</v>
      </c>
      <c r="H4085" s="919" t="s">
        <v>4592</v>
      </c>
      <c r="I4085" s="919" t="s">
        <v>3686</v>
      </c>
      <c r="J4085" s="919"/>
      <c r="K4085" s="920"/>
      <c r="L4085" s="920"/>
      <c r="M4085" s="920">
        <f t="shared" si="126"/>
        <v>0</v>
      </c>
      <c r="N4085" s="919">
        <v>1</v>
      </c>
      <c r="O4085" s="919">
        <v>4</v>
      </c>
      <c r="P4085" s="921">
        <f t="shared" si="127"/>
        <v>4600</v>
      </c>
    </row>
    <row r="4086" spans="1:16" ht="20.100000000000001" customHeight="1" x14ac:dyDescent="0.25">
      <c r="A4086" s="918" t="s">
        <v>479</v>
      </c>
      <c r="B4086" s="944" t="s">
        <v>3901</v>
      </c>
      <c r="C4086" s="919" t="s">
        <v>3902</v>
      </c>
      <c r="D4086" s="919" t="s">
        <v>4592</v>
      </c>
      <c r="E4086" s="920">
        <v>1150</v>
      </c>
      <c r="F4086" s="919" t="s">
        <v>11125</v>
      </c>
      <c r="G4086" s="919" t="s">
        <v>11126</v>
      </c>
      <c r="H4086" s="919" t="s">
        <v>4592</v>
      </c>
      <c r="I4086" s="919" t="s">
        <v>3686</v>
      </c>
      <c r="J4086" s="919"/>
      <c r="K4086" s="920"/>
      <c r="L4086" s="920"/>
      <c r="M4086" s="920">
        <f t="shared" si="126"/>
        <v>0</v>
      </c>
      <c r="N4086" s="919">
        <v>1</v>
      </c>
      <c r="O4086" s="919">
        <v>1</v>
      </c>
      <c r="P4086" s="921">
        <f t="shared" si="127"/>
        <v>1150</v>
      </c>
    </row>
    <row r="4087" spans="1:16" ht="20.100000000000001" customHeight="1" x14ac:dyDescent="0.25">
      <c r="A4087" s="918" t="s">
        <v>479</v>
      </c>
      <c r="B4087" s="944" t="s">
        <v>3901</v>
      </c>
      <c r="C4087" s="919" t="s">
        <v>3902</v>
      </c>
      <c r="D4087" s="919" t="s">
        <v>4592</v>
      </c>
      <c r="E4087" s="920">
        <v>1150</v>
      </c>
      <c r="F4087" s="919" t="s">
        <v>11127</v>
      </c>
      <c r="G4087" s="919" t="s">
        <v>11128</v>
      </c>
      <c r="H4087" s="919" t="s">
        <v>4592</v>
      </c>
      <c r="I4087" s="919" t="s">
        <v>3686</v>
      </c>
      <c r="J4087" s="919"/>
      <c r="K4087" s="920"/>
      <c r="L4087" s="920"/>
      <c r="M4087" s="920">
        <f t="shared" si="126"/>
        <v>0</v>
      </c>
      <c r="N4087" s="919">
        <v>1</v>
      </c>
      <c r="O4087" s="919">
        <v>1</v>
      </c>
      <c r="P4087" s="921">
        <f t="shared" si="127"/>
        <v>1150</v>
      </c>
    </row>
    <row r="4088" spans="1:16" ht="20.100000000000001" customHeight="1" x14ac:dyDescent="0.25">
      <c r="A4088" s="918" t="s">
        <v>479</v>
      </c>
      <c r="B4088" s="944" t="s">
        <v>3901</v>
      </c>
      <c r="C4088" s="919" t="s">
        <v>3902</v>
      </c>
      <c r="D4088" s="919" t="s">
        <v>4109</v>
      </c>
      <c r="E4088" s="920">
        <v>1400</v>
      </c>
      <c r="F4088" s="919" t="s">
        <v>11129</v>
      </c>
      <c r="G4088" s="919" t="s">
        <v>11130</v>
      </c>
      <c r="H4088" s="919" t="s">
        <v>4109</v>
      </c>
      <c r="I4088" s="919" t="s">
        <v>3686</v>
      </c>
      <c r="J4088" s="919"/>
      <c r="K4088" s="920"/>
      <c r="L4088" s="920"/>
      <c r="M4088" s="920">
        <f t="shared" si="126"/>
        <v>0</v>
      </c>
      <c r="N4088" s="919">
        <v>1</v>
      </c>
      <c r="O4088" s="919">
        <v>4</v>
      </c>
      <c r="P4088" s="921">
        <f t="shared" si="127"/>
        <v>5600</v>
      </c>
    </row>
    <row r="4089" spans="1:16" ht="20.100000000000001" customHeight="1" x14ac:dyDescent="0.25">
      <c r="A4089" s="918" t="s">
        <v>479</v>
      </c>
      <c r="B4089" s="944" t="s">
        <v>3901</v>
      </c>
      <c r="C4089" s="919" t="s">
        <v>3902</v>
      </c>
      <c r="D4089" s="919" t="s">
        <v>4109</v>
      </c>
      <c r="E4089" s="920">
        <v>1400</v>
      </c>
      <c r="F4089" s="919" t="s">
        <v>11131</v>
      </c>
      <c r="G4089" s="919" t="s">
        <v>11132</v>
      </c>
      <c r="H4089" s="919" t="s">
        <v>4109</v>
      </c>
      <c r="I4089" s="919" t="s">
        <v>3686</v>
      </c>
      <c r="J4089" s="919"/>
      <c r="K4089" s="920"/>
      <c r="L4089" s="920"/>
      <c r="M4089" s="920">
        <f t="shared" si="126"/>
        <v>0</v>
      </c>
      <c r="N4089" s="919">
        <v>1</v>
      </c>
      <c r="O4089" s="919">
        <v>4</v>
      </c>
      <c r="P4089" s="921">
        <f t="shared" si="127"/>
        <v>5600</v>
      </c>
    </row>
    <row r="4090" spans="1:16" ht="20.100000000000001" customHeight="1" x14ac:dyDescent="0.25">
      <c r="A4090" s="918" t="s">
        <v>479</v>
      </c>
      <c r="B4090" s="944" t="s">
        <v>3901</v>
      </c>
      <c r="C4090" s="919" t="s">
        <v>3902</v>
      </c>
      <c r="D4090" s="919" t="s">
        <v>4109</v>
      </c>
      <c r="E4090" s="920">
        <v>1400</v>
      </c>
      <c r="F4090" s="919" t="s">
        <v>11133</v>
      </c>
      <c r="G4090" s="919" t="s">
        <v>11134</v>
      </c>
      <c r="H4090" s="919" t="s">
        <v>4109</v>
      </c>
      <c r="I4090" s="919" t="s">
        <v>3686</v>
      </c>
      <c r="J4090" s="919"/>
      <c r="K4090" s="920"/>
      <c r="L4090" s="920"/>
      <c r="M4090" s="920">
        <f t="shared" si="126"/>
        <v>0</v>
      </c>
      <c r="N4090" s="919">
        <v>1</v>
      </c>
      <c r="O4090" s="919">
        <v>4</v>
      </c>
      <c r="P4090" s="921">
        <f t="shared" si="127"/>
        <v>5600</v>
      </c>
    </row>
    <row r="4091" spans="1:16" ht="20.100000000000001" customHeight="1" x14ac:dyDescent="0.25">
      <c r="A4091" s="918" t="s">
        <v>479</v>
      </c>
      <c r="B4091" s="944" t="s">
        <v>3901</v>
      </c>
      <c r="C4091" s="919" t="s">
        <v>3902</v>
      </c>
      <c r="D4091" s="919" t="s">
        <v>4109</v>
      </c>
      <c r="E4091" s="920">
        <v>1400</v>
      </c>
      <c r="F4091" s="919" t="s">
        <v>11135</v>
      </c>
      <c r="G4091" s="919" t="s">
        <v>11136</v>
      </c>
      <c r="H4091" s="919" t="s">
        <v>4109</v>
      </c>
      <c r="I4091" s="919" t="s">
        <v>3686</v>
      </c>
      <c r="J4091" s="919"/>
      <c r="K4091" s="920"/>
      <c r="L4091" s="920"/>
      <c r="M4091" s="920">
        <f t="shared" si="126"/>
        <v>0</v>
      </c>
      <c r="N4091" s="919">
        <v>1</v>
      </c>
      <c r="O4091" s="919">
        <v>4</v>
      </c>
      <c r="P4091" s="921">
        <f t="shared" si="127"/>
        <v>5600</v>
      </c>
    </row>
    <row r="4092" spans="1:16" ht="20.100000000000001" customHeight="1" x14ac:dyDescent="0.25">
      <c r="A4092" s="918" t="s">
        <v>479</v>
      </c>
      <c r="B4092" s="944" t="s">
        <v>3901</v>
      </c>
      <c r="C4092" s="919" t="s">
        <v>3902</v>
      </c>
      <c r="D4092" s="919" t="s">
        <v>4109</v>
      </c>
      <c r="E4092" s="920">
        <v>1400</v>
      </c>
      <c r="F4092" s="919" t="s">
        <v>11137</v>
      </c>
      <c r="G4092" s="919" t="s">
        <v>11138</v>
      </c>
      <c r="H4092" s="919" t="s">
        <v>4109</v>
      </c>
      <c r="I4092" s="919" t="s">
        <v>3686</v>
      </c>
      <c r="J4092" s="919"/>
      <c r="K4092" s="920"/>
      <c r="L4092" s="920"/>
      <c r="M4092" s="920">
        <f t="shared" si="126"/>
        <v>0</v>
      </c>
      <c r="N4092" s="919">
        <v>1</v>
      </c>
      <c r="O4092" s="919">
        <v>4</v>
      </c>
      <c r="P4092" s="921">
        <f t="shared" si="127"/>
        <v>5600</v>
      </c>
    </row>
    <row r="4093" spans="1:16" ht="20.100000000000001" customHeight="1" x14ac:dyDescent="0.25">
      <c r="A4093" s="918" t="s">
        <v>479</v>
      </c>
      <c r="B4093" s="944" t="s">
        <v>3901</v>
      </c>
      <c r="C4093" s="919" t="s">
        <v>3902</v>
      </c>
      <c r="D4093" s="919" t="s">
        <v>4657</v>
      </c>
      <c r="E4093" s="920">
        <v>1150</v>
      </c>
      <c r="F4093" s="919" t="s">
        <v>11139</v>
      </c>
      <c r="G4093" s="919" t="s">
        <v>11140</v>
      </c>
      <c r="H4093" s="919" t="s">
        <v>4657</v>
      </c>
      <c r="I4093" s="919" t="s">
        <v>3686</v>
      </c>
      <c r="J4093" s="919"/>
      <c r="K4093" s="920"/>
      <c r="L4093" s="920"/>
      <c r="M4093" s="920">
        <f t="shared" si="126"/>
        <v>0</v>
      </c>
      <c r="N4093" s="919">
        <v>1</v>
      </c>
      <c r="O4093" s="919">
        <v>4</v>
      </c>
      <c r="P4093" s="921">
        <f t="shared" si="127"/>
        <v>4600</v>
      </c>
    </row>
    <row r="4094" spans="1:16" ht="20.100000000000001" customHeight="1" x14ac:dyDescent="0.25">
      <c r="A4094" s="918" t="s">
        <v>479</v>
      </c>
      <c r="B4094" s="944" t="s">
        <v>3901</v>
      </c>
      <c r="C4094" s="919" t="s">
        <v>3902</v>
      </c>
      <c r="D4094" s="919" t="s">
        <v>4657</v>
      </c>
      <c r="E4094" s="920">
        <v>1150</v>
      </c>
      <c r="F4094" s="919" t="s">
        <v>11141</v>
      </c>
      <c r="G4094" s="919" t="s">
        <v>11142</v>
      </c>
      <c r="H4094" s="919" t="s">
        <v>4657</v>
      </c>
      <c r="I4094" s="919" t="s">
        <v>3686</v>
      </c>
      <c r="J4094" s="919"/>
      <c r="K4094" s="920"/>
      <c r="L4094" s="920"/>
      <c r="M4094" s="920">
        <f t="shared" si="126"/>
        <v>0</v>
      </c>
      <c r="N4094" s="919">
        <v>1</v>
      </c>
      <c r="O4094" s="919">
        <v>4</v>
      </c>
      <c r="P4094" s="921">
        <f t="shared" si="127"/>
        <v>4600</v>
      </c>
    </row>
    <row r="4095" spans="1:16" ht="20.100000000000001" customHeight="1" x14ac:dyDescent="0.25">
      <c r="A4095" s="918" t="s">
        <v>479</v>
      </c>
      <c r="B4095" s="944" t="s">
        <v>3901</v>
      </c>
      <c r="C4095" s="919" t="s">
        <v>3902</v>
      </c>
      <c r="D4095" s="919" t="s">
        <v>4657</v>
      </c>
      <c r="E4095" s="920">
        <v>1150</v>
      </c>
      <c r="F4095" s="919" t="s">
        <v>11143</v>
      </c>
      <c r="G4095" s="919" t="s">
        <v>11144</v>
      </c>
      <c r="H4095" s="919" t="s">
        <v>4657</v>
      </c>
      <c r="I4095" s="919" t="s">
        <v>3686</v>
      </c>
      <c r="J4095" s="919"/>
      <c r="K4095" s="920"/>
      <c r="L4095" s="920"/>
      <c r="M4095" s="920">
        <f t="shared" si="126"/>
        <v>0</v>
      </c>
      <c r="N4095" s="919">
        <v>1</v>
      </c>
      <c r="O4095" s="919">
        <v>4</v>
      </c>
      <c r="P4095" s="921">
        <f t="shared" si="127"/>
        <v>4600</v>
      </c>
    </row>
    <row r="4096" spans="1:16" ht="20.100000000000001" customHeight="1" x14ac:dyDescent="0.25">
      <c r="A4096" s="918" t="s">
        <v>479</v>
      </c>
      <c r="B4096" s="944" t="s">
        <v>3901</v>
      </c>
      <c r="C4096" s="919" t="s">
        <v>3902</v>
      </c>
      <c r="D4096" s="919" t="s">
        <v>4657</v>
      </c>
      <c r="E4096" s="920">
        <v>1150</v>
      </c>
      <c r="F4096" s="919" t="s">
        <v>11145</v>
      </c>
      <c r="G4096" s="919" t="s">
        <v>11146</v>
      </c>
      <c r="H4096" s="919" t="s">
        <v>4657</v>
      </c>
      <c r="I4096" s="919" t="s">
        <v>3686</v>
      </c>
      <c r="J4096" s="919"/>
      <c r="K4096" s="920"/>
      <c r="L4096" s="920"/>
      <c r="M4096" s="920">
        <f t="shared" si="126"/>
        <v>0</v>
      </c>
      <c r="N4096" s="919">
        <v>1</v>
      </c>
      <c r="O4096" s="919">
        <v>4</v>
      </c>
      <c r="P4096" s="921">
        <f t="shared" si="127"/>
        <v>4600</v>
      </c>
    </row>
    <row r="4097" spans="1:16" ht="20.100000000000001" customHeight="1" x14ac:dyDescent="0.25">
      <c r="A4097" s="918" t="s">
        <v>479</v>
      </c>
      <c r="B4097" s="944" t="s">
        <v>3901</v>
      </c>
      <c r="C4097" s="919" t="s">
        <v>3902</v>
      </c>
      <c r="D4097" s="919" t="s">
        <v>4657</v>
      </c>
      <c r="E4097" s="920">
        <v>1150</v>
      </c>
      <c r="F4097" s="919" t="s">
        <v>11147</v>
      </c>
      <c r="G4097" s="919" t="s">
        <v>11148</v>
      </c>
      <c r="H4097" s="919" t="s">
        <v>4657</v>
      </c>
      <c r="I4097" s="919" t="s">
        <v>3686</v>
      </c>
      <c r="J4097" s="919"/>
      <c r="K4097" s="920"/>
      <c r="L4097" s="920"/>
      <c r="M4097" s="920">
        <f t="shared" si="126"/>
        <v>0</v>
      </c>
      <c r="N4097" s="919">
        <v>1</v>
      </c>
      <c r="O4097" s="919">
        <v>4</v>
      </c>
      <c r="P4097" s="921">
        <f t="shared" si="127"/>
        <v>4600</v>
      </c>
    </row>
    <row r="4098" spans="1:16" ht="20.100000000000001" customHeight="1" x14ac:dyDescent="0.25">
      <c r="A4098" s="918" t="s">
        <v>479</v>
      </c>
      <c r="B4098" s="944" t="s">
        <v>3901</v>
      </c>
      <c r="C4098" s="919" t="s">
        <v>3902</v>
      </c>
      <c r="D4098" s="919" t="s">
        <v>4502</v>
      </c>
      <c r="E4098" s="920">
        <v>1150</v>
      </c>
      <c r="F4098" s="919" t="s">
        <v>11149</v>
      </c>
      <c r="G4098" s="919" t="s">
        <v>11150</v>
      </c>
      <c r="H4098" s="919" t="s">
        <v>4502</v>
      </c>
      <c r="I4098" s="919" t="s">
        <v>3686</v>
      </c>
      <c r="J4098" s="919"/>
      <c r="K4098" s="920"/>
      <c r="L4098" s="920"/>
      <c r="M4098" s="920">
        <f t="shared" si="126"/>
        <v>0</v>
      </c>
      <c r="N4098" s="919">
        <v>1</v>
      </c>
      <c r="O4098" s="919">
        <v>4</v>
      </c>
      <c r="P4098" s="921">
        <f t="shared" si="127"/>
        <v>4600</v>
      </c>
    </row>
    <row r="4099" spans="1:16" ht="20.100000000000001" customHeight="1" x14ac:dyDescent="0.25">
      <c r="A4099" s="918" t="s">
        <v>479</v>
      </c>
      <c r="B4099" s="944" t="s">
        <v>3901</v>
      </c>
      <c r="C4099" s="919" t="s">
        <v>3902</v>
      </c>
      <c r="D4099" s="919" t="s">
        <v>4502</v>
      </c>
      <c r="E4099" s="920">
        <v>1150</v>
      </c>
      <c r="F4099" s="919" t="s">
        <v>11151</v>
      </c>
      <c r="G4099" s="919" t="s">
        <v>11152</v>
      </c>
      <c r="H4099" s="919" t="s">
        <v>4502</v>
      </c>
      <c r="I4099" s="919" t="s">
        <v>3686</v>
      </c>
      <c r="J4099" s="919"/>
      <c r="K4099" s="920"/>
      <c r="L4099" s="920"/>
      <c r="M4099" s="920">
        <f t="shared" si="126"/>
        <v>0</v>
      </c>
      <c r="N4099" s="919">
        <v>1</v>
      </c>
      <c r="O4099" s="919">
        <v>4</v>
      </c>
      <c r="P4099" s="921">
        <f t="shared" si="127"/>
        <v>4600</v>
      </c>
    </row>
    <row r="4100" spans="1:16" ht="20.100000000000001" customHeight="1" x14ac:dyDescent="0.25">
      <c r="A4100" s="918" t="s">
        <v>479</v>
      </c>
      <c r="B4100" s="944" t="s">
        <v>3901</v>
      </c>
      <c r="C4100" s="919" t="s">
        <v>3902</v>
      </c>
      <c r="D4100" s="919" t="s">
        <v>4502</v>
      </c>
      <c r="E4100" s="920">
        <v>1150</v>
      </c>
      <c r="F4100" s="919" t="s">
        <v>11153</v>
      </c>
      <c r="G4100" s="919" t="s">
        <v>11154</v>
      </c>
      <c r="H4100" s="919" t="s">
        <v>4502</v>
      </c>
      <c r="I4100" s="919" t="s">
        <v>3686</v>
      </c>
      <c r="J4100" s="919"/>
      <c r="K4100" s="920"/>
      <c r="L4100" s="920"/>
      <c r="M4100" s="920">
        <f t="shared" si="126"/>
        <v>0</v>
      </c>
      <c r="N4100" s="919">
        <v>1</v>
      </c>
      <c r="O4100" s="919">
        <v>4</v>
      </c>
      <c r="P4100" s="921">
        <f t="shared" si="127"/>
        <v>4600</v>
      </c>
    </row>
    <row r="4101" spans="1:16" ht="20.100000000000001" customHeight="1" x14ac:dyDescent="0.25">
      <c r="A4101" s="918" t="s">
        <v>479</v>
      </c>
      <c r="B4101" s="944" t="s">
        <v>3901</v>
      </c>
      <c r="C4101" s="919" t="s">
        <v>3902</v>
      </c>
      <c r="D4101" s="919" t="s">
        <v>4502</v>
      </c>
      <c r="E4101" s="920">
        <v>1150</v>
      </c>
      <c r="F4101" s="919" t="s">
        <v>11155</v>
      </c>
      <c r="G4101" s="919" t="s">
        <v>11156</v>
      </c>
      <c r="H4101" s="919" t="s">
        <v>4502</v>
      </c>
      <c r="I4101" s="919" t="s">
        <v>3686</v>
      </c>
      <c r="J4101" s="919"/>
      <c r="K4101" s="920"/>
      <c r="L4101" s="920"/>
      <c r="M4101" s="920">
        <f t="shared" si="126"/>
        <v>0</v>
      </c>
      <c r="N4101" s="919">
        <v>1</v>
      </c>
      <c r="O4101" s="919">
        <v>4</v>
      </c>
      <c r="P4101" s="921">
        <f t="shared" si="127"/>
        <v>4600</v>
      </c>
    </row>
    <row r="4102" spans="1:16" ht="20.100000000000001" customHeight="1" x14ac:dyDescent="0.25">
      <c r="A4102" s="918" t="s">
        <v>479</v>
      </c>
      <c r="B4102" s="944" t="s">
        <v>3901</v>
      </c>
      <c r="C4102" s="919" t="s">
        <v>3902</v>
      </c>
      <c r="D4102" s="919" t="s">
        <v>4502</v>
      </c>
      <c r="E4102" s="920">
        <v>1150</v>
      </c>
      <c r="F4102" s="919" t="s">
        <v>11157</v>
      </c>
      <c r="G4102" s="919" t="s">
        <v>11158</v>
      </c>
      <c r="H4102" s="919" t="s">
        <v>4502</v>
      </c>
      <c r="I4102" s="919" t="s">
        <v>3686</v>
      </c>
      <c r="J4102" s="919"/>
      <c r="K4102" s="920"/>
      <c r="L4102" s="920"/>
      <c r="M4102" s="920">
        <f t="shared" ref="M4102:M4165" si="128">E4102*L4102</f>
        <v>0</v>
      </c>
      <c r="N4102" s="919">
        <v>1</v>
      </c>
      <c r="O4102" s="919">
        <v>4</v>
      </c>
      <c r="P4102" s="921">
        <f t="shared" ref="P4102:P4165" si="129">E4102*O4102</f>
        <v>4600</v>
      </c>
    </row>
    <row r="4103" spans="1:16" ht="20.100000000000001" customHeight="1" x14ac:dyDescent="0.25">
      <c r="A4103" s="918" t="s">
        <v>479</v>
      </c>
      <c r="B4103" s="944" t="s">
        <v>3901</v>
      </c>
      <c r="C4103" s="919" t="s">
        <v>3902</v>
      </c>
      <c r="D4103" s="919" t="s">
        <v>4502</v>
      </c>
      <c r="E4103" s="920">
        <v>1150</v>
      </c>
      <c r="F4103" s="919" t="s">
        <v>11159</v>
      </c>
      <c r="G4103" s="919" t="s">
        <v>11160</v>
      </c>
      <c r="H4103" s="919" t="s">
        <v>4502</v>
      </c>
      <c r="I4103" s="919" t="s">
        <v>3686</v>
      </c>
      <c r="J4103" s="919"/>
      <c r="K4103" s="920"/>
      <c r="L4103" s="920"/>
      <c r="M4103" s="920">
        <f t="shared" si="128"/>
        <v>0</v>
      </c>
      <c r="N4103" s="919">
        <v>1</v>
      </c>
      <c r="O4103" s="919">
        <v>4</v>
      </c>
      <c r="P4103" s="921">
        <f t="shared" si="129"/>
        <v>4600</v>
      </c>
    </row>
    <row r="4104" spans="1:16" ht="20.100000000000001" customHeight="1" x14ac:dyDescent="0.25">
      <c r="A4104" s="918" t="s">
        <v>479</v>
      </c>
      <c r="B4104" s="944" t="s">
        <v>3901</v>
      </c>
      <c r="C4104" s="919" t="s">
        <v>3902</v>
      </c>
      <c r="D4104" s="919" t="s">
        <v>4502</v>
      </c>
      <c r="E4104" s="920">
        <v>1150</v>
      </c>
      <c r="F4104" s="919" t="s">
        <v>11161</v>
      </c>
      <c r="G4104" s="919" t="s">
        <v>11162</v>
      </c>
      <c r="H4104" s="919" t="s">
        <v>4502</v>
      </c>
      <c r="I4104" s="919" t="s">
        <v>3686</v>
      </c>
      <c r="J4104" s="919"/>
      <c r="K4104" s="920"/>
      <c r="L4104" s="920"/>
      <c r="M4104" s="920">
        <f t="shared" si="128"/>
        <v>0</v>
      </c>
      <c r="N4104" s="919">
        <v>1</v>
      </c>
      <c r="O4104" s="919">
        <v>4</v>
      </c>
      <c r="P4104" s="921">
        <f t="shared" si="129"/>
        <v>4600</v>
      </c>
    </row>
    <row r="4105" spans="1:16" ht="20.100000000000001" customHeight="1" x14ac:dyDescent="0.25">
      <c r="A4105" s="918" t="s">
        <v>479</v>
      </c>
      <c r="B4105" s="944" t="s">
        <v>3901</v>
      </c>
      <c r="C4105" s="919" t="s">
        <v>3902</v>
      </c>
      <c r="D4105" s="919" t="s">
        <v>4502</v>
      </c>
      <c r="E4105" s="920">
        <v>1150</v>
      </c>
      <c r="F4105" s="919" t="s">
        <v>11163</v>
      </c>
      <c r="G4105" s="919" t="s">
        <v>11164</v>
      </c>
      <c r="H4105" s="919" t="s">
        <v>4502</v>
      </c>
      <c r="I4105" s="919" t="s">
        <v>3686</v>
      </c>
      <c r="J4105" s="919"/>
      <c r="K4105" s="920"/>
      <c r="L4105" s="920"/>
      <c r="M4105" s="920">
        <f t="shared" si="128"/>
        <v>0</v>
      </c>
      <c r="N4105" s="919">
        <v>1</v>
      </c>
      <c r="O4105" s="919">
        <v>4</v>
      </c>
      <c r="P4105" s="921">
        <f t="shared" si="129"/>
        <v>4600</v>
      </c>
    </row>
    <row r="4106" spans="1:16" ht="20.100000000000001" customHeight="1" x14ac:dyDescent="0.25">
      <c r="A4106" s="918" t="s">
        <v>479</v>
      </c>
      <c r="B4106" s="944" t="s">
        <v>3901</v>
      </c>
      <c r="C4106" s="919" t="s">
        <v>3902</v>
      </c>
      <c r="D4106" s="919" t="s">
        <v>4502</v>
      </c>
      <c r="E4106" s="920">
        <v>1150</v>
      </c>
      <c r="F4106" s="919" t="s">
        <v>11165</v>
      </c>
      <c r="G4106" s="919" t="s">
        <v>11166</v>
      </c>
      <c r="H4106" s="919" t="s">
        <v>4502</v>
      </c>
      <c r="I4106" s="919" t="s">
        <v>3686</v>
      </c>
      <c r="J4106" s="919"/>
      <c r="K4106" s="920"/>
      <c r="L4106" s="920"/>
      <c r="M4106" s="920">
        <f t="shared" si="128"/>
        <v>0</v>
      </c>
      <c r="N4106" s="919">
        <v>1</v>
      </c>
      <c r="O4106" s="919">
        <v>4</v>
      </c>
      <c r="P4106" s="921">
        <f t="shared" si="129"/>
        <v>4600</v>
      </c>
    </row>
    <row r="4107" spans="1:16" ht="20.100000000000001" customHeight="1" x14ac:dyDescent="0.25">
      <c r="A4107" s="918" t="s">
        <v>479</v>
      </c>
      <c r="B4107" s="944" t="s">
        <v>3901</v>
      </c>
      <c r="C4107" s="919" t="s">
        <v>3902</v>
      </c>
      <c r="D4107" s="919" t="s">
        <v>4502</v>
      </c>
      <c r="E4107" s="920">
        <v>1150</v>
      </c>
      <c r="F4107" s="919" t="s">
        <v>11167</v>
      </c>
      <c r="G4107" s="919" t="s">
        <v>11168</v>
      </c>
      <c r="H4107" s="919" t="s">
        <v>4502</v>
      </c>
      <c r="I4107" s="919" t="s">
        <v>3686</v>
      </c>
      <c r="J4107" s="919"/>
      <c r="K4107" s="920"/>
      <c r="L4107" s="920"/>
      <c r="M4107" s="920">
        <f t="shared" si="128"/>
        <v>0</v>
      </c>
      <c r="N4107" s="919">
        <v>1</v>
      </c>
      <c r="O4107" s="919">
        <v>4</v>
      </c>
      <c r="P4107" s="921">
        <f t="shared" si="129"/>
        <v>4600</v>
      </c>
    </row>
    <row r="4108" spans="1:16" ht="20.100000000000001" customHeight="1" x14ac:dyDescent="0.25">
      <c r="A4108" s="918" t="s">
        <v>479</v>
      </c>
      <c r="B4108" s="944" t="s">
        <v>3901</v>
      </c>
      <c r="C4108" s="919" t="s">
        <v>3902</v>
      </c>
      <c r="D4108" s="919" t="s">
        <v>4502</v>
      </c>
      <c r="E4108" s="920">
        <v>1150</v>
      </c>
      <c r="F4108" s="919" t="s">
        <v>11169</v>
      </c>
      <c r="G4108" s="919" t="s">
        <v>11170</v>
      </c>
      <c r="H4108" s="919" t="s">
        <v>4502</v>
      </c>
      <c r="I4108" s="919" t="s">
        <v>3686</v>
      </c>
      <c r="J4108" s="919"/>
      <c r="K4108" s="920"/>
      <c r="L4108" s="920"/>
      <c r="M4108" s="920">
        <f t="shared" si="128"/>
        <v>0</v>
      </c>
      <c r="N4108" s="919">
        <v>1</v>
      </c>
      <c r="O4108" s="919">
        <v>4</v>
      </c>
      <c r="P4108" s="921">
        <f t="shared" si="129"/>
        <v>4600</v>
      </c>
    </row>
    <row r="4109" spans="1:16" ht="20.100000000000001" customHeight="1" x14ac:dyDescent="0.25">
      <c r="A4109" s="918" t="s">
        <v>479</v>
      </c>
      <c r="B4109" s="944" t="s">
        <v>3901</v>
      </c>
      <c r="C4109" s="919" t="s">
        <v>3902</v>
      </c>
      <c r="D4109" s="919" t="s">
        <v>4502</v>
      </c>
      <c r="E4109" s="920">
        <v>1150</v>
      </c>
      <c r="F4109" s="919" t="s">
        <v>11171</v>
      </c>
      <c r="G4109" s="919" t="s">
        <v>11172</v>
      </c>
      <c r="H4109" s="919" t="s">
        <v>4502</v>
      </c>
      <c r="I4109" s="919" t="s">
        <v>3686</v>
      </c>
      <c r="J4109" s="919"/>
      <c r="K4109" s="920"/>
      <c r="L4109" s="920"/>
      <c r="M4109" s="920">
        <f t="shared" si="128"/>
        <v>0</v>
      </c>
      <c r="N4109" s="919">
        <v>1</v>
      </c>
      <c r="O4109" s="919">
        <v>4</v>
      </c>
      <c r="P4109" s="921">
        <f t="shared" si="129"/>
        <v>4600</v>
      </c>
    </row>
    <row r="4110" spans="1:16" ht="20.100000000000001" customHeight="1" x14ac:dyDescent="0.25">
      <c r="A4110" s="918" t="s">
        <v>479</v>
      </c>
      <c r="B4110" s="944" t="s">
        <v>3901</v>
      </c>
      <c r="C4110" s="919" t="s">
        <v>3902</v>
      </c>
      <c r="D4110" s="919" t="s">
        <v>4502</v>
      </c>
      <c r="E4110" s="920">
        <v>1150</v>
      </c>
      <c r="F4110" s="919" t="s">
        <v>11173</v>
      </c>
      <c r="G4110" s="919" t="s">
        <v>11174</v>
      </c>
      <c r="H4110" s="919" t="s">
        <v>4502</v>
      </c>
      <c r="I4110" s="919" t="s">
        <v>3686</v>
      </c>
      <c r="J4110" s="919"/>
      <c r="K4110" s="920"/>
      <c r="L4110" s="920"/>
      <c r="M4110" s="920">
        <f t="shared" si="128"/>
        <v>0</v>
      </c>
      <c r="N4110" s="919">
        <v>1</v>
      </c>
      <c r="O4110" s="919">
        <v>4</v>
      </c>
      <c r="P4110" s="921">
        <f t="shared" si="129"/>
        <v>4600</v>
      </c>
    </row>
    <row r="4111" spans="1:16" ht="20.100000000000001" customHeight="1" x14ac:dyDescent="0.25">
      <c r="A4111" s="918" t="s">
        <v>479</v>
      </c>
      <c r="B4111" s="944" t="s">
        <v>3901</v>
      </c>
      <c r="C4111" s="919" t="s">
        <v>3902</v>
      </c>
      <c r="D4111" s="919" t="s">
        <v>4502</v>
      </c>
      <c r="E4111" s="920">
        <v>1150</v>
      </c>
      <c r="F4111" s="919" t="s">
        <v>11175</v>
      </c>
      <c r="G4111" s="919" t="s">
        <v>11176</v>
      </c>
      <c r="H4111" s="919" t="s">
        <v>4502</v>
      </c>
      <c r="I4111" s="919" t="s">
        <v>3686</v>
      </c>
      <c r="J4111" s="919"/>
      <c r="K4111" s="920"/>
      <c r="L4111" s="920"/>
      <c r="M4111" s="920">
        <f t="shared" si="128"/>
        <v>0</v>
      </c>
      <c r="N4111" s="919">
        <v>1</v>
      </c>
      <c r="O4111" s="919">
        <v>4</v>
      </c>
      <c r="P4111" s="921">
        <f t="shared" si="129"/>
        <v>4600</v>
      </c>
    </row>
    <row r="4112" spans="1:16" ht="20.100000000000001" customHeight="1" x14ac:dyDescent="0.25">
      <c r="A4112" s="918" t="s">
        <v>479</v>
      </c>
      <c r="B4112" s="944" t="s">
        <v>3901</v>
      </c>
      <c r="C4112" s="919" t="s">
        <v>3902</v>
      </c>
      <c r="D4112" s="919" t="s">
        <v>4502</v>
      </c>
      <c r="E4112" s="920">
        <v>1150</v>
      </c>
      <c r="F4112" s="919" t="s">
        <v>11177</v>
      </c>
      <c r="G4112" s="919" t="s">
        <v>11178</v>
      </c>
      <c r="H4112" s="919" t="s">
        <v>4502</v>
      </c>
      <c r="I4112" s="919" t="s">
        <v>3686</v>
      </c>
      <c r="J4112" s="919"/>
      <c r="K4112" s="920"/>
      <c r="L4112" s="920"/>
      <c r="M4112" s="920">
        <f t="shared" si="128"/>
        <v>0</v>
      </c>
      <c r="N4112" s="919">
        <v>1</v>
      </c>
      <c r="O4112" s="919">
        <v>4</v>
      </c>
      <c r="P4112" s="921">
        <f t="shared" si="129"/>
        <v>4600</v>
      </c>
    </row>
    <row r="4113" spans="1:16" ht="20.100000000000001" customHeight="1" x14ac:dyDescent="0.25">
      <c r="A4113" s="918" t="s">
        <v>479</v>
      </c>
      <c r="B4113" s="944" t="s">
        <v>3901</v>
      </c>
      <c r="C4113" s="919" t="s">
        <v>3902</v>
      </c>
      <c r="D4113" s="919" t="s">
        <v>4502</v>
      </c>
      <c r="E4113" s="920">
        <v>1150</v>
      </c>
      <c r="F4113" s="919" t="s">
        <v>11179</v>
      </c>
      <c r="G4113" s="919" t="s">
        <v>11180</v>
      </c>
      <c r="H4113" s="919" t="s">
        <v>4502</v>
      </c>
      <c r="I4113" s="919" t="s">
        <v>3686</v>
      </c>
      <c r="J4113" s="919"/>
      <c r="K4113" s="920"/>
      <c r="L4113" s="920"/>
      <c r="M4113" s="920">
        <f t="shared" si="128"/>
        <v>0</v>
      </c>
      <c r="N4113" s="919">
        <v>1</v>
      </c>
      <c r="O4113" s="919">
        <v>4</v>
      </c>
      <c r="P4113" s="921">
        <f t="shared" si="129"/>
        <v>4600</v>
      </c>
    </row>
    <row r="4114" spans="1:16" ht="20.100000000000001" customHeight="1" x14ac:dyDescent="0.25">
      <c r="A4114" s="918" t="s">
        <v>479</v>
      </c>
      <c r="B4114" s="944" t="s">
        <v>3901</v>
      </c>
      <c r="C4114" s="919" t="s">
        <v>3902</v>
      </c>
      <c r="D4114" s="919" t="s">
        <v>4502</v>
      </c>
      <c r="E4114" s="920">
        <v>1150</v>
      </c>
      <c r="F4114" s="919" t="s">
        <v>11181</v>
      </c>
      <c r="G4114" s="919" t="s">
        <v>11182</v>
      </c>
      <c r="H4114" s="919" t="s">
        <v>4502</v>
      </c>
      <c r="I4114" s="919" t="s">
        <v>3686</v>
      </c>
      <c r="J4114" s="919"/>
      <c r="K4114" s="920"/>
      <c r="L4114" s="920"/>
      <c r="M4114" s="920">
        <f t="shared" si="128"/>
        <v>0</v>
      </c>
      <c r="N4114" s="919">
        <v>1</v>
      </c>
      <c r="O4114" s="919">
        <v>4</v>
      </c>
      <c r="P4114" s="921">
        <f t="shared" si="129"/>
        <v>4600</v>
      </c>
    </row>
    <row r="4115" spans="1:16" ht="20.100000000000001" customHeight="1" x14ac:dyDescent="0.25">
      <c r="A4115" s="918" t="s">
        <v>479</v>
      </c>
      <c r="B4115" s="944" t="s">
        <v>3901</v>
      </c>
      <c r="C4115" s="919" t="s">
        <v>3902</v>
      </c>
      <c r="D4115" s="919" t="s">
        <v>4502</v>
      </c>
      <c r="E4115" s="920">
        <v>1150</v>
      </c>
      <c r="F4115" s="919" t="s">
        <v>11183</v>
      </c>
      <c r="G4115" s="919" t="s">
        <v>11184</v>
      </c>
      <c r="H4115" s="919" t="s">
        <v>4502</v>
      </c>
      <c r="I4115" s="919" t="s">
        <v>3686</v>
      </c>
      <c r="J4115" s="919"/>
      <c r="K4115" s="920"/>
      <c r="L4115" s="920"/>
      <c r="M4115" s="920">
        <f t="shared" si="128"/>
        <v>0</v>
      </c>
      <c r="N4115" s="919">
        <v>1</v>
      </c>
      <c r="O4115" s="919">
        <v>4</v>
      </c>
      <c r="P4115" s="921">
        <f t="shared" si="129"/>
        <v>4600</v>
      </c>
    </row>
    <row r="4116" spans="1:16" ht="20.100000000000001" customHeight="1" x14ac:dyDescent="0.25">
      <c r="A4116" s="918" t="s">
        <v>479</v>
      </c>
      <c r="B4116" s="944" t="s">
        <v>3901</v>
      </c>
      <c r="C4116" s="919" t="s">
        <v>3902</v>
      </c>
      <c r="D4116" s="919" t="s">
        <v>4777</v>
      </c>
      <c r="E4116" s="920">
        <v>2000</v>
      </c>
      <c r="F4116" s="919" t="s">
        <v>11185</v>
      </c>
      <c r="G4116" s="919" t="s">
        <v>11186</v>
      </c>
      <c r="H4116" s="919" t="s">
        <v>4777</v>
      </c>
      <c r="I4116" s="919" t="s">
        <v>3679</v>
      </c>
      <c r="J4116" s="919"/>
      <c r="K4116" s="920"/>
      <c r="L4116" s="920"/>
      <c r="M4116" s="920">
        <f t="shared" si="128"/>
        <v>0</v>
      </c>
      <c r="N4116" s="919">
        <v>1</v>
      </c>
      <c r="O4116" s="919">
        <v>4</v>
      </c>
      <c r="P4116" s="921">
        <f t="shared" si="129"/>
        <v>8000</v>
      </c>
    </row>
    <row r="4117" spans="1:16" ht="20.100000000000001" customHeight="1" x14ac:dyDescent="0.25">
      <c r="A4117" s="918" t="s">
        <v>479</v>
      </c>
      <c r="B4117" s="944" t="s">
        <v>3901</v>
      </c>
      <c r="C4117" s="919" t="s">
        <v>3902</v>
      </c>
      <c r="D4117" s="919" t="s">
        <v>4774</v>
      </c>
      <c r="E4117" s="920">
        <v>2000</v>
      </c>
      <c r="F4117" s="919" t="s">
        <v>11187</v>
      </c>
      <c r="G4117" s="919" t="s">
        <v>11188</v>
      </c>
      <c r="H4117" s="919" t="s">
        <v>4774</v>
      </c>
      <c r="I4117" s="919" t="s">
        <v>3679</v>
      </c>
      <c r="J4117" s="919"/>
      <c r="K4117" s="920"/>
      <c r="L4117" s="920"/>
      <c r="M4117" s="920">
        <f t="shared" si="128"/>
        <v>0</v>
      </c>
      <c r="N4117" s="919">
        <v>1</v>
      </c>
      <c r="O4117" s="919">
        <v>4</v>
      </c>
      <c r="P4117" s="921">
        <f t="shared" si="129"/>
        <v>8000</v>
      </c>
    </row>
    <row r="4118" spans="1:16" ht="20.100000000000001" customHeight="1" x14ac:dyDescent="0.25">
      <c r="A4118" s="918" t="s">
        <v>479</v>
      </c>
      <c r="B4118" s="944" t="s">
        <v>3901</v>
      </c>
      <c r="C4118" s="919" t="s">
        <v>3902</v>
      </c>
      <c r="D4118" s="919" t="s">
        <v>4777</v>
      </c>
      <c r="E4118" s="920">
        <v>2000</v>
      </c>
      <c r="F4118" s="919" t="s">
        <v>11189</v>
      </c>
      <c r="G4118" s="919" t="s">
        <v>11190</v>
      </c>
      <c r="H4118" s="919" t="s">
        <v>4777</v>
      </c>
      <c r="I4118" s="919" t="s">
        <v>3679</v>
      </c>
      <c r="J4118" s="919"/>
      <c r="K4118" s="920"/>
      <c r="L4118" s="920"/>
      <c r="M4118" s="920">
        <f t="shared" si="128"/>
        <v>0</v>
      </c>
      <c r="N4118" s="919">
        <v>1</v>
      </c>
      <c r="O4118" s="919">
        <v>4</v>
      </c>
      <c r="P4118" s="921">
        <f t="shared" si="129"/>
        <v>8000</v>
      </c>
    </row>
    <row r="4119" spans="1:16" ht="20.100000000000001" customHeight="1" x14ac:dyDescent="0.25">
      <c r="A4119" s="918" t="s">
        <v>479</v>
      </c>
      <c r="B4119" s="944" t="s">
        <v>3901</v>
      </c>
      <c r="C4119" s="919" t="s">
        <v>3902</v>
      </c>
      <c r="D4119" s="919" t="s">
        <v>4774</v>
      </c>
      <c r="E4119" s="920">
        <v>2000</v>
      </c>
      <c r="F4119" s="919" t="s">
        <v>11191</v>
      </c>
      <c r="G4119" s="919" t="s">
        <v>11192</v>
      </c>
      <c r="H4119" s="919" t="s">
        <v>4774</v>
      </c>
      <c r="I4119" s="919" t="s">
        <v>3679</v>
      </c>
      <c r="J4119" s="919"/>
      <c r="K4119" s="920"/>
      <c r="L4119" s="920"/>
      <c r="M4119" s="920">
        <f t="shared" si="128"/>
        <v>0</v>
      </c>
      <c r="N4119" s="919">
        <v>1</v>
      </c>
      <c r="O4119" s="919">
        <v>4</v>
      </c>
      <c r="P4119" s="921">
        <f t="shared" si="129"/>
        <v>8000</v>
      </c>
    </row>
    <row r="4120" spans="1:16" ht="20.100000000000001" customHeight="1" x14ac:dyDescent="0.25">
      <c r="A4120" s="918" t="s">
        <v>479</v>
      </c>
      <c r="B4120" s="944" t="s">
        <v>3901</v>
      </c>
      <c r="C4120" s="919" t="s">
        <v>3902</v>
      </c>
      <c r="D4120" s="919" t="s">
        <v>4777</v>
      </c>
      <c r="E4120" s="920">
        <v>2000</v>
      </c>
      <c r="F4120" s="919" t="s">
        <v>11193</v>
      </c>
      <c r="G4120" s="919" t="s">
        <v>11194</v>
      </c>
      <c r="H4120" s="919" t="s">
        <v>4777</v>
      </c>
      <c r="I4120" s="919" t="s">
        <v>3679</v>
      </c>
      <c r="J4120" s="919"/>
      <c r="K4120" s="920"/>
      <c r="L4120" s="920"/>
      <c r="M4120" s="920">
        <f t="shared" si="128"/>
        <v>0</v>
      </c>
      <c r="N4120" s="919">
        <v>1</v>
      </c>
      <c r="O4120" s="919">
        <v>4</v>
      </c>
      <c r="P4120" s="921">
        <f t="shared" si="129"/>
        <v>8000</v>
      </c>
    </row>
    <row r="4121" spans="1:16" ht="20.100000000000001" customHeight="1" x14ac:dyDescent="0.25">
      <c r="A4121" s="918" t="s">
        <v>479</v>
      </c>
      <c r="B4121" s="944" t="s">
        <v>3901</v>
      </c>
      <c r="C4121" s="919" t="s">
        <v>3902</v>
      </c>
      <c r="D4121" s="919" t="s">
        <v>4777</v>
      </c>
      <c r="E4121" s="920">
        <v>2000</v>
      </c>
      <c r="F4121" s="919" t="s">
        <v>11195</v>
      </c>
      <c r="G4121" s="919" t="s">
        <v>11196</v>
      </c>
      <c r="H4121" s="919" t="s">
        <v>4777</v>
      </c>
      <c r="I4121" s="919" t="s">
        <v>3679</v>
      </c>
      <c r="J4121" s="919"/>
      <c r="K4121" s="920"/>
      <c r="L4121" s="920"/>
      <c r="M4121" s="920">
        <f t="shared" si="128"/>
        <v>0</v>
      </c>
      <c r="N4121" s="919">
        <v>1</v>
      </c>
      <c r="O4121" s="919">
        <v>3</v>
      </c>
      <c r="P4121" s="921">
        <f t="shared" si="129"/>
        <v>6000</v>
      </c>
    </row>
    <row r="4122" spans="1:16" ht="20.100000000000001" customHeight="1" x14ac:dyDescent="0.25">
      <c r="A4122" s="918" t="s">
        <v>479</v>
      </c>
      <c r="B4122" s="944" t="s">
        <v>3901</v>
      </c>
      <c r="C4122" s="919" t="s">
        <v>3902</v>
      </c>
      <c r="D4122" s="919" t="s">
        <v>4347</v>
      </c>
      <c r="E4122" s="920">
        <v>3000</v>
      </c>
      <c r="F4122" s="919" t="s">
        <v>11197</v>
      </c>
      <c r="G4122" s="919" t="s">
        <v>11198</v>
      </c>
      <c r="H4122" s="919" t="s">
        <v>4347</v>
      </c>
      <c r="I4122" s="919" t="s">
        <v>3679</v>
      </c>
      <c r="J4122" s="919"/>
      <c r="K4122" s="920"/>
      <c r="L4122" s="920"/>
      <c r="M4122" s="920">
        <f t="shared" si="128"/>
        <v>0</v>
      </c>
      <c r="N4122" s="919">
        <v>1</v>
      </c>
      <c r="O4122" s="919">
        <v>1</v>
      </c>
      <c r="P4122" s="921">
        <f t="shared" si="129"/>
        <v>3000</v>
      </c>
    </row>
    <row r="4123" spans="1:16" ht="20.100000000000001" customHeight="1" x14ac:dyDescent="0.25">
      <c r="A4123" s="918" t="s">
        <v>479</v>
      </c>
      <c r="B4123" s="944" t="s">
        <v>3901</v>
      </c>
      <c r="C4123" s="919" t="s">
        <v>3902</v>
      </c>
      <c r="D4123" s="919" t="s">
        <v>4820</v>
      </c>
      <c r="E4123" s="920">
        <v>2600</v>
      </c>
      <c r="F4123" s="919" t="s">
        <v>11199</v>
      </c>
      <c r="G4123" s="919" t="s">
        <v>11200</v>
      </c>
      <c r="H4123" s="919" t="s">
        <v>4820</v>
      </c>
      <c r="I4123" s="919" t="s">
        <v>3679</v>
      </c>
      <c r="J4123" s="919"/>
      <c r="K4123" s="920"/>
      <c r="L4123" s="920"/>
      <c r="M4123" s="920">
        <f t="shared" si="128"/>
        <v>0</v>
      </c>
      <c r="N4123" s="919">
        <v>1</v>
      </c>
      <c r="O4123" s="919">
        <v>4</v>
      </c>
      <c r="P4123" s="921">
        <f t="shared" si="129"/>
        <v>10400</v>
      </c>
    </row>
    <row r="4124" spans="1:16" ht="20.100000000000001" customHeight="1" x14ac:dyDescent="0.25">
      <c r="A4124" s="918" t="s">
        <v>479</v>
      </c>
      <c r="B4124" s="944" t="s">
        <v>3901</v>
      </c>
      <c r="C4124" s="919" t="s">
        <v>3902</v>
      </c>
      <c r="D4124" s="919" t="s">
        <v>4823</v>
      </c>
      <c r="E4124" s="920">
        <v>2600</v>
      </c>
      <c r="F4124" s="919" t="s">
        <v>11201</v>
      </c>
      <c r="G4124" s="919" t="s">
        <v>11202</v>
      </c>
      <c r="H4124" s="919" t="s">
        <v>4823</v>
      </c>
      <c r="I4124" s="919" t="s">
        <v>3679</v>
      </c>
      <c r="J4124" s="919"/>
      <c r="K4124" s="920"/>
      <c r="L4124" s="920"/>
      <c r="M4124" s="920">
        <f t="shared" si="128"/>
        <v>0</v>
      </c>
      <c r="N4124" s="919">
        <v>1</v>
      </c>
      <c r="O4124" s="919">
        <v>4</v>
      </c>
      <c r="P4124" s="921">
        <f t="shared" si="129"/>
        <v>10400</v>
      </c>
    </row>
    <row r="4125" spans="1:16" ht="20.100000000000001" customHeight="1" x14ac:dyDescent="0.25">
      <c r="A4125" s="918" t="s">
        <v>479</v>
      </c>
      <c r="B4125" s="944" t="s">
        <v>3901</v>
      </c>
      <c r="C4125" s="919" t="s">
        <v>3902</v>
      </c>
      <c r="D4125" s="919" t="s">
        <v>4823</v>
      </c>
      <c r="E4125" s="920">
        <v>2600</v>
      </c>
      <c r="F4125" s="919" t="s">
        <v>11203</v>
      </c>
      <c r="G4125" s="919" t="s">
        <v>11204</v>
      </c>
      <c r="H4125" s="919" t="s">
        <v>4823</v>
      </c>
      <c r="I4125" s="919" t="s">
        <v>3679</v>
      </c>
      <c r="J4125" s="919"/>
      <c r="K4125" s="920"/>
      <c r="L4125" s="920"/>
      <c r="M4125" s="920">
        <f t="shared" si="128"/>
        <v>0</v>
      </c>
      <c r="N4125" s="919">
        <v>1</v>
      </c>
      <c r="O4125" s="919">
        <v>4</v>
      </c>
      <c r="P4125" s="921">
        <f t="shared" si="129"/>
        <v>10400</v>
      </c>
    </row>
    <row r="4126" spans="1:16" ht="20.100000000000001" customHeight="1" x14ac:dyDescent="0.25">
      <c r="A4126" s="918" t="s">
        <v>479</v>
      </c>
      <c r="B4126" s="944" t="s">
        <v>3901</v>
      </c>
      <c r="C4126" s="919" t="s">
        <v>3902</v>
      </c>
      <c r="D4126" s="919" t="s">
        <v>4823</v>
      </c>
      <c r="E4126" s="920">
        <v>2600</v>
      </c>
      <c r="F4126" s="919" t="s">
        <v>11205</v>
      </c>
      <c r="G4126" s="919" t="s">
        <v>11206</v>
      </c>
      <c r="H4126" s="919" t="s">
        <v>4823</v>
      </c>
      <c r="I4126" s="919" t="s">
        <v>3679</v>
      </c>
      <c r="J4126" s="919"/>
      <c r="K4126" s="920"/>
      <c r="L4126" s="920"/>
      <c r="M4126" s="920">
        <f t="shared" si="128"/>
        <v>0</v>
      </c>
      <c r="N4126" s="919">
        <v>1</v>
      </c>
      <c r="O4126" s="919">
        <v>4</v>
      </c>
      <c r="P4126" s="921">
        <f t="shared" si="129"/>
        <v>10400</v>
      </c>
    </row>
    <row r="4127" spans="1:16" ht="20.100000000000001" customHeight="1" x14ac:dyDescent="0.25">
      <c r="A4127" s="918" t="s">
        <v>11905</v>
      </c>
      <c r="B4127" s="944" t="s">
        <v>3901</v>
      </c>
      <c r="C4127" s="919" t="s">
        <v>3902</v>
      </c>
      <c r="D4127" s="919" t="s">
        <v>6366</v>
      </c>
      <c r="E4127" s="920">
        <v>950</v>
      </c>
      <c r="F4127" s="919" t="s">
        <v>11207</v>
      </c>
      <c r="G4127" s="919" t="s">
        <v>11208</v>
      </c>
      <c r="H4127" s="919" t="s">
        <v>6366</v>
      </c>
      <c r="I4127" s="919" t="s">
        <v>3693</v>
      </c>
      <c r="J4127" s="919"/>
      <c r="K4127" s="920">
        <v>1</v>
      </c>
      <c r="L4127" s="920">
        <v>12</v>
      </c>
      <c r="M4127" s="920">
        <f t="shared" si="128"/>
        <v>11400</v>
      </c>
      <c r="N4127" s="919"/>
      <c r="O4127" s="919"/>
      <c r="P4127" s="921">
        <f t="shared" si="129"/>
        <v>0</v>
      </c>
    </row>
    <row r="4128" spans="1:16" ht="20.100000000000001" customHeight="1" x14ac:dyDescent="0.25">
      <c r="A4128" s="918" t="s">
        <v>11905</v>
      </c>
      <c r="B4128" s="944" t="s">
        <v>3901</v>
      </c>
      <c r="C4128" s="919" t="s">
        <v>3902</v>
      </c>
      <c r="D4128" s="919" t="s">
        <v>8344</v>
      </c>
      <c r="E4128" s="920">
        <v>1800</v>
      </c>
      <c r="F4128" s="919" t="s">
        <v>11209</v>
      </c>
      <c r="G4128" s="919" t="s">
        <v>11210</v>
      </c>
      <c r="H4128" s="919" t="s">
        <v>8344</v>
      </c>
      <c r="I4128" s="919" t="s">
        <v>3686</v>
      </c>
      <c r="J4128" s="919"/>
      <c r="K4128" s="920">
        <v>1</v>
      </c>
      <c r="L4128" s="920">
        <v>12</v>
      </c>
      <c r="M4128" s="920">
        <f t="shared" si="128"/>
        <v>21600</v>
      </c>
      <c r="N4128" s="919"/>
      <c r="O4128" s="919"/>
      <c r="P4128" s="921">
        <f t="shared" si="129"/>
        <v>0</v>
      </c>
    </row>
    <row r="4129" spans="1:16" ht="20.100000000000001" customHeight="1" x14ac:dyDescent="0.25">
      <c r="A4129" s="918" t="s">
        <v>11905</v>
      </c>
      <c r="B4129" s="944" t="s">
        <v>3901</v>
      </c>
      <c r="C4129" s="919" t="s">
        <v>3902</v>
      </c>
      <c r="D4129" s="919" t="s">
        <v>8344</v>
      </c>
      <c r="E4129" s="920">
        <v>1900</v>
      </c>
      <c r="F4129" s="919" t="s">
        <v>4041</v>
      </c>
      <c r="G4129" s="919" t="s">
        <v>4042</v>
      </c>
      <c r="H4129" s="919" t="s">
        <v>8344</v>
      </c>
      <c r="I4129" s="919" t="s">
        <v>3686</v>
      </c>
      <c r="J4129" s="919"/>
      <c r="K4129" s="920">
        <v>1</v>
      </c>
      <c r="L4129" s="920">
        <v>12</v>
      </c>
      <c r="M4129" s="920">
        <f t="shared" si="128"/>
        <v>22800</v>
      </c>
      <c r="N4129" s="919"/>
      <c r="O4129" s="919"/>
      <c r="P4129" s="921">
        <f t="shared" si="129"/>
        <v>0</v>
      </c>
    </row>
    <row r="4130" spans="1:16" ht="20.100000000000001" customHeight="1" x14ac:dyDescent="0.25">
      <c r="A4130" s="918" t="s">
        <v>11905</v>
      </c>
      <c r="B4130" s="944" t="s">
        <v>3901</v>
      </c>
      <c r="C4130" s="919" t="s">
        <v>3902</v>
      </c>
      <c r="D4130" s="919" t="s">
        <v>8502</v>
      </c>
      <c r="E4130" s="920">
        <v>950</v>
      </c>
      <c r="F4130" s="919" t="s">
        <v>4041</v>
      </c>
      <c r="G4130" s="919" t="s">
        <v>4042</v>
      </c>
      <c r="H4130" s="919" t="s">
        <v>8502</v>
      </c>
      <c r="I4130" s="919" t="s">
        <v>3679</v>
      </c>
      <c r="J4130" s="919"/>
      <c r="K4130" s="920">
        <v>1</v>
      </c>
      <c r="L4130" s="920">
        <v>12</v>
      </c>
      <c r="M4130" s="920">
        <f t="shared" si="128"/>
        <v>11400</v>
      </c>
      <c r="N4130" s="919"/>
      <c r="O4130" s="919"/>
      <c r="P4130" s="921">
        <f t="shared" si="129"/>
        <v>0</v>
      </c>
    </row>
    <row r="4131" spans="1:16" ht="20.100000000000001" customHeight="1" x14ac:dyDescent="0.25">
      <c r="A4131" s="918" t="s">
        <v>11905</v>
      </c>
      <c r="B4131" s="944" t="s">
        <v>3901</v>
      </c>
      <c r="C4131" s="919" t="s">
        <v>3902</v>
      </c>
      <c r="D4131" s="919" t="s">
        <v>8361</v>
      </c>
      <c r="E4131" s="920">
        <v>950</v>
      </c>
      <c r="F4131" s="919" t="s">
        <v>11211</v>
      </c>
      <c r="G4131" s="919" t="s">
        <v>11212</v>
      </c>
      <c r="H4131" s="919" t="s">
        <v>8361</v>
      </c>
      <c r="I4131" s="919" t="s">
        <v>3686</v>
      </c>
      <c r="J4131" s="919"/>
      <c r="K4131" s="920">
        <v>1</v>
      </c>
      <c r="L4131" s="920">
        <v>12</v>
      </c>
      <c r="M4131" s="920">
        <f t="shared" si="128"/>
        <v>11400</v>
      </c>
      <c r="N4131" s="919"/>
      <c r="O4131" s="919"/>
      <c r="P4131" s="921">
        <f t="shared" si="129"/>
        <v>0</v>
      </c>
    </row>
    <row r="4132" spans="1:16" ht="20.100000000000001" customHeight="1" x14ac:dyDescent="0.25">
      <c r="A4132" s="918" t="s">
        <v>11905</v>
      </c>
      <c r="B4132" s="944" t="s">
        <v>3901</v>
      </c>
      <c r="C4132" s="919" t="s">
        <v>3902</v>
      </c>
      <c r="D4132" s="919" t="s">
        <v>8344</v>
      </c>
      <c r="E4132" s="920">
        <v>1800</v>
      </c>
      <c r="F4132" s="919" t="s">
        <v>11213</v>
      </c>
      <c r="G4132" s="919" t="s">
        <v>11214</v>
      </c>
      <c r="H4132" s="919" t="s">
        <v>8344</v>
      </c>
      <c r="I4132" s="919" t="s">
        <v>3686</v>
      </c>
      <c r="J4132" s="919"/>
      <c r="K4132" s="920">
        <v>1</v>
      </c>
      <c r="L4132" s="920">
        <v>12</v>
      </c>
      <c r="M4132" s="920">
        <f t="shared" si="128"/>
        <v>21600</v>
      </c>
      <c r="N4132" s="919"/>
      <c r="O4132" s="919"/>
      <c r="P4132" s="921">
        <f t="shared" si="129"/>
        <v>0</v>
      </c>
    </row>
    <row r="4133" spans="1:16" ht="20.100000000000001" customHeight="1" x14ac:dyDescent="0.25">
      <c r="A4133" s="918" t="s">
        <v>11905</v>
      </c>
      <c r="B4133" s="944" t="s">
        <v>3901</v>
      </c>
      <c r="C4133" s="919" t="s">
        <v>3902</v>
      </c>
      <c r="D4133" s="919" t="s">
        <v>8361</v>
      </c>
      <c r="E4133" s="920">
        <v>950</v>
      </c>
      <c r="F4133" s="919" t="s">
        <v>11215</v>
      </c>
      <c r="G4133" s="919" t="s">
        <v>11216</v>
      </c>
      <c r="H4133" s="919" t="s">
        <v>8361</v>
      </c>
      <c r="I4133" s="919" t="s">
        <v>3686</v>
      </c>
      <c r="J4133" s="919"/>
      <c r="K4133" s="920">
        <v>1</v>
      </c>
      <c r="L4133" s="920">
        <v>12</v>
      </c>
      <c r="M4133" s="920">
        <f t="shared" si="128"/>
        <v>11400</v>
      </c>
      <c r="N4133" s="919"/>
      <c r="O4133" s="919"/>
      <c r="P4133" s="921">
        <f t="shared" si="129"/>
        <v>0</v>
      </c>
    </row>
    <row r="4134" spans="1:16" ht="20.100000000000001" customHeight="1" x14ac:dyDescent="0.25">
      <c r="A4134" s="918" t="s">
        <v>11905</v>
      </c>
      <c r="B4134" s="944" t="s">
        <v>3901</v>
      </c>
      <c r="C4134" s="919" t="s">
        <v>3902</v>
      </c>
      <c r="D4134" s="919" t="s">
        <v>8344</v>
      </c>
      <c r="E4134" s="920">
        <v>1800</v>
      </c>
      <c r="F4134" s="919" t="s">
        <v>11217</v>
      </c>
      <c r="G4134" s="919" t="s">
        <v>11218</v>
      </c>
      <c r="H4134" s="919" t="s">
        <v>8344</v>
      </c>
      <c r="I4134" s="919" t="s">
        <v>3686</v>
      </c>
      <c r="J4134" s="919"/>
      <c r="K4134" s="920">
        <v>1</v>
      </c>
      <c r="L4134" s="920">
        <v>12</v>
      </c>
      <c r="M4134" s="920">
        <f t="shared" si="128"/>
        <v>21600</v>
      </c>
      <c r="N4134" s="919"/>
      <c r="O4134" s="919"/>
      <c r="P4134" s="921">
        <f t="shared" si="129"/>
        <v>0</v>
      </c>
    </row>
    <row r="4135" spans="1:16" ht="20.100000000000001" customHeight="1" x14ac:dyDescent="0.25">
      <c r="A4135" s="918" t="s">
        <v>11905</v>
      </c>
      <c r="B4135" s="944" t="s">
        <v>3901</v>
      </c>
      <c r="C4135" s="919" t="s">
        <v>3902</v>
      </c>
      <c r="D4135" s="919" t="s">
        <v>6130</v>
      </c>
      <c r="E4135" s="920">
        <v>1800</v>
      </c>
      <c r="F4135" s="919" t="s">
        <v>11219</v>
      </c>
      <c r="G4135" s="919" t="s">
        <v>11220</v>
      </c>
      <c r="H4135" s="919" t="s">
        <v>6130</v>
      </c>
      <c r="I4135" s="919" t="s">
        <v>3686</v>
      </c>
      <c r="J4135" s="919"/>
      <c r="K4135" s="920">
        <v>1</v>
      </c>
      <c r="L4135" s="920">
        <v>12</v>
      </c>
      <c r="M4135" s="920">
        <f t="shared" si="128"/>
        <v>21600</v>
      </c>
      <c r="N4135" s="919"/>
      <c r="O4135" s="919"/>
      <c r="P4135" s="921">
        <f t="shared" si="129"/>
        <v>0</v>
      </c>
    </row>
    <row r="4136" spans="1:16" ht="20.100000000000001" customHeight="1" x14ac:dyDescent="0.25">
      <c r="A4136" s="918" t="s">
        <v>11905</v>
      </c>
      <c r="B4136" s="944" t="s">
        <v>3901</v>
      </c>
      <c r="C4136" s="919" t="s">
        <v>3902</v>
      </c>
      <c r="D4136" s="919" t="s">
        <v>6130</v>
      </c>
      <c r="E4136" s="920">
        <v>1900</v>
      </c>
      <c r="F4136" s="919" t="s">
        <v>11221</v>
      </c>
      <c r="G4136" s="919" t="s">
        <v>11222</v>
      </c>
      <c r="H4136" s="919" t="s">
        <v>6130</v>
      </c>
      <c r="I4136" s="919" t="s">
        <v>3686</v>
      </c>
      <c r="J4136" s="919"/>
      <c r="K4136" s="920">
        <v>1</v>
      </c>
      <c r="L4136" s="920">
        <v>12</v>
      </c>
      <c r="M4136" s="920">
        <f t="shared" si="128"/>
        <v>22800</v>
      </c>
      <c r="N4136" s="919"/>
      <c r="O4136" s="919"/>
      <c r="P4136" s="921">
        <f t="shared" si="129"/>
        <v>0</v>
      </c>
    </row>
    <row r="4137" spans="1:16" ht="20.100000000000001" customHeight="1" x14ac:dyDescent="0.25">
      <c r="A4137" s="918" t="s">
        <v>11905</v>
      </c>
      <c r="B4137" s="944" t="s">
        <v>3901</v>
      </c>
      <c r="C4137" s="919" t="s">
        <v>3902</v>
      </c>
      <c r="D4137" s="919" t="s">
        <v>6130</v>
      </c>
      <c r="E4137" s="920">
        <v>1800</v>
      </c>
      <c r="F4137" s="919" t="s">
        <v>11223</v>
      </c>
      <c r="G4137" s="919" t="s">
        <v>11224</v>
      </c>
      <c r="H4137" s="919" t="s">
        <v>6130</v>
      </c>
      <c r="I4137" s="919" t="s">
        <v>3686</v>
      </c>
      <c r="J4137" s="919"/>
      <c r="K4137" s="920">
        <v>1</v>
      </c>
      <c r="L4137" s="920">
        <v>12</v>
      </c>
      <c r="M4137" s="920">
        <f t="shared" si="128"/>
        <v>21600</v>
      </c>
      <c r="N4137" s="919"/>
      <c r="O4137" s="919"/>
      <c r="P4137" s="921">
        <f t="shared" si="129"/>
        <v>0</v>
      </c>
    </row>
    <row r="4138" spans="1:16" ht="20.100000000000001" customHeight="1" x14ac:dyDescent="0.25">
      <c r="A4138" s="918" t="s">
        <v>11905</v>
      </c>
      <c r="B4138" s="944" t="s">
        <v>3901</v>
      </c>
      <c r="C4138" s="919" t="s">
        <v>3902</v>
      </c>
      <c r="D4138" s="919" t="s">
        <v>4462</v>
      </c>
      <c r="E4138" s="920">
        <v>1800</v>
      </c>
      <c r="F4138" s="919" t="s">
        <v>11225</v>
      </c>
      <c r="G4138" s="919" t="s">
        <v>11226</v>
      </c>
      <c r="H4138" s="919" t="s">
        <v>4462</v>
      </c>
      <c r="I4138" s="919" t="s">
        <v>3686</v>
      </c>
      <c r="J4138" s="919"/>
      <c r="K4138" s="920">
        <v>1</v>
      </c>
      <c r="L4138" s="920">
        <v>12</v>
      </c>
      <c r="M4138" s="920">
        <f t="shared" si="128"/>
        <v>21600</v>
      </c>
      <c r="N4138" s="919"/>
      <c r="O4138" s="919"/>
      <c r="P4138" s="921">
        <f t="shared" si="129"/>
        <v>0</v>
      </c>
    </row>
    <row r="4139" spans="1:16" ht="20.100000000000001" customHeight="1" x14ac:dyDescent="0.25">
      <c r="A4139" s="918" t="s">
        <v>11905</v>
      </c>
      <c r="B4139" s="944" t="s">
        <v>3901</v>
      </c>
      <c r="C4139" s="919" t="s">
        <v>3902</v>
      </c>
      <c r="D4139" s="919" t="s">
        <v>8344</v>
      </c>
      <c r="E4139" s="920">
        <v>1900</v>
      </c>
      <c r="F4139" s="919" t="s">
        <v>11227</v>
      </c>
      <c r="G4139" s="919" t="s">
        <v>11228</v>
      </c>
      <c r="H4139" s="919" t="s">
        <v>8344</v>
      </c>
      <c r="I4139" s="919" t="s">
        <v>3686</v>
      </c>
      <c r="J4139" s="919"/>
      <c r="K4139" s="920">
        <v>1</v>
      </c>
      <c r="L4139" s="920">
        <v>12</v>
      </c>
      <c r="M4139" s="920">
        <f t="shared" si="128"/>
        <v>22800</v>
      </c>
      <c r="N4139" s="919"/>
      <c r="O4139" s="919"/>
      <c r="P4139" s="921">
        <f t="shared" si="129"/>
        <v>0</v>
      </c>
    </row>
    <row r="4140" spans="1:16" ht="20.100000000000001" customHeight="1" x14ac:dyDescent="0.25">
      <c r="A4140" s="918" t="s">
        <v>11905</v>
      </c>
      <c r="B4140" s="944" t="s">
        <v>3901</v>
      </c>
      <c r="C4140" s="919" t="s">
        <v>3902</v>
      </c>
      <c r="D4140" s="919" t="s">
        <v>6130</v>
      </c>
      <c r="E4140" s="920">
        <v>1900</v>
      </c>
      <c r="F4140" s="919" t="s">
        <v>11229</v>
      </c>
      <c r="G4140" s="919" t="s">
        <v>11230</v>
      </c>
      <c r="H4140" s="919" t="s">
        <v>6130</v>
      </c>
      <c r="I4140" s="919" t="s">
        <v>3686</v>
      </c>
      <c r="J4140" s="919"/>
      <c r="K4140" s="920">
        <v>1</v>
      </c>
      <c r="L4140" s="920">
        <v>12</v>
      </c>
      <c r="M4140" s="920">
        <f t="shared" si="128"/>
        <v>22800</v>
      </c>
      <c r="N4140" s="919"/>
      <c r="O4140" s="919"/>
      <c r="P4140" s="921">
        <f t="shared" si="129"/>
        <v>0</v>
      </c>
    </row>
    <row r="4141" spans="1:16" ht="20.100000000000001" customHeight="1" x14ac:dyDescent="0.25">
      <c r="A4141" s="918" t="s">
        <v>11905</v>
      </c>
      <c r="B4141" s="944" t="s">
        <v>3901</v>
      </c>
      <c r="C4141" s="919" t="s">
        <v>3902</v>
      </c>
      <c r="D4141" s="919" t="s">
        <v>6130</v>
      </c>
      <c r="E4141" s="920">
        <v>1800</v>
      </c>
      <c r="F4141" s="919" t="s">
        <v>11231</v>
      </c>
      <c r="G4141" s="919" t="s">
        <v>11232</v>
      </c>
      <c r="H4141" s="919" t="s">
        <v>6130</v>
      </c>
      <c r="I4141" s="919" t="s">
        <v>3686</v>
      </c>
      <c r="J4141" s="919"/>
      <c r="K4141" s="920">
        <v>1</v>
      </c>
      <c r="L4141" s="920">
        <v>12</v>
      </c>
      <c r="M4141" s="920">
        <f t="shared" si="128"/>
        <v>21600</v>
      </c>
      <c r="N4141" s="919"/>
      <c r="O4141" s="919"/>
      <c r="P4141" s="921">
        <f t="shared" si="129"/>
        <v>0</v>
      </c>
    </row>
    <row r="4142" spans="1:16" ht="20.100000000000001" customHeight="1" x14ac:dyDescent="0.25">
      <c r="A4142" s="918" t="s">
        <v>11905</v>
      </c>
      <c r="B4142" s="944" t="s">
        <v>3901</v>
      </c>
      <c r="C4142" s="919" t="s">
        <v>3902</v>
      </c>
      <c r="D4142" s="919" t="s">
        <v>6130</v>
      </c>
      <c r="E4142" s="920">
        <v>1800</v>
      </c>
      <c r="F4142" s="919" t="s">
        <v>11233</v>
      </c>
      <c r="G4142" s="919" t="s">
        <v>11234</v>
      </c>
      <c r="H4142" s="919" t="s">
        <v>6130</v>
      </c>
      <c r="I4142" s="919" t="s">
        <v>3686</v>
      </c>
      <c r="J4142" s="919"/>
      <c r="K4142" s="920">
        <v>1</v>
      </c>
      <c r="L4142" s="920">
        <v>12</v>
      </c>
      <c r="M4142" s="920">
        <f t="shared" si="128"/>
        <v>21600</v>
      </c>
      <c r="N4142" s="919"/>
      <c r="O4142" s="919"/>
      <c r="P4142" s="921">
        <f t="shared" si="129"/>
        <v>0</v>
      </c>
    </row>
    <row r="4143" spans="1:16" ht="20.100000000000001" customHeight="1" x14ac:dyDescent="0.25">
      <c r="A4143" s="918" t="s">
        <v>11905</v>
      </c>
      <c r="B4143" s="944" t="s">
        <v>3901</v>
      </c>
      <c r="C4143" s="919" t="s">
        <v>3902</v>
      </c>
      <c r="D4143" s="919" t="s">
        <v>4462</v>
      </c>
      <c r="E4143" s="920">
        <v>1900</v>
      </c>
      <c r="F4143" s="919" t="s">
        <v>11235</v>
      </c>
      <c r="G4143" s="919" t="s">
        <v>11236</v>
      </c>
      <c r="H4143" s="919" t="s">
        <v>4462</v>
      </c>
      <c r="I4143" s="919" t="s">
        <v>3686</v>
      </c>
      <c r="J4143" s="919"/>
      <c r="K4143" s="920">
        <v>1</v>
      </c>
      <c r="L4143" s="920">
        <v>12</v>
      </c>
      <c r="M4143" s="920">
        <f t="shared" si="128"/>
        <v>22800</v>
      </c>
      <c r="N4143" s="919"/>
      <c r="O4143" s="919"/>
      <c r="P4143" s="921">
        <f t="shared" si="129"/>
        <v>0</v>
      </c>
    </row>
    <row r="4144" spans="1:16" ht="20.100000000000001" customHeight="1" x14ac:dyDescent="0.25">
      <c r="A4144" s="918" t="s">
        <v>11905</v>
      </c>
      <c r="B4144" s="944" t="s">
        <v>3901</v>
      </c>
      <c r="C4144" s="919" t="s">
        <v>3902</v>
      </c>
      <c r="D4144" s="919" t="s">
        <v>4462</v>
      </c>
      <c r="E4144" s="920">
        <v>1800</v>
      </c>
      <c r="F4144" s="919" t="s">
        <v>11237</v>
      </c>
      <c r="G4144" s="919" t="s">
        <v>11238</v>
      </c>
      <c r="H4144" s="919" t="s">
        <v>4462</v>
      </c>
      <c r="I4144" s="919" t="s">
        <v>3686</v>
      </c>
      <c r="J4144" s="919"/>
      <c r="K4144" s="920">
        <v>1</v>
      </c>
      <c r="L4144" s="920">
        <v>12</v>
      </c>
      <c r="M4144" s="920">
        <f t="shared" si="128"/>
        <v>21600</v>
      </c>
      <c r="N4144" s="919"/>
      <c r="O4144" s="919"/>
      <c r="P4144" s="921">
        <f t="shared" si="129"/>
        <v>0</v>
      </c>
    </row>
    <row r="4145" spans="1:16" ht="20.100000000000001" customHeight="1" x14ac:dyDescent="0.25">
      <c r="A4145" s="918" t="s">
        <v>11905</v>
      </c>
      <c r="B4145" s="944" t="s">
        <v>3901</v>
      </c>
      <c r="C4145" s="919" t="s">
        <v>3902</v>
      </c>
      <c r="D4145" s="919" t="s">
        <v>7145</v>
      </c>
      <c r="E4145" s="920">
        <v>1800</v>
      </c>
      <c r="F4145" s="919" t="s">
        <v>4041</v>
      </c>
      <c r="G4145" s="919" t="s">
        <v>4042</v>
      </c>
      <c r="H4145" s="919" t="s">
        <v>7145</v>
      </c>
      <c r="I4145" s="919" t="s">
        <v>3686</v>
      </c>
      <c r="J4145" s="919"/>
      <c r="K4145" s="920">
        <v>1</v>
      </c>
      <c r="L4145" s="920">
        <v>12</v>
      </c>
      <c r="M4145" s="920">
        <f t="shared" si="128"/>
        <v>21600</v>
      </c>
      <c r="N4145" s="919"/>
      <c r="O4145" s="919"/>
      <c r="P4145" s="921">
        <f t="shared" si="129"/>
        <v>0</v>
      </c>
    </row>
    <row r="4146" spans="1:16" ht="20.100000000000001" customHeight="1" x14ac:dyDescent="0.25">
      <c r="A4146" s="918" t="s">
        <v>11905</v>
      </c>
      <c r="B4146" s="944" t="s">
        <v>3901</v>
      </c>
      <c r="C4146" s="919" t="s">
        <v>3902</v>
      </c>
      <c r="D4146" s="919" t="s">
        <v>7145</v>
      </c>
      <c r="E4146" s="920">
        <v>1800</v>
      </c>
      <c r="F4146" s="919" t="s">
        <v>11239</v>
      </c>
      <c r="G4146" s="919" t="s">
        <v>11240</v>
      </c>
      <c r="H4146" s="919" t="s">
        <v>7145</v>
      </c>
      <c r="I4146" s="919" t="s">
        <v>3686</v>
      </c>
      <c r="J4146" s="919"/>
      <c r="K4146" s="920">
        <v>1</v>
      </c>
      <c r="L4146" s="920">
        <v>12</v>
      </c>
      <c r="M4146" s="920">
        <f t="shared" si="128"/>
        <v>21600</v>
      </c>
      <c r="N4146" s="919"/>
      <c r="O4146" s="919"/>
      <c r="P4146" s="921">
        <f t="shared" si="129"/>
        <v>0</v>
      </c>
    </row>
    <row r="4147" spans="1:16" ht="20.100000000000001" customHeight="1" x14ac:dyDescent="0.25">
      <c r="A4147" s="918" t="s">
        <v>11905</v>
      </c>
      <c r="B4147" s="944" t="s">
        <v>3901</v>
      </c>
      <c r="C4147" s="919" t="s">
        <v>3902</v>
      </c>
      <c r="D4147" s="919" t="s">
        <v>3999</v>
      </c>
      <c r="E4147" s="920">
        <v>3000</v>
      </c>
      <c r="F4147" s="919" t="s">
        <v>11241</v>
      </c>
      <c r="G4147" s="919" t="s">
        <v>11242</v>
      </c>
      <c r="H4147" s="919" t="s">
        <v>3999</v>
      </c>
      <c r="I4147" s="919" t="s">
        <v>3724</v>
      </c>
      <c r="J4147" s="919"/>
      <c r="K4147" s="920">
        <v>1</v>
      </c>
      <c r="L4147" s="920">
        <v>12</v>
      </c>
      <c r="M4147" s="920">
        <f t="shared" si="128"/>
        <v>36000</v>
      </c>
      <c r="N4147" s="919"/>
      <c r="O4147" s="919"/>
      <c r="P4147" s="921">
        <f t="shared" si="129"/>
        <v>0</v>
      </c>
    </row>
    <row r="4148" spans="1:16" ht="20.100000000000001" customHeight="1" x14ac:dyDescent="0.25">
      <c r="A4148" s="918" t="s">
        <v>11905</v>
      </c>
      <c r="B4148" s="944" t="s">
        <v>3901</v>
      </c>
      <c r="C4148" s="919" t="s">
        <v>3902</v>
      </c>
      <c r="D4148" s="919" t="s">
        <v>6130</v>
      </c>
      <c r="E4148" s="920">
        <v>1900</v>
      </c>
      <c r="F4148" s="919" t="s">
        <v>11243</v>
      </c>
      <c r="G4148" s="919" t="s">
        <v>11244</v>
      </c>
      <c r="H4148" s="919" t="s">
        <v>6130</v>
      </c>
      <c r="I4148" s="919" t="s">
        <v>3686</v>
      </c>
      <c r="J4148" s="919"/>
      <c r="K4148" s="920">
        <v>1</v>
      </c>
      <c r="L4148" s="920">
        <v>12</v>
      </c>
      <c r="M4148" s="920">
        <f t="shared" si="128"/>
        <v>22800</v>
      </c>
      <c r="N4148" s="919"/>
      <c r="O4148" s="919"/>
      <c r="P4148" s="921">
        <f t="shared" si="129"/>
        <v>0</v>
      </c>
    </row>
    <row r="4149" spans="1:16" ht="20.100000000000001" customHeight="1" x14ac:dyDescent="0.25">
      <c r="A4149" s="918" t="s">
        <v>11905</v>
      </c>
      <c r="B4149" s="944" t="s">
        <v>3901</v>
      </c>
      <c r="C4149" s="919" t="s">
        <v>3902</v>
      </c>
      <c r="D4149" s="919" t="s">
        <v>8344</v>
      </c>
      <c r="E4149" s="920">
        <v>1800</v>
      </c>
      <c r="F4149" s="919" t="s">
        <v>11245</v>
      </c>
      <c r="G4149" s="919" t="s">
        <v>11246</v>
      </c>
      <c r="H4149" s="919" t="s">
        <v>8344</v>
      </c>
      <c r="I4149" s="919" t="s">
        <v>3686</v>
      </c>
      <c r="J4149" s="919"/>
      <c r="K4149" s="920">
        <v>1</v>
      </c>
      <c r="L4149" s="920">
        <v>12</v>
      </c>
      <c r="M4149" s="920">
        <f t="shared" si="128"/>
        <v>21600</v>
      </c>
      <c r="N4149" s="919"/>
      <c r="O4149" s="919"/>
      <c r="P4149" s="921">
        <f t="shared" si="129"/>
        <v>0</v>
      </c>
    </row>
    <row r="4150" spans="1:16" ht="20.100000000000001" customHeight="1" x14ac:dyDescent="0.25">
      <c r="A4150" s="918" t="s">
        <v>11905</v>
      </c>
      <c r="B4150" s="944" t="s">
        <v>3901</v>
      </c>
      <c r="C4150" s="919" t="s">
        <v>3902</v>
      </c>
      <c r="D4150" s="919" t="s">
        <v>6130</v>
      </c>
      <c r="E4150" s="920">
        <v>1900</v>
      </c>
      <c r="F4150" s="919" t="s">
        <v>11247</v>
      </c>
      <c r="G4150" s="919" t="s">
        <v>11248</v>
      </c>
      <c r="H4150" s="919" t="s">
        <v>6130</v>
      </c>
      <c r="I4150" s="919" t="s">
        <v>3686</v>
      </c>
      <c r="J4150" s="919"/>
      <c r="K4150" s="920">
        <v>1</v>
      </c>
      <c r="L4150" s="920">
        <v>12</v>
      </c>
      <c r="M4150" s="920">
        <f t="shared" si="128"/>
        <v>22800</v>
      </c>
      <c r="N4150" s="919"/>
      <c r="O4150" s="919"/>
      <c r="P4150" s="921">
        <f t="shared" si="129"/>
        <v>0</v>
      </c>
    </row>
    <row r="4151" spans="1:16" ht="20.100000000000001" customHeight="1" x14ac:dyDescent="0.25">
      <c r="A4151" s="918" t="s">
        <v>11905</v>
      </c>
      <c r="B4151" s="944" t="s">
        <v>3901</v>
      </c>
      <c r="C4151" s="919" t="s">
        <v>3902</v>
      </c>
      <c r="D4151" s="919" t="s">
        <v>3999</v>
      </c>
      <c r="E4151" s="920">
        <v>3000</v>
      </c>
      <c r="F4151" s="919" t="s">
        <v>11249</v>
      </c>
      <c r="G4151" s="919" t="s">
        <v>11250</v>
      </c>
      <c r="H4151" s="919" t="s">
        <v>3999</v>
      </c>
      <c r="I4151" s="919" t="s">
        <v>3724</v>
      </c>
      <c r="J4151" s="919"/>
      <c r="K4151" s="920">
        <v>1</v>
      </c>
      <c r="L4151" s="920">
        <v>12</v>
      </c>
      <c r="M4151" s="920">
        <f t="shared" si="128"/>
        <v>36000</v>
      </c>
      <c r="N4151" s="919"/>
      <c r="O4151" s="919"/>
      <c r="P4151" s="921">
        <f t="shared" si="129"/>
        <v>0</v>
      </c>
    </row>
    <row r="4152" spans="1:16" ht="20.100000000000001" customHeight="1" x14ac:dyDescent="0.25">
      <c r="A4152" s="918" t="s">
        <v>11905</v>
      </c>
      <c r="B4152" s="944" t="s">
        <v>3901</v>
      </c>
      <c r="C4152" s="919" t="s">
        <v>3902</v>
      </c>
      <c r="D4152" s="919" t="s">
        <v>4352</v>
      </c>
      <c r="E4152" s="920">
        <v>3000</v>
      </c>
      <c r="F4152" s="919" t="s">
        <v>11251</v>
      </c>
      <c r="G4152" s="919" t="s">
        <v>11252</v>
      </c>
      <c r="H4152" s="919" t="s">
        <v>4352</v>
      </c>
      <c r="I4152" s="919" t="s">
        <v>3724</v>
      </c>
      <c r="J4152" s="919"/>
      <c r="K4152" s="920">
        <v>1</v>
      </c>
      <c r="L4152" s="920">
        <v>12</v>
      </c>
      <c r="M4152" s="920">
        <f t="shared" si="128"/>
        <v>36000</v>
      </c>
      <c r="N4152" s="919"/>
      <c r="O4152" s="919"/>
      <c r="P4152" s="921">
        <f t="shared" si="129"/>
        <v>0</v>
      </c>
    </row>
    <row r="4153" spans="1:16" ht="20.100000000000001" customHeight="1" x14ac:dyDescent="0.25">
      <c r="A4153" s="918" t="s">
        <v>11905</v>
      </c>
      <c r="B4153" s="944" t="s">
        <v>3901</v>
      </c>
      <c r="C4153" s="919" t="s">
        <v>3902</v>
      </c>
      <c r="D4153" s="919" t="s">
        <v>4462</v>
      </c>
      <c r="E4153" s="920">
        <v>1900</v>
      </c>
      <c r="F4153" s="919" t="s">
        <v>4041</v>
      </c>
      <c r="G4153" s="919" t="s">
        <v>4042</v>
      </c>
      <c r="H4153" s="919" t="s">
        <v>4462</v>
      </c>
      <c r="I4153" s="919" t="s">
        <v>3686</v>
      </c>
      <c r="J4153" s="919"/>
      <c r="K4153" s="920">
        <v>1</v>
      </c>
      <c r="L4153" s="920">
        <v>12</v>
      </c>
      <c r="M4153" s="920">
        <f t="shared" si="128"/>
        <v>22800</v>
      </c>
      <c r="N4153" s="919"/>
      <c r="O4153" s="919"/>
      <c r="P4153" s="921">
        <f t="shared" si="129"/>
        <v>0</v>
      </c>
    </row>
    <row r="4154" spans="1:16" ht="20.100000000000001" customHeight="1" x14ac:dyDescent="0.25">
      <c r="A4154" s="918" t="s">
        <v>11905</v>
      </c>
      <c r="B4154" s="944" t="s">
        <v>3901</v>
      </c>
      <c r="C4154" s="919" t="s">
        <v>3902</v>
      </c>
      <c r="D4154" s="919" t="s">
        <v>8361</v>
      </c>
      <c r="E4154" s="920">
        <v>950</v>
      </c>
      <c r="F4154" s="919" t="s">
        <v>11253</v>
      </c>
      <c r="G4154" s="919" t="s">
        <v>11254</v>
      </c>
      <c r="H4154" s="919" t="s">
        <v>8361</v>
      </c>
      <c r="I4154" s="919" t="s">
        <v>3686</v>
      </c>
      <c r="J4154" s="919"/>
      <c r="K4154" s="920">
        <v>1</v>
      </c>
      <c r="L4154" s="920">
        <v>12</v>
      </c>
      <c r="M4154" s="920">
        <f t="shared" si="128"/>
        <v>11400</v>
      </c>
      <c r="N4154" s="919"/>
      <c r="O4154" s="919"/>
      <c r="P4154" s="921">
        <f t="shared" si="129"/>
        <v>0</v>
      </c>
    </row>
    <row r="4155" spans="1:16" ht="20.100000000000001" customHeight="1" x14ac:dyDescent="0.25">
      <c r="A4155" s="918" t="s">
        <v>11905</v>
      </c>
      <c r="B4155" s="944" t="s">
        <v>3901</v>
      </c>
      <c r="C4155" s="919" t="s">
        <v>3902</v>
      </c>
      <c r="D4155" s="919" t="s">
        <v>8361</v>
      </c>
      <c r="E4155" s="920">
        <v>950</v>
      </c>
      <c r="F4155" s="919" t="s">
        <v>11255</v>
      </c>
      <c r="G4155" s="919" t="s">
        <v>11256</v>
      </c>
      <c r="H4155" s="919" t="s">
        <v>8361</v>
      </c>
      <c r="I4155" s="919" t="s">
        <v>3686</v>
      </c>
      <c r="J4155" s="919"/>
      <c r="K4155" s="920">
        <v>1</v>
      </c>
      <c r="L4155" s="920">
        <v>12</v>
      </c>
      <c r="M4155" s="920">
        <f t="shared" si="128"/>
        <v>11400</v>
      </c>
      <c r="N4155" s="919"/>
      <c r="O4155" s="919"/>
      <c r="P4155" s="921">
        <f t="shared" si="129"/>
        <v>0</v>
      </c>
    </row>
    <row r="4156" spans="1:16" ht="20.100000000000001" customHeight="1" x14ac:dyDescent="0.25">
      <c r="A4156" s="918" t="s">
        <v>11905</v>
      </c>
      <c r="B4156" s="944" t="s">
        <v>3901</v>
      </c>
      <c r="C4156" s="919" t="s">
        <v>3902</v>
      </c>
      <c r="D4156" s="919" t="s">
        <v>4462</v>
      </c>
      <c r="E4156" s="920">
        <v>1900</v>
      </c>
      <c r="F4156" s="919" t="s">
        <v>11257</v>
      </c>
      <c r="G4156" s="919" t="s">
        <v>11258</v>
      </c>
      <c r="H4156" s="919" t="s">
        <v>4462</v>
      </c>
      <c r="I4156" s="919" t="s">
        <v>3686</v>
      </c>
      <c r="J4156" s="919"/>
      <c r="K4156" s="920">
        <v>1</v>
      </c>
      <c r="L4156" s="920">
        <v>12</v>
      </c>
      <c r="M4156" s="920">
        <f t="shared" si="128"/>
        <v>22800</v>
      </c>
      <c r="N4156" s="919"/>
      <c r="O4156" s="919"/>
      <c r="P4156" s="921">
        <f t="shared" si="129"/>
        <v>0</v>
      </c>
    </row>
    <row r="4157" spans="1:16" ht="20.100000000000001" customHeight="1" x14ac:dyDescent="0.25">
      <c r="A4157" s="918" t="s">
        <v>11905</v>
      </c>
      <c r="B4157" s="944" t="s">
        <v>3901</v>
      </c>
      <c r="C4157" s="919" t="s">
        <v>3902</v>
      </c>
      <c r="D4157" s="919" t="s">
        <v>8361</v>
      </c>
      <c r="E4157" s="920">
        <v>950</v>
      </c>
      <c r="F4157" s="919" t="s">
        <v>11259</v>
      </c>
      <c r="G4157" s="919" t="s">
        <v>11260</v>
      </c>
      <c r="H4157" s="919" t="s">
        <v>8361</v>
      </c>
      <c r="I4157" s="919" t="s">
        <v>3686</v>
      </c>
      <c r="J4157" s="919"/>
      <c r="K4157" s="920">
        <v>1</v>
      </c>
      <c r="L4157" s="920">
        <v>12</v>
      </c>
      <c r="M4157" s="920">
        <f t="shared" si="128"/>
        <v>11400</v>
      </c>
      <c r="N4157" s="919"/>
      <c r="O4157" s="919"/>
      <c r="P4157" s="921">
        <f t="shared" si="129"/>
        <v>0</v>
      </c>
    </row>
    <row r="4158" spans="1:16" ht="20.100000000000001" customHeight="1" x14ac:dyDescent="0.25">
      <c r="A4158" s="918" t="s">
        <v>11905</v>
      </c>
      <c r="B4158" s="944" t="s">
        <v>3901</v>
      </c>
      <c r="C4158" s="919" t="s">
        <v>3902</v>
      </c>
      <c r="D4158" s="919" t="s">
        <v>8361</v>
      </c>
      <c r="E4158" s="920">
        <v>950</v>
      </c>
      <c r="F4158" s="919" t="s">
        <v>11261</v>
      </c>
      <c r="G4158" s="919" t="s">
        <v>11262</v>
      </c>
      <c r="H4158" s="919" t="s">
        <v>8361</v>
      </c>
      <c r="I4158" s="919" t="s">
        <v>3686</v>
      </c>
      <c r="J4158" s="919"/>
      <c r="K4158" s="920">
        <v>1</v>
      </c>
      <c r="L4158" s="920">
        <v>12</v>
      </c>
      <c r="M4158" s="920">
        <f t="shared" si="128"/>
        <v>11400</v>
      </c>
      <c r="N4158" s="919"/>
      <c r="O4158" s="919"/>
      <c r="P4158" s="921">
        <f t="shared" si="129"/>
        <v>0</v>
      </c>
    </row>
    <row r="4159" spans="1:16" ht="20.100000000000001" customHeight="1" x14ac:dyDescent="0.25">
      <c r="A4159" s="918" t="s">
        <v>11905</v>
      </c>
      <c r="B4159" s="944" t="s">
        <v>3901</v>
      </c>
      <c r="C4159" s="919" t="s">
        <v>3902</v>
      </c>
      <c r="D4159" s="919" t="s">
        <v>6130</v>
      </c>
      <c r="E4159" s="920">
        <v>1800</v>
      </c>
      <c r="F4159" s="919" t="s">
        <v>11263</v>
      </c>
      <c r="G4159" s="919" t="s">
        <v>11264</v>
      </c>
      <c r="H4159" s="919" t="s">
        <v>6130</v>
      </c>
      <c r="I4159" s="919" t="s">
        <v>3686</v>
      </c>
      <c r="J4159" s="919"/>
      <c r="K4159" s="920">
        <v>1</v>
      </c>
      <c r="L4159" s="920">
        <v>12</v>
      </c>
      <c r="M4159" s="920">
        <f t="shared" si="128"/>
        <v>21600</v>
      </c>
      <c r="N4159" s="919"/>
      <c r="O4159" s="919"/>
      <c r="P4159" s="921">
        <f t="shared" si="129"/>
        <v>0</v>
      </c>
    </row>
    <row r="4160" spans="1:16" ht="20.100000000000001" customHeight="1" x14ac:dyDescent="0.25">
      <c r="A4160" s="918" t="s">
        <v>11905</v>
      </c>
      <c r="B4160" s="944" t="s">
        <v>3901</v>
      </c>
      <c r="C4160" s="919" t="s">
        <v>3902</v>
      </c>
      <c r="D4160" s="919" t="s">
        <v>4462</v>
      </c>
      <c r="E4160" s="920">
        <v>1900</v>
      </c>
      <c r="F4160" s="919" t="s">
        <v>11265</v>
      </c>
      <c r="G4160" s="919" t="s">
        <v>11266</v>
      </c>
      <c r="H4160" s="919" t="s">
        <v>4462</v>
      </c>
      <c r="I4160" s="919" t="s">
        <v>3686</v>
      </c>
      <c r="J4160" s="919"/>
      <c r="K4160" s="920">
        <v>1</v>
      </c>
      <c r="L4160" s="920">
        <v>12</v>
      </c>
      <c r="M4160" s="920">
        <f t="shared" si="128"/>
        <v>22800</v>
      </c>
      <c r="N4160" s="919"/>
      <c r="O4160" s="919"/>
      <c r="P4160" s="921">
        <f t="shared" si="129"/>
        <v>0</v>
      </c>
    </row>
    <row r="4161" spans="1:16" ht="20.100000000000001" customHeight="1" x14ac:dyDescent="0.25">
      <c r="A4161" s="918" t="s">
        <v>11905</v>
      </c>
      <c r="B4161" s="944" t="s">
        <v>3901</v>
      </c>
      <c r="C4161" s="919" t="s">
        <v>3902</v>
      </c>
      <c r="D4161" s="919" t="s">
        <v>8361</v>
      </c>
      <c r="E4161" s="920">
        <v>950</v>
      </c>
      <c r="F4161" s="919" t="s">
        <v>11267</v>
      </c>
      <c r="G4161" s="919" t="s">
        <v>11268</v>
      </c>
      <c r="H4161" s="919" t="s">
        <v>8361</v>
      </c>
      <c r="I4161" s="919" t="s">
        <v>3686</v>
      </c>
      <c r="J4161" s="919"/>
      <c r="K4161" s="920">
        <v>1</v>
      </c>
      <c r="L4161" s="920">
        <v>12</v>
      </c>
      <c r="M4161" s="920">
        <f t="shared" si="128"/>
        <v>11400</v>
      </c>
      <c r="N4161" s="919"/>
      <c r="O4161" s="919"/>
      <c r="P4161" s="921">
        <f t="shared" si="129"/>
        <v>0</v>
      </c>
    </row>
    <row r="4162" spans="1:16" ht="20.100000000000001" customHeight="1" x14ac:dyDescent="0.25">
      <c r="A4162" s="918" t="s">
        <v>11905</v>
      </c>
      <c r="B4162" s="944" t="s">
        <v>3901</v>
      </c>
      <c r="C4162" s="919" t="s">
        <v>3902</v>
      </c>
      <c r="D4162" s="919" t="s">
        <v>4462</v>
      </c>
      <c r="E4162" s="920">
        <v>1800</v>
      </c>
      <c r="F4162" s="919" t="s">
        <v>4041</v>
      </c>
      <c r="G4162" s="919" t="s">
        <v>4042</v>
      </c>
      <c r="H4162" s="919" t="s">
        <v>4462</v>
      </c>
      <c r="I4162" s="919" t="s">
        <v>3686</v>
      </c>
      <c r="J4162" s="919"/>
      <c r="K4162" s="920">
        <v>1</v>
      </c>
      <c r="L4162" s="920">
        <v>12</v>
      </c>
      <c r="M4162" s="920">
        <f t="shared" si="128"/>
        <v>21600</v>
      </c>
      <c r="N4162" s="919"/>
      <c r="O4162" s="919"/>
      <c r="P4162" s="921">
        <f t="shared" si="129"/>
        <v>0</v>
      </c>
    </row>
    <row r="4163" spans="1:16" ht="20.100000000000001" customHeight="1" x14ac:dyDescent="0.25">
      <c r="A4163" s="918" t="s">
        <v>11905</v>
      </c>
      <c r="B4163" s="944" t="s">
        <v>3901</v>
      </c>
      <c r="C4163" s="919" t="s">
        <v>3902</v>
      </c>
      <c r="D4163" s="919" t="s">
        <v>4462</v>
      </c>
      <c r="E4163" s="920">
        <v>1900</v>
      </c>
      <c r="F4163" s="919" t="s">
        <v>4041</v>
      </c>
      <c r="G4163" s="919" t="s">
        <v>4042</v>
      </c>
      <c r="H4163" s="919" t="s">
        <v>4462</v>
      </c>
      <c r="I4163" s="919" t="s">
        <v>3686</v>
      </c>
      <c r="J4163" s="919"/>
      <c r="K4163" s="920">
        <v>1</v>
      </c>
      <c r="L4163" s="920">
        <v>12</v>
      </c>
      <c r="M4163" s="920">
        <f t="shared" si="128"/>
        <v>22800</v>
      </c>
      <c r="N4163" s="919"/>
      <c r="O4163" s="919"/>
      <c r="P4163" s="921">
        <f t="shared" si="129"/>
        <v>0</v>
      </c>
    </row>
    <row r="4164" spans="1:16" ht="20.100000000000001" customHeight="1" x14ac:dyDescent="0.25">
      <c r="A4164" s="918" t="s">
        <v>11905</v>
      </c>
      <c r="B4164" s="944" t="s">
        <v>3901</v>
      </c>
      <c r="C4164" s="919" t="s">
        <v>3902</v>
      </c>
      <c r="D4164" s="919" t="s">
        <v>4352</v>
      </c>
      <c r="E4164" s="920">
        <v>3000</v>
      </c>
      <c r="F4164" s="919" t="s">
        <v>11269</v>
      </c>
      <c r="G4164" s="919" t="s">
        <v>11270</v>
      </c>
      <c r="H4164" s="919" t="s">
        <v>4352</v>
      </c>
      <c r="I4164" s="919" t="s">
        <v>3724</v>
      </c>
      <c r="J4164" s="919"/>
      <c r="K4164" s="920">
        <v>1</v>
      </c>
      <c r="L4164" s="920">
        <v>12</v>
      </c>
      <c r="M4164" s="920">
        <f t="shared" si="128"/>
        <v>36000</v>
      </c>
      <c r="N4164" s="919"/>
      <c r="O4164" s="919"/>
      <c r="P4164" s="921">
        <f t="shared" si="129"/>
        <v>0</v>
      </c>
    </row>
    <row r="4165" spans="1:16" ht="20.100000000000001" customHeight="1" x14ac:dyDescent="0.25">
      <c r="A4165" s="918" t="s">
        <v>11905</v>
      </c>
      <c r="B4165" s="944" t="s">
        <v>3901</v>
      </c>
      <c r="C4165" s="919" t="s">
        <v>3902</v>
      </c>
      <c r="D4165" s="919" t="s">
        <v>4462</v>
      </c>
      <c r="E4165" s="920">
        <v>1800</v>
      </c>
      <c r="F4165" s="919" t="s">
        <v>4041</v>
      </c>
      <c r="G4165" s="919" t="s">
        <v>4042</v>
      </c>
      <c r="H4165" s="919" t="s">
        <v>4462</v>
      </c>
      <c r="I4165" s="919" t="s">
        <v>3686</v>
      </c>
      <c r="J4165" s="919"/>
      <c r="K4165" s="920">
        <v>1</v>
      </c>
      <c r="L4165" s="920">
        <v>12</v>
      </c>
      <c r="M4165" s="920">
        <f t="shared" si="128"/>
        <v>21600</v>
      </c>
      <c r="N4165" s="919"/>
      <c r="O4165" s="919"/>
      <c r="P4165" s="921">
        <f t="shared" si="129"/>
        <v>0</v>
      </c>
    </row>
    <row r="4166" spans="1:16" ht="20.100000000000001" customHeight="1" x14ac:dyDescent="0.25">
      <c r="A4166" s="918" t="s">
        <v>11905</v>
      </c>
      <c r="B4166" s="944" t="s">
        <v>3901</v>
      </c>
      <c r="C4166" s="919" t="s">
        <v>3902</v>
      </c>
      <c r="D4166" s="919" t="s">
        <v>3999</v>
      </c>
      <c r="E4166" s="920">
        <v>3000</v>
      </c>
      <c r="F4166" s="919" t="s">
        <v>11271</v>
      </c>
      <c r="G4166" s="919" t="s">
        <v>11272</v>
      </c>
      <c r="H4166" s="919" t="s">
        <v>3999</v>
      </c>
      <c r="I4166" s="919" t="s">
        <v>3724</v>
      </c>
      <c r="J4166" s="919"/>
      <c r="K4166" s="920">
        <v>1</v>
      </c>
      <c r="L4166" s="920">
        <v>12</v>
      </c>
      <c r="M4166" s="920">
        <f t="shared" ref="M4166:M4229" si="130">E4166*L4166</f>
        <v>36000</v>
      </c>
      <c r="N4166" s="919"/>
      <c r="O4166" s="919"/>
      <c r="P4166" s="921">
        <f t="shared" ref="P4166:P4229" si="131">E4166*O4166</f>
        <v>0</v>
      </c>
    </row>
    <row r="4167" spans="1:16" ht="20.100000000000001" customHeight="1" x14ac:dyDescent="0.25">
      <c r="A4167" s="918" t="s">
        <v>11905</v>
      </c>
      <c r="B4167" s="944" t="s">
        <v>3901</v>
      </c>
      <c r="C4167" s="919" t="s">
        <v>3902</v>
      </c>
      <c r="D4167" s="919" t="s">
        <v>4462</v>
      </c>
      <c r="E4167" s="920">
        <v>1900</v>
      </c>
      <c r="F4167" s="919" t="s">
        <v>11273</v>
      </c>
      <c r="G4167" s="919" t="s">
        <v>11274</v>
      </c>
      <c r="H4167" s="919" t="s">
        <v>4462</v>
      </c>
      <c r="I4167" s="919" t="s">
        <v>3686</v>
      </c>
      <c r="J4167" s="919"/>
      <c r="K4167" s="920">
        <v>1</v>
      </c>
      <c r="L4167" s="920">
        <v>12</v>
      </c>
      <c r="M4167" s="920">
        <f t="shared" si="130"/>
        <v>22800</v>
      </c>
      <c r="N4167" s="919"/>
      <c r="O4167" s="919"/>
      <c r="P4167" s="921">
        <f t="shared" si="131"/>
        <v>0</v>
      </c>
    </row>
    <row r="4168" spans="1:16" ht="20.100000000000001" customHeight="1" x14ac:dyDescent="0.25">
      <c r="A4168" s="918" t="s">
        <v>11905</v>
      </c>
      <c r="B4168" s="944" t="s">
        <v>3901</v>
      </c>
      <c r="C4168" s="919" t="s">
        <v>3902</v>
      </c>
      <c r="D4168" s="919" t="s">
        <v>4383</v>
      </c>
      <c r="E4168" s="920">
        <v>3000</v>
      </c>
      <c r="F4168" s="919" t="s">
        <v>4041</v>
      </c>
      <c r="G4168" s="919" t="s">
        <v>4042</v>
      </c>
      <c r="H4168" s="919" t="s">
        <v>4383</v>
      </c>
      <c r="I4168" s="919" t="s">
        <v>3724</v>
      </c>
      <c r="J4168" s="919"/>
      <c r="K4168" s="920">
        <v>1</v>
      </c>
      <c r="L4168" s="920">
        <v>12</v>
      </c>
      <c r="M4168" s="920">
        <f t="shared" si="130"/>
        <v>36000</v>
      </c>
      <c r="N4168" s="919"/>
      <c r="O4168" s="919"/>
      <c r="P4168" s="921">
        <f t="shared" si="131"/>
        <v>0</v>
      </c>
    </row>
    <row r="4169" spans="1:16" ht="20.100000000000001" customHeight="1" x14ac:dyDescent="0.25">
      <c r="A4169" s="918" t="s">
        <v>11905</v>
      </c>
      <c r="B4169" s="944" t="s">
        <v>3901</v>
      </c>
      <c r="C4169" s="919" t="s">
        <v>3902</v>
      </c>
      <c r="D4169" s="919" t="s">
        <v>3999</v>
      </c>
      <c r="E4169" s="920">
        <v>2700</v>
      </c>
      <c r="F4169" s="919" t="s">
        <v>11275</v>
      </c>
      <c r="G4169" s="919" t="s">
        <v>11276</v>
      </c>
      <c r="H4169" s="919" t="s">
        <v>3999</v>
      </c>
      <c r="I4169" s="919" t="s">
        <v>3724</v>
      </c>
      <c r="J4169" s="919"/>
      <c r="K4169" s="920">
        <v>1</v>
      </c>
      <c r="L4169" s="920">
        <v>12</v>
      </c>
      <c r="M4169" s="920">
        <f t="shared" si="130"/>
        <v>32400</v>
      </c>
      <c r="N4169" s="919"/>
      <c r="O4169" s="919"/>
      <c r="P4169" s="921">
        <f t="shared" si="131"/>
        <v>0</v>
      </c>
    </row>
    <row r="4170" spans="1:16" ht="20.100000000000001" customHeight="1" x14ac:dyDescent="0.25">
      <c r="A4170" s="918" t="s">
        <v>11905</v>
      </c>
      <c r="B4170" s="944" t="s">
        <v>3901</v>
      </c>
      <c r="C4170" s="919" t="s">
        <v>3902</v>
      </c>
      <c r="D4170" s="919" t="s">
        <v>4352</v>
      </c>
      <c r="E4170" s="920">
        <v>3000</v>
      </c>
      <c r="F4170" s="919" t="s">
        <v>4041</v>
      </c>
      <c r="G4170" s="919" t="s">
        <v>4042</v>
      </c>
      <c r="H4170" s="919" t="s">
        <v>4352</v>
      </c>
      <c r="I4170" s="919" t="s">
        <v>3724</v>
      </c>
      <c r="J4170" s="919"/>
      <c r="K4170" s="920">
        <v>1</v>
      </c>
      <c r="L4170" s="920">
        <v>12</v>
      </c>
      <c r="M4170" s="920">
        <f t="shared" si="130"/>
        <v>36000</v>
      </c>
      <c r="N4170" s="919"/>
      <c r="O4170" s="919"/>
      <c r="P4170" s="921">
        <f t="shared" si="131"/>
        <v>0</v>
      </c>
    </row>
    <row r="4171" spans="1:16" ht="20.100000000000001" customHeight="1" x14ac:dyDescent="0.25">
      <c r="A4171" s="918" t="s">
        <v>11905</v>
      </c>
      <c r="B4171" s="944" t="s">
        <v>3901</v>
      </c>
      <c r="C4171" s="919" t="s">
        <v>3902</v>
      </c>
      <c r="D4171" s="919" t="s">
        <v>8361</v>
      </c>
      <c r="E4171" s="920">
        <v>950</v>
      </c>
      <c r="F4171" s="919" t="s">
        <v>11277</v>
      </c>
      <c r="G4171" s="919" t="s">
        <v>11278</v>
      </c>
      <c r="H4171" s="919" t="s">
        <v>8361</v>
      </c>
      <c r="I4171" s="919" t="s">
        <v>3686</v>
      </c>
      <c r="J4171" s="919"/>
      <c r="K4171" s="920">
        <v>1</v>
      </c>
      <c r="L4171" s="920">
        <v>12</v>
      </c>
      <c r="M4171" s="920">
        <f t="shared" si="130"/>
        <v>11400</v>
      </c>
      <c r="N4171" s="919"/>
      <c r="O4171" s="919"/>
      <c r="P4171" s="921">
        <f t="shared" si="131"/>
        <v>0</v>
      </c>
    </row>
    <row r="4172" spans="1:16" ht="20.100000000000001" customHeight="1" x14ac:dyDescent="0.25">
      <c r="A4172" s="918" t="s">
        <v>11905</v>
      </c>
      <c r="B4172" s="944" t="s">
        <v>3901</v>
      </c>
      <c r="C4172" s="919" t="s">
        <v>3902</v>
      </c>
      <c r="D4172" s="919" t="s">
        <v>8344</v>
      </c>
      <c r="E4172" s="920">
        <v>1900</v>
      </c>
      <c r="F4172" s="919" t="s">
        <v>4041</v>
      </c>
      <c r="G4172" s="919" t="s">
        <v>4042</v>
      </c>
      <c r="H4172" s="919" t="s">
        <v>8344</v>
      </c>
      <c r="I4172" s="919" t="s">
        <v>3686</v>
      </c>
      <c r="J4172" s="919"/>
      <c r="K4172" s="920">
        <v>1</v>
      </c>
      <c r="L4172" s="920">
        <v>12</v>
      </c>
      <c r="M4172" s="920">
        <f t="shared" si="130"/>
        <v>22800</v>
      </c>
      <c r="N4172" s="919"/>
      <c r="O4172" s="919"/>
      <c r="P4172" s="921">
        <f t="shared" si="131"/>
        <v>0</v>
      </c>
    </row>
    <row r="4173" spans="1:16" ht="20.100000000000001" customHeight="1" x14ac:dyDescent="0.25">
      <c r="A4173" s="918" t="s">
        <v>11905</v>
      </c>
      <c r="B4173" s="944" t="s">
        <v>3901</v>
      </c>
      <c r="C4173" s="919" t="s">
        <v>3902</v>
      </c>
      <c r="D4173" s="919" t="s">
        <v>3999</v>
      </c>
      <c r="E4173" s="920">
        <v>3000</v>
      </c>
      <c r="F4173" s="919" t="s">
        <v>11279</v>
      </c>
      <c r="G4173" s="919" t="s">
        <v>11280</v>
      </c>
      <c r="H4173" s="919" t="s">
        <v>3999</v>
      </c>
      <c r="I4173" s="919" t="s">
        <v>3724</v>
      </c>
      <c r="J4173" s="919"/>
      <c r="K4173" s="920">
        <v>1</v>
      </c>
      <c r="L4173" s="920">
        <v>12</v>
      </c>
      <c r="M4173" s="920">
        <f t="shared" si="130"/>
        <v>36000</v>
      </c>
      <c r="N4173" s="919"/>
      <c r="O4173" s="919"/>
      <c r="P4173" s="921">
        <f t="shared" si="131"/>
        <v>0</v>
      </c>
    </row>
    <row r="4174" spans="1:16" ht="20.100000000000001" customHeight="1" x14ac:dyDescent="0.25">
      <c r="A4174" s="918" t="s">
        <v>11905</v>
      </c>
      <c r="B4174" s="944" t="s">
        <v>3901</v>
      </c>
      <c r="C4174" s="919" t="s">
        <v>3902</v>
      </c>
      <c r="D4174" s="919" t="s">
        <v>3999</v>
      </c>
      <c r="E4174" s="920">
        <v>2700</v>
      </c>
      <c r="F4174" s="919" t="s">
        <v>4041</v>
      </c>
      <c r="G4174" s="919" t="s">
        <v>4042</v>
      </c>
      <c r="H4174" s="919" t="s">
        <v>3999</v>
      </c>
      <c r="I4174" s="919" t="s">
        <v>3724</v>
      </c>
      <c r="J4174" s="919"/>
      <c r="K4174" s="920">
        <v>1</v>
      </c>
      <c r="L4174" s="920">
        <v>12</v>
      </c>
      <c r="M4174" s="920">
        <f t="shared" si="130"/>
        <v>32400</v>
      </c>
      <c r="N4174" s="919"/>
      <c r="O4174" s="919"/>
      <c r="P4174" s="921">
        <f t="shared" si="131"/>
        <v>0</v>
      </c>
    </row>
    <row r="4175" spans="1:16" ht="20.100000000000001" customHeight="1" x14ac:dyDescent="0.25">
      <c r="A4175" s="918" t="s">
        <v>11905</v>
      </c>
      <c r="B4175" s="944" t="s">
        <v>3901</v>
      </c>
      <c r="C4175" s="919" t="s">
        <v>3902</v>
      </c>
      <c r="D4175" s="919" t="s">
        <v>4352</v>
      </c>
      <c r="E4175" s="920">
        <v>2700</v>
      </c>
      <c r="F4175" s="919" t="s">
        <v>4041</v>
      </c>
      <c r="G4175" s="919" t="s">
        <v>4042</v>
      </c>
      <c r="H4175" s="919" t="s">
        <v>4352</v>
      </c>
      <c r="I4175" s="919" t="s">
        <v>3724</v>
      </c>
      <c r="J4175" s="919"/>
      <c r="K4175" s="920">
        <v>1</v>
      </c>
      <c r="L4175" s="920">
        <v>12</v>
      </c>
      <c r="M4175" s="920">
        <f t="shared" si="130"/>
        <v>32400</v>
      </c>
      <c r="N4175" s="919"/>
      <c r="O4175" s="919"/>
      <c r="P4175" s="921">
        <f t="shared" si="131"/>
        <v>0</v>
      </c>
    </row>
    <row r="4176" spans="1:16" ht="20.100000000000001" customHeight="1" x14ac:dyDescent="0.25">
      <c r="A4176" s="918" t="s">
        <v>11905</v>
      </c>
      <c r="B4176" s="944" t="s">
        <v>3901</v>
      </c>
      <c r="C4176" s="919" t="s">
        <v>3902</v>
      </c>
      <c r="D4176" s="919" t="s">
        <v>6130</v>
      </c>
      <c r="E4176" s="920">
        <v>1900</v>
      </c>
      <c r="F4176" s="919" t="s">
        <v>11281</v>
      </c>
      <c r="G4176" s="919" t="s">
        <v>11282</v>
      </c>
      <c r="H4176" s="919" t="s">
        <v>6130</v>
      </c>
      <c r="I4176" s="919" t="s">
        <v>3686</v>
      </c>
      <c r="J4176" s="919"/>
      <c r="K4176" s="920">
        <v>1</v>
      </c>
      <c r="L4176" s="920">
        <v>12</v>
      </c>
      <c r="M4176" s="920">
        <f t="shared" si="130"/>
        <v>22800</v>
      </c>
      <c r="N4176" s="919"/>
      <c r="O4176" s="919"/>
      <c r="P4176" s="921">
        <f t="shared" si="131"/>
        <v>0</v>
      </c>
    </row>
    <row r="4177" spans="1:16" ht="20.100000000000001" customHeight="1" x14ac:dyDescent="0.25">
      <c r="A4177" s="918" t="s">
        <v>11905</v>
      </c>
      <c r="B4177" s="944" t="s">
        <v>3901</v>
      </c>
      <c r="C4177" s="919" t="s">
        <v>3902</v>
      </c>
      <c r="D4177" s="919" t="s">
        <v>4462</v>
      </c>
      <c r="E4177" s="920">
        <v>1900</v>
      </c>
      <c r="F4177" s="919" t="s">
        <v>11283</v>
      </c>
      <c r="G4177" s="919" t="s">
        <v>11284</v>
      </c>
      <c r="H4177" s="919" t="s">
        <v>4462</v>
      </c>
      <c r="I4177" s="919" t="s">
        <v>3686</v>
      </c>
      <c r="J4177" s="919"/>
      <c r="K4177" s="920">
        <v>1</v>
      </c>
      <c r="L4177" s="920">
        <v>12</v>
      </c>
      <c r="M4177" s="920">
        <f t="shared" si="130"/>
        <v>22800</v>
      </c>
      <c r="N4177" s="919"/>
      <c r="O4177" s="919"/>
      <c r="P4177" s="921">
        <f t="shared" si="131"/>
        <v>0</v>
      </c>
    </row>
    <row r="4178" spans="1:16" ht="20.100000000000001" customHeight="1" x14ac:dyDescent="0.25">
      <c r="A4178" s="918" t="s">
        <v>11905</v>
      </c>
      <c r="B4178" s="944" t="s">
        <v>3901</v>
      </c>
      <c r="C4178" s="919" t="s">
        <v>3902</v>
      </c>
      <c r="D4178" s="919" t="s">
        <v>4449</v>
      </c>
      <c r="E4178" s="920">
        <v>2700</v>
      </c>
      <c r="F4178" s="919" t="s">
        <v>11285</v>
      </c>
      <c r="G4178" s="919" t="s">
        <v>11286</v>
      </c>
      <c r="H4178" s="919" t="s">
        <v>4449</v>
      </c>
      <c r="I4178" s="919" t="s">
        <v>3724</v>
      </c>
      <c r="J4178" s="919"/>
      <c r="K4178" s="920">
        <v>1</v>
      </c>
      <c r="L4178" s="920">
        <v>12</v>
      </c>
      <c r="M4178" s="920">
        <f t="shared" si="130"/>
        <v>32400</v>
      </c>
      <c r="N4178" s="919"/>
      <c r="O4178" s="919"/>
      <c r="P4178" s="921">
        <f t="shared" si="131"/>
        <v>0</v>
      </c>
    </row>
    <row r="4179" spans="1:16" ht="20.100000000000001" customHeight="1" x14ac:dyDescent="0.25">
      <c r="A4179" s="918" t="s">
        <v>11905</v>
      </c>
      <c r="B4179" s="944" t="s">
        <v>3901</v>
      </c>
      <c r="C4179" s="919" t="s">
        <v>3902</v>
      </c>
      <c r="D4179" s="919" t="s">
        <v>8344</v>
      </c>
      <c r="E4179" s="920">
        <v>1900</v>
      </c>
      <c r="F4179" s="919" t="s">
        <v>11287</v>
      </c>
      <c r="G4179" s="919" t="s">
        <v>11288</v>
      </c>
      <c r="H4179" s="919" t="s">
        <v>8344</v>
      </c>
      <c r="I4179" s="919" t="s">
        <v>3686</v>
      </c>
      <c r="J4179" s="919"/>
      <c r="K4179" s="920">
        <v>1</v>
      </c>
      <c r="L4179" s="920">
        <v>12</v>
      </c>
      <c r="M4179" s="920">
        <f t="shared" si="130"/>
        <v>22800</v>
      </c>
      <c r="N4179" s="919"/>
      <c r="O4179" s="919"/>
      <c r="P4179" s="921">
        <f t="shared" si="131"/>
        <v>0</v>
      </c>
    </row>
    <row r="4180" spans="1:16" ht="20.100000000000001" customHeight="1" x14ac:dyDescent="0.25">
      <c r="A4180" s="918" t="s">
        <v>11905</v>
      </c>
      <c r="B4180" s="944" t="s">
        <v>3901</v>
      </c>
      <c r="C4180" s="919" t="s">
        <v>3902</v>
      </c>
      <c r="D4180" s="919" t="s">
        <v>3999</v>
      </c>
      <c r="E4180" s="920">
        <v>2700</v>
      </c>
      <c r="F4180" s="919" t="s">
        <v>4041</v>
      </c>
      <c r="G4180" s="919" t="s">
        <v>4042</v>
      </c>
      <c r="H4180" s="919" t="s">
        <v>3999</v>
      </c>
      <c r="I4180" s="919" t="s">
        <v>3724</v>
      </c>
      <c r="J4180" s="919"/>
      <c r="K4180" s="920">
        <v>1</v>
      </c>
      <c r="L4180" s="920">
        <v>12</v>
      </c>
      <c r="M4180" s="920">
        <f t="shared" si="130"/>
        <v>32400</v>
      </c>
      <c r="N4180" s="919"/>
      <c r="O4180" s="919"/>
      <c r="P4180" s="921">
        <f t="shared" si="131"/>
        <v>0</v>
      </c>
    </row>
    <row r="4181" spans="1:16" ht="20.100000000000001" customHeight="1" x14ac:dyDescent="0.25">
      <c r="A4181" s="918" t="s">
        <v>11905</v>
      </c>
      <c r="B4181" s="944" t="s">
        <v>3901</v>
      </c>
      <c r="C4181" s="919" t="s">
        <v>3902</v>
      </c>
      <c r="D4181" s="919" t="s">
        <v>4352</v>
      </c>
      <c r="E4181" s="920">
        <v>2700</v>
      </c>
      <c r="F4181" s="919" t="s">
        <v>4041</v>
      </c>
      <c r="G4181" s="919" t="s">
        <v>4042</v>
      </c>
      <c r="H4181" s="919" t="s">
        <v>4352</v>
      </c>
      <c r="I4181" s="919" t="s">
        <v>3724</v>
      </c>
      <c r="J4181" s="919"/>
      <c r="K4181" s="920">
        <v>1</v>
      </c>
      <c r="L4181" s="920">
        <v>12</v>
      </c>
      <c r="M4181" s="920">
        <f t="shared" si="130"/>
        <v>32400</v>
      </c>
      <c r="N4181" s="919"/>
      <c r="O4181" s="919"/>
      <c r="P4181" s="921">
        <f t="shared" si="131"/>
        <v>0</v>
      </c>
    </row>
    <row r="4182" spans="1:16" ht="20.100000000000001" customHeight="1" x14ac:dyDescent="0.25">
      <c r="A4182" s="918" t="s">
        <v>11905</v>
      </c>
      <c r="B4182" s="944" t="s">
        <v>3901</v>
      </c>
      <c r="C4182" s="919" t="s">
        <v>3902</v>
      </c>
      <c r="D4182" s="919" t="s">
        <v>6120</v>
      </c>
      <c r="E4182" s="920">
        <v>3800</v>
      </c>
      <c r="F4182" s="919" t="s">
        <v>4041</v>
      </c>
      <c r="G4182" s="919" t="s">
        <v>4042</v>
      </c>
      <c r="H4182" s="919" t="s">
        <v>6120</v>
      </c>
      <c r="I4182" s="919" t="s">
        <v>3724</v>
      </c>
      <c r="J4182" s="919"/>
      <c r="K4182" s="920">
        <v>1</v>
      </c>
      <c r="L4182" s="920">
        <v>12</v>
      </c>
      <c r="M4182" s="920">
        <f t="shared" si="130"/>
        <v>45600</v>
      </c>
      <c r="N4182" s="919"/>
      <c r="O4182" s="919"/>
      <c r="P4182" s="921">
        <f t="shared" si="131"/>
        <v>0</v>
      </c>
    </row>
    <row r="4183" spans="1:16" ht="20.100000000000001" customHeight="1" x14ac:dyDescent="0.25">
      <c r="A4183" s="918" t="s">
        <v>11905</v>
      </c>
      <c r="B4183" s="944" t="s">
        <v>3901</v>
      </c>
      <c r="C4183" s="919" t="s">
        <v>3902</v>
      </c>
      <c r="D4183" s="919" t="s">
        <v>6120</v>
      </c>
      <c r="E4183" s="920">
        <v>3800</v>
      </c>
      <c r="F4183" s="919" t="s">
        <v>11289</v>
      </c>
      <c r="G4183" s="919" t="s">
        <v>11290</v>
      </c>
      <c r="H4183" s="919" t="s">
        <v>6120</v>
      </c>
      <c r="I4183" s="919" t="s">
        <v>3724</v>
      </c>
      <c r="J4183" s="919"/>
      <c r="K4183" s="920">
        <v>1</v>
      </c>
      <c r="L4183" s="920">
        <v>12</v>
      </c>
      <c r="M4183" s="920">
        <f t="shared" si="130"/>
        <v>45600</v>
      </c>
      <c r="N4183" s="919"/>
      <c r="O4183" s="919"/>
      <c r="P4183" s="921">
        <f t="shared" si="131"/>
        <v>0</v>
      </c>
    </row>
    <row r="4184" spans="1:16" ht="20.100000000000001" customHeight="1" x14ac:dyDescent="0.25">
      <c r="A4184" s="918" t="s">
        <v>11905</v>
      </c>
      <c r="B4184" s="944" t="s">
        <v>3901</v>
      </c>
      <c r="C4184" s="919" t="s">
        <v>3902</v>
      </c>
      <c r="D4184" s="919" t="s">
        <v>6120</v>
      </c>
      <c r="E4184" s="920">
        <v>3800</v>
      </c>
      <c r="F4184" s="919" t="s">
        <v>4041</v>
      </c>
      <c r="G4184" s="919" t="s">
        <v>4042</v>
      </c>
      <c r="H4184" s="919" t="s">
        <v>6120</v>
      </c>
      <c r="I4184" s="919" t="s">
        <v>3724</v>
      </c>
      <c r="J4184" s="919"/>
      <c r="K4184" s="920">
        <v>1</v>
      </c>
      <c r="L4184" s="920">
        <v>12</v>
      </c>
      <c r="M4184" s="920">
        <f t="shared" si="130"/>
        <v>45600</v>
      </c>
      <c r="N4184" s="919"/>
      <c r="O4184" s="919"/>
      <c r="P4184" s="921">
        <f t="shared" si="131"/>
        <v>0</v>
      </c>
    </row>
    <row r="4185" spans="1:16" ht="20.100000000000001" customHeight="1" x14ac:dyDescent="0.25">
      <c r="A4185" s="918" t="s">
        <v>11905</v>
      </c>
      <c r="B4185" s="944" t="s">
        <v>3901</v>
      </c>
      <c r="C4185" s="919" t="s">
        <v>3902</v>
      </c>
      <c r="D4185" s="919" t="s">
        <v>3999</v>
      </c>
      <c r="E4185" s="920">
        <v>2500</v>
      </c>
      <c r="F4185" s="919" t="s">
        <v>11291</v>
      </c>
      <c r="G4185" s="919" t="s">
        <v>11292</v>
      </c>
      <c r="H4185" s="919" t="s">
        <v>3999</v>
      </c>
      <c r="I4185" s="919" t="s">
        <v>3724</v>
      </c>
      <c r="J4185" s="919"/>
      <c r="K4185" s="920">
        <v>1</v>
      </c>
      <c r="L4185" s="920">
        <v>12</v>
      </c>
      <c r="M4185" s="920">
        <f t="shared" si="130"/>
        <v>30000</v>
      </c>
      <c r="N4185" s="919"/>
      <c r="O4185" s="919"/>
      <c r="P4185" s="921">
        <f t="shared" si="131"/>
        <v>0</v>
      </c>
    </row>
    <row r="4186" spans="1:16" ht="20.100000000000001" customHeight="1" x14ac:dyDescent="0.25">
      <c r="A4186" s="918" t="s">
        <v>11905</v>
      </c>
      <c r="B4186" s="944" t="s">
        <v>3901</v>
      </c>
      <c r="C4186" s="919" t="s">
        <v>3902</v>
      </c>
      <c r="D4186" s="919" t="s">
        <v>4449</v>
      </c>
      <c r="E4186" s="920">
        <v>2800</v>
      </c>
      <c r="F4186" s="919" t="s">
        <v>4041</v>
      </c>
      <c r="G4186" s="919" t="s">
        <v>4062</v>
      </c>
      <c r="H4186" s="919" t="s">
        <v>4449</v>
      </c>
      <c r="I4186" s="919" t="s">
        <v>3724</v>
      </c>
      <c r="J4186" s="919"/>
      <c r="K4186" s="920">
        <v>1</v>
      </c>
      <c r="L4186" s="920">
        <v>12</v>
      </c>
      <c r="M4186" s="920">
        <f t="shared" si="130"/>
        <v>33600</v>
      </c>
      <c r="N4186" s="919"/>
      <c r="O4186" s="919"/>
      <c r="P4186" s="921">
        <f t="shared" si="131"/>
        <v>0</v>
      </c>
    </row>
    <row r="4187" spans="1:16" ht="20.100000000000001" customHeight="1" x14ac:dyDescent="0.25">
      <c r="A4187" s="918" t="s">
        <v>11905</v>
      </c>
      <c r="B4187" s="944" t="s">
        <v>3901</v>
      </c>
      <c r="C4187" s="919" t="s">
        <v>3902</v>
      </c>
      <c r="D4187" s="919" t="s">
        <v>4462</v>
      </c>
      <c r="E4187" s="920">
        <v>1700</v>
      </c>
      <c r="F4187" s="919" t="s">
        <v>11293</v>
      </c>
      <c r="G4187" s="919" t="s">
        <v>11294</v>
      </c>
      <c r="H4187" s="919" t="s">
        <v>4462</v>
      </c>
      <c r="I4187" s="919" t="s">
        <v>3686</v>
      </c>
      <c r="J4187" s="919"/>
      <c r="K4187" s="920">
        <v>1</v>
      </c>
      <c r="L4187" s="920">
        <v>12</v>
      </c>
      <c r="M4187" s="920">
        <f t="shared" si="130"/>
        <v>20400</v>
      </c>
      <c r="N4187" s="919"/>
      <c r="O4187" s="919"/>
      <c r="P4187" s="921">
        <f t="shared" si="131"/>
        <v>0</v>
      </c>
    </row>
    <row r="4188" spans="1:16" ht="20.100000000000001" customHeight="1" x14ac:dyDescent="0.25">
      <c r="A4188" s="918" t="s">
        <v>11905</v>
      </c>
      <c r="B4188" s="944" t="s">
        <v>3901</v>
      </c>
      <c r="C4188" s="919" t="s">
        <v>3902</v>
      </c>
      <c r="D4188" s="919" t="s">
        <v>3999</v>
      </c>
      <c r="E4188" s="920">
        <v>2500</v>
      </c>
      <c r="F4188" s="919" t="s">
        <v>11295</v>
      </c>
      <c r="G4188" s="919" t="s">
        <v>11296</v>
      </c>
      <c r="H4188" s="919" t="s">
        <v>3999</v>
      </c>
      <c r="I4188" s="919" t="s">
        <v>3724</v>
      </c>
      <c r="J4188" s="919"/>
      <c r="K4188" s="920">
        <v>1</v>
      </c>
      <c r="L4188" s="920">
        <v>12</v>
      </c>
      <c r="M4188" s="920">
        <f t="shared" si="130"/>
        <v>30000</v>
      </c>
      <c r="N4188" s="919"/>
      <c r="O4188" s="919"/>
      <c r="P4188" s="921">
        <f t="shared" si="131"/>
        <v>0</v>
      </c>
    </row>
    <row r="4189" spans="1:16" ht="20.100000000000001" customHeight="1" x14ac:dyDescent="0.25">
      <c r="A4189" s="918" t="s">
        <v>11905</v>
      </c>
      <c r="B4189" s="944" t="s">
        <v>3901</v>
      </c>
      <c r="C4189" s="919" t="s">
        <v>3902</v>
      </c>
      <c r="D4189" s="919" t="s">
        <v>4352</v>
      </c>
      <c r="E4189" s="920">
        <v>2700</v>
      </c>
      <c r="F4189" s="919" t="s">
        <v>4041</v>
      </c>
      <c r="G4189" s="919" t="s">
        <v>4042</v>
      </c>
      <c r="H4189" s="919" t="s">
        <v>4352</v>
      </c>
      <c r="I4189" s="919" t="s">
        <v>3724</v>
      </c>
      <c r="J4189" s="919"/>
      <c r="K4189" s="920">
        <v>1</v>
      </c>
      <c r="L4189" s="920">
        <v>12</v>
      </c>
      <c r="M4189" s="920">
        <f t="shared" si="130"/>
        <v>32400</v>
      </c>
      <c r="N4189" s="919"/>
      <c r="O4189" s="919"/>
      <c r="P4189" s="921">
        <f t="shared" si="131"/>
        <v>0</v>
      </c>
    </row>
    <row r="4190" spans="1:16" ht="20.100000000000001" customHeight="1" x14ac:dyDescent="0.25">
      <c r="A4190" s="918" t="s">
        <v>11905</v>
      </c>
      <c r="B4190" s="944" t="s">
        <v>3901</v>
      </c>
      <c r="C4190" s="919" t="s">
        <v>3902</v>
      </c>
      <c r="D4190" s="919" t="s">
        <v>4352</v>
      </c>
      <c r="E4190" s="920">
        <v>2700</v>
      </c>
      <c r="F4190" s="919" t="s">
        <v>4041</v>
      </c>
      <c r="G4190" s="919" t="s">
        <v>4042</v>
      </c>
      <c r="H4190" s="919" t="s">
        <v>4352</v>
      </c>
      <c r="I4190" s="919" t="s">
        <v>3724</v>
      </c>
      <c r="J4190" s="919"/>
      <c r="K4190" s="920">
        <v>1</v>
      </c>
      <c r="L4190" s="920">
        <v>12</v>
      </c>
      <c r="M4190" s="920">
        <f t="shared" si="130"/>
        <v>32400</v>
      </c>
      <c r="N4190" s="919"/>
      <c r="O4190" s="919"/>
      <c r="P4190" s="921">
        <f t="shared" si="131"/>
        <v>0</v>
      </c>
    </row>
    <row r="4191" spans="1:16" ht="20.100000000000001" customHeight="1" x14ac:dyDescent="0.25">
      <c r="A4191" s="918" t="s">
        <v>11905</v>
      </c>
      <c r="B4191" s="944" t="s">
        <v>3901</v>
      </c>
      <c r="C4191" s="919" t="s">
        <v>3902</v>
      </c>
      <c r="D4191" s="919" t="s">
        <v>4352</v>
      </c>
      <c r="E4191" s="920">
        <v>2700</v>
      </c>
      <c r="F4191" s="919" t="s">
        <v>4041</v>
      </c>
      <c r="G4191" s="919" t="s">
        <v>4042</v>
      </c>
      <c r="H4191" s="919" t="s">
        <v>4352</v>
      </c>
      <c r="I4191" s="919" t="s">
        <v>3724</v>
      </c>
      <c r="J4191" s="919"/>
      <c r="K4191" s="920">
        <v>1</v>
      </c>
      <c r="L4191" s="920">
        <v>12</v>
      </c>
      <c r="M4191" s="920">
        <f t="shared" si="130"/>
        <v>32400</v>
      </c>
      <c r="N4191" s="919"/>
      <c r="O4191" s="919"/>
      <c r="P4191" s="921">
        <f t="shared" si="131"/>
        <v>0</v>
      </c>
    </row>
    <row r="4192" spans="1:16" ht="20.100000000000001" customHeight="1" x14ac:dyDescent="0.25">
      <c r="A4192" s="918" t="s">
        <v>11905</v>
      </c>
      <c r="B4192" s="944" t="s">
        <v>3901</v>
      </c>
      <c r="C4192" s="919" t="s">
        <v>3902</v>
      </c>
      <c r="D4192" s="919" t="s">
        <v>6203</v>
      </c>
      <c r="E4192" s="920">
        <v>2800</v>
      </c>
      <c r="F4192" s="919" t="s">
        <v>4041</v>
      </c>
      <c r="G4192" s="919" t="s">
        <v>4042</v>
      </c>
      <c r="H4192" s="919" t="s">
        <v>6203</v>
      </c>
      <c r="I4192" s="919" t="s">
        <v>3724</v>
      </c>
      <c r="J4192" s="919"/>
      <c r="K4192" s="920">
        <v>1</v>
      </c>
      <c r="L4192" s="920">
        <v>12</v>
      </c>
      <c r="M4192" s="920">
        <f t="shared" si="130"/>
        <v>33600</v>
      </c>
      <c r="N4192" s="919"/>
      <c r="O4192" s="919"/>
      <c r="P4192" s="921">
        <f t="shared" si="131"/>
        <v>0</v>
      </c>
    </row>
    <row r="4193" spans="1:16" ht="20.100000000000001" customHeight="1" x14ac:dyDescent="0.25">
      <c r="A4193" s="918" t="s">
        <v>11905</v>
      </c>
      <c r="B4193" s="944" t="s">
        <v>3901</v>
      </c>
      <c r="C4193" s="919" t="s">
        <v>3902</v>
      </c>
      <c r="D4193" s="919" t="s">
        <v>3999</v>
      </c>
      <c r="E4193" s="920">
        <v>2500</v>
      </c>
      <c r="F4193" s="919" t="s">
        <v>11297</v>
      </c>
      <c r="G4193" s="919" t="s">
        <v>11298</v>
      </c>
      <c r="H4193" s="919" t="s">
        <v>3999</v>
      </c>
      <c r="I4193" s="919" t="s">
        <v>3724</v>
      </c>
      <c r="J4193" s="919"/>
      <c r="K4193" s="920">
        <v>1</v>
      </c>
      <c r="L4193" s="920">
        <v>12</v>
      </c>
      <c r="M4193" s="920">
        <f t="shared" si="130"/>
        <v>30000</v>
      </c>
      <c r="N4193" s="919"/>
      <c r="O4193" s="919"/>
      <c r="P4193" s="921">
        <f t="shared" si="131"/>
        <v>0</v>
      </c>
    </row>
    <row r="4194" spans="1:16" ht="20.100000000000001" customHeight="1" x14ac:dyDescent="0.25">
      <c r="A4194" s="918" t="s">
        <v>11905</v>
      </c>
      <c r="B4194" s="944" t="s">
        <v>3901</v>
      </c>
      <c r="C4194" s="919" t="s">
        <v>3902</v>
      </c>
      <c r="D4194" s="919" t="s">
        <v>3999</v>
      </c>
      <c r="E4194" s="920">
        <v>2500</v>
      </c>
      <c r="F4194" s="919" t="s">
        <v>4041</v>
      </c>
      <c r="G4194" s="919" t="s">
        <v>4042</v>
      </c>
      <c r="H4194" s="919" t="s">
        <v>3999</v>
      </c>
      <c r="I4194" s="919" t="s">
        <v>3724</v>
      </c>
      <c r="J4194" s="919"/>
      <c r="K4194" s="920">
        <v>1</v>
      </c>
      <c r="L4194" s="920">
        <v>12</v>
      </c>
      <c r="M4194" s="920">
        <f t="shared" si="130"/>
        <v>30000</v>
      </c>
      <c r="N4194" s="919"/>
      <c r="O4194" s="919"/>
      <c r="P4194" s="921">
        <f t="shared" si="131"/>
        <v>0</v>
      </c>
    </row>
    <row r="4195" spans="1:16" ht="20.100000000000001" customHeight="1" x14ac:dyDescent="0.25">
      <c r="A4195" s="918" t="s">
        <v>11905</v>
      </c>
      <c r="B4195" s="944" t="s">
        <v>3901</v>
      </c>
      <c r="C4195" s="919" t="s">
        <v>3902</v>
      </c>
      <c r="D4195" s="919" t="s">
        <v>6120</v>
      </c>
      <c r="E4195" s="920">
        <v>3800</v>
      </c>
      <c r="F4195" s="919" t="s">
        <v>4041</v>
      </c>
      <c r="G4195" s="919" t="s">
        <v>4042</v>
      </c>
      <c r="H4195" s="919" t="s">
        <v>6120</v>
      </c>
      <c r="I4195" s="919" t="s">
        <v>3724</v>
      </c>
      <c r="J4195" s="919"/>
      <c r="K4195" s="920">
        <v>1</v>
      </c>
      <c r="L4195" s="920">
        <v>12</v>
      </c>
      <c r="M4195" s="920">
        <f t="shared" si="130"/>
        <v>45600</v>
      </c>
      <c r="N4195" s="919"/>
      <c r="O4195" s="919"/>
      <c r="P4195" s="921">
        <f t="shared" si="131"/>
        <v>0</v>
      </c>
    </row>
    <row r="4196" spans="1:16" ht="20.100000000000001" customHeight="1" x14ac:dyDescent="0.25">
      <c r="A4196" s="918" t="s">
        <v>11905</v>
      </c>
      <c r="B4196" s="944" t="s">
        <v>3901</v>
      </c>
      <c r="C4196" s="919" t="s">
        <v>3902</v>
      </c>
      <c r="D4196" s="919" t="s">
        <v>4449</v>
      </c>
      <c r="E4196" s="920">
        <v>2700</v>
      </c>
      <c r="F4196" s="919" t="s">
        <v>11299</v>
      </c>
      <c r="G4196" s="919" t="s">
        <v>11300</v>
      </c>
      <c r="H4196" s="919" t="s">
        <v>4449</v>
      </c>
      <c r="I4196" s="919" t="s">
        <v>3724</v>
      </c>
      <c r="J4196" s="919"/>
      <c r="K4196" s="920">
        <v>1</v>
      </c>
      <c r="L4196" s="920">
        <v>12</v>
      </c>
      <c r="M4196" s="920">
        <f t="shared" si="130"/>
        <v>32400</v>
      </c>
      <c r="N4196" s="919"/>
      <c r="O4196" s="919"/>
      <c r="P4196" s="921">
        <f t="shared" si="131"/>
        <v>0</v>
      </c>
    </row>
    <row r="4197" spans="1:16" ht="20.100000000000001" customHeight="1" x14ac:dyDescent="0.25">
      <c r="A4197" s="918" t="s">
        <v>11905</v>
      </c>
      <c r="B4197" s="944" t="s">
        <v>3901</v>
      </c>
      <c r="C4197" s="919" t="s">
        <v>3902</v>
      </c>
      <c r="D4197" s="919" t="s">
        <v>4462</v>
      </c>
      <c r="E4197" s="920">
        <v>1650</v>
      </c>
      <c r="F4197" s="919" t="s">
        <v>11301</v>
      </c>
      <c r="G4197" s="919" t="s">
        <v>11302</v>
      </c>
      <c r="H4197" s="919" t="s">
        <v>4462</v>
      </c>
      <c r="I4197" s="919" t="s">
        <v>3686</v>
      </c>
      <c r="J4197" s="919"/>
      <c r="K4197" s="920">
        <v>1</v>
      </c>
      <c r="L4197" s="920">
        <v>12</v>
      </c>
      <c r="M4197" s="920">
        <f t="shared" si="130"/>
        <v>19800</v>
      </c>
      <c r="N4197" s="919"/>
      <c r="O4197" s="919"/>
      <c r="P4197" s="921">
        <f t="shared" si="131"/>
        <v>0</v>
      </c>
    </row>
    <row r="4198" spans="1:16" ht="20.100000000000001" customHeight="1" x14ac:dyDescent="0.25">
      <c r="A4198" s="918" t="s">
        <v>11905</v>
      </c>
      <c r="B4198" s="944" t="s">
        <v>3901</v>
      </c>
      <c r="C4198" s="919" t="s">
        <v>3902</v>
      </c>
      <c r="D4198" s="919" t="s">
        <v>4405</v>
      </c>
      <c r="E4198" s="920">
        <v>1600</v>
      </c>
      <c r="F4198" s="919" t="s">
        <v>11303</v>
      </c>
      <c r="G4198" s="919" t="s">
        <v>11304</v>
      </c>
      <c r="H4198" s="919" t="s">
        <v>4405</v>
      </c>
      <c r="I4198" s="919" t="s">
        <v>3679</v>
      </c>
      <c r="J4198" s="919"/>
      <c r="K4198" s="920">
        <v>1</v>
      </c>
      <c r="L4198" s="920">
        <v>12</v>
      </c>
      <c r="M4198" s="920">
        <f t="shared" si="130"/>
        <v>19200</v>
      </c>
      <c r="N4198" s="919"/>
      <c r="O4198" s="919"/>
      <c r="P4198" s="921">
        <f t="shared" si="131"/>
        <v>0</v>
      </c>
    </row>
    <row r="4199" spans="1:16" ht="20.100000000000001" customHeight="1" x14ac:dyDescent="0.25">
      <c r="A4199" s="918" t="s">
        <v>11905</v>
      </c>
      <c r="B4199" s="944" t="s">
        <v>3901</v>
      </c>
      <c r="C4199" s="919" t="s">
        <v>3902</v>
      </c>
      <c r="D4199" s="919" t="s">
        <v>4352</v>
      </c>
      <c r="E4199" s="920">
        <v>2700</v>
      </c>
      <c r="F4199" s="919" t="s">
        <v>11305</v>
      </c>
      <c r="G4199" s="919" t="s">
        <v>11306</v>
      </c>
      <c r="H4199" s="919" t="s">
        <v>4352</v>
      </c>
      <c r="I4199" s="919" t="s">
        <v>3724</v>
      </c>
      <c r="J4199" s="919"/>
      <c r="K4199" s="920">
        <v>1</v>
      </c>
      <c r="L4199" s="920">
        <v>12</v>
      </c>
      <c r="M4199" s="920">
        <f t="shared" si="130"/>
        <v>32400</v>
      </c>
      <c r="N4199" s="919"/>
      <c r="O4199" s="919"/>
      <c r="P4199" s="921">
        <f t="shared" si="131"/>
        <v>0</v>
      </c>
    </row>
    <row r="4200" spans="1:16" ht="20.100000000000001" customHeight="1" x14ac:dyDescent="0.25">
      <c r="A4200" s="918" t="s">
        <v>11905</v>
      </c>
      <c r="B4200" s="944" t="s">
        <v>3901</v>
      </c>
      <c r="C4200" s="919" t="s">
        <v>3902</v>
      </c>
      <c r="D4200" s="919" t="s">
        <v>3999</v>
      </c>
      <c r="E4200" s="920">
        <v>2500</v>
      </c>
      <c r="F4200" s="919" t="s">
        <v>4041</v>
      </c>
      <c r="G4200" s="919" t="s">
        <v>4042</v>
      </c>
      <c r="H4200" s="919" t="s">
        <v>3999</v>
      </c>
      <c r="I4200" s="919" t="s">
        <v>3724</v>
      </c>
      <c r="J4200" s="919"/>
      <c r="K4200" s="920">
        <v>1</v>
      </c>
      <c r="L4200" s="920">
        <v>12</v>
      </c>
      <c r="M4200" s="920">
        <f t="shared" si="130"/>
        <v>30000</v>
      </c>
      <c r="N4200" s="919"/>
      <c r="O4200" s="919"/>
      <c r="P4200" s="921">
        <f t="shared" si="131"/>
        <v>0</v>
      </c>
    </row>
    <row r="4201" spans="1:16" ht="20.100000000000001" customHeight="1" x14ac:dyDescent="0.25">
      <c r="A4201" s="918" t="s">
        <v>11905</v>
      </c>
      <c r="B4201" s="944" t="s">
        <v>3901</v>
      </c>
      <c r="C4201" s="919" t="s">
        <v>3902</v>
      </c>
      <c r="D4201" s="919" t="s">
        <v>3999</v>
      </c>
      <c r="E4201" s="920">
        <v>2500</v>
      </c>
      <c r="F4201" s="919" t="s">
        <v>11307</v>
      </c>
      <c r="G4201" s="919" t="s">
        <v>11308</v>
      </c>
      <c r="H4201" s="919" t="s">
        <v>3999</v>
      </c>
      <c r="I4201" s="919" t="s">
        <v>3724</v>
      </c>
      <c r="J4201" s="919"/>
      <c r="K4201" s="920">
        <v>1</v>
      </c>
      <c r="L4201" s="920">
        <v>12</v>
      </c>
      <c r="M4201" s="920">
        <f t="shared" si="130"/>
        <v>30000</v>
      </c>
      <c r="N4201" s="919"/>
      <c r="O4201" s="919"/>
      <c r="P4201" s="921">
        <f t="shared" si="131"/>
        <v>0</v>
      </c>
    </row>
    <row r="4202" spans="1:16" ht="20.100000000000001" customHeight="1" x14ac:dyDescent="0.25">
      <c r="A4202" s="918" t="s">
        <v>11905</v>
      </c>
      <c r="B4202" s="944" t="s">
        <v>3901</v>
      </c>
      <c r="C4202" s="919" t="s">
        <v>3902</v>
      </c>
      <c r="D4202" s="919" t="s">
        <v>4449</v>
      </c>
      <c r="E4202" s="920">
        <v>2500</v>
      </c>
      <c r="F4202" s="919" t="s">
        <v>11309</v>
      </c>
      <c r="G4202" s="919" t="s">
        <v>11310</v>
      </c>
      <c r="H4202" s="919" t="s">
        <v>4449</v>
      </c>
      <c r="I4202" s="919" t="s">
        <v>3724</v>
      </c>
      <c r="J4202" s="919"/>
      <c r="K4202" s="920">
        <v>1</v>
      </c>
      <c r="L4202" s="920">
        <v>12</v>
      </c>
      <c r="M4202" s="920">
        <f t="shared" si="130"/>
        <v>30000</v>
      </c>
      <c r="N4202" s="919"/>
      <c r="O4202" s="919"/>
      <c r="P4202" s="921">
        <f t="shared" si="131"/>
        <v>0</v>
      </c>
    </row>
    <row r="4203" spans="1:16" ht="20.100000000000001" customHeight="1" x14ac:dyDescent="0.25">
      <c r="A4203" s="918" t="s">
        <v>11905</v>
      </c>
      <c r="B4203" s="944" t="s">
        <v>3901</v>
      </c>
      <c r="C4203" s="919" t="s">
        <v>3902</v>
      </c>
      <c r="D4203" s="919" t="s">
        <v>6120</v>
      </c>
      <c r="E4203" s="920">
        <v>3800</v>
      </c>
      <c r="F4203" s="919" t="s">
        <v>4041</v>
      </c>
      <c r="G4203" s="919" t="s">
        <v>4042</v>
      </c>
      <c r="H4203" s="919" t="s">
        <v>6120</v>
      </c>
      <c r="I4203" s="919" t="s">
        <v>3724</v>
      </c>
      <c r="J4203" s="919"/>
      <c r="K4203" s="920">
        <v>1</v>
      </c>
      <c r="L4203" s="920">
        <v>12</v>
      </c>
      <c r="M4203" s="920">
        <f t="shared" si="130"/>
        <v>45600</v>
      </c>
      <c r="N4203" s="919"/>
      <c r="O4203" s="919"/>
      <c r="P4203" s="921">
        <f t="shared" si="131"/>
        <v>0</v>
      </c>
    </row>
    <row r="4204" spans="1:16" ht="20.100000000000001" customHeight="1" x14ac:dyDescent="0.25">
      <c r="A4204" s="918" t="s">
        <v>11905</v>
      </c>
      <c r="B4204" s="944" t="s">
        <v>3901</v>
      </c>
      <c r="C4204" s="919" t="s">
        <v>3902</v>
      </c>
      <c r="D4204" s="919" t="s">
        <v>4352</v>
      </c>
      <c r="E4204" s="920">
        <v>2700</v>
      </c>
      <c r="F4204" s="919" t="s">
        <v>11311</v>
      </c>
      <c r="G4204" s="919" t="s">
        <v>11312</v>
      </c>
      <c r="H4204" s="919" t="s">
        <v>4352</v>
      </c>
      <c r="I4204" s="919" t="s">
        <v>3724</v>
      </c>
      <c r="J4204" s="919"/>
      <c r="K4204" s="920">
        <v>1</v>
      </c>
      <c r="L4204" s="920">
        <v>12</v>
      </c>
      <c r="M4204" s="920">
        <f t="shared" si="130"/>
        <v>32400</v>
      </c>
      <c r="N4204" s="919"/>
      <c r="O4204" s="919"/>
      <c r="P4204" s="921">
        <f t="shared" si="131"/>
        <v>0</v>
      </c>
    </row>
    <row r="4205" spans="1:16" ht="20.100000000000001" customHeight="1" x14ac:dyDescent="0.25">
      <c r="A4205" s="918" t="s">
        <v>11905</v>
      </c>
      <c r="B4205" s="944" t="s">
        <v>3901</v>
      </c>
      <c r="C4205" s="919" t="s">
        <v>3902</v>
      </c>
      <c r="D4205" s="919" t="s">
        <v>4352</v>
      </c>
      <c r="E4205" s="920">
        <v>2500</v>
      </c>
      <c r="F4205" s="919" t="s">
        <v>11313</v>
      </c>
      <c r="G4205" s="919" t="s">
        <v>11314</v>
      </c>
      <c r="H4205" s="919" t="s">
        <v>4352</v>
      </c>
      <c r="I4205" s="919" t="s">
        <v>3724</v>
      </c>
      <c r="J4205" s="919"/>
      <c r="K4205" s="920">
        <v>1</v>
      </c>
      <c r="L4205" s="920">
        <v>12</v>
      </c>
      <c r="M4205" s="920">
        <f t="shared" si="130"/>
        <v>30000</v>
      </c>
      <c r="N4205" s="919"/>
      <c r="O4205" s="919"/>
      <c r="P4205" s="921">
        <f t="shared" si="131"/>
        <v>0</v>
      </c>
    </row>
    <row r="4206" spans="1:16" ht="20.100000000000001" customHeight="1" x14ac:dyDescent="0.25">
      <c r="A4206" s="918" t="s">
        <v>11905</v>
      </c>
      <c r="B4206" s="944" t="s">
        <v>3901</v>
      </c>
      <c r="C4206" s="919" t="s">
        <v>3902</v>
      </c>
      <c r="D4206" s="919" t="s">
        <v>3999</v>
      </c>
      <c r="E4206" s="920">
        <v>2500</v>
      </c>
      <c r="F4206" s="919" t="s">
        <v>11315</v>
      </c>
      <c r="G4206" s="919" t="s">
        <v>11316</v>
      </c>
      <c r="H4206" s="919" t="s">
        <v>3999</v>
      </c>
      <c r="I4206" s="919" t="s">
        <v>3724</v>
      </c>
      <c r="J4206" s="919"/>
      <c r="K4206" s="920">
        <v>1</v>
      </c>
      <c r="L4206" s="920">
        <v>12</v>
      </c>
      <c r="M4206" s="920">
        <f t="shared" si="130"/>
        <v>30000</v>
      </c>
      <c r="N4206" s="919"/>
      <c r="O4206" s="919"/>
      <c r="P4206" s="921">
        <f t="shared" si="131"/>
        <v>0</v>
      </c>
    </row>
    <row r="4207" spans="1:16" ht="20.100000000000001" customHeight="1" x14ac:dyDescent="0.25">
      <c r="A4207" s="918" t="s">
        <v>11905</v>
      </c>
      <c r="B4207" s="944" t="s">
        <v>3901</v>
      </c>
      <c r="C4207" s="919" t="s">
        <v>3902</v>
      </c>
      <c r="D4207" s="919" t="s">
        <v>4352</v>
      </c>
      <c r="E4207" s="920">
        <v>2500</v>
      </c>
      <c r="F4207" s="919" t="s">
        <v>11317</v>
      </c>
      <c r="G4207" s="919" t="s">
        <v>11318</v>
      </c>
      <c r="H4207" s="919" t="s">
        <v>4352</v>
      </c>
      <c r="I4207" s="919" t="s">
        <v>3724</v>
      </c>
      <c r="J4207" s="919"/>
      <c r="K4207" s="920">
        <v>1</v>
      </c>
      <c r="L4207" s="920">
        <v>12</v>
      </c>
      <c r="M4207" s="920">
        <f t="shared" si="130"/>
        <v>30000</v>
      </c>
      <c r="N4207" s="919"/>
      <c r="O4207" s="919"/>
      <c r="P4207" s="921">
        <f t="shared" si="131"/>
        <v>0</v>
      </c>
    </row>
    <row r="4208" spans="1:16" ht="20.100000000000001" customHeight="1" x14ac:dyDescent="0.25">
      <c r="A4208" s="918" t="s">
        <v>11905</v>
      </c>
      <c r="B4208" s="944" t="s">
        <v>3901</v>
      </c>
      <c r="C4208" s="919" t="s">
        <v>3902</v>
      </c>
      <c r="D4208" s="919" t="s">
        <v>4352</v>
      </c>
      <c r="E4208" s="920">
        <v>2500</v>
      </c>
      <c r="F4208" s="919" t="s">
        <v>11319</v>
      </c>
      <c r="G4208" s="919" t="s">
        <v>11320</v>
      </c>
      <c r="H4208" s="919" t="s">
        <v>4352</v>
      </c>
      <c r="I4208" s="919" t="s">
        <v>3724</v>
      </c>
      <c r="J4208" s="919"/>
      <c r="K4208" s="920">
        <v>1</v>
      </c>
      <c r="L4208" s="920">
        <v>12</v>
      </c>
      <c r="M4208" s="920">
        <f t="shared" si="130"/>
        <v>30000</v>
      </c>
      <c r="N4208" s="919"/>
      <c r="O4208" s="919"/>
      <c r="P4208" s="921">
        <f t="shared" si="131"/>
        <v>0</v>
      </c>
    </row>
    <row r="4209" spans="1:16" ht="20.100000000000001" customHeight="1" x14ac:dyDescent="0.25">
      <c r="A4209" s="918" t="s">
        <v>11905</v>
      </c>
      <c r="B4209" s="944" t="s">
        <v>3901</v>
      </c>
      <c r="C4209" s="919" t="s">
        <v>3902</v>
      </c>
      <c r="D4209" s="919" t="s">
        <v>6203</v>
      </c>
      <c r="E4209" s="920">
        <v>2500</v>
      </c>
      <c r="F4209" s="919" t="s">
        <v>11321</v>
      </c>
      <c r="G4209" s="919" t="s">
        <v>11322</v>
      </c>
      <c r="H4209" s="919" t="s">
        <v>6203</v>
      </c>
      <c r="I4209" s="919" t="s">
        <v>3724</v>
      </c>
      <c r="J4209" s="919"/>
      <c r="K4209" s="920">
        <v>1</v>
      </c>
      <c r="L4209" s="920">
        <v>12</v>
      </c>
      <c r="M4209" s="920">
        <f t="shared" si="130"/>
        <v>30000</v>
      </c>
      <c r="N4209" s="919"/>
      <c r="O4209" s="919"/>
      <c r="P4209" s="921">
        <f t="shared" si="131"/>
        <v>0</v>
      </c>
    </row>
    <row r="4210" spans="1:16" ht="20.100000000000001" customHeight="1" x14ac:dyDescent="0.25">
      <c r="A4210" s="918" t="s">
        <v>11905</v>
      </c>
      <c r="B4210" s="944" t="s">
        <v>3901</v>
      </c>
      <c r="C4210" s="919" t="s">
        <v>3902</v>
      </c>
      <c r="D4210" s="919" t="s">
        <v>3999</v>
      </c>
      <c r="E4210" s="920">
        <v>2500</v>
      </c>
      <c r="F4210" s="919" t="s">
        <v>4041</v>
      </c>
      <c r="G4210" s="919" t="s">
        <v>4042</v>
      </c>
      <c r="H4210" s="919" t="s">
        <v>3999</v>
      </c>
      <c r="I4210" s="919" t="s">
        <v>3724</v>
      </c>
      <c r="J4210" s="919"/>
      <c r="K4210" s="920">
        <v>1</v>
      </c>
      <c r="L4210" s="920">
        <v>12</v>
      </c>
      <c r="M4210" s="920">
        <f t="shared" si="130"/>
        <v>30000</v>
      </c>
      <c r="N4210" s="919"/>
      <c r="O4210" s="919"/>
      <c r="P4210" s="921">
        <f t="shared" si="131"/>
        <v>0</v>
      </c>
    </row>
    <row r="4211" spans="1:16" ht="20.100000000000001" customHeight="1" x14ac:dyDescent="0.25">
      <c r="A4211" s="918" t="s">
        <v>11905</v>
      </c>
      <c r="B4211" s="944" t="s">
        <v>3901</v>
      </c>
      <c r="C4211" s="919" t="s">
        <v>3902</v>
      </c>
      <c r="D4211" s="919" t="s">
        <v>6120</v>
      </c>
      <c r="E4211" s="920">
        <v>3800</v>
      </c>
      <c r="F4211" s="919" t="s">
        <v>11323</v>
      </c>
      <c r="G4211" s="919" t="s">
        <v>11324</v>
      </c>
      <c r="H4211" s="919" t="s">
        <v>6120</v>
      </c>
      <c r="I4211" s="919" t="s">
        <v>3724</v>
      </c>
      <c r="J4211" s="919"/>
      <c r="K4211" s="920">
        <v>1</v>
      </c>
      <c r="L4211" s="920">
        <v>12</v>
      </c>
      <c r="M4211" s="920">
        <f t="shared" si="130"/>
        <v>45600</v>
      </c>
      <c r="N4211" s="919"/>
      <c r="O4211" s="919"/>
      <c r="P4211" s="921">
        <f t="shared" si="131"/>
        <v>0</v>
      </c>
    </row>
    <row r="4212" spans="1:16" ht="20.100000000000001" customHeight="1" x14ac:dyDescent="0.25">
      <c r="A4212" s="918" t="s">
        <v>11905</v>
      </c>
      <c r="B4212" s="944" t="s">
        <v>3901</v>
      </c>
      <c r="C4212" s="919" t="s">
        <v>3902</v>
      </c>
      <c r="D4212" s="919" t="s">
        <v>4352</v>
      </c>
      <c r="E4212" s="920">
        <v>2500</v>
      </c>
      <c r="F4212" s="919" t="s">
        <v>11325</v>
      </c>
      <c r="G4212" s="919" t="s">
        <v>11326</v>
      </c>
      <c r="H4212" s="919" t="s">
        <v>4352</v>
      </c>
      <c r="I4212" s="919" t="s">
        <v>3724</v>
      </c>
      <c r="J4212" s="919"/>
      <c r="K4212" s="920">
        <v>1</v>
      </c>
      <c r="L4212" s="920">
        <v>12</v>
      </c>
      <c r="M4212" s="920">
        <f t="shared" si="130"/>
        <v>30000</v>
      </c>
      <c r="N4212" s="919"/>
      <c r="O4212" s="919"/>
      <c r="P4212" s="921">
        <f t="shared" si="131"/>
        <v>0</v>
      </c>
    </row>
    <row r="4213" spans="1:16" ht="20.100000000000001" customHeight="1" x14ac:dyDescent="0.25">
      <c r="A4213" s="918" t="s">
        <v>11905</v>
      </c>
      <c r="B4213" s="944" t="s">
        <v>3901</v>
      </c>
      <c r="C4213" s="919" t="s">
        <v>3902</v>
      </c>
      <c r="D4213" s="919" t="s">
        <v>6120</v>
      </c>
      <c r="E4213" s="920">
        <v>3800</v>
      </c>
      <c r="F4213" s="919" t="s">
        <v>11327</v>
      </c>
      <c r="G4213" s="919" t="s">
        <v>11328</v>
      </c>
      <c r="H4213" s="919" t="s">
        <v>6120</v>
      </c>
      <c r="I4213" s="919" t="s">
        <v>3724</v>
      </c>
      <c r="J4213" s="919"/>
      <c r="K4213" s="920">
        <v>1</v>
      </c>
      <c r="L4213" s="920">
        <v>12</v>
      </c>
      <c r="M4213" s="920">
        <f t="shared" si="130"/>
        <v>45600</v>
      </c>
      <c r="N4213" s="919"/>
      <c r="O4213" s="919"/>
      <c r="P4213" s="921">
        <f t="shared" si="131"/>
        <v>0</v>
      </c>
    </row>
    <row r="4214" spans="1:16" ht="20.100000000000001" customHeight="1" x14ac:dyDescent="0.25">
      <c r="A4214" s="918" t="s">
        <v>11905</v>
      </c>
      <c r="B4214" s="944" t="s">
        <v>3901</v>
      </c>
      <c r="C4214" s="919" t="s">
        <v>3902</v>
      </c>
      <c r="D4214" s="919" t="s">
        <v>4352</v>
      </c>
      <c r="E4214" s="920">
        <v>2700</v>
      </c>
      <c r="F4214" s="919" t="s">
        <v>11329</v>
      </c>
      <c r="G4214" s="919" t="s">
        <v>11330</v>
      </c>
      <c r="H4214" s="919" t="s">
        <v>4352</v>
      </c>
      <c r="I4214" s="919" t="s">
        <v>3724</v>
      </c>
      <c r="J4214" s="919"/>
      <c r="K4214" s="920">
        <v>1</v>
      </c>
      <c r="L4214" s="920">
        <v>12</v>
      </c>
      <c r="M4214" s="920">
        <f t="shared" si="130"/>
        <v>32400</v>
      </c>
      <c r="N4214" s="919"/>
      <c r="O4214" s="919"/>
      <c r="P4214" s="921">
        <f t="shared" si="131"/>
        <v>0</v>
      </c>
    </row>
    <row r="4215" spans="1:16" ht="20.100000000000001" customHeight="1" x14ac:dyDescent="0.25">
      <c r="A4215" s="918" t="s">
        <v>11905</v>
      </c>
      <c r="B4215" s="944" t="s">
        <v>3901</v>
      </c>
      <c r="C4215" s="919" t="s">
        <v>3902</v>
      </c>
      <c r="D4215" s="919" t="s">
        <v>4449</v>
      </c>
      <c r="E4215" s="920">
        <v>2700</v>
      </c>
      <c r="F4215" s="919" t="s">
        <v>4041</v>
      </c>
      <c r="G4215" s="919" t="s">
        <v>4042</v>
      </c>
      <c r="H4215" s="919" t="s">
        <v>4449</v>
      </c>
      <c r="I4215" s="919" t="s">
        <v>3724</v>
      </c>
      <c r="J4215" s="919"/>
      <c r="K4215" s="920">
        <v>1</v>
      </c>
      <c r="L4215" s="920">
        <v>12</v>
      </c>
      <c r="M4215" s="920">
        <f t="shared" si="130"/>
        <v>32400</v>
      </c>
      <c r="N4215" s="919"/>
      <c r="O4215" s="919"/>
      <c r="P4215" s="921">
        <f t="shared" si="131"/>
        <v>0</v>
      </c>
    </row>
    <row r="4216" spans="1:16" ht="20.100000000000001" customHeight="1" x14ac:dyDescent="0.25">
      <c r="A4216" s="918" t="s">
        <v>11905</v>
      </c>
      <c r="B4216" s="944" t="s">
        <v>3901</v>
      </c>
      <c r="C4216" s="919" t="s">
        <v>3902</v>
      </c>
      <c r="D4216" s="919" t="s">
        <v>4352</v>
      </c>
      <c r="E4216" s="920">
        <v>2700</v>
      </c>
      <c r="F4216" s="919" t="s">
        <v>11331</v>
      </c>
      <c r="G4216" s="919" t="s">
        <v>11332</v>
      </c>
      <c r="H4216" s="919" t="s">
        <v>4352</v>
      </c>
      <c r="I4216" s="919" t="s">
        <v>3724</v>
      </c>
      <c r="J4216" s="919"/>
      <c r="K4216" s="920">
        <v>1</v>
      </c>
      <c r="L4216" s="920">
        <v>12</v>
      </c>
      <c r="M4216" s="920">
        <f t="shared" si="130"/>
        <v>32400</v>
      </c>
      <c r="N4216" s="919"/>
      <c r="O4216" s="919"/>
      <c r="P4216" s="921">
        <f t="shared" si="131"/>
        <v>0</v>
      </c>
    </row>
    <row r="4217" spans="1:16" ht="20.100000000000001" customHeight="1" x14ac:dyDescent="0.25">
      <c r="A4217" s="918" t="s">
        <v>11905</v>
      </c>
      <c r="B4217" s="944" t="s">
        <v>3901</v>
      </c>
      <c r="C4217" s="919" t="s">
        <v>3902</v>
      </c>
      <c r="D4217" s="919" t="s">
        <v>4352</v>
      </c>
      <c r="E4217" s="920">
        <v>2500</v>
      </c>
      <c r="F4217" s="919" t="s">
        <v>11333</v>
      </c>
      <c r="G4217" s="919" t="s">
        <v>11334</v>
      </c>
      <c r="H4217" s="919" t="s">
        <v>4352</v>
      </c>
      <c r="I4217" s="919" t="s">
        <v>3724</v>
      </c>
      <c r="J4217" s="919"/>
      <c r="K4217" s="920">
        <v>1</v>
      </c>
      <c r="L4217" s="920">
        <v>12</v>
      </c>
      <c r="M4217" s="920">
        <f t="shared" si="130"/>
        <v>30000</v>
      </c>
      <c r="N4217" s="919"/>
      <c r="O4217" s="919"/>
      <c r="P4217" s="921">
        <f t="shared" si="131"/>
        <v>0</v>
      </c>
    </row>
    <row r="4218" spans="1:16" ht="20.100000000000001" customHeight="1" x14ac:dyDescent="0.25">
      <c r="A4218" s="918" t="s">
        <v>11905</v>
      </c>
      <c r="B4218" s="944" t="s">
        <v>3901</v>
      </c>
      <c r="C4218" s="919" t="s">
        <v>3902</v>
      </c>
      <c r="D4218" s="919" t="s">
        <v>4449</v>
      </c>
      <c r="E4218" s="920">
        <v>2500</v>
      </c>
      <c r="F4218" s="919" t="s">
        <v>4041</v>
      </c>
      <c r="G4218" s="919" t="s">
        <v>4042</v>
      </c>
      <c r="H4218" s="919" t="s">
        <v>4449</v>
      </c>
      <c r="I4218" s="919" t="s">
        <v>3724</v>
      </c>
      <c r="J4218" s="919"/>
      <c r="K4218" s="920">
        <v>1</v>
      </c>
      <c r="L4218" s="920">
        <v>12</v>
      </c>
      <c r="M4218" s="920">
        <f t="shared" si="130"/>
        <v>30000</v>
      </c>
      <c r="N4218" s="919"/>
      <c r="O4218" s="919"/>
      <c r="P4218" s="921">
        <f t="shared" si="131"/>
        <v>0</v>
      </c>
    </row>
    <row r="4219" spans="1:16" ht="20.100000000000001" customHeight="1" x14ac:dyDescent="0.25">
      <c r="A4219" s="918" t="s">
        <v>11905</v>
      </c>
      <c r="B4219" s="944" t="s">
        <v>3901</v>
      </c>
      <c r="C4219" s="919" t="s">
        <v>3902</v>
      </c>
      <c r="D4219" s="919" t="s">
        <v>3999</v>
      </c>
      <c r="E4219" s="920">
        <v>2500</v>
      </c>
      <c r="F4219" s="919" t="s">
        <v>4041</v>
      </c>
      <c r="G4219" s="919" t="s">
        <v>4042</v>
      </c>
      <c r="H4219" s="919" t="s">
        <v>3999</v>
      </c>
      <c r="I4219" s="919" t="s">
        <v>3724</v>
      </c>
      <c r="J4219" s="919"/>
      <c r="K4219" s="920">
        <v>1</v>
      </c>
      <c r="L4219" s="920">
        <v>12</v>
      </c>
      <c r="M4219" s="920">
        <f t="shared" si="130"/>
        <v>30000</v>
      </c>
      <c r="N4219" s="919"/>
      <c r="O4219" s="919"/>
      <c r="P4219" s="921">
        <f t="shared" si="131"/>
        <v>0</v>
      </c>
    </row>
    <row r="4220" spans="1:16" ht="20.100000000000001" customHeight="1" x14ac:dyDescent="0.25">
      <c r="A4220" s="918" t="s">
        <v>11905</v>
      </c>
      <c r="B4220" s="944" t="s">
        <v>3901</v>
      </c>
      <c r="C4220" s="919" t="s">
        <v>3902</v>
      </c>
      <c r="D4220" s="919" t="s">
        <v>3999</v>
      </c>
      <c r="E4220" s="920">
        <v>2500</v>
      </c>
      <c r="F4220" s="919" t="s">
        <v>4041</v>
      </c>
      <c r="G4220" s="919" t="s">
        <v>4042</v>
      </c>
      <c r="H4220" s="919" t="s">
        <v>3999</v>
      </c>
      <c r="I4220" s="919" t="s">
        <v>3724</v>
      </c>
      <c r="J4220" s="919"/>
      <c r="K4220" s="920">
        <v>1</v>
      </c>
      <c r="L4220" s="920">
        <v>12</v>
      </c>
      <c r="M4220" s="920">
        <f t="shared" si="130"/>
        <v>30000</v>
      </c>
      <c r="N4220" s="919"/>
      <c r="O4220" s="919"/>
      <c r="P4220" s="921">
        <f t="shared" si="131"/>
        <v>0</v>
      </c>
    </row>
    <row r="4221" spans="1:16" ht="20.100000000000001" customHeight="1" x14ac:dyDescent="0.25">
      <c r="A4221" s="918" t="s">
        <v>11905</v>
      </c>
      <c r="B4221" s="944" t="s">
        <v>3901</v>
      </c>
      <c r="C4221" s="919" t="s">
        <v>3902</v>
      </c>
      <c r="D4221" s="919" t="s">
        <v>4352</v>
      </c>
      <c r="E4221" s="920">
        <v>2500</v>
      </c>
      <c r="F4221" s="919" t="s">
        <v>11335</v>
      </c>
      <c r="G4221" s="919" t="s">
        <v>11336</v>
      </c>
      <c r="H4221" s="919" t="s">
        <v>4352</v>
      </c>
      <c r="I4221" s="919" t="s">
        <v>3724</v>
      </c>
      <c r="J4221" s="919"/>
      <c r="K4221" s="920">
        <v>1</v>
      </c>
      <c r="L4221" s="920">
        <v>12</v>
      </c>
      <c r="M4221" s="920">
        <f t="shared" si="130"/>
        <v>30000</v>
      </c>
      <c r="N4221" s="919"/>
      <c r="O4221" s="919"/>
      <c r="P4221" s="921">
        <f t="shared" si="131"/>
        <v>0</v>
      </c>
    </row>
    <row r="4222" spans="1:16" ht="20.100000000000001" customHeight="1" x14ac:dyDescent="0.25">
      <c r="A4222" s="918" t="s">
        <v>11905</v>
      </c>
      <c r="B4222" s="944" t="s">
        <v>3901</v>
      </c>
      <c r="C4222" s="919" t="s">
        <v>3902</v>
      </c>
      <c r="D4222" s="919" t="s">
        <v>3999</v>
      </c>
      <c r="E4222" s="920">
        <v>2500</v>
      </c>
      <c r="F4222" s="919" t="s">
        <v>4041</v>
      </c>
      <c r="G4222" s="919" t="s">
        <v>4042</v>
      </c>
      <c r="H4222" s="919" t="s">
        <v>3999</v>
      </c>
      <c r="I4222" s="919" t="s">
        <v>3724</v>
      </c>
      <c r="J4222" s="919"/>
      <c r="K4222" s="920">
        <v>1</v>
      </c>
      <c r="L4222" s="920">
        <v>12</v>
      </c>
      <c r="M4222" s="920">
        <f t="shared" si="130"/>
        <v>30000</v>
      </c>
      <c r="N4222" s="919"/>
      <c r="O4222" s="919"/>
      <c r="P4222" s="921">
        <f t="shared" si="131"/>
        <v>0</v>
      </c>
    </row>
    <row r="4223" spans="1:16" ht="20.100000000000001" customHeight="1" x14ac:dyDescent="0.25">
      <c r="A4223" s="918" t="s">
        <v>11905</v>
      </c>
      <c r="B4223" s="944" t="s">
        <v>3901</v>
      </c>
      <c r="C4223" s="919" t="s">
        <v>3902</v>
      </c>
      <c r="D4223" s="919" t="s">
        <v>4352</v>
      </c>
      <c r="E4223" s="920">
        <v>2700</v>
      </c>
      <c r="F4223" s="919" t="s">
        <v>11337</v>
      </c>
      <c r="G4223" s="919" t="s">
        <v>11338</v>
      </c>
      <c r="H4223" s="919" t="s">
        <v>4352</v>
      </c>
      <c r="I4223" s="919" t="s">
        <v>3724</v>
      </c>
      <c r="J4223" s="919"/>
      <c r="K4223" s="920">
        <v>1</v>
      </c>
      <c r="L4223" s="920">
        <v>12</v>
      </c>
      <c r="M4223" s="920">
        <f t="shared" si="130"/>
        <v>32400</v>
      </c>
      <c r="N4223" s="919"/>
      <c r="O4223" s="919"/>
      <c r="P4223" s="921">
        <f t="shared" si="131"/>
        <v>0</v>
      </c>
    </row>
    <row r="4224" spans="1:16" ht="20.100000000000001" customHeight="1" x14ac:dyDescent="0.25">
      <c r="A4224" s="918" t="s">
        <v>11905</v>
      </c>
      <c r="B4224" s="944" t="s">
        <v>3901</v>
      </c>
      <c r="C4224" s="919" t="s">
        <v>3902</v>
      </c>
      <c r="D4224" s="919" t="s">
        <v>4352</v>
      </c>
      <c r="E4224" s="920">
        <v>2500</v>
      </c>
      <c r="F4224" s="919" t="s">
        <v>11339</v>
      </c>
      <c r="G4224" s="919" t="s">
        <v>11340</v>
      </c>
      <c r="H4224" s="919" t="s">
        <v>4352</v>
      </c>
      <c r="I4224" s="919" t="s">
        <v>3724</v>
      </c>
      <c r="J4224" s="919"/>
      <c r="K4224" s="920">
        <v>1</v>
      </c>
      <c r="L4224" s="920">
        <v>12</v>
      </c>
      <c r="M4224" s="920">
        <f t="shared" si="130"/>
        <v>30000</v>
      </c>
      <c r="N4224" s="919"/>
      <c r="O4224" s="919"/>
      <c r="P4224" s="921">
        <f t="shared" si="131"/>
        <v>0</v>
      </c>
    </row>
    <row r="4225" spans="1:16" ht="20.100000000000001" customHeight="1" x14ac:dyDescent="0.25">
      <c r="A4225" s="918" t="s">
        <v>11905</v>
      </c>
      <c r="B4225" s="944" t="s">
        <v>3901</v>
      </c>
      <c r="C4225" s="919" t="s">
        <v>3902</v>
      </c>
      <c r="D4225" s="919" t="s">
        <v>4352</v>
      </c>
      <c r="E4225" s="920">
        <v>2500</v>
      </c>
      <c r="F4225" s="919" t="s">
        <v>4041</v>
      </c>
      <c r="G4225" s="919" t="s">
        <v>4042</v>
      </c>
      <c r="H4225" s="919" t="s">
        <v>4352</v>
      </c>
      <c r="I4225" s="919" t="s">
        <v>3724</v>
      </c>
      <c r="J4225" s="919"/>
      <c r="K4225" s="920">
        <v>1</v>
      </c>
      <c r="L4225" s="920">
        <v>12</v>
      </c>
      <c r="M4225" s="920">
        <f t="shared" si="130"/>
        <v>30000</v>
      </c>
      <c r="N4225" s="919"/>
      <c r="O4225" s="919"/>
      <c r="P4225" s="921">
        <f t="shared" si="131"/>
        <v>0</v>
      </c>
    </row>
    <row r="4226" spans="1:16" ht="20.100000000000001" customHeight="1" x14ac:dyDescent="0.25">
      <c r="A4226" s="918" t="s">
        <v>11905</v>
      </c>
      <c r="B4226" s="944" t="s">
        <v>3901</v>
      </c>
      <c r="C4226" s="919" t="s">
        <v>3902</v>
      </c>
      <c r="D4226" s="919" t="s">
        <v>4352</v>
      </c>
      <c r="E4226" s="920">
        <v>2500</v>
      </c>
      <c r="F4226" s="919" t="s">
        <v>11341</v>
      </c>
      <c r="G4226" s="919" t="s">
        <v>11342</v>
      </c>
      <c r="H4226" s="919" t="s">
        <v>4352</v>
      </c>
      <c r="I4226" s="919" t="s">
        <v>3724</v>
      </c>
      <c r="J4226" s="919"/>
      <c r="K4226" s="920">
        <v>1</v>
      </c>
      <c r="L4226" s="920">
        <v>12</v>
      </c>
      <c r="M4226" s="920">
        <f t="shared" si="130"/>
        <v>30000</v>
      </c>
      <c r="N4226" s="919"/>
      <c r="O4226" s="919"/>
      <c r="P4226" s="921">
        <f t="shared" si="131"/>
        <v>0</v>
      </c>
    </row>
    <row r="4227" spans="1:16" ht="20.100000000000001" customHeight="1" x14ac:dyDescent="0.25">
      <c r="A4227" s="918" t="s">
        <v>11905</v>
      </c>
      <c r="B4227" s="944" t="s">
        <v>3901</v>
      </c>
      <c r="C4227" s="919" t="s">
        <v>3902</v>
      </c>
      <c r="D4227" s="919" t="s">
        <v>4352</v>
      </c>
      <c r="E4227" s="920">
        <v>2500</v>
      </c>
      <c r="F4227" s="919" t="s">
        <v>4041</v>
      </c>
      <c r="G4227" s="919" t="s">
        <v>4042</v>
      </c>
      <c r="H4227" s="919" t="s">
        <v>4352</v>
      </c>
      <c r="I4227" s="919" t="s">
        <v>3724</v>
      </c>
      <c r="J4227" s="919"/>
      <c r="K4227" s="920">
        <v>1</v>
      </c>
      <c r="L4227" s="920">
        <v>12</v>
      </c>
      <c r="M4227" s="920">
        <f t="shared" si="130"/>
        <v>30000</v>
      </c>
      <c r="N4227" s="919"/>
      <c r="O4227" s="919"/>
      <c r="P4227" s="921">
        <f t="shared" si="131"/>
        <v>0</v>
      </c>
    </row>
    <row r="4228" spans="1:16" ht="20.100000000000001" customHeight="1" x14ac:dyDescent="0.25">
      <c r="A4228" s="918" t="s">
        <v>11905</v>
      </c>
      <c r="B4228" s="944" t="s">
        <v>3901</v>
      </c>
      <c r="C4228" s="919" t="s">
        <v>3902</v>
      </c>
      <c r="D4228" s="919" t="s">
        <v>3999</v>
      </c>
      <c r="E4228" s="920">
        <v>2500</v>
      </c>
      <c r="F4228" s="919" t="s">
        <v>4041</v>
      </c>
      <c r="G4228" s="919" t="s">
        <v>4042</v>
      </c>
      <c r="H4228" s="919" t="s">
        <v>3999</v>
      </c>
      <c r="I4228" s="919" t="s">
        <v>3724</v>
      </c>
      <c r="J4228" s="919"/>
      <c r="K4228" s="920">
        <v>1</v>
      </c>
      <c r="L4228" s="920">
        <v>12</v>
      </c>
      <c r="M4228" s="920">
        <f t="shared" si="130"/>
        <v>30000</v>
      </c>
      <c r="N4228" s="919"/>
      <c r="O4228" s="919"/>
      <c r="P4228" s="921">
        <f t="shared" si="131"/>
        <v>0</v>
      </c>
    </row>
    <row r="4229" spans="1:16" ht="20.100000000000001" customHeight="1" x14ac:dyDescent="0.25">
      <c r="A4229" s="918" t="s">
        <v>11905</v>
      </c>
      <c r="B4229" s="944" t="s">
        <v>3901</v>
      </c>
      <c r="C4229" s="919" t="s">
        <v>3902</v>
      </c>
      <c r="D4229" s="919" t="s">
        <v>4352</v>
      </c>
      <c r="E4229" s="920">
        <v>2500</v>
      </c>
      <c r="F4229" s="919" t="s">
        <v>11343</v>
      </c>
      <c r="G4229" s="919" t="s">
        <v>11344</v>
      </c>
      <c r="H4229" s="919" t="s">
        <v>4352</v>
      </c>
      <c r="I4229" s="919" t="s">
        <v>3724</v>
      </c>
      <c r="J4229" s="919"/>
      <c r="K4229" s="920">
        <v>1</v>
      </c>
      <c r="L4229" s="920">
        <v>12</v>
      </c>
      <c r="M4229" s="920">
        <f t="shared" si="130"/>
        <v>30000</v>
      </c>
      <c r="N4229" s="919"/>
      <c r="O4229" s="919"/>
      <c r="P4229" s="921">
        <f t="shared" si="131"/>
        <v>0</v>
      </c>
    </row>
    <row r="4230" spans="1:16" ht="20.100000000000001" customHeight="1" x14ac:dyDescent="0.25">
      <c r="A4230" s="918" t="s">
        <v>11905</v>
      </c>
      <c r="B4230" s="944" t="s">
        <v>3901</v>
      </c>
      <c r="C4230" s="919" t="s">
        <v>3902</v>
      </c>
      <c r="D4230" s="919" t="s">
        <v>6074</v>
      </c>
      <c r="E4230" s="920">
        <v>1700</v>
      </c>
      <c r="F4230" s="919" t="s">
        <v>11345</v>
      </c>
      <c r="G4230" s="919" t="s">
        <v>11346</v>
      </c>
      <c r="H4230" s="919" t="s">
        <v>6074</v>
      </c>
      <c r="I4230" s="919" t="s">
        <v>3686</v>
      </c>
      <c r="J4230" s="919"/>
      <c r="K4230" s="920">
        <v>1</v>
      </c>
      <c r="L4230" s="920">
        <v>12</v>
      </c>
      <c r="M4230" s="920">
        <f t="shared" ref="M4230:M4293" si="132">E4230*L4230</f>
        <v>20400</v>
      </c>
      <c r="N4230" s="919"/>
      <c r="O4230" s="919"/>
      <c r="P4230" s="921">
        <f t="shared" ref="P4230:P4293" si="133">E4230*O4230</f>
        <v>0</v>
      </c>
    </row>
    <row r="4231" spans="1:16" ht="20.100000000000001" customHeight="1" x14ac:dyDescent="0.25">
      <c r="A4231" s="918" t="s">
        <v>11905</v>
      </c>
      <c r="B4231" s="944" t="s">
        <v>3901</v>
      </c>
      <c r="C4231" s="919" t="s">
        <v>3902</v>
      </c>
      <c r="D4231" s="919" t="s">
        <v>6074</v>
      </c>
      <c r="E4231" s="920">
        <v>1700</v>
      </c>
      <c r="F4231" s="919" t="s">
        <v>11347</v>
      </c>
      <c r="G4231" s="919" t="s">
        <v>11348</v>
      </c>
      <c r="H4231" s="919" t="s">
        <v>6074</v>
      </c>
      <c r="I4231" s="919" t="s">
        <v>3686</v>
      </c>
      <c r="J4231" s="919"/>
      <c r="K4231" s="920">
        <v>1</v>
      </c>
      <c r="L4231" s="920">
        <v>12</v>
      </c>
      <c r="M4231" s="920">
        <f t="shared" si="132"/>
        <v>20400</v>
      </c>
      <c r="N4231" s="919"/>
      <c r="O4231" s="919"/>
      <c r="P4231" s="921">
        <f t="shared" si="133"/>
        <v>0</v>
      </c>
    </row>
    <row r="4232" spans="1:16" ht="20.100000000000001" customHeight="1" x14ac:dyDescent="0.25">
      <c r="A4232" s="918" t="s">
        <v>11905</v>
      </c>
      <c r="B4232" s="944" t="s">
        <v>3901</v>
      </c>
      <c r="C4232" s="919" t="s">
        <v>3902</v>
      </c>
      <c r="D4232" s="919" t="s">
        <v>4405</v>
      </c>
      <c r="E4232" s="920">
        <v>1600</v>
      </c>
      <c r="F4232" s="919" t="s">
        <v>11349</v>
      </c>
      <c r="G4232" s="919" t="s">
        <v>11350</v>
      </c>
      <c r="H4232" s="919" t="s">
        <v>4405</v>
      </c>
      <c r="I4232" s="919" t="s">
        <v>3679</v>
      </c>
      <c r="J4232" s="919"/>
      <c r="K4232" s="920">
        <v>1</v>
      </c>
      <c r="L4232" s="920">
        <v>12</v>
      </c>
      <c r="M4232" s="920">
        <f t="shared" si="132"/>
        <v>19200</v>
      </c>
      <c r="N4232" s="919"/>
      <c r="O4232" s="919"/>
      <c r="P4232" s="921">
        <f t="shared" si="133"/>
        <v>0</v>
      </c>
    </row>
    <row r="4233" spans="1:16" ht="20.100000000000001" customHeight="1" x14ac:dyDescent="0.25">
      <c r="A4233" s="918" t="s">
        <v>11905</v>
      </c>
      <c r="B4233" s="944" t="s">
        <v>3901</v>
      </c>
      <c r="C4233" s="919" t="s">
        <v>3902</v>
      </c>
      <c r="D4233" s="919" t="s">
        <v>4405</v>
      </c>
      <c r="E4233" s="920">
        <v>1800</v>
      </c>
      <c r="F4233" s="919" t="s">
        <v>4041</v>
      </c>
      <c r="G4233" s="919" t="s">
        <v>4042</v>
      </c>
      <c r="H4233" s="919" t="s">
        <v>4405</v>
      </c>
      <c r="I4233" s="919" t="s">
        <v>3679</v>
      </c>
      <c r="J4233" s="919"/>
      <c r="K4233" s="920">
        <v>1</v>
      </c>
      <c r="L4233" s="920">
        <v>12</v>
      </c>
      <c r="M4233" s="920">
        <f t="shared" si="132"/>
        <v>21600</v>
      </c>
      <c r="N4233" s="919"/>
      <c r="O4233" s="919"/>
      <c r="P4233" s="921">
        <f t="shared" si="133"/>
        <v>0</v>
      </c>
    </row>
    <row r="4234" spans="1:16" ht="20.100000000000001" customHeight="1" x14ac:dyDescent="0.25">
      <c r="A4234" s="918" t="s">
        <v>11905</v>
      </c>
      <c r="B4234" s="944" t="s">
        <v>3901</v>
      </c>
      <c r="C4234" s="919" t="s">
        <v>3902</v>
      </c>
      <c r="D4234" s="919" t="s">
        <v>4383</v>
      </c>
      <c r="E4234" s="920">
        <v>3000</v>
      </c>
      <c r="F4234" s="919" t="s">
        <v>11351</v>
      </c>
      <c r="G4234" s="919" t="s">
        <v>11352</v>
      </c>
      <c r="H4234" s="919" t="s">
        <v>4383</v>
      </c>
      <c r="I4234" s="919" t="s">
        <v>3724</v>
      </c>
      <c r="J4234" s="919"/>
      <c r="K4234" s="920">
        <v>1</v>
      </c>
      <c r="L4234" s="920">
        <v>12</v>
      </c>
      <c r="M4234" s="920">
        <f t="shared" si="132"/>
        <v>36000</v>
      </c>
      <c r="N4234" s="919"/>
      <c r="O4234" s="919"/>
      <c r="P4234" s="921">
        <f t="shared" si="133"/>
        <v>0</v>
      </c>
    </row>
    <row r="4235" spans="1:16" ht="20.100000000000001" customHeight="1" x14ac:dyDescent="0.25">
      <c r="A4235" s="918" t="s">
        <v>11905</v>
      </c>
      <c r="B4235" s="944" t="s">
        <v>3901</v>
      </c>
      <c r="C4235" s="919" t="s">
        <v>3902</v>
      </c>
      <c r="D4235" s="919" t="s">
        <v>6203</v>
      </c>
      <c r="E4235" s="920">
        <v>2500</v>
      </c>
      <c r="F4235" s="919" t="s">
        <v>11353</v>
      </c>
      <c r="G4235" s="919" t="s">
        <v>11354</v>
      </c>
      <c r="H4235" s="919" t="s">
        <v>6203</v>
      </c>
      <c r="I4235" s="919" t="s">
        <v>3724</v>
      </c>
      <c r="J4235" s="919"/>
      <c r="K4235" s="920">
        <v>1</v>
      </c>
      <c r="L4235" s="920">
        <v>12</v>
      </c>
      <c r="M4235" s="920">
        <f t="shared" si="132"/>
        <v>30000</v>
      </c>
      <c r="N4235" s="919"/>
      <c r="O4235" s="919"/>
      <c r="P4235" s="921">
        <f t="shared" si="133"/>
        <v>0</v>
      </c>
    </row>
    <row r="4236" spans="1:16" ht="20.100000000000001" customHeight="1" x14ac:dyDescent="0.25">
      <c r="A4236" s="918" t="s">
        <v>11905</v>
      </c>
      <c r="B4236" s="944" t="s">
        <v>3901</v>
      </c>
      <c r="C4236" s="919" t="s">
        <v>3902</v>
      </c>
      <c r="D4236" s="919" t="s">
        <v>6203</v>
      </c>
      <c r="E4236" s="920">
        <v>2500</v>
      </c>
      <c r="F4236" s="919" t="s">
        <v>4041</v>
      </c>
      <c r="G4236" s="919" t="s">
        <v>4062</v>
      </c>
      <c r="H4236" s="919" t="s">
        <v>6203</v>
      </c>
      <c r="I4236" s="919" t="s">
        <v>3724</v>
      </c>
      <c r="J4236" s="919"/>
      <c r="K4236" s="920">
        <v>1</v>
      </c>
      <c r="L4236" s="920">
        <v>12</v>
      </c>
      <c r="M4236" s="920">
        <f t="shared" si="132"/>
        <v>30000</v>
      </c>
      <c r="N4236" s="919"/>
      <c r="O4236" s="919"/>
      <c r="P4236" s="921">
        <f t="shared" si="133"/>
        <v>0</v>
      </c>
    </row>
    <row r="4237" spans="1:16" ht="20.100000000000001" customHeight="1" x14ac:dyDescent="0.25">
      <c r="A4237" s="918" t="s">
        <v>11905</v>
      </c>
      <c r="B4237" s="944" t="s">
        <v>3901</v>
      </c>
      <c r="C4237" s="919" t="s">
        <v>3902</v>
      </c>
      <c r="D4237" s="919" t="s">
        <v>4405</v>
      </c>
      <c r="E4237" s="920">
        <v>1800</v>
      </c>
      <c r="F4237" s="919" t="s">
        <v>11355</v>
      </c>
      <c r="G4237" s="919" t="s">
        <v>11356</v>
      </c>
      <c r="H4237" s="919" t="s">
        <v>4405</v>
      </c>
      <c r="I4237" s="919" t="s">
        <v>3679</v>
      </c>
      <c r="J4237" s="919"/>
      <c r="K4237" s="920">
        <v>1</v>
      </c>
      <c r="L4237" s="920">
        <v>12</v>
      </c>
      <c r="M4237" s="920">
        <f t="shared" si="132"/>
        <v>21600</v>
      </c>
      <c r="N4237" s="919"/>
      <c r="O4237" s="919"/>
      <c r="P4237" s="921">
        <f t="shared" si="133"/>
        <v>0</v>
      </c>
    </row>
    <row r="4238" spans="1:16" ht="20.100000000000001" customHeight="1" x14ac:dyDescent="0.25">
      <c r="A4238" s="918" t="s">
        <v>11905</v>
      </c>
      <c r="B4238" s="944" t="s">
        <v>3901</v>
      </c>
      <c r="C4238" s="919" t="s">
        <v>3902</v>
      </c>
      <c r="D4238" s="919" t="s">
        <v>4383</v>
      </c>
      <c r="E4238" s="920">
        <v>2700</v>
      </c>
      <c r="F4238" s="919" t="s">
        <v>4041</v>
      </c>
      <c r="G4238" s="919" t="s">
        <v>4062</v>
      </c>
      <c r="H4238" s="919" t="s">
        <v>4383</v>
      </c>
      <c r="I4238" s="919" t="s">
        <v>3724</v>
      </c>
      <c r="J4238" s="919"/>
      <c r="K4238" s="920">
        <v>1</v>
      </c>
      <c r="L4238" s="920">
        <v>12</v>
      </c>
      <c r="M4238" s="920">
        <f t="shared" si="132"/>
        <v>32400</v>
      </c>
      <c r="N4238" s="919"/>
      <c r="O4238" s="919"/>
      <c r="P4238" s="921">
        <f t="shared" si="133"/>
        <v>0</v>
      </c>
    </row>
    <row r="4239" spans="1:16" ht="20.100000000000001" customHeight="1" x14ac:dyDescent="0.25">
      <c r="A4239" s="918" t="s">
        <v>480</v>
      </c>
      <c r="B4239" s="944" t="s">
        <v>3901</v>
      </c>
      <c r="C4239" s="919" t="s">
        <v>3902</v>
      </c>
      <c r="D4239" s="919" t="s">
        <v>11357</v>
      </c>
      <c r="E4239" s="920">
        <v>2600</v>
      </c>
      <c r="F4239" s="919" t="s">
        <v>11358</v>
      </c>
      <c r="G4239" s="919" t="s">
        <v>11359</v>
      </c>
      <c r="H4239" s="919" t="s">
        <v>11357</v>
      </c>
      <c r="I4239" s="919" t="s">
        <v>3679</v>
      </c>
      <c r="J4239" s="919"/>
      <c r="K4239" s="920">
        <v>1</v>
      </c>
      <c r="L4239" s="920">
        <v>12</v>
      </c>
      <c r="M4239" s="920">
        <f t="shared" si="132"/>
        <v>31200</v>
      </c>
      <c r="N4239" s="919"/>
      <c r="O4239" s="919"/>
      <c r="P4239" s="921">
        <f t="shared" si="133"/>
        <v>0</v>
      </c>
    </row>
    <row r="4240" spans="1:16" ht="20.100000000000001" customHeight="1" x14ac:dyDescent="0.25">
      <c r="A4240" s="918" t="s">
        <v>480</v>
      </c>
      <c r="B4240" s="944" t="s">
        <v>3901</v>
      </c>
      <c r="C4240" s="919" t="s">
        <v>3902</v>
      </c>
      <c r="D4240" s="919" t="s">
        <v>4038</v>
      </c>
      <c r="E4240" s="920">
        <v>2000</v>
      </c>
      <c r="F4240" s="919" t="s">
        <v>11360</v>
      </c>
      <c r="G4240" s="919" t="s">
        <v>11361</v>
      </c>
      <c r="H4240" s="919" t="s">
        <v>4038</v>
      </c>
      <c r="I4240" s="919" t="s">
        <v>3686</v>
      </c>
      <c r="J4240" s="919"/>
      <c r="K4240" s="920">
        <v>1</v>
      </c>
      <c r="L4240" s="920">
        <v>12</v>
      </c>
      <c r="M4240" s="920">
        <f t="shared" si="132"/>
        <v>24000</v>
      </c>
      <c r="N4240" s="919"/>
      <c r="O4240" s="919"/>
      <c r="P4240" s="921">
        <f t="shared" si="133"/>
        <v>0</v>
      </c>
    </row>
    <row r="4241" spans="1:16" ht="20.100000000000001" customHeight="1" x14ac:dyDescent="0.25">
      <c r="A4241" s="918" t="s">
        <v>480</v>
      </c>
      <c r="B4241" s="944" t="s">
        <v>3901</v>
      </c>
      <c r="C4241" s="919" t="s">
        <v>3902</v>
      </c>
      <c r="D4241" s="919" t="s">
        <v>4038</v>
      </c>
      <c r="E4241" s="920">
        <v>2000</v>
      </c>
      <c r="F4241" s="919" t="s">
        <v>11362</v>
      </c>
      <c r="G4241" s="919" t="s">
        <v>11363</v>
      </c>
      <c r="H4241" s="919" t="s">
        <v>4038</v>
      </c>
      <c r="I4241" s="919" t="s">
        <v>3686</v>
      </c>
      <c r="J4241" s="919"/>
      <c r="K4241" s="920">
        <v>1</v>
      </c>
      <c r="L4241" s="920">
        <v>12</v>
      </c>
      <c r="M4241" s="920">
        <f t="shared" si="132"/>
        <v>24000</v>
      </c>
      <c r="N4241" s="919"/>
      <c r="O4241" s="919"/>
      <c r="P4241" s="921">
        <f t="shared" si="133"/>
        <v>0</v>
      </c>
    </row>
    <row r="4242" spans="1:16" ht="20.100000000000001" customHeight="1" x14ac:dyDescent="0.25">
      <c r="A4242" s="918" t="s">
        <v>480</v>
      </c>
      <c r="B4242" s="944" t="s">
        <v>3901</v>
      </c>
      <c r="C4242" s="919" t="s">
        <v>3902</v>
      </c>
      <c r="D4242" s="919" t="s">
        <v>4038</v>
      </c>
      <c r="E4242" s="920">
        <v>2000</v>
      </c>
      <c r="F4242" s="919" t="s">
        <v>11364</v>
      </c>
      <c r="G4242" s="919" t="s">
        <v>11365</v>
      </c>
      <c r="H4242" s="919" t="s">
        <v>4038</v>
      </c>
      <c r="I4242" s="919" t="s">
        <v>3686</v>
      </c>
      <c r="J4242" s="919"/>
      <c r="K4242" s="920"/>
      <c r="L4242" s="920"/>
      <c r="M4242" s="920">
        <f t="shared" si="132"/>
        <v>0</v>
      </c>
      <c r="N4242" s="919">
        <v>1</v>
      </c>
      <c r="O4242" s="919">
        <v>4</v>
      </c>
      <c r="P4242" s="921">
        <f t="shared" si="133"/>
        <v>8000</v>
      </c>
    </row>
    <row r="4243" spans="1:16" ht="20.100000000000001" customHeight="1" x14ac:dyDescent="0.25">
      <c r="A4243" s="918" t="s">
        <v>480</v>
      </c>
      <c r="B4243" s="944" t="s">
        <v>3901</v>
      </c>
      <c r="C4243" s="919" t="s">
        <v>3902</v>
      </c>
      <c r="D4243" s="919" t="s">
        <v>4250</v>
      </c>
      <c r="E4243" s="920">
        <v>3500</v>
      </c>
      <c r="F4243" s="919" t="s">
        <v>11366</v>
      </c>
      <c r="G4243" s="919" t="s">
        <v>11367</v>
      </c>
      <c r="H4243" s="919" t="s">
        <v>4250</v>
      </c>
      <c r="I4243" s="919" t="s">
        <v>3679</v>
      </c>
      <c r="J4243" s="919"/>
      <c r="K4243" s="920"/>
      <c r="L4243" s="920"/>
      <c r="M4243" s="920">
        <f t="shared" si="132"/>
        <v>0</v>
      </c>
      <c r="N4243" s="919">
        <v>1</v>
      </c>
      <c r="O4243" s="919">
        <v>4</v>
      </c>
      <c r="P4243" s="921">
        <f t="shared" si="133"/>
        <v>14000</v>
      </c>
    </row>
    <row r="4244" spans="1:16" ht="20.100000000000001" customHeight="1" x14ac:dyDescent="0.25">
      <c r="A4244" s="918" t="s">
        <v>480</v>
      </c>
      <c r="B4244" s="944" t="s">
        <v>3901</v>
      </c>
      <c r="C4244" s="919" t="s">
        <v>3902</v>
      </c>
      <c r="D4244" s="919" t="s">
        <v>4492</v>
      </c>
      <c r="E4244" s="920">
        <v>2800</v>
      </c>
      <c r="F4244" s="919" t="s">
        <v>11368</v>
      </c>
      <c r="G4244" s="919" t="s">
        <v>11369</v>
      </c>
      <c r="H4244" s="919" t="s">
        <v>4492</v>
      </c>
      <c r="I4244" s="919" t="s">
        <v>3679</v>
      </c>
      <c r="J4244" s="919"/>
      <c r="K4244" s="920"/>
      <c r="L4244" s="920"/>
      <c r="M4244" s="920">
        <f t="shared" si="132"/>
        <v>0</v>
      </c>
      <c r="N4244" s="919">
        <v>1</v>
      </c>
      <c r="O4244" s="919">
        <v>4</v>
      </c>
      <c r="P4244" s="921">
        <f t="shared" si="133"/>
        <v>11200</v>
      </c>
    </row>
    <row r="4245" spans="1:16" ht="20.100000000000001" customHeight="1" x14ac:dyDescent="0.25">
      <c r="A4245" s="918" t="s">
        <v>480</v>
      </c>
      <c r="B4245" s="944" t="s">
        <v>3901</v>
      </c>
      <c r="C4245" s="919" t="s">
        <v>3902</v>
      </c>
      <c r="D4245" s="919" t="s">
        <v>4492</v>
      </c>
      <c r="E4245" s="920">
        <v>2800</v>
      </c>
      <c r="F4245" s="919" t="s">
        <v>11370</v>
      </c>
      <c r="G4245" s="919" t="s">
        <v>11371</v>
      </c>
      <c r="H4245" s="919" t="s">
        <v>4492</v>
      </c>
      <c r="I4245" s="919" t="s">
        <v>3679</v>
      </c>
      <c r="J4245" s="919"/>
      <c r="K4245" s="920"/>
      <c r="L4245" s="920"/>
      <c r="M4245" s="920">
        <f t="shared" si="132"/>
        <v>0</v>
      </c>
      <c r="N4245" s="919">
        <v>1</v>
      </c>
      <c r="O4245" s="919">
        <v>1</v>
      </c>
      <c r="P4245" s="921">
        <f t="shared" si="133"/>
        <v>2800</v>
      </c>
    </row>
    <row r="4246" spans="1:16" ht="20.100000000000001" customHeight="1" x14ac:dyDescent="0.25">
      <c r="A4246" s="918" t="s">
        <v>480</v>
      </c>
      <c r="B4246" s="944" t="s">
        <v>3901</v>
      </c>
      <c r="C4246" s="919" t="s">
        <v>3902</v>
      </c>
      <c r="D4246" s="919" t="s">
        <v>4492</v>
      </c>
      <c r="E4246" s="920">
        <v>2800</v>
      </c>
      <c r="F4246" s="919" t="s">
        <v>4041</v>
      </c>
      <c r="G4246" s="919" t="s">
        <v>4062</v>
      </c>
      <c r="H4246" s="919" t="s">
        <v>4492</v>
      </c>
      <c r="I4246" s="919" t="s">
        <v>3679</v>
      </c>
      <c r="J4246" s="919"/>
      <c r="K4246" s="920">
        <v>1</v>
      </c>
      <c r="L4246" s="920">
        <v>12</v>
      </c>
      <c r="M4246" s="920">
        <f t="shared" si="132"/>
        <v>33600</v>
      </c>
      <c r="N4246" s="919"/>
      <c r="O4246" s="919"/>
      <c r="P4246" s="921">
        <f t="shared" si="133"/>
        <v>0</v>
      </c>
    </row>
    <row r="4247" spans="1:16" ht="20.100000000000001" customHeight="1" x14ac:dyDescent="0.25">
      <c r="A4247" s="918" t="s">
        <v>480</v>
      </c>
      <c r="B4247" s="944" t="s">
        <v>3901</v>
      </c>
      <c r="C4247" s="919" t="s">
        <v>3902</v>
      </c>
      <c r="D4247" s="919" t="s">
        <v>4499</v>
      </c>
      <c r="E4247" s="920">
        <v>2500</v>
      </c>
      <c r="F4247" s="919" t="s">
        <v>11372</v>
      </c>
      <c r="G4247" s="919" t="s">
        <v>11373</v>
      </c>
      <c r="H4247" s="919" t="s">
        <v>4499</v>
      </c>
      <c r="I4247" s="919" t="s">
        <v>3679</v>
      </c>
      <c r="J4247" s="919"/>
      <c r="K4247" s="920"/>
      <c r="L4247" s="920"/>
      <c r="M4247" s="920">
        <f t="shared" si="132"/>
        <v>0</v>
      </c>
      <c r="N4247" s="919">
        <v>1</v>
      </c>
      <c r="O4247" s="919">
        <v>4</v>
      </c>
      <c r="P4247" s="921">
        <f t="shared" si="133"/>
        <v>10000</v>
      </c>
    </row>
    <row r="4248" spans="1:16" ht="20.100000000000001" customHeight="1" x14ac:dyDescent="0.25">
      <c r="A4248" s="918" t="s">
        <v>480</v>
      </c>
      <c r="B4248" s="944" t="s">
        <v>3901</v>
      </c>
      <c r="C4248" s="919" t="s">
        <v>3902</v>
      </c>
      <c r="D4248" s="919" t="s">
        <v>4502</v>
      </c>
      <c r="E4248" s="920">
        <v>1150</v>
      </c>
      <c r="F4248" s="919" t="s">
        <v>11374</v>
      </c>
      <c r="G4248" s="919" t="s">
        <v>11375</v>
      </c>
      <c r="H4248" s="919" t="s">
        <v>4502</v>
      </c>
      <c r="I4248" s="919" t="s">
        <v>3686</v>
      </c>
      <c r="J4248" s="919"/>
      <c r="K4248" s="920"/>
      <c r="L4248" s="920"/>
      <c r="M4248" s="920">
        <f t="shared" si="132"/>
        <v>0</v>
      </c>
      <c r="N4248" s="919">
        <v>1</v>
      </c>
      <c r="O4248" s="919">
        <v>4</v>
      </c>
      <c r="P4248" s="921">
        <f t="shared" si="133"/>
        <v>4600</v>
      </c>
    </row>
    <row r="4249" spans="1:16" ht="20.100000000000001" customHeight="1" x14ac:dyDescent="0.25">
      <c r="A4249" s="918" t="s">
        <v>480</v>
      </c>
      <c r="B4249" s="944" t="s">
        <v>3901</v>
      </c>
      <c r="C4249" s="919" t="s">
        <v>3902</v>
      </c>
      <c r="D4249" s="919" t="s">
        <v>4502</v>
      </c>
      <c r="E4249" s="920">
        <v>1150</v>
      </c>
      <c r="F4249" s="919" t="s">
        <v>11376</v>
      </c>
      <c r="G4249" s="919" t="s">
        <v>11377</v>
      </c>
      <c r="H4249" s="919" t="s">
        <v>4502</v>
      </c>
      <c r="I4249" s="919" t="s">
        <v>3686</v>
      </c>
      <c r="J4249" s="919"/>
      <c r="K4249" s="920"/>
      <c r="L4249" s="920"/>
      <c r="M4249" s="920">
        <f t="shared" si="132"/>
        <v>0</v>
      </c>
      <c r="N4249" s="919">
        <v>1</v>
      </c>
      <c r="O4249" s="919">
        <v>5</v>
      </c>
      <c r="P4249" s="921">
        <f t="shared" si="133"/>
        <v>5750</v>
      </c>
    </row>
    <row r="4250" spans="1:16" ht="20.100000000000001" customHeight="1" x14ac:dyDescent="0.25">
      <c r="A4250" s="918" t="s">
        <v>480</v>
      </c>
      <c r="B4250" s="944" t="s">
        <v>3901</v>
      </c>
      <c r="C4250" s="919" t="s">
        <v>3902</v>
      </c>
      <c r="D4250" s="919" t="s">
        <v>4502</v>
      </c>
      <c r="E4250" s="920">
        <v>1150</v>
      </c>
      <c r="F4250" s="919" t="s">
        <v>11378</v>
      </c>
      <c r="G4250" s="919" t="s">
        <v>11379</v>
      </c>
      <c r="H4250" s="919" t="s">
        <v>4502</v>
      </c>
      <c r="I4250" s="919" t="s">
        <v>3686</v>
      </c>
      <c r="J4250" s="919"/>
      <c r="K4250" s="920"/>
      <c r="L4250" s="920"/>
      <c r="M4250" s="920">
        <f t="shared" si="132"/>
        <v>0</v>
      </c>
      <c r="N4250" s="919">
        <v>1</v>
      </c>
      <c r="O4250" s="919">
        <v>5</v>
      </c>
      <c r="P4250" s="921">
        <f t="shared" si="133"/>
        <v>5750</v>
      </c>
    </row>
    <row r="4251" spans="1:16" ht="20.100000000000001" customHeight="1" x14ac:dyDescent="0.25">
      <c r="A4251" s="918" t="s">
        <v>480</v>
      </c>
      <c r="B4251" s="944" t="s">
        <v>3901</v>
      </c>
      <c r="C4251" s="919" t="s">
        <v>3902</v>
      </c>
      <c r="D4251" s="919" t="s">
        <v>4531</v>
      </c>
      <c r="E4251" s="920">
        <v>1800</v>
      </c>
      <c r="F4251" s="919" t="s">
        <v>11380</v>
      </c>
      <c r="G4251" s="919" t="s">
        <v>11381</v>
      </c>
      <c r="H4251" s="919" t="s">
        <v>4531</v>
      </c>
      <c r="I4251" s="919" t="s">
        <v>3679</v>
      </c>
      <c r="J4251" s="919"/>
      <c r="K4251" s="920"/>
      <c r="L4251" s="920"/>
      <c r="M4251" s="920">
        <f t="shared" si="132"/>
        <v>0</v>
      </c>
      <c r="N4251" s="919">
        <v>1</v>
      </c>
      <c r="O4251" s="919">
        <v>4</v>
      </c>
      <c r="P4251" s="921">
        <f t="shared" si="133"/>
        <v>7200</v>
      </c>
    </row>
    <row r="4252" spans="1:16" ht="20.100000000000001" customHeight="1" x14ac:dyDescent="0.25">
      <c r="A4252" s="918" t="s">
        <v>480</v>
      </c>
      <c r="B4252" s="944" t="s">
        <v>3901</v>
      </c>
      <c r="C4252" s="919" t="s">
        <v>3902</v>
      </c>
      <c r="D4252" s="919" t="s">
        <v>4531</v>
      </c>
      <c r="E4252" s="920">
        <v>1800</v>
      </c>
      <c r="F4252" s="919" t="s">
        <v>11382</v>
      </c>
      <c r="G4252" s="919" t="s">
        <v>11383</v>
      </c>
      <c r="H4252" s="919" t="s">
        <v>4531</v>
      </c>
      <c r="I4252" s="919" t="s">
        <v>3679</v>
      </c>
      <c r="J4252" s="919"/>
      <c r="K4252" s="920"/>
      <c r="L4252" s="920"/>
      <c r="M4252" s="920">
        <f t="shared" si="132"/>
        <v>0</v>
      </c>
      <c r="N4252" s="919">
        <v>1</v>
      </c>
      <c r="O4252" s="919">
        <v>4</v>
      </c>
      <c r="P4252" s="921">
        <f t="shared" si="133"/>
        <v>7200</v>
      </c>
    </row>
    <row r="4253" spans="1:16" ht="20.100000000000001" customHeight="1" x14ac:dyDescent="0.25">
      <c r="A4253" s="918" t="s">
        <v>480</v>
      </c>
      <c r="B4253" s="944" t="s">
        <v>3901</v>
      </c>
      <c r="C4253" s="919" t="s">
        <v>3902</v>
      </c>
      <c r="D4253" s="919" t="s">
        <v>4531</v>
      </c>
      <c r="E4253" s="920">
        <v>1800</v>
      </c>
      <c r="F4253" s="919" t="s">
        <v>11384</v>
      </c>
      <c r="G4253" s="919" t="s">
        <v>11385</v>
      </c>
      <c r="H4253" s="919" t="s">
        <v>4531</v>
      </c>
      <c r="I4253" s="919" t="s">
        <v>3679</v>
      </c>
      <c r="J4253" s="919"/>
      <c r="K4253" s="920"/>
      <c r="L4253" s="920"/>
      <c r="M4253" s="920">
        <f t="shared" si="132"/>
        <v>0</v>
      </c>
      <c r="N4253" s="919">
        <v>1</v>
      </c>
      <c r="O4253" s="919">
        <v>4</v>
      </c>
      <c r="P4253" s="921">
        <f t="shared" si="133"/>
        <v>7200</v>
      </c>
    </row>
    <row r="4254" spans="1:16" ht="20.100000000000001" customHeight="1" x14ac:dyDescent="0.25">
      <c r="A4254" s="918" t="s">
        <v>480</v>
      </c>
      <c r="B4254" s="944" t="s">
        <v>3901</v>
      </c>
      <c r="C4254" s="919" t="s">
        <v>3902</v>
      </c>
      <c r="D4254" s="919" t="s">
        <v>4531</v>
      </c>
      <c r="E4254" s="920">
        <v>1800</v>
      </c>
      <c r="F4254" s="919" t="s">
        <v>11386</v>
      </c>
      <c r="G4254" s="919" t="s">
        <v>11387</v>
      </c>
      <c r="H4254" s="919" t="s">
        <v>4531</v>
      </c>
      <c r="I4254" s="919" t="s">
        <v>3679</v>
      </c>
      <c r="J4254" s="919"/>
      <c r="K4254" s="920"/>
      <c r="L4254" s="920"/>
      <c r="M4254" s="920">
        <f t="shared" si="132"/>
        <v>0</v>
      </c>
      <c r="N4254" s="919">
        <v>1</v>
      </c>
      <c r="O4254" s="919">
        <v>4</v>
      </c>
      <c r="P4254" s="921">
        <f t="shared" si="133"/>
        <v>7200</v>
      </c>
    </row>
    <row r="4255" spans="1:16" ht="20.100000000000001" customHeight="1" x14ac:dyDescent="0.25">
      <c r="A4255" s="918" t="s">
        <v>480</v>
      </c>
      <c r="B4255" s="944" t="s">
        <v>3901</v>
      </c>
      <c r="C4255" s="919" t="s">
        <v>3902</v>
      </c>
      <c r="D4255" s="919" t="s">
        <v>4531</v>
      </c>
      <c r="E4255" s="920">
        <v>1800</v>
      </c>
      <c r="F4255" s="919" t="s">
        <v>11388</v>
      </c>
      <c r="G4255" s="919" t="s">
        <v>11389</v>
      </c>
      <c r="H4255" s="919" t="s">
        <v>4531</v>
      </c>
      <c r="I4255" s="919" t="s">
        <v>3679</v>
      </c>
      <c r="J4255" s="919"/>
      <c r="K4255" s="920"/>
      <c r="L4255" s="920"/>
      <c r="M4255" s="920">
        <f t="shared" si="132"/>
        <v>0</v>
      </c>
      <c r="N4255" s="919">
        <v>1</v>
      </c>
      <c r="O4255" s="919">
        <v>4</v>
      </c>
      <c r="P4255" s="921">
        <f t="shared" si="133"/>
        <v>7200</v>
      </c>
    </row>
    <row r="4256" spans="1:16" ht="20.100000000000001" customHeight="1" x14ac:dyDescent="0.25">
      <c r="A4256" s="918" t="s">
        <v>480</v>
      </c>
      <c r="B4256" s="944" t="s">
        <v>3901</v>
      </c>
      <c r="C4256" s="919" t="s">
        <v>3902</v>
      </c>
      <c r="D4256" s="919" t="s">
        <v>4382</v>
      </c>
      <c r="E4256" s="920">
        <v>2500</v>
      </c>
      <c r="F4256" s="919" t="s">
        <v>11390</v>
      </c>
      <c r="G4256" s="919" t="s">
        <v>11391</v>
      </c>
      <c r="H4256" s="919" t="s">
        <v>4382</v>
      </c>
      <c r="I4256" s="919" t="s">
        <v>3679</v>
      </c>
      <c r="J4256" s="919"/>
      <c r="K4256" s="920"/>
      <c r="L4256" s="920"/>
      <c r="M4256" s="920">
        <f t="shared" si="132"/>
        <v>0</v>
      </c>
      <c r="N4256" s="919">
        <v>1</v>
      </c>
      <c r="O4256" s="919">
        <v>4</v>
      </c>
      <c r="P4256" s="921">
        <f t="shared" si="133"/>
        <v>10000</v>
      </c>
    </row>
    <row r="4257" spans="1:16" ht="20.100000000000001" customHeight="1" x14ac:dyDescent="0.25">
      <c r="A4257" s="918" t="s">
        <v>480</v>
      </c>
      <c r="B4257" s="944" t="s">
        <v>3901</v>
      </c>
      <c r="C4257" s="919" t="s">
        <v>3902</v>
      </c>
      <c r="D4257" s="919" t="s">
        <v>4382</v>
      </c>
      <c r="E4257" s="920">
        <v>2500</v>
      </c>
      <c r="F4257" s="919" t="s">
        <v>11392</v>
      </c>
      <c r="G4257" s="919" t="s">
        <v>11393</v>
      </c>
      <c r="H4257" s="919" t="s">
        <v>4382</v>
      </c>
      <c r="I4257" s="919" t="s">
        <v>3679</v>
      </c>
      <c r="J4257" s="919"/>
      <c r="K4257" s="920"/>
      <c r="L4257" s="920"/>
      <c r="M4257" s="920">
        <f t="shared" si="132"/>
        <v>0</v>
      </c>
      <c r="N4257" s="919">
        <v>1</v>
      </c>
      <c r="O4257" s="919">
        <v>4</v>
      </c>
      <c r="P4257" s="921">
        <f t="shared" si="133"/>
        <v>10000</v>
      </c>
    </row>
    <row r="4258" spans="1:16" ht="20.100000000000001" customHeight="1" x14ac:dyDescent="0.25">
      <c r="A4258" s="918" t="s">
        <v>480</v>
      </c>
      <c r="B4258" s="944" t="s">
        <v>3901</v>
      </c>
      <c r="C4258" s="919" t="s">
        <v>3902</v>
      </c>
      <c r="D4258" s="919" t="s">
        <v>4382</v>
      </c>
      <c r="E4258" s="920">
        <v>2500</v>
      </c>
      <c r="F4258" s="919" t="s">
        <v>11394</v>
      </c>
      <c r="G4258" s="919" t="s">
        <v>11395</v>
      </c>
      <c r="H4258" s="919" t="s">
        <v>4382</v>
      </c>
      <c r="I4258" s="919" t="s">
        <v>3679</v>
      </c>
      <c r="J4258" s="919"/>
      <c r="K4258" s="920"/>
      <c r="L4258" s="920"/>
      <c r="M4258" s="920">
        <f t="shared" si="132"/>
        <v>0</v>
      </c>
      <c r="N4258" s="919">
        <v>1</v>
      </c>
      <c r="O4258" s="919">
        <v>4</v>
      </c>
      <c r="P4258" s="921">
        <f t="shared" si="133"/>
        <v>10000</v>
      </c>
    </row>
    <row r="4259" spans="1:16" ht="20.100000000000001" customHeight="1" x14ac:dyDescent="0.25">
      <c r="A4259" s="918" t="s">
        <v>480</v>
      </c>
      <c r="B4259" s="944" t="s">
        <v>3901</v>
      </c>
      <c r="C4259" s="919" t="s">
        <v>3902</v>
      </c>
      <c r="D4259" s="919" t="s">
        <v>4382</v>
      </c>
      <c r="E4259" s="920">
        <v>2500</v>
      </c>
      <c r="F4259" s="919" t="s">
        <v>11396</v>
      </c>
      <c r="G4259" s="919" t="s">
        <v>11397</v>
      </c>
      <c r="H4259" s="919" t="s">
        <v>4382</v>
      </c>
      <c r="I4259" s="919" t="s">
        <v>3679</v>
      </c>
      <c r="J4259" s="919"/>
      <c r="K4259" s="920"/>
      <c r="L4259" s="920"/>
      <c r="M4259" s="920">
        <f t="shared" si="132"/>
        <v>0</v>
      </c>
      <c r="N4259" s="919">
        <v>1</v>
      </c>
      <c r="O4259" s="919">
        <v>4</v>
      </c>
      <c r="P4259" s="921">
        <f t="shared" si="133"/>
        <v>10000</v>
      </c>
    </row>
    <row r="4260" spans="1:16" ht="20.100000000000001" customHeight="1" x14ac:dyDescent="0.25">
      <c r="A4260" s="918" t="s">
        <v>480</v>
      </c>
      <c r="B4260" s="944" t="s">
        <v>3901</v>
      </c>
      <c r="C4260" s="919" t="s">
        <v>3902</v>
      </c>
      <c r="D4260" s="919" t="s">
        <v>4592</v>
      </c>
      <c r="E4260" s="920">
        <v>1150</v>
      </c>
      <c r="F4260" s="919" t="s">
        <v>11398</v>
      </c>
      <c r="G4260" s="919" t="s">
        <v>11399</v>
      </c>
      <c r="H4260" s="919" t="s">
        <v>4592</v>
      </c>
      <c r="I4260" s="919" t="s">
        <v>3686</v>
      </c>
      <c r="J4260" s="919"/>
      <c r="K4260" s="920"/>
      <c r="L4260" s="920"/>
      <c r="M4260" s="920">
        <f t="shared" si="132"/>
        <v>0</v>
      </c>
      <c r="N4260" s="919">
        <v>1</v>
      </c>
      <c r="O4260" s="919">
        <v>4</v>
      </c>
      <c r="P4260" s="921">
        <f t="shared" si="133"/>
        <v>4600</v>
      </c>
    </row>
    <row r="4261" spans="1:16" ht="20.100000000000001" customHeight="1" x14ac:dyDescent="0.25">
      <c r="A4261" s="918" t="s">
        <v>480</v>
      </c>
      <c r="B4261" s="944" t="s">
        <v>3901</v>
      </c>
      <c r="C4261" s="919" t="s">
        <v>3902</v>
      </c>
      <c r="D4261" s="919" t="s">
        <v>4592</v>
      </c>
      <c r="E4261" s="920">
        <v>1150</v>
      </c>
      <c r="F4261" s="919" t="s">
        <v>11400</v>
      </c>
      <c r="G4261" s="919" t="s">
        <v>11401</v>
      </c>
      <c r="H4261" s="919" t="s">
        <v>4592</v>
      </c>
      <c r="I4261" s="919" t="s">
        <v>3686</v>
      </c>
      <c r="J4261" s="919"/>
      <c r="K4261" s="920"/>
      <c r="L4261" s="920"/>
      <c r="M4261" s="920">
        <f t="shared" si="132"/>
        <v>0</v>
      </c>
      <c r="N4261" s="919">
        <v>1</v>
      </c>
      <c r="O4261" s="919">
        <v>4</v>
      </c>
      <c r="P4261" s="921">
        <f t="shared" si="133"/>
        <v>4600</v>
      </c>
    </row>
    <row r="4262" spans="1:16" ht="20.100000000000001" customHeight="1" x14ac:dyDescent="0.25">
      <c r="A4262" s="918" t="s">
        <v>480</v>
      </c>
      <c r="B4262" s="944" t="s">
        <v>3901</v>
      </c>
      <c r="C4262" s="919" t="s">
        <v>3902</v>
      </c>
      <c r="D4262" s="919" t="s">
        <v>4592</v>
      </c>
      <c r="E4262" s="920">
        <v>1150</v>
      </c>
      <c r="F4262" s="919" t="s">
        <v>11402</v>
      </c>
      <c r="G4262" s="919" t="s">
        <v>11403</v>
      </c>
      <c r="H4262" s="919" t="s">
        <v>4592</v>
      </c>
      <c r="I4262" s="919" t="s">
        <v>3686</v>
      </c>
      <c r="J4262" s="919"/>
      <c r="K4262" s="920"/>
      <c r="L4262" s="920"/>
      <c r="M4262" s="920">
        <f t="shared" si="132"/>
        <v>0</v>
      </c>
      <c r="N4262" s="919">
        <v>1</v>
      </c>
      <c r="O4262" s="919">
        <v>4</v>
      </c>
      <c r="P4262" s="921">
        <f t="shared" si="133"/>
        <v>4600</v>
      </c>
    </row>
    <row r="4263" spans="1:16" ht="20.100000000000001" customHeight="1" x14ac:dyDescent="0.25">
      <c r="A4263" s="918" t="s">
        <v>480</v>
      </c>
      <c r="B4263" s="944" t="s">
        <v>3901</v>
      </c>
      <c r="C4263" s="919" t="s">
        <v>3902</v>
      </c>
      <c r="D4263" s="919" t="s">
        <v>4592</v>
      </c>
      <c r="E4263" s="920">
        <v>1150</v>
      </c>
      <c r="F4263" s="919" t="s">
        <v>11404</v>
      </c>
      <c r="G4263" s="919" t="s">
        <v>11405</v>
      </c>
      <c r="H4263" s="919" t="s">
        <v>4592</v>
      </c>
      <c r="I4263" s="919" t="s">
        <v>3686</v>
      </c>
      <c r="J4263" s="919"/>
      <c r="K4263" s="920"/>
      <c r="L4263" s="920"/>
      <c r="M4263" s="920">
        <f t="shared" si="132"/>
        <v>0</v>
      </c>
      <c r="N4263" s="919">
        <v>1</v>
      </c>
      <c r="O4263" s="919">
        <v>1</v>
      </c>
      <c r="P4263" s="921">
        <f t="shared" si="133"/>
        <v>1150</v>
      </c>
    </row>
    <row r="4264" spans="1:16" ht="20.100000000000001" customHeight="1" x14ac:dyDescent="0.25">
      <c r="A4264" s="918" t="s">
        <v>480</v>
      </c>
      <c r="B4264" s="944" t="s">
        <v>3901</v>
      </c>
      <c r="C4264" s="919" t="s">
        <v>3902</v>
      </c>
      <c r="D4264" s="919" t="s">
        <v>4592</v>
      </c>
      <c r="E4264" s="920">
        <v>1150</v>
      </c>
      <c r="F4264" s="919" t="s">
        <v>11406</v>
      </c>
      <c r="G4264" s="919" t="s">
        <v>11407</v>
      </c>
      <c r="H4264" s="919" t="s">
        <v>4592</v>
      </c>
      <c r="I4264" s="919" t="s">
        <v>3686</v>
      </c>
      <c r="J4264" s="919"/>
      <c r="K4264" s="920"/>
      <c r="L4264" s="920"/>
      <c r="M4264" s="920">
        <f t="shared" si="132"/>
        <v>0</v>
      </c>
      <c r="N4264" s="919">
        <v>1</v>
      </c>
      <c r="O4264" s="919">
        <v>4</v>
      </c>
      <c r="P4264" s="921">
        <f t="shared" si="133"/>
        <v>4600</v>
      </c>
    </row>
    <row r="4265" spans="1:16" ht="20.100000000000001" customHeight="1" x14ac:dyDescent="0.25">
      <c r="A4265" s="918" t="s">
        <v>480</v>
      </c>
      <c r="B4265" s="944" t="s">
        <v>3901</v>
      </c>
      <c r="C4265" s="919" t="s">
        <v>3902</v>
      </c>
      <c r="D4265" s="919" t="s">
        <v>4109</v>
      </c>
      <c r="E4265" s="920">
        <v>1400</v>
      </c>
      <c r="F4265" s="919" t="s">
        <v>11408</v>
      </c>
      <c r="G4265" s="919" t="s">
        <v>11409</v>
      </c>
      <c r="H4265" s="919" t="s">
        <v>4109</v>
      </c>
      <c r="I4265" s="919" t="s">
        <v>3686</v>
      </c>
      <c r="J4265" s="919"/>
      <c r="K4265" s="920"/>
      <c r="L4265" s="920"/>
      <c r="M4265" s="920">
        <f t="shared" si="132"/>
        <v>0</v>
      </c>
      <c r="N4265" s="919">
        <v>1</v>
      </c>
      <c r="O4265" s="919">
        <v>5</v>
      </c>
      <c r="P4265" s="921">
        <f t="shared" si="133"/>
        <v>7000</v>
      </c>
    </row>
    <row r="4266" spans="1:16" ht="20.100000000000001" customHeight="1" x14ac:dyDescent="0.25">
      <c r="A4266" s="918" t="s">
        <v>480</v>
      </c>
      <c r="B4266" s="944" t="s">
        <v>3901</v>
      </c>
      <c r="C4266" s="919" t="s">
        <v>3902</v>
      </c>
      <c r="D4266" s="919" t="s">
        <v>4109</v>
      </c>
      <c r="E4266" s="920">
        <v>1400</v>
      </c>
      <c r="F4266" s="919" t="s">
        <v>11410</v>
      </c>
      <c r="G4266" s="919" t="s">
        <v>11411</v>
      </c>
      <c r="H4266" s="919" t="s">
        <v>4109</v>
      </c>
      <c r="I4266" s="919" t="s">
        <v>3686</v>
      </c>
      <c r="J4266" s="919"/>
      <c r="K4266" s="920"/>
      <c r="L4266" s="920"/>
      <c r="M4266" s="920">
        <f t="shared" si="132"/>
        <v>0</v>
      </c>
      <c r="N4266" s="919">
        <v>1</v>
      </c>
      <c r="O4266" s="919">
        <v>3</v>
      </c>
      <c r="P4266" s="921">
        <f t="shared" si="133"/>
        <v>4200</v>
      </c>
    </row>
    <row r="4267" spans="1:16" ht="20.100000000000001" customHeight="1" x14ac:dyDescent="0.25">
      <c r="A4267" s="918" t="s">
        <v>480</v>
      </c>
      <c r="B4267" s="944" t="s">
        <v>3901</v>
      </c>
      <c r="C4267" s="919" t="s">
        <v>3902</v>
      </c>
      <c r="D4267" s="919" t="s">
        <v>4109</v>
      </c>
      <c r="E4267" s="920">
        <v>1400</v>
      </c>
      <c r="F4267" s="919" t="s">
        <v>11412</v>
      </c>
      <c r="G4267" s="919" t="s">
        <v>11413</v>
      </c>
      <c r="H4267" s="919" t="s">
        <v>4109</v>
      </c>
      <c r="I4267" s="919" t="s">
        <v>3686</v>
      </c>
      <c r="J4267" s="919"/>
      <c r="K4267" s="920"/>
      <c r="L4267" s="920"/>
      <c r="M4267" s="920">
        <f t="shared" si="132"/>
        <v>0</v>
      </c>
      <c r="N4267" s="919">
        <v>1</v>
      </c>
      <c r="O4267" s="919">
        <v>4</v>
      </c>
      <c r="P4267" s="921">
        <f t="shared" si="133"/>
        <v>5600</v>
      </c>
    </row>
    <row r="4268" spans="1:16" ht="20.100000000000001" customHeight="1" x14ac:dyDescent="0.25">
      <c r="A4268" s="918" t="s">
        <v>480</v>
      </c>
      <c r="B4268" s="944" t="s">
        <v>3901</v>
      </c>
      <c r="C4268" s="919" t="s">
        <v>3902</v>
      </c>
      <c r="D4268" s="919" t="s">
        <v>4657</v>
      </c>
      <c r="E4268" s="920">
        <v>1150</v>
      </c>
      <c r="F4268" s="919" t="s">
        <v>11414</v>
      </c>
      <c r="G4268" s="919" t="s">
        <v>11415</v>
      </c>
      <c r="H4268" s="919" t="s">
        <v>4657</v>
      </c>
      <c r="I4268" s="919" t="s">
        <v>3686</v>
      </c>
      <c r="J4268" s="919"/>
      <c r="K4268" s="920"/>
      <c r="L4268" s="920"/>
      <c r="M4268" s="920">
        <f t="shared" si="132"/>
        <v>0</v>
      </c>
      <c r="N4268" s="919">
        <v>1</v>
      </c>
      <c r="O4268" s="919">
        <v>5</v>
      </c>
      <c r="P4268" s="921">
        <f t="shared" si="133"/>
        <v>5750</v>
      </c>
    </row>
    <row r="4269" spans="1:16" ht="20.100000000000001" customHeight="1" x14ac:dyDescent="0.25">
      <c r="A4269" s="918" t="s">
        <v>480</v>
      </c>
      <c r="B4269" s="944" t="s">
        <v>3901</v>
      </c>
      <c r="C4269" s="919" t="s">
        <v>3902</v>
      </c>
      <c r="D4269" s="919" t="s">
        <v>4502</v>
      </c>
      <c r="E4269" s="920">
        <v>1150</v>
      </c>
      <c r="F4269" s="919" t="s">
        <v>11416</v>
      </c>
      <c r="G4269" s="919" t="s">
        <v>11417</v>
      </c>
      <c r="H4269" s="919" t="s">
        <v>4502</v>
      </c>
      <c r="I4269" s="919" t="s">
        <v>3686</v>
      </c>
      <c r="J4269" s="919"/>
      <c r="K4269" s="920"/>
      <c r="L4269" s="920"/>
      <c r="M4269" s="920">
        <f t="shared" si="132"/>
        <v>0</v>
      </c>
      <c r="N4269" s="919">
        <v>1</v>
      </c>
      <c r="O4269" s="919">
        <v>5</v>
      </c>
      <c r="P4269" s="921">
        <f t="shared" si="133"/>
        <v>5750</v>
      </c>
    </row>
    <row r="4270" spans="1:16" ht="20.100000000000001" customHeight="1" x14ac:dyDescent="0.25">
      <c r="A4270" s="918" t="s">
        <v>480</v>
      </c>
      <c r="B4270" s="944" t="s">
        <v>3901</v>
      </c>
      <c r="C4270" s="919" t="s">
        <v>3902</v>
      </c>
      <c r="D4270" s="919" t="s">
        <v>4502</v>
      </c>
      <c r="E4270" s="920">
        <v>1150</v>
      </c>
      <c r="F4270" s="919" t="s">
        <v>11418</v>
      </c>
      <c r="G4270" s="919" t="s">
        <v>11419</v>
      </c>
      <c r="H4270" s="919" t="s">
        <v>4502</v>
      </c>
      <c r="I4270" s="919" t="s">
        <v>3686</v>
      </c>
      <c r="J4270" s="919"/>
      <c r="K4270" s="920"/>
      <c r="L4270" s="920"/>
      <c r="M4270" s="920">
        <f t="shared" si="132"/>
        <v>0</v>
      </c>
      <c r="N4270" s="919">
        <v>1</v>
      </c>
      <c r="O4270" s="919">
        <v>5</v>
      </c>
      <c r="P4270" s="921">
        <f t="shared" si="133"/>
        <v>5750</v>
      </c>
    </row>
    <row r="4271" spans="1:16" ht="20.100000000000001" customHeight="1" x14ac:dyDescent="0.25">
      <c r="A4271" s="918" t="s">
        <v>480</v>
      </c>
      <c r="B4271" s="944" t="s">
        <v>3901</v>
      </c>
      <c r="C4271" s="919" t="s">
        <v>3902</v>
      </c>
      <c r="D4271" s="919" t="s">
        <v>4502</v>
      </c>
      <c r="E4271" s="920">
        <v>1150</v>
      </c>
      <c r="F4271" s="919" t="s">
        <v>11420</v>
      </c>
      <c r="G4271" s="919" t="s">
        <v>11421</v>
      </c>
      <c r="H4271" s="919" t="s">
        <v>4502</v>
      </c>
      <c r="I4271" s="919" t="s">
        <v>3686</v>
      </c>
      <c r="J4271" s="919"/>
      <c r="K4271" s="920"/>
      <c r="L4271" s="920"/>
      <c r="M4271" s="920">
        <f t="shared" si="132"/>
        <v>0</v>
      </c>
      <c r="N4271" s="919">
        <v>1</v>
      </c>
      <c r="O4271" s="919">
        <v>5</v>
      </c>
      <c r="P4271" s="921">
        <f t="shared" si="133"/>
        <v>5750</v>
      </c>
    </row>
    <row r="4272" spans="1:16" ht="20.100000000000001" customHeight="1" x14ac:dyDescent="0.25">
      <c r="A4272" s="918" t="s">
        <v>480</v>
      </c>
      <c r="B4272" s="944" t="s">
        <v>3901</v>
      </c>
      <c r="C4272" s="919" t="s">
        <v>3902</v>
      </c>
      <c r="D4272" s="919" t="s">
        <v>4502</v>
      </c>
      <c r="E4272" s="920">
        <v>1150</v>
      </c>
      <c r="F4272" s="919" t="s">
        <v>11422</v>
      </c>
      <c r="G4272" s="919" t="s">
        <v>11423</v>
      </c>
      <c r="H4272" s="919" t="s">
        <v>4502</v>
      </c>
      <c r="I4272" s="919" t="s">
        <v>3686</v>
      </c>
      <c r="J4272" s="919"/>
      <c r="K4272" s="920"/>
      <c r="L4272" s="920"/>
      <c r="M4272" s="920">
        <f t="shared" si="132"/>
        <v>0</v>
      </c>
      <c r="N4272" s="919">
        <v>1</v>
      </c>
      <c r="O4272" s="919">
        <v>5</v>
      </c>
      <c r="P4272" s="921">
        <f t="shared" si="133"/>
        <v>5750</v>
      </c>
    </row>
    <row r="4273" spans="1:16" ht="20.100000000000001" customHeight="1" x14ac:dyDescent="0.25">
      <c r="A4273" s="918" t="s">
        <v>480</v>
      </c>
      <c r="B4273" s="944" t="s">
        <v>3901</v>
      </c>
      <c r="C4273" s="919" t="s">
        <v>3902</v>
      </c>
      <c r="D4273" s="919" t="s">
        <v>4502</v>
      </c>
      <c r="E4273" s="920">
        <v>1150</v>
      </c>
      <c r="F4273" s="919" t="s">
        <v>11424</v>
      </c>
      <c r="G4273" s="919" t="s">
        <v>11425</v>
      </c>
      <c r="H4273" s="919" t="s">
        <v>4502</v>
      </c>
      <c r="I4273" s="919" t="s">
        <v>3686</v>
      </c>
      <c r="J4273" s="919"/>
      <c r="K4273" s="920"/>
      <c r="L4273" s="920"/>
      <c r="M4273" s="920">
        <f t="shared" si="132"/>
        <v>0</v>
      </c>
      <c r="N4273" s="919">
        <v>1</v>
      </c>
      <c r="O4273" s="919">
        <v>5</v>
      </c>
      <c r="P4273" s="921">
        <f t="shared" si="133"/>
        <v>5750</v>
      </c>
    </row>
    <row r="4274" spans="1:16" ht="20.100000000000001" customHeight="1" x14ac:dyDescent="0.25">
      <c r="A4274" s="918" t="s">
        <v>480</v>
      </c>
      <c r="B4274" s="944" t="s">
        <v>3901</v>
      </c>
      <c r="C4274" s="919" t="s">
        <v>3902</v>
      </c>
      <c r="D4274" s="919" t="s">
        <v>4502</v>
      </c>
      <c r="E4274" s="920">
        <v>1150</v>
      </c>
      <c r="F4274" s="919" t="s">
        <v>11426</v>
      </c>
      <c r="G4274" s="919" t="s">
        <v>11427</v>
      </c>
      <c r="H4274" s="919" t="s">
        <v>4502</v>
      </c>
      <c r="I4274" s="919" t="s">
        <v>3686</v>
      </c>
      <c r="J4274" s="919"/>
      <c r="K4274" s="920"/>
      <c r="L4274" s="920"/>
      <c r="M4274" s="920">
        <f t="shared" si="132"/>
        <v>0</v>
      </c>
      <c r="N4274" s="919">
        <v>1</v>
      </c>
      <c r="O4274" s="919">
        <v>5</v>
      </c>
      <c r="P4274" s="921">
        <f t="shared" si="133"/>
        <v>5750</v>
      </c>
    </row>
    <row r="4275" spans="1:16" ht="20.100000000000001" customHeight="1" x14ac:dyDescent="0.25">
      <c r="A4275" s="918" t="s">
        <v>480</v>
      </c>
      <c r="B4275" s="944" t="s">
        <v>3901</v>
      </c>
      <c r="C4275" s="919" t="s">
        <v>3902</v>
      </c>
      <c r="D4275" s="919" t="s">
        <v>4502</v>
      </c>
      <c r="E4275" s="920">
        <v>1150</v>
      </c>
      <c r="F4275" s="919" t="s">
        <v>11428</v>
      </c>
      <c r="G4275" s="919" t="s">
        <v>11429</v>
      </c>
      <c r="H4275" s="919" t="s">
        <v>4502</v>
      </c>
      <c r="I4275" s="919" t="s">
        <v>3686</v>
      </c>
      <c r="J4275" s="919"/>
      <c r="K4275" s="920"/>
      <c r="L4275" s="920"/>
      <c r="M4275" s="920">
        <f t="shared" si="132"/>
        <v>0</v>
      </c>
      <c r="N4275" s="919">
        <v>1</v>
      </c>
      <c r="O4275" s="919">
        <v>5</v>
      </c>
      <c r="P4275" s="921">
        <f t="shared" si="133"/>
        <v>5750</v>
      </c>
    </row>
    <row r="4276" spans="1:16" ht="20.100000000000001" customHeight="1" x14ac:dyDescent="0.25">
      <c r="A4276" s="918" t="s">
        <v>480</v>
      </c>
      <c r="B4276" s="944" t="s">
        <v>3901</v>
      </c>
      <c r="C4276" s="919" t="s">
        <v>3902</v>
      </c>
      <c r="D4276" s="919" t="s">
        <v>4502</v>
      </c>
      <c r="E4276" s="920">
        <v>1150</v>
      </c>
      <c r="F4276" s="919" t="s">
        <v>11430</v>
      </c>
      <c r="G4276" s="919" t="s">
        <v>11431</v>
      </c>
      <c r="H4276" s="919" t="s">
        <v>4502</v>
      </c>
      <c r="I4276" s="919" t="s">
        <v>3686</v>
      </c>
      <c r="J4276" s="919"/>
      <c r="K4276" s="920"/>
      <c r="L4276" s="920"/>
      <c r="M4276" s="920">
        <f t="shared" si="132"/>
        <v>0</v>
      </c>
      <c r="N4276" s="919">
        <v>1</v>
      </c>
      <c r="O4276" s="919">
        <v>5</v>
      </c>
      <c r="P4276" s="921">
        <f t="shared" si="133"/>
        <v>5750</v>
      </c>
    </row>
    <row r="4277" spans="1:16" ht="20.100000000000001" customHeight="1" x14ac:dyDescent="0.25">
      <c r="A4277" s="918" t="s">
        <v>480</v>
      </c>
      <c r="B4277" s="944" t="s">
        <v>3901</v>
      </c>
      <c r="C4277" s="919" t="s">
        <v>3902</v>
      </c>
      <c r="D4277" s="919" t="s">
        <v>4502</v>
      </c>
      <c r="E4277" s="920">
        <v>1150</v>
      </c>
      <c r="F4277" s="919" t="s">
        <v>11432</v>
      </c>
      <c r="G4277" s="919" t="s">
        <v>11433</v>
      </c>
      <c r="H4277" s="919" t="s">
        <v>4502</v>
      </c>
      <c r="I4277" s="919" t="s">
        <v>3686</v>
      </c>
      <c r="J4277" s="919"/>
      <c r="K4277" s="920"/>
      <c r="L4277" s="920"/>
      <c r="M4277" s="920">
        <f t="shared" si="132"/>
        <v>0</v>
      </c>
      <c r="N4277" s="919">
        <v>1</v>
      </c>
      <c r="O4277" s="919">
        <v>5</v>
      </c>
      <c r="P4277" s="921">
        <f t="shared" si="133"/>
        <v>5750</v>
      </c>
    </row>
    <row r="4278" spans="1:16" ht="20.100000000000001" customHeight="1" x14ac:dyDescent="0.25">
      <c r="A4278" s="918" t="s">
        <v>480</v>
      </c>
      <c r="B4278" s="944" t="s">
        <v>3901</v>
      </c>
      <c r="C4278" s="919" t="s">
        <v>3902</v>
      </c>
      <c r="D4278" s="919" t="s">
        <v>4502</v>
      </c>
      <c r="E4278" s="920">
        <v>1150</v>
      </c>
      <c r="F4278" s="919" t="s">
        <v>11434</v>
      </c>
      <c r="G4278" s="919" t="s">
        <v>11435</v>
      </c>
      <c r="H4278" s="919" t="s">
        <v>4502</v>
      </c>
      <c r="I4278" s="919" t="s">
        <v>3686</v>
      </c>
      <c r="J4278" s="919"/>
      <c r="K4278" s="920"/>
      <c r="L4278" s="920"/>
      <c r="M4278" s="920">
        <f t="shared" si="132"/>
        <v>0</v>
      </c>
      <c r="N4278" s="919">
        <v>1</v>
      </c>
      <c r="O4278" s="919">
        <v>5</v>
      </c>
      <c r="P4278" s="921">
        <f t="shared" si="133"/>
        <v>5750</v>
      </c>
    </row>
    <row r="4279" spans="1:16" ht="20.100000000000001" customHeight="1" x14ac:dyDescent="0.25">
      <c r="A4279" s="918" t="s">
        <v>480</v>
      </c>
      <c r="B4279" s="944" t="s">
        <v>3901</v>
      </c>
      <c r="C4279" s="919" t="s">
        <v>3902</v>
      </c>
      <c r="D4279" s="919" t="s">
        <v>4502</v>
      </c>
      <c r="E4279" s="920">
        <v>1150</v>
      </c>
      <c r="F4279" s="919" t="s">
        <v>11436</v>
      </c>
      <c r="G4279" s="919" t="s">
        <v>11437</v>
      </c>
      <c r="H4279" s="919" t="s">
        <v>4502</v>
      </c>
      <c r="I4279" s="919" t="s">
        <v>3686</v>
      </c>
      <c r="J4279" s="919"/>
      <c r="K4279" s="920"/>
      <c r="L4279" s="920"/>
      <c r="M4279" s="920">
        <f t="shared" si="132"/>
        <v>0</v>
      </c>
      <c r="N4279" s="919">
        <v>1</v>
      </c>
      <c r="O4279" s="919">
        <v>5</v>
      </c>
      <c r="P4279" s="921">
        <f t="shared" si="133"/>
        <v>5750</v>
      </c>
    </row>
    <row r="4280" spans="1:16" ht="20.100000000000001" customHeight="1" x14ac:dyDescent="0.25">
      <c r="A4280" s="918" t="s">
        <v>480</v>
      </c>
      <c r="B4280" s="944" t="s">
        <v>3901</v>
      </c>
      <c r="C4280" s="919" t="s">
        <v>3902</v>
      </c>
      <c r="D4280" s="919" t="s">
        <v>4502</v>
      </c>
      <c r="E4280" s="920">
        <v>1150</v>
      </c>
      <c r="F4280" s="919" t="s">
        <v>11438</v>
      </c>
      <c r="G4280" s="919" t="s">
        <v>11439</v>
      </c>
      <c r="H4280" s="919" t="s">
        <v>4502</v>
      </c>
      <c r="I4280" s="919" t="s">
        <v>3686</v>
      </c>
      <c r="J4280" s="919"/>
      <c r="K4280" s="920"/>
      <c r="L4280" s="920"/>
      <c r="M4280" s="920">
        <f t="shared" si="132"/>
        <v>0</v>
      </c>
      <c r="N4280" s="919">
        <v>1</v>
      </c>
      <c r="O4280" s="919">
        <v>5</v>
      </c>
      <c r="P4280" s="921">
        <f t="shared" si="133"/>
        <v>5750</v>
      </c>
    </row>
    <row r="4281" spans="1:16" ht="20.100000000000001" customHeight="1" x14ac:dyDescent="0.25">
      <c r="A4281" s="918" t="s">
        <v>480</v>
      </c>
      <c r="B4281" s="944" t="s">
        <v>3901</v>
      </c>
      <c r="C4281" s="919" t="s">
        <v>3902</v>
      </c>
      <c r="D4281" s="919" t="s">
        <v>4774</v>
      </c>
      <c r="E4281" s="920">
        <v>2000</v>
      </c>
      <c r="F4281" s="919" t="s">
        <v>11440</v>
      </c>
      <c r="G4281" s="919" t="s">
        <v>11441</v>
      </c>
      <c r="H4281" s="919" t="s">
        <v>4774</v>
      </c>
      <c r="I4281" s="919" t="s">
        <v>3679</v>
      </c>
      <c r="J4281" s="919"/>
      <c r="K4281" s="920"/>
      <c r="L4281" s="920"/>
      <c r="M4281" s="920">
        <f t="shared" si="132"/>
        <v>0</v>
      </c>
      <c r="N4281" s="919">
        <v>1</v>
      </c>
      <c r="O4281" s="919">
        <v>5</v>
      </c>
      <c r="P4281" s="921">
        <f t="shared" si="133"/>
        <v>10000</v>
      </c>
    </row>
    <row r="4282" spans="1:16" ht="20.100000000000001" customHeight="1" x14ac:dyDescent="0.25">
      <c r="A4282" s="918" t="s">
        <v>480</v>
      </c>
      <c r="B4282" s="944" t="s">
        <v>3901</v>
      </c>
      <c r="C4282" s="919" t="s">
        <v>3902</v>
      </c>
      <c r="D4282" s="919" t="s">
        <v>4774</v>
      </c>
      <c r="E4282" s="920">
        <v>2000</v>
      </c>
      <c r="F4282" s="919" t="s">
        <v>11442</v>
      </c>
      <c r="G4282" s="919" t="s">
        <v>11443</v>
      </c>
      <c r="H4282" s="919" t="s">
        <v>4774</v>
      </c>
      <c r="I4282" s="919" t="s">
        <v>3679</v>
      </c>
      <c r="J4282" s="919"/>
      <c r="K4282" s="920"/>
      <c r="L4282" s="920"/>
      <c r="M4282" s="920">
        <f t="shared" si="132"/>
        <v>0</v>
      </c>
      <c r="N4282" s="919">
        <v>1</v>
      </c>
      <c r="O4282" s="919">
        <v>4</v>
      </c>
      <c r="P4282" s="921">
        <f t="shared" si="133"/>
        <v>8000</v>
      </c>
    </row>
    <row r="4283" spans="1:16" ht="20.100000000000001" customHeight="1" x14ac:dyDescent="0.25">
      <c r="A4283" s="918" t="s">
        <v>480</v>
      </c>
      <c r="B4283" s="944" t="s">
        <v>3901</v>
      </c>
      <c r="C4283" s="919" t="s">
        <v>3902</v>
      </c>
      <c r="D4283" s="919" t="s">
        <v>4777</v>
      </c>
      <c r="E4283" s="920">
        <v>2000</v>
      </c>
      <c r="F4283" s="919" t="s">
        <v>11444</v>
      </c>
      <c r="G4283" s="919" t="s">
        <v>11445</v>
      </c>
      <c r="H4283" s="919" t="s">
        <v>4777</v>
      </c>
      <c r="I4283" s="919" t="s">
        <v>3679</v>
      </c>
      <c r="J4283" s="919"/>
      <c r="K4283" s="920"/>
      <c r="L4283" s="920"/>
      <c r="M4283" s="920">
        <f t="shared" si="132"/>
        <v>0</v>
      </c>
      <c r="N4283" s="919">
        <v>1</v>
      </c>
      <c r="O4283" s="919">
        <v>5</v>
      </c>
      <c r="P4283" s="921">
        <f t="shared" si="133"/>
        <v>10000</v>
      </c>
    </row>
    <row r="4284" spans="1:16" ht="20.100000000000001" customHeight="1" x14ac:dyDescent="0.25">
      <c r="A4284" s="918" t="s">
        <v>480</v>
      </c>
      <c r="B4284" s="944" t="s">
        <v>3901</v>
      </c>
      <c r="C4284" s="919" t="s">
        <v>3902</v>
      </c>
      <c r="D4284" s="919" t="s">
        <v>4777</v>
      </c>
      <c r="E4284" s="920">
        <v>2000</v>
      </c>
      <c r="F4284" s="919" t="s">
        <v>11446</v>
      </c>
      <c r="G4284" s="919" t="s">
        <v>11447</v>
      </c>
      <c r="H4284" s="919" t="s">
        <v>4777</v>
      </c>
      <c r="I4284" s="919" t="s">
        <v>3679</v>
      </c>
      <c r="J4284" s="919"/>
      <c r="K4284" s="920"/>
      <c r="L4284" s="920"/>
      <c r="M4284" s="920">
        <f t="shared" si="132"/>
        <v>0</v>
      </c>
      <c r="N4284" s="919">
        <v>1</v>
      </c>
      <c r="O4284" s="919">
        <v>5</v>
      </c>
      <c r="P4284" s="921">
        <f t="shared" si="133"/>
        <v>10000</v>
      </c>
    </row>
    <row r="4285" spans="1:16" ht="20.100000000000001" customHeight="1" x14ac:dyDescent="0.25">
      <c r="A4285" s="918" t="s">
        <v>480</v>
      </c>
      <c r="B4285" s="944" t="s">
        <v>3901</v>
      </c>
      <c r="C4285" s="919" t="s">
        <v>3902</v>
      </c>
      <c r="D4285" s="919" t="s">
        <v>4382</v>
      </c>
      <c r="E4285" s="920">
        <v>2500</v>
      </c>
      <c r="F4285" s="919" t="s">
        <v>11448</v>
      </c>
      <c r="G4285" s="919" t="s">
        <v>11449</v>
      </c>
      <c r="H4285" s="919" t="s">
        <v>4382</v>
      </c>
      <c r="I4285" s="919" t="s">
        <v>3679</v>
      </c>
      <c r="J4285" s="919"/>
      <c r="K4285" s="920"/>
      <c r="L4285" s="920"/>
      <c r="M4285" s="920">
        <f t="shared" si="132"/>
        <v>0</v>
      </c>
      <c r="N4285" s="919">
        <v>1</v>
      </c>
      <c r="O4285" s="919">
        <v>4</v>
      </c>
      <c r="P4285" s="921">
        <f t="shared" si="133"/>
        <v>10000</v>
      </c>
    </row>
    <row r="4286" spans="1:16" ht="20.100000000000001" customHeight="1" x14ac:dyDescent="0.25">
      <c r="A4286" s="918" t="s">
        <v>480</v>
      </c>
      <c r="B4286" s="944" t="s">
        <v>3901</v>
      </c>
      <c r="C4286" s="919" t="s">
        <v>3902</v>
      </c>
      <c r="D4286" s="919" t="s">
        <v>4382</v>
      </c>
      <c r="E4286" s="920">
        <v>2500</v>
      </c>
      <c r="F4286" s="919" t="s">
        <v>11450</v>
      </c>
      <c r="G4286" s="919" t="s">
        <v>11451</v>
      </c>
      <c r="H4286" s="919" t="s">
        <v>4382</v>
      </c>
      <c r="I4286" s="919" t="s">
        <v>3679</v>
      </c>
      <c r="J4286" s="919"/>
      <c r="K4286" s="920"/>
      <c r="L4286" s="920"/>
      <c r="M4286" s="920">
        <f t="shared" si="132"/>
        <v>0</v>
      </c>
      <c r="N4286" s="919">
        <v>1</v>
      </c>
      <c r="O4286" s="919">
        <v>4</v>
      </c>
      <c r="P4286" s="921">
        <f t="shared" si="133"/>
        <v>10000</v>
      </c>
    </row>
    <row r="4287" spans="1:16" ht="20.100000000000001" customHeight="1" x14ac:dyDescent="0.25">
      <c r="A4287" s="918" t="s">
        <v>480</v>
      </c>
      <c r="B4287" s="944" t="s">
        <v>3901</v>
      </c>
      <c r="C4287" s="919" t="s">
        <v>3902</v>
      </c>
      <c r="D4287" s="919" t="s">
        <v>7795</v>
      </c>
      <c r="E4287" s="920">
        <v>2000</v>
      </c>
      <c r="F4287" s="919" t="s">
        <v>11452</v>
      </c>
      <c r="G4287" s="919" t="s">
        <v>11453</v>
      </c>
      <c r="H4287" s="919" t="s">
        <v>7795</v>
      </c>
      <c r="I4287" s="919" t="s">
        <v>3679</v>
      </c>
      <c r="J4287" s="919"/>
      <c r="K4287" s="920"/>
      <c r="L4287" s="920"/>
      <c r="M4287" s="920">
        <f t="shared" si="132"/>
        <v>0</v>
      </c>
      <c r="N4287" s="919">
        <v>1</v>
      </c>
      <c r="O4287" s="919">
        <v>4</v>
      </c>
      <c r="P4287" s="921">
        <f t="shared" si="133"/>
        <v>8000</v>
      </c>
    </row>
    <row r="4288" spans="1:16" ht="20.100000000000001" customHeight="1" x14ac:dyDescent="0.25">
      <c r="A4288" s="918" t="s">
        <v>480</v>
      </c>
      <c r="B4288" s="944" t="s">
        <v>3901</v>
      </c>
      <c r="C4288" s="919" t="s">
        <v>3902</v>
      </c>
      <c r="D4288" s="919" t="s">
        <v>7795</v>
      </c>
      <c r="E4288" s="920">
        <v>2000</v>
      </c>
      <c r="F4288" s="919" t="s">
        <v>11454</v>
      </c>
      <c r="G4288" s="919" t="s">
        <v>11455</v>
      </c>
      <c r="H4288" s="919" t="s">
        <v>7795</v>
      </c>
      <c r="I4288" s="919" t="s">
        <v>3679</v>
      </c>
      <c r="J4288" s="919"/>
      <c r="K4288" s="920"/>
      <c r="L4288" s="920"/>
      <c r="M4288" s="920">
        <f t="shared" si="132"/>
        <v>0</v>
      </c>
      <c r="N4288" s="919">
        <v>1</v>
      </c>
      <c r="O4288" s="919">
        <v>4</v>
      </c>
      <c r="P4288" s="921">
        <f t="shared" si="133"/>
        <v>8000</v>
      </c>
    </row>
    <row r="4289" spans="1:16" ht="20.100000000000001" customHeight="1" x14ac:dyDescent="0.25">
      <c r="A4289" s="918" t="s">
        <v>480</v>
      </c>
      <c r="B4289" s="944" t="s">
        <v>3901</v>
      </c>
      <c r="C4289" s="919" t="s">
        <v>3902</v>
      </c>
      <c r="D4289" s="919" t="s">
        <v>4347</v>
      </c>
      <c r="E4289" s="920">
        <v>3000</v>
      </c>
      <c r="F4289" s="919" t="s">
        <v>11456</v>
      </c>
      <c r="G4289" s="919" t="s">
        <v>11457</v>
      </c>
      <c r="H4289" s="919" t="s">
        <v>4347</v>
      </c>
      <c r="I4289" s="919" t="s">
        <v>3679</v>
      </c>
      <c r="J4289" s="919"/>
      <c r="K4289" s="920"/>
      <c r="L4289" s="920"/>
      <c r="M4289" s="920">
        <f t="shared" si="132"/>
        <v>0</v>
      </c>
      <c r="N4289" s="919">
        <v>1</v>
      </c>
      <c r="O4289" s="919">
        <v>4</v>
      </c>
      <c r="P4289" s="921">
        <f t="shared" si="133"/>
        <v>12000</v>
      </c>
    </row>
    <row r="4290" spans="1:16" ht="20.100000000000001" customHeight="1" x14ac:dyDescent="0.25">
      <c r="A4290" s="918" t="s">
        <v>480</v>
      </c>
      <c r="B4290" s="944" t="s">
        <v>3901</v>
      </c>
      <c r="C4290" s="919" t="s">
        <v>3902</v>
      </c>
      <c r="D4290" s="919" t="s">
        <v>4820</v>
      </c>
      <c r="E4290" s="920">
        <v>2600</v>
      </c>
      <c r="F4290" s="919" t="s">
        <v>11458</v>
      </c>
      <c r="G4290" s="919" t="s">
        <v>11459</v>
      </c>
      <c r="H4290" s="919" t="s">
        <v>4820</v>
      </c>
      <c r="I4290" s="919" t="s">
        <v>3679</v>
      </c>
      <c r="J4290" s="919"/>
      <c r="K4290" s="920"/>
      <c r="L4290" s="920"/>
      <c r="M4290" s="920">
        <f t="shared" si="132"/>
        <v>0</v>
      </c>
      <c r="N4290" s="919">
        <v>1</v>
      </c>
      <c r="O4290" s="919">
        <v>5</v>
      </c>
      <c r="P4290" s="921">
        <f t="shared" si="133"/>
        <v>13000</v>
      </c>
    </row>
    <row r="4291" spans="1:16" ht="20.100000000000001" customHeight="1" x14ac:dyDescent="0.25">
      <c r="A4291" s="918" t="s">
        <v>480</v>
      </c>
      <c r="B4291" s="944" t="s">
        <v>3901</v>
      </c>
      <c r="C4291" s="919" t="s">
        <v>3902</v>
      </c>
      <c r="D4291" s="919" t="s">
        <v>4823</v>
      </c>
      <c r="E4291" s="920">
        <v>2600</v>
      </c>
      <c r="F4291" s="919" t="s">
        <v>11460</v>
      </c>
      <c r="G4291" s="919" t="s">
        <v>11461</v>
      </c>
      <c r="H4291" s="919" t="s">
        <v>4823</v>
      </c>
      <c r="I4291" s="919" t="s">
        <v>3679</v>
      </c>
      <c r="J4291" s="919"/>
      <c r="K4291" s="920"/>
      <c r="L4291" s="920"/>
      <c r="M4291" s="920">
        <f t="shared" si="132"/>
        <v>0</v>
      </c>
      <c r="N4291" s="919">
        <v>1</v>
      </c>
      <c r="O4291" s="919">
        <v>5</v>
      </c>
      <c r="P4291" s="921">
        <f t="shared" si="133"/>
        <v>13000</v>
      </c>
    </row>
    <row r="4292" spans="1:16" ht="20.100000000000001" customHeight="1" x14ac:dyDescent="0.25">
      <c r="A4292" s="918" t="s">
        <v>480</v>
      </c>
      <c r="B4292" s="944" t="s">
        <v>3901</v>
      </c>
      <c r="C4292" s="919" t="s">
        <v>3902</v>
      </c>
      <c r="D4292" s="919" t="s">
        <v>4823</v>
      </c>
      <c r="E4292" s="920">
        <v>2600</v>
      </c>
      <c r="F4292" s="919" t="s">
        <v>11462</v>
      </c>
      <c r="G4292" s="919" t="s">
        <v>11463</v>
      </c>
      <c r="H4292" s="919" t="s">
        <v>4823</v>
      </c>
      <c r="I4292" s="919" t="s">
        <v>3679</v>
      </c>
      <c r="J4292" s="919"/>
      <c r="K4292" s="920"/>
      <c r="L4292" s="920"/>
      <c r="M4292" s="920">
        <f t="shared" si="132"/>
        <v>0</v>
      </c>
      <c r="N4292" s="919">
        <v>1</v>
      </c>
      <c r="O4292" s="919">
        <v>4</v>
      </c>
      <c r="P4292" s="921">
        <f t="shared" si="133"/>
        <v>10400</v>
      </c>
    </row>
    <row r="4293" spans="1:16" ht="20.100000000000001" customHeight="1" x14ac:dyDescent="0.25">
      <c r="A4293" s="918" t="s">
        <v>480</v>
      </c>
      <c r="B4293" s="944" t="s">
        <v>3901</v>
      </c>
      <c r="C4293" s="919" t="s">
        <v>3902</v>
      </c>
      <c r="D4293" s="919" t="s">
        <v>4832</v>
      </c>
      <c r="E4293" s="920">
        <v>4200</v>
      </c>
      <c r="F4293" s="919" t="s">
        <v>11464</v>
      </c>
      <c r="G4293" s="919" t="s">
        <v>11465</v>
      </c>
      <c r="H4293" s="919" t="s">
        <v>4832</v>
      </c>
      <c r="I4293" s="919" t="s">
        <v>3679</v>
      </c>
      <c r="J4293" s="919"/>
      <c r="K4293" s="920"/>
      <c r="L4293" s="920"/>
      <c r="M4293" s="920">
        <f t="shared" si="132"/>
        <v>0</v>
      </c>
      <c r="N4293" s="919">
        <v>1</v>
      </c>
      <c r="O4293" s="919">
        <v>4</v>
      </c>
      <c r="P4293" s="921">
        <f t="shared" si="133"/>
        <v>16800</v>
      </c>
    </row>
    <row r="4294" spans="1:16" ht="20.100000000000001" customHeight="1" x14ac:dyDescent="0.25">
      <c r="A4294" s="918" t="s">
        <v>480</v>
      </c>
      <c r="B4294" s="944" t="s">
        <v>3901</v>
      </c>
      <c r="C4294" s="919" t="s">
        <v>3902</v>
      </c>
      <c r="D4294" s="919" t="s">
        <v>4835</v>
      </c>
      <c r="E4294" s="920">
        <v>4200</v>
      </c>
      <c r="F4294" s="919" t="s">
        <v>11466</v>
      </c>
      <c r="G4294" s="919" t="s">
        <v>11467</v>
      </c>
      <c r="H4294" s="919" t="s">
        <v>4835</v>
      </c>
      <c r="I4294" s="919" t="s">
        <v>3679</v>
      </c>
      <c r="J4294" s="919"/>
      <c r="K4294" s="920"/>
      <c r="L4294" s="920"/>
      <c r="M4294" s="920">
        <f t="shared" ref="M4294:M4357" si="134">E4294*L4294</f>
        <v>0</v>
      </c>
      <c r="N4294" s="919">
        <v>1</v>
      </c>
      <c r="O4294" s="919">
        <v>4</v>
      </c>
      <c r="P4294" s="921">
        <f t="shared" ref="P4294:P4357" si="135">E4294*O4294</f>
        <v>16800</v>
      </c>
    </row>
    <row r="4295" spans="1:16" ht="20.100000000000001" customHeight="1" x14ac:dyDescent="0.25">
      <c r="A4295" s="918" t="s">
        <v>480</v>
      </c>
      <c r="B4295" s="944" t="s">
        <v>3901</v>
      </c>
      <c r="C4295" s="919" t="s">
        <v>3902</v>
      </c>
      <c r="D4295" s="919" t="s">
        <v>4835</v>
      </c>
      <c r="E4295" s="920">
        <v>4200</v>
      </c>
      <c r="F4295" s="919" t="s">
        <v>11468</v>
      </c>
      <c r="G4295" s="919" t="s">
        <v>11469</v>
      </c>
      <c r="H4295" s="919" t="s">
        <v>4835</v>
      </c>
      <c r="I4295" s="919" t="s">
        <v>3679</v>
      </c>
      <c r="J4295" s="919"/>
      <c r="K4295" s="920"/>
      <c r="L4295" s="920"/>
      <c r="M4295" s="920">
        <f t="shared" si="134"/>
        <v>0</v>
      </c>
      <c r="N4295" s="919">
        <v>1</v>
      </c>
      <c r="O4295" s="919">
        <v>4</v>
      </c>
      <c r="P4295" s="921">
        <f t="shared" si="135"/>
        <v>16800</v>
      </c>
    </row>
    <row r="4296" spans="1:16" ht="20.100000000000001" customHeight="1" x14ac:dyDescent="0.25">
      <c r="A4296" s="918" t="s">
        <v>480</v>
      </c>
      <c r="B4296" s="944" t="s">
        <v>3901</v>
      </c>
      <c r="C4296" s="919" t="s">
        <v>3902</v>
      </c>
      <c r="D4296" s="919" t="s">
        <v>4835</v>
      </c>
      <c r="E4296" s="920">
        <v>4200</v>
      </c>
      <c r="F4296" s="919" t="s">
        <v>11470</v>
      </c>
      <c r="G4296" s="919" t="s">
        <v>11471</v>
      </c>
      <c r="H4296" s="919" t="s">
        <v>4835</v>
      </c>
      <c r="I4296" s="919" t="s">
        <v>3679</v>
      </c>
      <c r="J4296" s="919"/>
      <c r="K4296" s="920"/>
      <c r="L4296" s="920"/>
      <c r="M4296" s="920">
        <f t="shared" si="134"/>
        <v>0</v>
      </c>
      <c r="N4296" s="919">
        <v>1</v>
      </c>
      <c r="O4296" s="919">
        <v>4</v>
      </c>
      <c r="P4296" s="921">
        <f t="shared" si="135"/>
        <v>16800</v>
      </c>
    </row>
    <row r="4297" spans="1:16" ht="20.100000000000001" customHeight="1" x14ac:dyDescent="0.25">
      <c r="A4297" s="918" t="s">
        <v>480</v>
      </c>
      <c r="B4297" s="944" t="s">
        <v>3901</v>
      </c>
      <c r="C4297" s="919" t="s">
        <v>3902</v>
      </c>
      <c r="D4297" s="919" t="s">
        <v>4835</v>
      </c>
      <c r="E4297" s="920">
        <v>4200</v>
      </c>
      <c r="F4297" s="919" t="s">
        <v>11472</v>
      </c>
      <c r="G4297" s="919" t="s">
        <v>11473</v>
      </c>
      <c r="H4297" s="919" t="s">
        <v>4835</v>
      </c>
      <c r="I4297" s="919" t="s">
        <v>3679</v>
      </c>
      <c r="J4297" s="919"/>
      <c r="K4297" s="920"/>
      <c r="L4297" s="920"/>
      <c r="M4297" s="920">
        <f t="shared" si="134"/>
        <v>0</v>
      </c>
      <c r="N4297" s="919">
        <v>1</v>
      </c>
      <c r="O4297" s="919">
        <v>4</v>
      </c>
      <c r="P4297" s="921">
        <f t="shared" si="135"/>
        <v>16800</v>
      </c>
    </row>
    <row r="4298" spans="1:16" ht="20.100000000000001" customHeight="1" x14ac:dyDescent="0.25">
      <c r="A4298" s="918" t="s">
        <v>480</v>
      </c>
      <c r="B4298" s="944" t="s">
        <v>3901</v>
      </c>
      <c r="C4298" s="919" t="s">
        <v>3902</v>
      </c>
      <c r="D4298" s="919" t="s">
        <v>4840</v>
      </c>
      <c r="E4298" s="920">
        <v>3700</v>
      </c>
      <c r="F4298" s="919" t="s">
        <v>11474</v>
      </c>
      <c r="G4298" s="919" t="s">
        <v>11475</v>
      </c>
      <c r="H4298" s="919" t="s">
        <v>4840</v>
      </c>
      <c r="I4298" s="919" t="s">
        <v>3679</v>
      </c>
      <c r="J4298" s="919"/>
      <c r="K4298" s="920"/>
      <c r="L4298" s="920"/>
      <c r="M4298" s="920">
        <f t="shared" si="134"/>
        <v>0</v>
      </c>
      <c r="N4298" s="919">
        <v>1</v>
      </c>
      <c r="O4298" s="919">
        <v>4</v>
      </c>
      <c r="P4298" s="921">
        <f t="shared" si="135"/>
        <v>14800</v>
      </c>
    </row>
    <row r="4299" spans="1:16" ht="20.100000000000001" customHeight="1" x14ac:dyDescent="0.25">
      <c r="A4299" s="918" t="s">
        <v>481</v>
      </c>
      <c r="B4299" s="944" t="s">
        <v>3901</v>
      </c>
      <c r="C4299" s="919" t="s">
        <v>3902</v>
      </c>
      <c r="D4299" s="919" t="s">
        <v>4128</v>
      </c>
      <c r="E4299" s="920">
        <v>1500</v>
      </c>
      <c r="F4299" s="919" t="s">
        <v>11476</v>
      </c>
      <c r="G4299" s="919" t="s">
        <v>11477</v>
      </c>
      <c r="H4299" s="919" t="s">
        <v>4128</v>
      </c>
      <c r="I4299" s="919" t="s">
        <v>3679</v>
      </c>
      <c r="J4299" s="919"/>
      <c r="K4299" s="920">
        <v>1</v>
      </c>
      <c r="L4299" s="920">
        <v>12</v>
      </c>
      <c r="M4299" s="920">
        <f t="shared" si="134"/>
        <v>18000</v>
      </c>
      <c r="N4299" s="919"/>
      <c r="O4299" s="919"/>
      <c r="P4299" s="921">
        <f t="shared" si="135"/>
        <v>0</v>
      </c>
    </row>
    <row r="4300" spans="1:16" ht="20.100000000000001" customHeight="1" x14ac:dyDescent="0.25">
      <c r="A4300" s="918" t="s">
        <v>481</v>
      </c>
      <c r="B4300" s="944" t="s">
        <v>3901</v>
      </c>
      <c r="C4300" s="919" t="s">
        <v>3902</v>
      </c>
      <c r="D4300" s="919" t="s">
        <v>4128</v>
      </c>
      <c r="E4300" s="920">
        <v>1500</v>
      </c>
      <c r="F4300" s="919" t="s">
        <v>4041</v>
      </c>
      <c r="G4300" s="919" t="s">
        <v>4042</v>
      </c>
      <c r="H4300" s="919" t="s">
        <v>4128</v>
      </c>
      <c r="I4300" s="919" t="s">
        <v>3679</v>
      </c>
      <c r="J4300" s="919"/>
      <c r="K4300" s="920">
        <v>1</v>
      </c>
      <c r="L4300" s="920">
        <v>12</v>
      </c>
      <c r="M4300" s="920">
        <f t="shared" si="134"/>
        <v>18000</v>
      </c>
      <c r="N4300" s="919"/>
      <c r="O4300" s="919"/>
      <c r="P4300" s="921">
        <f t="shared" si="135"/>
        <v>0</v>
      </c>
    </row>
    <row r="4301" spans="1:16" ht="20.100000000000001" customHeight="1" x14ac:dyDescent="0.25">
      <c r="A4301" s="918" t="s">
        <v>481</v>
      </c>
      <c r="B4301" s="944" t="s">
        <v>3901</v>
      </c>
      <c r="C4301" s="919" t="s">
        <v>3902</v>
      </c>
      <c r="D4301" s="919" t="s">
        <v>4128</v>
      </c>
      <c r="E4301" s="920">
        <v>1500</v>
      </c>
      <c r="F4301" s="919" t="s">
        <v>11478</v>
      </c>
      <c r="G4301" s="919" t="s">
        <v>11479</v>
      </c>
      <c r="H4301" s="919" t="s">
        <v>4128</v>
      </c>
      <c r="I4301" s="919" t="s">
        <v>3679</v>
      </c>
      <c r="J4301" s="919"/>
      <c r="K4301" s="920"/>
      <c r="L4301" s="920"/>
      <c r="M4301" s="920">
        <f t="shared" si="134"/>
        <v>0</v>
      </c>
      <c r="N4301" s="919">
        <v>1</v>
      </c>
      <c r="O4301" s="919">
        <v>3</v>
      </c>
      <c r="P4301" s="921">
        <f t="shared" si="135"/>
        <v>4500</v>
      </c>
    </row>
    <row r="4302" spans="1:16" ht="20.100000000000001" customHeight="1" x14ac:dyDescent="0.25">
      <c r="A4302" s="918" t="s">
        <v>481</v>
      </c>
      <c r="B4302" s="944" t="s">
        <v>3901</v>
      </c>
      <c r="C4302" s="919" t="s">
        <v>3902</v>
      </c>
      <c r="D4302" s="919" t="s">
        <v>4250</v>
      </c>
      <c r="E4302" s="920">
        <v>3500</v>
      </c>
      <c r="F4302" s="919" t="s">
        <v>11480</v>
      </c>
      <c r="G4302" s="919" t="s">
        <v>11481</v>
      </c>
      <c r="H4302" s="919" t="s">
        <v>4250</v>
      </c>
      <c r="I4302" s="919" t="s">
        <v>3679</v>
      </c>
      <c r="J4302" s="919"/>
      <c r="K4302" s="920"/>
      <c r="L4302" s="920"/>
      <c r="M4302" s="920">
        <f t="shared" si="134"/>
        <v>0</v>
      </c>
      <c r="N4302" s="919">
        <v>1</v>
      </c>
      <c r="O4302" s="919">
        <v>4</v>
      </c>
      <c r="P4302" s="921">
        <f t="shared" si="135"/>
        <v>14000</v>
      </c>
    </row>
    <row r="4303" spans="1:16" ht="20.100000000000001" customHeight="1" x14ac:dyDescent="0.25">
      <c r="A4303" s="918" t="s">
        <v>481</v>
      </c>
      <c r="B4303" s="944" t="s">
        <v>3901</v>
      </c>
      <c r="C4303" s="919" t="s">
        <v>3902</v>
      </c>
      <c r="D4303" s="919" t="s">
        <v>4881</v>
      </c>
      <c r="E4303" s="920">
        <v>3200</v>
      </c>
      <c r="F4303" s="919" t="s">
        <v>11482</v>
      </c>
      <c r="G4303" s="919" t="s">
        <v>11483</v>
      </c>
      <c r="H4303" s="919" t="s">
        <v>4881</v>
      </c>
      <c r="I4303" s="919" t="s">
        <v>3679</v>
      </c>
      <c r="J4303" s="919"/>
      <c r="K4303" s="920"/>
      <c r="L4303" s="920"/>
      <c r="M4303" s="920">
        <f t="shared" si="134"/>
        <v>0</v>
      </c>
      <c r="N4303" s="919">
        <v>1</v>
      </c>
      <c r="O4303" s="919">
        <v>4</v>
      </c>
      <c r="P4303" s="921">
        <f t="shared" si="135"/>
        <v>12800</v>
      </c>
    </row>
    <row r="4304" spans="1:16" ht="20.100000000000001" customHeight="1" x14ac:dyDescent="0.25">
      <c r="A4304" s="918" t="s">
        <v>481</v>
      </c>
      <c r="B4304" s="944" t="s">
        <v>3901</v>
      </c>
      <c r="C4304" s="919" t="s">
        <v>3902</v>
      </c>
      <c r="D4304" s="919" t="s">
        <v>4881</v>
      </c>
      <c r="E4304" s="920">
        <v>3200</v>
      </c>
      <c r="F4304" s="919" t="s">
        <v>11484</v>
      </c>
      <c r="G4304" s="919" t="s">
        <v>11485</v>
      </c>
      <c r="H4304" s="919" t="s">
        <v>4881</v>
      </c>
      <c r="I4304" s="919" t="s">
        <v>3679</v>
      </c>
      <c r="J4304" s="919"/>
      <c r="K4304" s="920"/>
      <c r="L4304" s="920"/>
      <c r="M4304" s="920">
        <f t="shared" si="134"/>
        <v>0</v>
      </c>
      <c r="N4304" s="919">
        <v>1</v>
      </c>
      <c r="O4304" s="919">
        <v>4</v>
      </c>
      <c r="P4304" s="921">
        <f t="shared" si="135"/>
        <v>12800</v>
      </c>
    </row>
    <row r="4305" spans="1:16" ht="20.100000000000001" customHeight="1" x14ac:dyDescent="0.25">
      <c r="A4305" s="918" t="s">
        <v>481</v>
      </c>
      <c r="B4305" s="944" t="s">
        <v>3901</v>
      </c>
      <c r="C4305" s="919" t="s">
        <v>3902</v>
      </c>
      <c r="D4305" s="919" t="s">
        <v>4886</v>
      </c>
      <c r="E4305" s="920">
        <v>2300</v>
      </c>
      <c r="F4305" s="919" t="s">
        <v>11486</v>
      </c>
      <c r="G4305" s="919" t="s">
        <v>11487</v>
      </c>
      <c r="H4305" s="919" t="s">
        <v>4886</v>
      </c>
      <c r="I4305" s="919" t="s">
        <v>3679</v>
      </c>
      <c r="J4305" s="919"/>
      <c r="K4305" s="920"/>
      <c r="L4305" s="920"/>
      <c r="M4305" s="920">
        <f t="shared" si="134"/>
        <v>0</v>
      </c>
      <c r="N4305" s="919">
        <v>1</v>
      </c>
      <c r="O4305" s="919">
        <v>4</v>
      </c>
      <c r="P4305" s="921">
        <f t="shared" si="135"/>
        <v>9200</v>
      </c>
    </row>
    <row r="4306" spans="1:16" ht="20.100000000000001" customHeight="1" x14ac:dyDescent="0.25">
      <c r="A4306" s="918" t="s">
        <v>481</v>
      </c>
      <c r="B4306" s="944" t="s">
        <v>3901</v>
      </c>
      <c r="C4306" s="919" t="s">
        <v>3902</v>
      </c>
      <c r="D4306" s="919" t="s">
        <v>4886</v>
      </c>
      <c r="E4306" s="920">
        <v>2300</v>
      </c>
      <c r="F4306" s="919" t="s">
        <v>11488</v>
      </c>
      <c r="G4306" s="919" t="s">
        <v>11489</v>
      </c>
      <c r="H4306" s="919" t="s">
        <v>4886</v>
      </c>
      <c r="I4306" s="919" t="s">
        <v>3679</v>
      </c>
      <c r="J4306" s="919"/>
      <c r="K4306" s="920"/>
      <c r="L4306" s="920"/>
      <c r="M4306" s="920">
        <f t="shared" si="134"/>
        <v>0</v>
      </c>
      <c r="N4306" s="919">
        <v>1</v>
      </c>
      <c r="O4306" s="919">
        <v>3</v>
      </c>
      <c r="P4306" s="921">
        <f t="shared" si="135"/>
        <v>6900</v>
      </c>
    </row>
    <row r="4307" spans="1:16" ht="20.100000000000001" customHeight="1" x14ac:dyDescent="0.25">
      <c r="A4307" s="918" t="s">
        <v>481</v>
      </c>
      <c r="B4307" s="944" t="s">
        <v>3901</v>
      </c>
      <c r="C4307" s="919" t="s">
        <v>3902</v>
      </c>
      <c r="D4307" s="919" t="s">
        <v>4657</v>
      </c>
      <c r="E4307" s="920">
        <v>1150</v>
      </c>
      <c r="F4307" s="919" t="s">
        <v>11490</v>
      </c>
      <c r="G4307" s="919" t="s">
        <v>11491</v>
      </c>
      <c r="H4307" s="919" t="s">
        <v>4657</v>
      </c>
      <c r="I4307" s="919" t="s">
        <v>3686</v>
      </c>
      <c r="J4307" s="919"/>
      <c r="K4307" s="920"/>
      <c r="L4307" s="920"/>
      <c r="M4307" s="920">
        <f t="shared" si="134"/>
        <v>0</v>
      </c>
      <c r="N4307" s="919">
        <v>1</v>
      </c>
      <c r="O4307" s="919">
        <v>3</v>
      </c>
      <c r="P4307" s="921">
        <f t="shared" si="135"/>
        <v>3450</v>
      </c>
    </row>
    <row r="4308" spans="1:16" ht="20.100000000000001" customHeight="1" x14ac:dyDescent="0.25">
      <c r="A4308" s="918" t="s">
        <v>481</v>
      </c>
      <c r="B4308" s="944" t="s">
        <v>3901</v>
      </c>
      <c r="C4308" s="919" t="s">
        <v>3902</v>
      </c>
      <c r="D4308" s="919" t="s">
        <v>4657</v>
      </c>
      <c r="E4308" s="920">
        <v>1150</v>
      </c>
      <c r="F4308" s="919" t="s">
        <v>11492</v>
      </c>
      <c r="G4308" s="919" t="s">
        <v>11493</v>
      </c>
      <c r="H4308" s="919" t="s">
        <v>4657</v>
      </c>
      <c r="I4308" s="919" t="s">
        <v>3686</v>
      </c>
      <c r="J4308" s="919"/>
      <c r="K4308" s="920"/>
      <c r="L4308" s="920"/>
      <c r="M4308" s="920">
        <f t="shared" si="134"/>
        <v>0</v>
      </c>
      <c r="N4308" s="919">
        <v>1</v>
      </c>
      <c r="O4308" s="919">
        <v>3</v>
      </c>
      <c r="P4308" s="921">
        <f t="shared" si="135"/>
        <v>3450</v>
      </c>
    </row>
    <row r="4309" spans="1:16" ht="20.100000000000001" customHeight="1" x14ac:dyDescent="0.25">
      <c r="A4309" s="918" t="s">
        <v>481</v>
      </c>
      <c r="B4309" s="944" t="s">
        <v>3901</v>
      </c>
      <c r="C4309" s="919" t="s">
        <v>3902</v>
      </c>
      <c r="D4309" s="919" t="s">
        <v>4895</v>
      </c>
      <c r="E4309" s="920">
        <v>1150</v>
      </c>
      <c r="F4309" s="919" t="s">
        <v>11494</v>
      </c>
      <c r="G4309" s="919" t="s">
        <v>11495</v>
      </c>
      <c r="H4309" s="919" t="s">
        <v>4895</v>
      </c>
      <c r="I4309" s="919" t="s">
        <v>3693</v>
      </c>
      <c r="J4309" s="919"/>
      <c r="K4309" s="920"/>
      <c r="L4309" s="920"/>
      <c r="M4309" s="920">
        <f t="shared" si="134"/>
        <v>0</v>
      </c>
      <c r="N4309" s="919">
        <v>1</v>
      </c>
      <c r="O4309" s="919">
        <v>3</v>
      </c>
      <c r="P4309" s="921">
        <f t="shared" si="135"/>
        <v>3450</v>
      </c>
    </row>
    <row r="4310" spans="1:16" ht="20.100000000000001" customHeight="1" x14ac:dyDescent="0.25">
      <c r="A4310" s="918" t="s">
        <v>481</v>
      </c>
      <c r="B4310" s="944" t="s">
        <v>3901</v>
      </c>
      <c r="C4310" s="919" t="s">
        <v>3902</v>
      </c>
      <c r="D4310" s="919" t="s">
        <v>4895</v>
      </c>
      <c r="E4310" s="920">
        <v>1150</v>
      </c>
      <c r="F4310" s="919" t="s">
        <v>11496</v>
      </c>
      <c r="G4310" s="919" t="s">
        <v>11497</v>
      </c>
      <c r="H4310" s="919" t="s">
        <v>4895</v>
      </c>
      <c r="I4310" s="919" t="s">
        <v>3693</v>
      </c>
      <c r="J4310" s="919"/>
      <c r="K4310" s="920"/>
      <c r="L4310" s="920"/>
      <c r="M4310" s="920">
        <f t="shared" si="134"/>
        <v>0</v>
      </c>
      <c r="N4310" s="919">
        <v>1</v>
      </c>
      <c r="O4310" s="919">
        <v>4</v>
      </c>
      <c r="P4310" s="921">
        <f t="shared" si="135"/>
        <v>4600</v>
      </c>
    </row>
    <row r="4311" spans="1:16" ht="20.100000000000001" customHeight="1" x14ac:dyDescent="0.25">
      <c r="A4311" s="918" t="s">
        <v>481</v>
      </c>
      <c r="B4311" s="944" t="s">
        <v>3901</v>
      </c>
      <c r="C4311" s="919" t="s">
        <v>3902</v>
      </c>
      <c r="D4311" s="919" t="s">
        <v>4895</v>
      </c>
      <c r="E4311" s="920">
        <v>1150</v>
      </c>
      <c r="F4311" s="919" t="s">
        <v>11498</v>
      </c>
      <c r="G4311" s="919" t="s">
        <v>11499</v>
      </c>
      <c r="H4311" s="919" t="s">
        <v>4895</v>
      </c>
      <c r="I4311" s="919" t="s">
        <v>3693</v>
      </c>
      <c r="J4311" s="919"/>
      <c r="K4311" s="920"/>
      <c r="L4311" s="920"/>
      <c r="M4311" s="920">
        <f t="shared" si="134"/>
        <v>0</v>
      </c>
      <c r="N4311" s="919">
        <v>1</v>
      </c>
      <c r="O4311" s="919">
        <v>4</v>
      </c>
      <c r="P4311" s="921">
        <f t="shared" si="135"/>
        <v>4600</v>
      </c>
    </row>
    <row r="4312" spans="1:16" ht="20.100000000000001" customHeight="1" x14ac:dyDescent="0.25">
      <c r="A4312" s="918" t="s">
        <v>481</v>
      </c>
      <c r="B4312" s="944" t="s">
        <v>3901</v>
      </c>
      <c r="C4312" s="919" t="s">
        <v>3902</v>
      </c>
      <c r="D4312" s="919" t="s">
        <v>4895</v>
      </c>
      <c r="E4312" s="920">
        <v>1150</v>
      </c>
      <c r="F4312" s="919" t="s">
        <v>11500</v>
      </c>
      <c r="G4312" s="919" t="s">
        <v>11501</v>
      </c>
      <c r="H4312" s="919" t="s">
        <v>4895</v>
      </c>
      <c r="I4312" s="919" t="s">
        <v>3693</v>
      </c>
      <c r="J4312" s="919"/>
      <c r="K4312" s="920"/>
      <c r="L4312" s="920"/>
      <c r="M4312" s="920">
        <f t="shared" si="134"/>
        <v>0</v>
      </c>
      <c r="N4312" s="919">
        <v>1</v>
      </c>
      <c r="O4312" s="919">
        <v>4</v>
      </c>
      <c r="P4312" s="921">
        <f t="shared" si="135"/>
        <v>4600</v>
      </c>
    </row>
    <row r="4313" spans="1:16" ht="20.100000000000001" customHeight="1" x14ac:dyDescent="0.25">
      <c r="A4313" s="918" t="s">
        <v>481</v>
      </c>
      <c r="B4313" s="944" t="s">
        <v>3901</v>
      </c>
      <c r="C4313" s="919" t="s">
        <v>3902</v>
      </c>
      <c r="D4313" s="919" t="s">
        <v>4502</v>
      </c>
      <c r="E4313" s="920">
        <v>1150</v>
      </c>
      <c r="F4313" s="919" t="s">
        <v>11502</v>
      </c>
      <c r="G4313" s="919" t="s">
        <v>11503</v>
      </c>
      <c r="H4313" s="919" t="s">
        <v>4502</v>
      </c>
      <c r="I4313" s="919" t="s">
        <v>3686</v>
      </c>
      <c r="J4313" s="919"/>
      <c r="K4313" s="920"/>
      <c r="L4313" s="920"/>
      <c r="M4313" s="920">
        <f t="shared" si="134"/>
        <v>0</v>
      </c>
      <c r="N4313" s="919">
        <v>1</v>
      </c>
      <c r="O4313" s="919">
        <v>4</v>
      </c>
      <c r="P4313" s="921">
        <f t="shared" si="135"/>
        <v>4600</v>
      </c>
    </row>
    <row r="4314" spans="1:16" ht="20.100000000000001" customHeight="1" x14ac:dyDescent="0.25">
      <c r="A4314" s="918" t="s">
        <v>481</v>
      </c>
      <c r="B4314" s="944" t="s">
        <v>3901</v>
      </c>
      <c r="C4314" s="919" t="s">
        <v>3902</v>
      </c>
      <c r="D4314" s="919" t="s">
        <v>4502</v>
      </c>
      <c r="E4314" s="920">
        <v>1150</v>
      </c>
      <c r="F4314" s="919" t="s">
        <v>11504</v>
      </c>
      <c r="G4314" s="919" t="s">
        <v>11505</v>
      </c>
      <c r="H4314" s="919" t="s">
        <v>4502</v>
      </c>
      <c r="I4314" s="919" t="s">
        <v>3686</v>
      </c>
      <c r="J4314" s="919"/>
      <c r="K4314" s="920"/>
      <c r="L4314" s="920"/>
      <c r="M4314" s="920">
        <f t="shared" si="134"/>
        <v>0</v>
      </c>
      <c r="N4314" s="919">
        <v>1</v>
      </c>
      <c r="O4314" s="919">
        <v>4</v>
      </c>
      <c r="P4314" s="921">
        <f t="shared" si="135"/>
        <v>4600</v>
      </c>
    </row>
    <row r="4315" spans="1:16" ht="20.100000000000001" customHeight="1" x14ac:dyDescent="0.25">
      <c r="A4315" s="918" t="s">
        <v>481</v>
      </c>
      <c r="B4315" s="944" t="s">
        <v>3901</v>
      </c>
      <c r="C4315" s="919" t="s">
        <v>3902</v>
      </c>
      <c r="D4315" s="919" t="s">
        <v>4502</v>
      </c>
      <c r="E4315" s="920">
        <v>1150</v>
      </c>
      <c r="F4315" s="919" t="s">
        <v>11506</v>
      </c>
      <c r="G4315" s="919" t="s">
        <v>11507</v>
      </c>
      <c r="H4315" s="919" t="s">
        <v>4502</v>
      </c>
      <c r="I4315" s="919" t="s">
        <v>3686</v>
      </c>
      <c r="J4315" s="919"/>
      <c r="K4315" s="920"/>
      <c r="L4315" s="920"/>
      <c r="M4315" s="920">
        <f t="shared" si="134"/>
        <v>0</v>
      </c>
      <c r="N4315" s="919">
        <v>1</v>
      </c>
      <c r="O4315" s="919">
        <v>3</v>
      </c>
      <c r="P4315" s="921">
        <f t="shared" si="135"/>
        <v>3450</v>
      </c>
    </row>
    <row r="4316" spans="1:16" ht="20.100000000000001" customHeight="1" x14ac:dyDescent="0.25">
      <c r="A4316" s="918" t="s">
        <v>481</v>
      </c>
      <c r="B4316" s="944" t="s">
        <v>3901</v>
      </c>
      <c r="C4316" s="919" t="s">
        <v>3902</v>
      </c>
      <c r="D4316" s="919" t="s">
        <v>4502</v>
      </c>
      <c r="E4316" s="920">
        <v>1150</v>
      </c>
      <c r="F4316" s="919" t="s">
        <v>11508</v>
      </c>
      <c r="G4316" s="919" t="s">
        <v>11509</v>
      </c>
      <c r="H4316" s="919" t="s">
        <v>4502</v>
      </c>
      <c r="I4316" s="919" t="s">
        <v>3686</v>
      </c>
      <c r="J4316" s="919"/>
      <c r="K4316" s="920"/>
      <c r="L4316" s="920"/>
      <c r="M4316" s="920">
        <f t="shared" si="134"/>
        <v>0</v>
      </c>
      <c r="N4316" s="919">
        <v>1</v>
      </c>
      <c r="O4316" s="919">
        <v>4</v>
      </c>
      <c r="P4316" s="921">
        <f t="shared" si="135"/>
        <v>4600</v>
      </c>
    </row>
    <row r="4317" spans="1:16" ht="20.100000000000001" customHeight="1" x14ac:dyDescent="0.25">
      <c r="A4317" s="918" t="s">
        <v>481</v>
      </c>
      <c r="B4317" s="944" t="s">
        <v>3901</v>
      </c>
      <c r="C4317" s="919" t="s">
        <v>3902</v>
      </c>
      <c r="D4317" s="919" t="s">
        <v>4502</v>
      </c>
      <c r="E4317" s="920">
        <v>1150</v>
      </c>
      <c r="F4317" s="919" t="s">
        <v>11510</v>
      </c>
      <c r="G4317" s="919" t="s">
        <v>11511</v>
      </c>
      <c r="H4317" s="919" t="s">
        <v>4502</v>
      </c>
      <c r="I4317" s="919" t="s">
        <v>3686</v>
      </c>
      <c r="J4317" s="919"/>
      <c r="K4317" s="920"/>
      <c r="L4317" s="920"/>
      <c r="M4317" s="920">
        <f t="shared" si="134"/>
        <v>0</v>
      </c>
      <c r="N4317" s="919">
        <v>1</v>
      </c>
      <c r="O4317" s="919">
        <v>4</v>
      </c>
      <c r="P4317" s="921">
        <f t="shared" si="135"/>
        <v>4600</v>
      </c>
    </row>
    <row r="4318" spans="1:16" ht="20.100000000000001" customHeight="1" x14ac:dyDescent="0.25">
      <c r="A4318" s="918" t="s">
        <v>481</v>
      </c>
      <c r="B4318" s="944" t="s">
        <v>3901</v>
      </c>
      <c r="C4318" s="919" t="s">
        <v>3902</v>
      </c>
      <c r="D4318" s="919" t="s">
        <v>4502</v>
      </c>
      <c r="E4318" s="920">
        <v>1150</v>
      </c>
      <c r="F4318" s="919" t="s">
        <v>11512</v>
      </c>
      <c r="G4318" s="919" t="s">
        <v>11513</v>
      </c>
      <c r="H4318" s="919" t="s">
        <v>4502</v>
      </c>
      <c r="I4318" s="919" t="s">
        <v>3686</v>
      </c>
      <c r="J4318" s="919"/>
      <c r="K4318" s="920"/>
      <c r="L4318" s="920"/>
      <c r="M4318" s="920">
        <f t="shared" si="134"/>
        <v>0</v>
      </c>
      <c r="N4318" s="919">
        <v>1</v>
      </c>
      <c r="O4318" s="919">
        <v>4</v>
      </c>
      <c r="P4318" s="921">
        <f t="shared" si="135"/>
        <v>4600</v>
      </c>
    </row>
    <row r="4319" spans="1:16" ht="20.100000000000001" customHeight="1" x14ac:dyDescent="0.25">
      <c r="A4319" s="918" t="s">
        <v>481</v>
      </c>
      <c r="B4319" s="944" t="s">
        <v>3901</v>
      </c>
      <c r="C4319" s="919" t="s">
        <v>3902</v>
      </c>
      <c r="D4319" s="919" t="s">
        <v>4502</v>
      </c>
      <c r="E4319" s="920">
        <v>1150</v>
      </c>
      <c r="F4319" s="919" t="s">
        <v>11514</v>
      </c>
      <c r="G4319" s="919" t="s">
        <v>11515</v>
      </c>
      <c r="H4319" s="919" t="s">
        <v>4502</v>
      </c>
      <c r="I4319" s="919" t="s">
        <v>3686</v>
      </c>
      <c r="J4319" s="919"/>
      <c r="K4319" s="920"/>
      <c r="L4319" s="920"/>
      <c r="M4319" s="920">
        <f t="shared" si="134"/>
        <v>0</v>
      </c>
      <c r="N4319" s="919">
        <v>1</v>
      </c>
      <c r="O4319" s="919">
        <v>4</v>
      </c>
      <c r="P4319" s="921">
        <f t="shared" si="135"/>
        <v>4600</v>
      </c>
    </row>
    <row r="4320" spans="1:16" ht="20.100000000000001" customHeight="1" x14ac:dyDescent="0.25">
      <c r="A4320" s="918" t="s">
        <v>481</v>
      </c>
      <c r="B4320" s="944" t="s">
        <v>3901</v>
      </c>
      <c r="C4320" s="919" t="s">
        <v>3902</v>
      </c>
      <c r="D4320" s="919" t="s">
        <v>4502</v>
      </c>
      <c r="E4320" s="920">
        <v>1150</v>
      </c>
      <c r="F4320" s="919" t="s">
        <v>11516</v>
      </c>
      <c r="G4320" s="919" t="s">
        <v>11517</v>
      </c>
      <c r="H4320" s="919" t="s">
        <v>4502</v>
      </c>
      <c r="I4320" s="919" t="s">
        <v>3686</v>
      </c>
      <c r="J4320" s="919"/>
      <c r="K4320" s="920"/>
      <c r="L4320" s="920"/>
      <c r="M4320" s="920">
        <f t="shared" si="134"/>
        <v>0</v>
      </c>
      <c r="N4320" s="919">
        <v>1</v>
      </c>
      <c r="O4320" s="919">
        <v>4</v>
      </c>
      <c r="P4320" s="921">
        <f t="shared" si="135"/>
        <v>4600</v>
      </c>
    </row>
    <row r="4321" spans="1:16" ht="20.100000000000001" customHeight="1" x14ac:dyDescent="0.25">
      <c r="A4321" s="918" t="s">
        <v>481</v>
      </c>
      <c r="B4321" s="944" t="s">
        <v>3901</v>
      </c>
      <c r="C4321" s="919" t="s">
        <v>3902</v>
      </c>
      <c r="D4321" s="919" t="s">
        <v>4502</v>
      </c>
      <c r="E4321" s="920">
        <v>1150</v>
      </c>
      <c r="F4321" s="919" t="s">
        <v>11518</v>
      </c>
      <c r="G4321" s="919" t="s">
        <v>11519</v>
      </c>
      <c r="H4321" s="919" t="s">
        <v>4502</v>
      </c>
      <c r="I4321" s="919" t="s">
        <v>3686</v>
      </c>
      <c r="J4321" s="919"/>
      <c r="K4321" s="920"/>
      <c r="L4321" s="920"/>
      <c r="M4321" s="920">
        <f t="shared" si="134"/>
        <v>0</v>
      </c>
      <c r="N4321" s="919">
        <v>1</v>
      </c>
      <c r="O4321" s="919">
        <v>4</v>
      </c>
      <c r="P4321" s="921">
        <f t="shared" si="135"/>
        <v>4600</v>
      </c>
    </row>
    <row r="4322" spans="1:16" ht="20.100000000000001" customHeight="1" x14ac:dyDescent="0.25">
      <c r="A4322" s="918" t="s">
        <v>481</v>
      </c>
      <c r="B4322" s="944" t="s">
        <v>3901</v>
      </c>
      <c r="C4322" s="919" t="s">
        <v>3902</v>
      </c>
      <c r="D4322" s="919" t="s">
        <v>4531</v>
      </c>
      <c r="E4322" s="920">
        <v>1800</v>
      </c>
      <c r="F4322" s="919" t="s">
        <v>11520</v>
      </c>
      <c r="G4322" s="919" t="s">
        <v>11521</v>
      </c>
      <c r="H4322" s="919" t="s">
        <v>4531</v>
      </c>
      <c r="I4322" s="919" t="s">
        <v>3679</v>
      </c>
      <c r="J4322" s="919"/>
      <c r="K4322" s="920"/>
      <c r="L4322" s="920"/>
      <c r="M4322" s="920">
        <f t="shared" si="134"/>
        <v>0</v>
      </c>
      <c r="N4322" s="919">
        <v>1</v>
      </c>
      <c r="O4322" s="919">
        <v>4</v>
      </c>
      <c r="P4322" s="921">
        <f t="shared" si="135"/>
        <v>7200</v>
      </c>
    </row>
    <row r="4323" spans="1:16" ht="20.100000000000001" customHeight="1" x14ac:dyDescent="0.25">
      <c r="A4323" s="918" t="s">
        <v>481</v>
      </c>
      <c r="B4323" s="944" t="s">
        <v>3901</v>
      </c>
      <c r="C4323" s="919" t="s">
        <v>3902</v>
      </c>
      <c r="D4323" s="919" t="s">
        <v>4531</v>
      </c>
      <c r="E4323" s="920">
        <v>1800</v>
      </c>
      <c r="F4323" s="919" t="s">
        <v>11522</v>
      </c>
      <c r="G4323" s="919" t="s">
        <v>11523</v>
      </c>
      <c r="H4323" s="919" t="s">
        <v>4531</v>
      </c>
      <c r="I4323" s="919" t="s">
        <v>3679</v>
      </c>
      <c r="J4323" s="919"/>
      <c r="K4323" s="920"/>
      <c r="L4323" s="920"/>
      <c r="M4323" s="920">
        <f t="shared" si="134"/>
        <v>0</v>
      </c>
      <c r="N4323" s="919">
        <v>1</v>
      </c>
      <c r="O4323" s="919">
        <v>4</v>
      </c>
      <c r="P4323" s="921">
        <f t="shared" si="135"/>
        <v>7200</v>
      </c>
    </row>
    <row r="4324" spans="1:16" ht="20.100000000000001" customHeight="1" x14ac:dyDescent="0.25">
      <c r="A4324" s="918" t="s">
        <v>481</v>
      </c>
      <c r="B4324" s="944" t="s">
        <v>3901</v>
      </c>
      <c r="C4324" s="919" t="s">
        <v>3902</v>
      </c>
      <c r="D4324" s="919" t="s">
        <v>4531</v>
      </c>
      <c r="E4324" s="920">
        <v>1800</v>
      </c>
      <c r="F4324" s="919" t="s">
        <v>11524</v>
      </c>
      <c r="G4324" s="919" t="s">
        <v>11525</v>
      </c>
      <c r="H4324" s="919" t="s">
        <v>4531</v>
      </c>
      <c r="I4324" s="919" t="s">
        <v>3679</v>
      </c>
      <c r="J4324" s="919"/>
      <c r="K4324" s="920"/>
      <c r="L4324" s="920"/>
      <c r="M4324" s="920">
        <f t="shared" si="134"/>
        <v>0</v>
      </c>
      <c r="N4324" s="919">
        <v>1</v>
      </c>
      <c r="O4324" s="919">
        <v>4</v>
      </c>
      <c r="P4324" s="921">
        <f t="shared" si="135"/>
        <v>7200</v>
      </c>
    </row>
    <row r="4325" spans="1:16" ht="20.100000000000001" customHeight="1" x14ac:dyDescent="0.25">
      <c r="A4325" s="918" t="s">
        <v>481</v>
      </c>
      <c r="B4325" s="944" t="s">
        <v>3901</v>
      </c>
      <c r="C4325" s="919" t="s">
        <v>3902</v>
      </c>
      <c r="D4325" s="919" t="s">
        <v>4531</v>
      </c>
      <c r="E4325" s="920">
        <v>1800</v>
      </c>
      <c r="F4325" s="919" t="s">
        <v>11526</v>
      </c>
      <c r="G4325" s="919" t="s">
        <v>11527</v>
      </c>
      <c r="H4325" s="919" t="s">
        <v>4531</v>
      </c>
      <c r="I4325" s="919" t="s">
        <v>3679</v>
      </c>
      <c r="J4325" s="919"/>
      <c r="K4325" s="920"/>
      <c r="L4325" s="920"/>
      <c r="M4325" s="920">
        <f t="shared" si="134"/>
        <v>0</v>
      </c>
      <c r="N4325" s="919">
        <v>1</v>
      </c>
      <c r="O4325" s="919">
        <v>4</v>
      </c>
      <c r="P4325" s="921">
        <f t="shared" si="135"/>
        <v>7200</v>
      </c>
    </row>
    <row r="4326" spans="1:16" ht="20.100000000000001" customHeight="1" x14ac:dyDescent="0.25">
      <c r="A4326" s="918" t="s">
        <v>481</v>
      </c>
      <c r="B4326" s="944" t="s">
        <v>3901</v>
      </c>
      <c r="C4326" s="919" t="s">
        <v>3902</v>
      </c>
      <c r="D4326" s="919" t="s">
        <v>4531</v>
      </c>
      <c r="E4326" s="920">
        <v>1800</v>
      </c>
      <c r="F4326" s="919" t="s">
        <v>11528</v>
      </c>
      <c r="G4326" s="919" t="s">
        <v>11529</v>
      </c>
      <c r="H4326" s="919" t="s">
        <v>4531</v>
      </c>
      <c r="I4326" s="919" t="s">
        <v>3679</v>
      </c>
      <c r="J4326" s="919"/>
      <c r="K4326" s="920"/>
      <c r="L4326" s="920"/>
      <c r="M4326" s="920">
        <f t="shared" si="134"/>
        <v>0</v>
      </c>
      <c r="N4326" s="919">
        <v>1</v>
      </c>
      <c r="O4326" s="919">
        <v>4</v>
      </c>
      <c r="P4326" s="921">
        <f t="shared" si="135"/>
        <v>7200</v>
      </c>
    </row>
    <row r="4327" spans="1:16" ht="20.100000000000001" customHeight="1" x14ac:dyDescent="0.25">
      <c r="A4327" s="918" t="s">
        <v>481</v>
      </c>
      <c r="B4327" s="944" t="s">
        <v>3901</v>
      </c>
      <c r="C4327" s="919" t="s">
        <v>3902</v>
      </c>
      <c r="D4327" s="919" t="s">
        <v>4531</v>
      </c>
      <c r="E4327" s="920">
        <v>1800</v>
      </c>
      <c r="F4327" s="919" t="s">
        <v>11530</v>
      </c>
      <c r="G4327" s="919" t="s">
        <v>11531</v>
      </c>
      <c r="H4327" s="919" t="s">
        <v>4531</v>
      </c>
      <c r="I4327" s="919" t="s">
        <v>3679</v>
      </c>
      <c r="J4327" s="919"/>
      <c r="K4327" s="920"/>
      <c r="L4327" s="920"/>
      <c r="M4327" s="920">
        <f t="shared" si="134"/>
        <v>0</v>
      </c>
      <c r="N4327" s="919">
        <v>1</v>
      </c>
      <c r="O4327" s="919">
        <v>4</v>
      </c>
      <c r="P4327" s="921">
        <f t="shared" si="135"/>
        <v>7200</v>
      </c>
    </row>
    <row r="4328" spans="1:16" ht="20.100000000000001" customHeight="1" x14ac:dyDescent="0.25">
      <c r="A4328" s="918" t="s">
        <v>481</v>
      </c>
      <c r="B4328" s="944" t="s">
        <v>3901</v>
      </c>
      <c r="C4328" s="919" t="s">
        <v>3902</v>
      </c>
      <c r="D4328" s="919" t="s">
        <v>4531</v>
      </c>
      <c r="E4328" s="920">
        <v>1800</v>
      </c>
      <c r="F4328" s="919" t="s">
        <v>11532</v>
      </c>
      <c r="G4328" s="919" t="s">
        <v>11533</v>
      </c>
      <c r="H4328" s="919" t="s">
        <v>4531</v>
      </c>
      <c r="I4328" s="919" t="s">
        <v>3679</v>
      </c>
      <c r="J4328" s="919"/>
      <c r="K4328" s="920"/>
      <c r="L4328" s="920"/>
      <c r="M4328" s="920">
        <f t="shared" si="134"/>
        <v>0</v>
      </c>
      <c r="N4328" s="919">
        <v>1</v>
      </c>
      <c r="O4328" s="919">
        <v>4</v>
      </c>
      <c r="P4328" s="921">
        <f t="shared" si="135"/>
        <v>7200</v>
      </c>
    </row>
    <row r="4329" spans="1:16" ht="20.100000000000001" customHeight="1" x14ac:dyDescent="0.25">
      <c r="A4329" s="918" t="s">
        <v>481</v>
      </c>
      <c r="B4329" s="944" t="s">
        <v>3901</v>
      </c>
      <c r="C4329" s="919" t="s">
        <v>3902</v>
      </c>
      <c r="D4329" s="919" t="s">
        <v>4531</v>
      </c>
      <c r="E4329" s="920">
        <v>1800</v>
      </c>
      <c r="F4329" s="919" t="s">
        <v>11534</v>
      </c>
      <c r="G4329" s="919" t="s">
        <v>11535</v>
      </c>
      <c r="H4329" s="919" t="s">
        <v>4531</v>
      </c>
      <c r="I4329" s="919" t="s">
        <v>3679</v>
      </c>
      <c r="J4329" s="919"/>
      <c r="K4329" s="920"/>
      <c r="L4329" s="920"/>
      <c r="M4329" s="920">
        <f t="shared" si="134"/>
        <v>0</v>
      </c>
      <c r="N4329" s="919">
        <v>1</v>
      </c>
      <c r="O4329" s="919">
        <v>4</v>
      </c>
      <c r="P4329" s="921">
        <f t="shared" si="135"/>
        <v>7200</v>
      </c>
    </row>
    <row r="4330" spans="1:16" ht="20.100000000000001" customHeight="1" x14ac:dyDescent="0.25">
      <c r="A4330" s="918" t="s">
        <v>481</v>
      </c>
      <c r="B4330" s="944" t="s">
        <v>3901</v>
      </c>
      <c r="C4330" s="919" t="s">
        <v>3902</v>
      </c>
      <c r="D4330" s="919" t="s">
        <v>4531</v>
      </c>
      <c r="E4330" s="920">
        <v>1800</v>
      </c>
      <c r="F4330" s="919" t="s">
        <v>11536</v>
      </c>
      <c r="G4330" s="919" t="s">
        <v>11537</v>
      </c>
      <c r="H4330" s="919" t="s">
        <v>4531</v>
      </c>
      <c r="I4330" s="919" t="s">
        <v>3679</v>
      </c>
      <c r="J4330" s="919"/>
      <c r="K4330" s="920"/>
      <c r="L4330" s="920"/>
      <c r="M4330" s="920">
        <f t="shared" si="134"/>
        <v>0</v>
      </c>
      <c r="N4330" s="919">
        <v>1</v>
      </c>
      <c r="O4330" s="919">
        <v>4</v>
      </c>
      <c r="P4330" s="921">
        <f t="shared" si="135"/>
        <v>7200</v>
      </c>
    </row>
    <row r="4331" spans="1:16" ht="20.100000000000001" customHeight="1" x14ac:dyDescent="0.25">
      <c r="A4331" s="918" t="s">
        <v>481</v>
      </c>
      <c r="B4331" s="944" t="s">
        <v>3901</v>
      </c>
      <c r="C4331" s="919" t="s">
        <v>3902</v>
      </c>
      <c r="D4331" s="919" t="s">
        <v>4531</v>
      </c>
      <c r="E4331" s="920">
        <v>1800</v>
      </c>
      <c r="F4331" s="919" t="s">
        <v>11538</v>
      </c>
      <c r="G4331" s="919" t="s">
        <v>11539</v>
      </c>
      <c r="H4331" s="919" t="s">
        <v>4531</v>
      </c>
      <c r="I4331" s="919" t="s">
        <v>3679</v>
      </c>
      <c r="J4331" s="919"/>
      <c r="K4331" s="920"/>
      <c r="L4331" s="920"/>
      <c r="M4331" s="920">
        <f t="shared" si="134"/>
        <v>0</v>
      </c>
      <c r="N4331" s="919">
        <v>1</v>
      </c>
      <c r="O4331" s="919">
        <v>4</v>
      </c>
      <c r="P4331" s="921">
        <f t="shared" si="135"/>
        <v>7200</v>
      </c>
    </row>
    <row r="4332" spans="1:16" ht="20.100000000000001" customHeight="1" x14ac:dyDescent="0.25">
      <c r="A4332" s="918" t="s">
        <v>481</v>
      </c>
      <c r="B4332" s="944" t="s">
        <v>3901</v>
      </c>
      <c r="C4332" s="919" t="s">
        <v>3902</v>
      </c>
      <c r="D4332" s="919" t="s">
        <v>4531</v>
      </c>
      <c r="E4332" s="920">
        <v>1800</v>
      </c>
      <c r="F4332" s="919" t="s">
        <v>11540</v>
      </c>
      <c r="G4332" s="919" t="s">
        <v>11541</v>
      </c>
      <c r="H4332" s="919" t="s">
        <v>4531</v>
      </c>
      <c r="I4332" s="919" t="s">
        <v>3679</v>
      </c>
      <c r="J4332" s="919"/>
      <c r="K4332" s="920"/>
      <c r="L4332" s="920"/>
      <c r="M4332" s="920">
        <f t="shared" si="134"/>
        <v>0</v>
      </c>
      <c r="N4332" s="919">
        <v>1</v>
      </c>
      <c r="O4332" s="919">
        <v>4</v>
      </c>
      <c r="P4332" s="921">
        <f t="shared" si="135"/>
        <v>7200</v>
      </c>
    </row>
    <row r="4333" spans="1:16" ht="20.100000000000001" customHeight="1" x14ac:dyDescent="0.25">
      <c r="A4333" s="918" t="s">
        <v>481</v>
      </c>
      <c r="B4333" s="944" t="s">
        <v>3901</v>
      </c>
      <c r="C4333" s="919" t="s">
        <v>3902</v>
      </c>
      <c r="D4333" s="919" t="s">
        <v>4531</v>
      </c>
      <c r="E4333" s="920">
        <v>1800</v>
      </c>
      <c r="F4333" s="919" t="s">
        <v>11542</v>
      </c>
      <c r="G4333" s="919" t="s">
        <v>11543</v>
      </c>
      <c r="H4333" s="919" t="s">
        <v>4531</v>
      </c>
      <c r="I4333" s="919" t="s">
        <v>3679</v>
      </c>
      <c r="J4333" s="919"/>
      <c r="K4333" s="920"/>
      <c r="L4333" s="920"/>
      <c r="M4333" s="920">
        <f t="shared" si="134"/>
        <v>0</v>
      </c>
      <c r="N4333" s="919">
        <v>1</v>
      </c>
      <c r="O4333" s="919">
        <v>4</v>
      </c>
      <c r="P4333" s="921">
        <f t="shared" si="135"/>
        <v>7200</v>
      </c>
    </row>
    <row r="4334" spans="1:16" ht="20.100000000000001" customHeight="1" x14ac:dyDescent="0.25">
      <c r="A4334" s="918" t="s">
        <v>481</v>
      </c>
      <c r="B4334" s="944" t="s">
        <v>3901</v>
      </c>
      <c r="C4334" s="919" t="s">
        <v>3902</v>
      </c>
      <c r="D4334" s="919" t="s">
        <v>4382</v>
      </c>
      <c r="E4334" s="920">
        <v>2500</v>
      </c>
      <c r="F4334" s="919" t="s">
        <v>11544</v>
      </c>
      <c r="G4334" s="919" t="s">
        <v>11545</v>
      </c>
      <c r="H4334" s="919" t="s">
        <v>4382</v>
      </c>
      <c r="I4334" s="919" t="s">
        <v>3679</v>
      </c>
      <c r="J4334" s="919"/>
      <c r="K4334" s="920"/>
      <c r="L4334" s="920"/>
      <c r="M4334" s="920">
        <f t="shared" si="134"/>
        <v>0</v>
      </c>
      <c r="N4334" s="919">
        <v>1</v>
      </c>
      <c r="O4334" s="919">
        <v>3</v>
      </c>
      <c r="P4334" s="921">
        <f t="shared" si="135"/>
        <v>7500</v>
      </c>
    </row>
    <row r="4335" spans="1:16" ht="20.100000000000001" customHeight="1" x14ac:dyDescent="0.25">
      <c r="A4335" s="918" t="s">
        <v>481</v>
      </c>
      <c r="B4335" s="944" t="s">
        <v>3901</v>
      </c>
      <c r="C4335" s="919" t="s">
        <v>3902</v>
      </c>
      <c r="D4335" s="919" t="s">
        <v>4382</v>
      </c>
      <c r="E4335" s="920">
        <v>2500</v>
      </c>
      <c r="F4335" s="919" t="s">
        <v>11546</v>
      </c>
      <c r="G4335" s="919" t="s">
        <v>11547</v>
      </c>
      <c r="H4335" s="919" t="s">
        <v>4382</v>
      </c>
      <c r="I4335" s="919" t="s">
        <v>3679</v>
      </c>
      <c r="J4335" s="919"/>
      <c r="K4335" s="920"/>
      <c r="L4335" s="920"/>
      <c r="M4335" s="920">
        <f t="shared" si="134"/>
        <v>0</v>
      </c>
      <c r="N4335" s="919">
        <v>1</v>
      </c>
      <c r="O4335" s="919">
        <v>3</v>
      </c>
      <c r="P4335" s="921">
        <f t="shared" si="135"/>
        <v>7500</v>
      </c>
    </row>
    <row r="4336" spans="1:16" ht="20.100000000000001" customHeight="1" x14ac:dyDescent="0.25">
      <c r="A4336" s="918" t="s">
        <v>481</v>
      </c>
      <c r="B4336" s="944" t="s">
        <v>3901</v>
      </c>
      <c r="C4336" s="919" t="s">
        <v>3902</v>
      </c>
      <c r="D4336" s="919" t="s">
        <v>4382</v>
      </c>
      <c r="E4336" s="920">
        <v>2500</v>
      </c>
      <c r="F4336" s="919" t="s">
        <v>11548</v>
      </c>
      <c r="G4336" s="919" t="s">
        <v>11549</v>
      </c>
      <c r="H4336" s="919" t="s">
        <v>4382</v>
      </c>
      <c r="I4336" s="919" t="s">
        <v>3679</v>
      </c>
      <c r="J4336" s="919"/>
      <c r="K4336" s="920"/>
      <c r="L4336" s="920"/>
      <c r="M4336" s="920">
        <f t="shared" si="134"/>
        <v>0</v>
      </c>
      <c r="N4336" s="919">
        <v>1</v>
      </c>
      <c r="O4336" s="919">
        <v>3</v>
      </c>
      <c r="P4336" s="921">
        <f t="shared" si="135"/>
        <v>7500</v>
      </c>
    </row>
    <row r="4337" spans="1:16" ht="20.100000000000001" customHeight="1" x14ac:dyDescent="0.25">
      <c r="A4337" s="918" t="s">
        <v>481</v>
      </c>
      <c r="B4337" s="944" t="s">
        <v>3901</v>
      </c>
      <c r="C4337" s="919" t="s">
        <v>3902</v>
      </c>
      <c r="D4337" s="919" t="s">
        <v>4382</v>
      </c>
      <c r="E4337" s="920">
        <v>2500</v>
      </c>
      <c r="F4337" s="919" t="s">
        <v>4041</v>
      </c>
      <c r="G4337" s="919" t="s">
        <v>4062</v>
      </c>
      <c r="H4337" s="919" t="s">
        <v>4382</v>
      </c>
      <c r="I4337" s="919" t="s">
        <v>3679</v>
      </c>
      <c r="J4337" s="919"/>
      <c r="K4337" s="920">
        <v>1</v>
      </c>
      <c r="L4337" s="920">
        <v>12</v>
      </c>
      <c r="M4337" s="920">
        <f t="shared" si="134"/>
        <v>30000</v>
      </c>
      <c r="N4337" s="919"/>
      <c r="O4337" s="919"/>
      <c r="P4337" s="921">
        <f t="shared" si="135"/>
        <v>0</v>
      </c>
    </row>
    <row r="4338" spans="1:16" ht="20.100000000000001" customHeight="1" x14ac:dyDescent="0.25">
      <c r="A4338" s="918" t="s">
        <v>481</v>
      </c>
      <c r="B4338" s="944" t="s">
        <v>3901</v>
      </c>
      <c r="C4338" s="919" t="s">
        <v>3902</v>
      </c>
      <c r="D4338" s="919" t="s">
        <v>4382</v>
      </c>
      <c r="E4338" s="920">
        <v>2500</v>
      </c>
      <c r="F4338" s="919" t="s">
        <v>11550</v>
      </c>
      <c r="G4338" s="919" t="s">
        <v>11551</v>
      </c>
      <c r="H4338" s="919" t="s">
        <v>4382</v>
      </c>
      <c r="I4338" s="919" t="s">
        <v>3679</v>
      </c>
      <c r="J4338" s="919"/>
      <c r="K4338" s="920"/>
      <c r="L4338" s="920"/>
      <c r="M4338" s="920">
        <f t="shared" si="134"/>
        <v>0</v>
      </c>
      <c r="N4338" s="919">
        <v>1</v>
      </c>
      <c r="O4338" s="919">
        <v>4</v>
      </c>
      <c r="P4338" s="921">
        <f t="shared" si="135"/>
        <v>10000</v>
      </c>
    </row>
    <row r="4339" spans="1:16" ht="20.100000000000001" customHeight="1" x14ac:dyDescent="0.25">
      <c r="A4339" s="918" t="s">
        <v>481</v>
      </c>
      <c r="B4339" s="944" t="s">
        <v>3901</v>
      </c>
      <c r="C4339" s="919" t="s">
        <v>3902</v>
      </c>
      <c r="D4339" s="919" t="s">
        <v>4382</v>
      </c>
      <c r="E4339" s="920">
        <v>2500</v>
      </c>
      <c r="F4339" s="919" t="s">
        <v>11552</v>
      </c>
      <c r="G4339" s="919" t="s">
        <v>11553</v>
      </c>
      <c r="H4339" s="919" t="s">
        <v>4382</v>
      </c>
      <c r="I4339" s="919" t="s">
        <v>3679</v>
      </c>
      <c r="J4339" s="919"/>
      <c r="K4339" s="920"/>
      <c r="L4339" s="920"/>
      <c r="M4339" s="920">
        <f t="shared" si="134"/>
        <v>0</v>
      </c>
      <c r="N4339" s="919">
        <v>1</v>
      </c>
      <c r="O4339" s="919">
        <v>4</v>
      </c>
      <c r="P4339" s="921">
        <f t="shared" si="135"/>
        <v>10000</v>
      </c>
    </row>
    <row r="4340" spans="1:16" ht="20.100000000000001" customHeight="1" x14ac:dyDescent="0.25">
      <c r="A4340" s="918" t="s">
        <v>481</v>
      </c>
      <c r="B4340" s="944" t="s">
        <v>3901</v>
      </c>
      <c r="C4340" s="919" t="s">
        <v>3902</v>
      </c>
      <c r="D4340" s="919" t="s">
        <v>4382</v>
      </c>
      <c r="E4340" s="920">
        <v>2500</v>
      </c>
      <c r="F4340" s="919" t="s">
        <v>4041</v>
      </c>
      <c r="G4340" s="919" t="s">
        <v>4062</v>
      </c>
      <c r="H4340" s="919" t="s">
        <v>4382</v>
      </c>
      <c r="I4340" s="919" t="s">
        <v>3679</v>
      </c>
      <c r="J4340" s="919"/>
      <c r="K4340" s="920">
        <v>1</v>
      </c>
      <c r="L4340" s="920">
        <v>12</v>
      </c>
      <c r="M4340" s="920">
        <f t="shared" si="134"/>
        <v>30000</v>
      </c>
      <c r="N4340" s="919"/>
      <c r="O4340" s="919"/>
      <c r="P4340" s="921">
        <f t="shared" si="135"/>
        <v>0</v>
      </c>
    </row>
    <row r="4341" spans="1:16" ht="20.100000000000001" customHeight="1" x14ac:dyDescent="0.25">
      <c r="A4341" s="918" t="s">
        <v>481</v>
      </c>
      <c r="B4341" s="944" t="s">
        <v>3901</v>
      </c>
      <c r="C4341" s="919" t="s">
        <v>3902</v>
      </c>
      <c r="D4341" s="919" t="s">
        <v>4382</v>
      </c>
      <c r="E4341" s="920">
        <v>2500</v>
      </c>
      <c r="F4341" s="919" t="s">
        <v>4041</v>
      </c>
      <c r="G4341" s="919" t="s">
        <v>4062</v>
      </c>
      <c r="H4341" s="919" t="s">
        <v>4382</v>
      </c>
      <c r="I4341" s="919" t="s">
        <v>3679</v>
      </c>
      <c r="J4341" s="919"/>
      <c r="K4341" s="920">
        <v>1</v>
      </c>
      <c r="L4341" s="920">
        <v>12</v>
      </c>
      <c r="M4341" s="920">
        <f t="shared" si="134"/>
        <v>30000</v>
      </c>
      <c r="N4341" s="919"/>
      <c r="O4341" s="919"/>
      <c r="P4341" s="921">
        <f t="shared" si="135"/>
        <v>0</v>
      </c>
    </row>
    <row r="4342" spans="1:16" ht="20.100000000000001" customHeight="1" x14ac:dyDescent="0.25">
      <c r="A4342" s="918" t="s">
        <v>481</v>
      </c>
      <c r="B4342" s="944" t="s">
        <v>3901</v>
      </c>
      <c r="C4342" s="919" t="s">
        <v>3902</v>
      </c>
      <c r="D4342" s="919" t="s">
        <v>4382</v>
      </c>
      <c r="E4342" s="920">
        <v>2500</v>
      </c>
      <c r="F4342" s="919" t="s">
        <v>4041</v>
      </c>
      <c r="G4342" s="919" t="s">
        <v>4062</v>
      </c>
      <c r="H4342" s="919" t="s">
        <v>4382</v>
      </c>
      <c r="I4342" s="919" t="s">
        <v>3679</v>
      </c>
      <c r="J4342" s="919"/>
      <c r="K4342" s="920">
        <v>1</v>
      </c>
      <c r="L4342" s="920">
        <v>12</v>
      </c>
      <c r="M4342" s="920">
        <f t="shared" si="134"/>
        <v>30000</v>
      </c>
      <c r="N4342" s="919"/>
      <c r="O4342" s="919"/>
      <c r="P4342" s="921">
        <f t="shared" si="135"/>
        <v>0</v>
      </c>
    </row>
    <row r="4343" spans="1:16" ht="20.100000000000001" customHeight="1" x14ac:dyDescent="0.25">
      <c r="A4343" s="918" t="s">
        <v>481</v>
      </c>
      <c r="B4343" s="944" t="s">
        <v>3901</v>
      </c>
      <c r="C4343" s="919" t="s">
        <v>3902</v>
      </c>
      <c r="D4343" s="919" t="s">
        <v>4382</v>
      </c>
      <c r="E4343" s="920">
        <v>2500</v>
      </c>
      <c r="F4343" s="919" t="s">
        <v>4041</v>
      </c>
      <c r="G4343" s="919" t="s">
        <v>4062</v>
      </c>
      <c r="H4343" s="919" t="s">
        <v>4382</v>
      </c>
      <c r="I4343" s="919" t="s">
        <v>3679</v>
      </c>
      <c r="J4343" s="919"/>
      <c r="K4343" s="920">
        <v>1</v>
      </c>
      <c r="L4343" s="920">
        <v>12</v>
      </c>
      <c r="M4343" s="920">
        <f t="shared" si="134"/>
        <v>30000</v>
      </c>
      <c r="N4343" s="919"/>
      <c r="O4343" s="919"/>
      <c r="P4343" s="921">
        <f t="shared" si="135"/>
        <v>0</v>
      </c>
    </row>
    <row r="4344" spans="1:16" ht="20.100000000000001" customHeight="1" x14ac:dyDescent="0.25">
      <c r="A4344" s="918" t="s">
        <v>481</v>
      </c>
      <c r="B4344" s="944" t="s">
        <v>3901</v>
      </c>
      <c r="C4344" s="919" t="s">
        <v>3902</v>
      </c>
      <c r="D4344" s="919" t="s">
        <v>4382</v>
      </c>
      <c r="E4344" s="920">
        <v>2500</v>
      </c>
      <c r="F4344" s="919" t="s">
        <v>4041</v>
      </c>
      <c r="G4344" s="919" t="s">
        <v>4062</v>
      </c>
      <c r="H4344" s="919" t="s">
        <v>4382</v>
      </c>
      <c r="I4344" s="919" t="s">
        <v>3679</v>
      </c>
      <c r="J4344" s="919"/>
      <c r="K4344" s="920">
        <v>1</v>
      </c>
      <c r="L4344" s="920">
        <v>12</v>
      </c>
      <c r="M4344" s="920">
        <f t="shared" si="134"/>
        <v>30000</v>
      </c>
      <c r="N4344" s="919"/>
      <c r="O4344" s="919"/>
      <c r="P4344" s="921">
        <f t="shared" si="135"/>
        <v>0</v>
      </c>
    </row>
    <row r="4345" spans="1:16" ht="20.100000000000001" customHeight="1" x14ac:dyDescent="0.25">
      <c r="A4345" s="918" t="s">
        <v>481</v>
      </c>
      <c r="B4345" s="944" t="s">
        <v>3901</v>
      </c>
      <c r="C4345" s="919" t="s">
        <v>3902</v>
      </c>
      <c r="D4345" s="919" t="s">
        <v>4592</v>
      </c>
      <c r="E4345" s="920">
        <v>1150</v>
      </c>
      <c r="F4345" s="919" t="s">
        <v>11554</v>
      </c>
      <c r="G4345" s="919" t="s">
        <v>11555</v>
      </c>
      <c r="H4345" s="919" t="s">
        <v>4592</v>
      </c>
      <c r="I4345" s="919" t="s">
        <v>3686</v>
      </c>
      <c r="J4345" s="919"/>
      <c r="K4345" s="920"/>
      <c r="L4345" s="920"/>
      <c r="M4345" s="920">
        <f t="shared" si="134"/>
        <v>0</v>
      </c>
      <c r="N4345" s="919">
        <v>1</v>
      </c>
      <c r="O4345" s="919">
        <v>3</v>
      </c>
      <c r="P4345" s="921">
        <f t="shared" si="135"/>
        <v>3450</v>
      </c>
    </row>
    <row r="4346" spans="1:16" ht="20.100000000000001" customHeight="1" x14ac:dyDescent="0.25">
      <c r="A4346" s="918" t="s">
        <v>481</v>
      </c>
      <c r="B4346" s="944" t="s">
        <v>3901</v>
      </c>
      <c r="C4346" s="919" t="s">
        <v>3902</v>
      </c>
      <c r="D4346" s="919" t="s">
        <v>4592</v>
      </c>
      <c r="E4346" s="920">
        <v>1150</v>
      </c>
      <c r="F4346" s="919" t="s">
        <v>11556</v>
      </c>
      <c r="G4346" s="919" t="s">
        <v>11557</v>
      </c>
      <c r="H4346" s="919" t="s">
        <v>4592</v>
      </c>
      <c r="I4346" s="919" t="s">
        <v>3686</v>
      </c>
      <c r="J4346" s="919"/>
      <c r="K4346" s="920"/>
      <c r="L4346" s="920"/>
      <c r="M4346" s="920">
        <f t="shared" si="134"/>
        <v>0</v>
      </c>
      <c r="N4346" s="919">
        <v>1</v>
      </c>
      <c r="O4346" s="919">
        <v>4</v>
      </c>
      <c r="P4346" s="921">
        <f t="shared" si="135"/>
        <v>4600</v>
      </c>
    </row>
    <row r="4347" spans="1:16" ht="20.100000000000001" customHeight="1" x14ac:dyDescent="0.25">
      <c r="A4347" s="918" t="s">
        <v>481</v>
      </c>
      <c r="B4347" s="944" t="s">
        <v>3901</v>
      </c>
      <c r="C4347" s="919" t="s">
        <v>3902</v>
      </c>
      <c r="D4347" s="919" t="s">
        <v>4592</v>
      </c>
      <c r="E4347" s="920">
        <v>1150</v>
      </c>
      <c r="F4347" s="919" t="s">
        <v>11558</v>
      </c>
      <c r="G4347" s="919" t="s">
        <v>11559</v>
      </c>
      <c r="H4347" s="919" t="s">
        <v>4592</v>
      </c>
      <c r="I4347" s="919" t="s">
        <v>3686</v>
      </c>
      <c r="J4347" s="919"/>
      <c r="K4347" s="920"/>
      <c r="L4347" s="920"/>
      <c r="M4347" s="920">
        <f t="shared" si="134"/>
        <v>0</v>
      </c>
      <c r="N4347" s="919">
        <v>1</v>
      </c>
      <c r="O4347" s="919">
        <v>3</v>
      </c>
      <c r="P4347" s="921">
        <f t="shared" si="135"/>
        <v>3450</v>
      </c>
    </row>
    <row r="4348" spans="1:16" ht="20.100000000000001" customHeight="1" x14ac:dyDescent="0.25">
      <c r="A4348" s="918" t="s">
        <v>481</v>
      </c>
      <c r="B4348" s="944" t="s">
        <v>3901</v>
      </c>
      <c r="C4348" s="919" t="s">
        <v>3902</v>
      </c>
      <c r="D4348" s="919" t="s">
        <v>4592</v>
      </c>
      <c r="E4348" s="920">
        <v>1150</v>
      </c>
      <c r="F4348" s="919" t="s">
        <v>11560</v>
      </c>
      <c r="G4348" s="919" t="s">
        <v>11561</v>
      </c>
      <c r="H4348" s="919" t="s">
        <v>4592</v>
      </c>
      <c r="I4348" s="919" t="s">
        <v>3686</v>
      </c>
      <c r="J4348" s="919"/>
      <c r="K4348" s="920"/>
      <c r="L4348" s="920"/>
      <c r="M4348" s="920">
        <f t="shared" si="134"/>
        <v>0</v>
      </c>
      <c r="N4348" s="919">
        <v>1</v>
      </c>
      <c r="O4348" s="919">
        <v>3</v>
      </c>
      <c r="P4348" s="921">
        <f t="shared" si="135"/>
        <v>3450</v>
      </c>
    </row>
    <row r="4349" spans="1:16" ht="20.100000000000001" customHeight="1" x14ac:dyDescent="0.25">
      <c r="A4349" s="918" t="s">
        <v>481</v>
      </c>
      <c r="B4349" s="944" t="s">
        <v>3901</v>
      </c>
      <c r="C4349" s="919" t="s">
        <v>3902</v>
      </c>
      <c r="D4349" s="919" t="s">
        <v>4592</v>
      </c>
      <c r="E4349" s="920">
        <v>1150</v>
      </c>
      <c r="F4349" s="919" t="s">
        <v>11562</v>
      </c>
      <c r="G4349" s="919" t="s">
        <v>11563</v>
      </c>
      <c r="H4349" s="919" t="s">
        <v>4592</v>
      </c>
      <c r="I4349" s="919" t="s">
        <v>3686</v>
      </c>
      <c r="J4349" s="919"/>
      <c r="K4349" s="920"/>
      <c r="L4349" s="920"/>
      <c r="M4349" s="920">
        <f t="shared" si="134"/>
        <v>0</v>
      </c>
      <c r="N4349" s="919">
        <v>1</v>
      </c>
      <c r="O4349" s="919">
        <v>3</v>
      </c>
      <c r="P4349" s="921">
        <f t="shared" si="135"/>
        <v>3450</v>
      </c>
    </row>
    <row r="4350" spans="1:16" ht="20.100000000000001" customHeight="1" x14ac:dyDescent="0.25">
      <c r="A4350" s="918" t="s">
        <v>481</v>
      </c>
      <c r="B4350" s="944" t="s">
        <v>3901</v>
      </c>
      <c r="C4350" s="919" t="s">
        <v>3902</v>
      </c>
      <c r="D4350" s="919" t="s">
        <v>4592</v>
      </c>
      <c r="E4350" s="920">
        <v>1150</v>
      </c>
      <c r="F4350" s="919" t="s">
        <v>11564</v>
      </c>
      <c r="G4350" s="919" t="s">
        <v>11565</v>
      </c>
      <c r="H4350" s="919" t="s">
        <v>4592</v>
      </c>
      <c r="I4350" s="919" t="s">
        <v>3686</v>
      </c>
      <c r="J4350" s="919"/>
      <c r="K4350" s="920"/>
      <c r="L4350" s="920"/>
      <c r="M4350" s="920">
        <f t="shared" si="134"/>
        <v>0</v>
      </c>
      <c r="N4350" s="919">
        <v>1</v>
      </c>
      <c r="O4350" s="919">
        <v>3</v>
      </c>
      <c r="P4350" s="921">
        <f t="shared" si="135"/>
        <v>3450</v>
      </c>
    </row>
    <row r="4351" spans="1:16" ht="20.100000000000001" customHeight="1" x14ac:dyDescent="0.25">
      <c r="A4351" s="918" t="s">
        <v>481</v>
      </c>
      <c r="B4351" s="944" t="s">
        <v>3901</v>
      </c>
      <c r="C4351" s="919" t="s">
        <v>3902</v>
      </c>
      <c r="D4351" s="919" t="s">
        <v>4592</v>
      </c>
      <c r="E4351" s="920">
        <v>1150</v>
      </c>
      <c r="F4351" s="919" t="s">
        <v>11566</v>
      </c>
      <c r="G4351" s="919" t="s">
        <v>11567</v>
      </c>
      <c r="H4351" s="919" t="s">
        <v>4592</v>
      </c>
      <c r="I4351" s="919" t="s">
        <v>3686</v>
      </c>
      <c r="J4351" s="919"/>
      <c r="K4351" s="920"/>
      <c r="L4351" s="920"/>
      <c r="M4351" s="920">
        <f t="shared" si="134"/>
        <v>0</v>
      </c>
      <c r="N4351" s="919">
        <v>1</v>
      </c>
      <c r="O4351" s="919">
        <v>3</v>
      </c>
      <c r="P4351" s="921">
        <f t="shared" si="135"/>
        <v>3450</v>
      </c>
    </row>
    <row r="4352" spans="1:16" ht="20.100000000000001" customHeight="1" x14ac:dyDescent="0.25">
      <c r="A4352" s="918" t="s">
        <v>481</v>
      </c>
      <c r="B4352" s="944" t="s">
        <v>3901</v>
      </c>
      <c r="C4352" s="919" t="s">
        <v>3902</v>
      </c>
      <c r="D4352" s="919" t="s">
        <v>4592</v>
      </c>
      <c r="E4352" s="920">
        <v>1150</v>
      </c>
      <c r="F4352" s="919" t="s">
        <v>11568</v>
      </c>
      <c r="G4352" s="919" t="s">
        <v>11569</v>
      </c>
      <c r="H4352" s="919" t="s">
        <v>4592</v>
      </c>
      <c r="I4352" s="919" t="s">
        <v>3686</v>
      </c>
      <c r="J4352" s="919"/>
      <c r="K4352" s="920"/>
      <c r="L4352" s="920"/>
      <c r="M4352" s="920">
        <f t="shared" si="134"/>
        <v>0</v>
      </c>
      <c r="N4352" s="919">
        <v>1</v>
      </c>
      <c r="O4352" s="919">
        <v>4</v>
      </c>
      <c r="P4352" s="921">
        <f t="shared" si="135"/>
        <v>4600</v>
      </c>
    </row>
    <row r="4353" spans="1:16" ht="20.100000000000001" customHeight="1" x14ac:dyDescent="0.25">
      <c r="A4353" s="918" t="s">
        <v>481</v>
      </c>
      <c r="B4353" s="944" t="s">
        <v>3901</v>
      </c>
      <c r="C4353" s="919" t="s">
        <v>3902</v>
      </c>
      <c r="D4353" s="919" t="s">
        <v>4592</v>
      </c>
      <c r="E4353" s="920">
        <v>1150</v>
      </c>
      <c r="F4353" s="919" t="s">
        <v>11570</v>
      </c>
      <c r="G4353" s="919" t="s">
        <v>11571</v>
      </c>
      <c r="H4353" s="919" t="s">
        <v>4592</v>
      </c>
      <c r="I4353" s="919" t="s">
        <v>3686</v>
      </c>
      <c r="J4353" s="919"/>
      <c r="K4353" s="920"/>
      <c r="L4353" s="920"/>
      <c r="M4353" s="920">
        <f t="shared" si="134"/>
        <v>0</v>
      </c>
      <c r="N4353" s="919">
        <v>1</v>
      </c>
      <c r="O4353" s="919">
        <v>4</v>
      </c>
      <c r="P4353" s="921">
        <f t="shared" si="135"/>
        <v>4600</v>
      </c>
    </row>
    <row r="4354" spans="1:16" ht="20.100000000000001" customHeight="1" x14ac:dyDescent="0.25">
      <c r="A4354" s="918" t="s">
        <v>481</v>
      </c>
      <c r="B4354" s="944" t="s">
        <v>3901</v>
      </c>
      <c r="C4354" s="919" t="s">
        <v>3902</v>
      </c>
      <c r="D4354" s="919" t="s">
        <v>4592</v>
      </c>
      <c r="E4354" s="920">
        <v>1150</v>
      </c>
      <c r="F4354" s="919" t="s">
        <v>11572</v>
      </c>
      <c r="G4354" s="919" t="s">
        <v>11573</v>
      </c>
      <c r="H4354" s="919" t="s">
        <v>4592</v>
      </c>
      <c r="I4354" s="919" t="s">
        <v>3686</v>
      </c>
      <c r="J4354" s="919"/>
      <c r="K4354" s="920"/>
      <c r="L4354" s="920"/>
      <c r="M4354" s="920">
        <f t="shared" si="134"/>
        <v>0</v>
      </c>
      <c r="N4354" s="919">
        <v>1</v>
      </c>
      <c r="O4354" s="919">
        <v>3</v>
      </c>
      <c r="P4354" s="921">
        <f t="shared" si="135"/>
        <v>3450</v>
      </c>
    </row>
    <row r="4355" spans="1:16" ht="20.100000000000001" customHeight="1" x14ac:dyDescent="0.25">
      <c r="A4355" s="918" t="s">
        <v>481</v>
      </c>
      <c r="B4355" s="944" t="s">
        <v>3901</v>
      </c>
      <c r="C4355" s="919" t="s">
        <v>3902</v>
      </c>
      <c r="D4355" s="919" t="s">
        <v>4592</v>
      </c>
      <c r="E4355" s="920">
        <v>1150</v>
      </c>
      <c r="F4355" s="919" t="s">
        <v>11574</v>
      </c>
      <c r="G4355" s="919" t="s">
        <v>11575</v>
      </c>
      <c r="H4355" s="919" t="s">
        <v>4592</v>
      </c>
      <c r="I4355" s="919" t="s">
        <v>3686</v>
      </c>
      <c r="J4355" s="919"/>
      <c r="K4355" s="920"/>
      <c r="L4355" s="920"/>
      <c r="M4355" s="920">
        <f t="shared" si="134"/>
        <v>0</v>
      </c>
      <c r="N4355" s="919">
        <v>1</v>
      </c>
      <c r="O4355" s="919">
        <v>3</v>
      </c>
      <c r="P4355" s="921">
        <f t="shared" si="135"/>
        <v>3450</v>
      </c>
    </row>
    <row r="4356" spans="1:16" ht="20.100000000000001" customHeight="1" x14ac:dyDescent="0.25">
      <c r="A4356" s="918" t="s">
        <v>481</v>
      </c>
      <c r="B4356" s="944" t="s">
        <v>3901</v>
      </c>
      <c r="C4356" s="919" t="s">
        <v>3902</v>
      </c>
      <c r="D4356" s="919" t="s">
        <v>4592</v>
      </c>
      <c r="E4356" s="920">
        <v>1150</v>
      </c>
      <c r="F4356" s="919" t="s">
        <v>11576</v>
      </c>
      <c r="G4356" s="919" t="s">
        <v>11577</v>
      </c>
      <c r="H4356" s="919" t="s">
        <v>4592</v>
      </c>
      <c r="I4356" s="919" t="s">
        <v>3686</v>
      </c>
      <c r="J4356" s="919"/>
      <c r="K4356" s="920"/>
      <c r="L4356" s="920"/>
      <c r="M4356" s="920">
        <f t="shared" si="134"/>
        <v>0</v>
      </c>
      <c r="N4356" s="919">
        <v>1</v>
      </c>
      <c r="O4356" s="919">
        <v>4</v>
      </c>
      <c r="P4356" s="921">
        <f t="shared" si="135"/>
        <v>4600</v>
      </c>
    </row>
    <row r="4357" spans="1:16" ht="20.100000000000001" customHeight="1" x14ac:dyDescent="0.25">
      <c r="A4357" s="918" t="s">
        <v>481</v>
      </c>
      <c r="B4357" s="944" t="s">
        <v>3901</v>
      </c>
      <c r="C4357" s="919" t="s">
        <v>3902</v>
      </c>
      <c r="D4357" s="919" t="s">
        <v>4592</v>
      </c>
      <c r="E4357" s="920">
        <v>1150</v>
      </c>
      <c r="F4357" s="919" t="s">
        <v>11578</v>
      </c>
      <c r="G4357" s="919" t="s">
        <v>11579</v>
      </c>
      <c r="H4357" s="919" t="s">
        <v>4592</v>
      </c>
      <c r="I4357" s="919" t="s">
        <v>3686</v>
      </c>
      <c r="J4357" s="919"/>
      <c r="K4357" s="920"/>
      <c r="L4357" s="920"/>
      <c r="M4357" s="920">
        <f t="shared" si="134"/>
        <v>0</v>
      </c>
      <c r="N4357" s="919">
        <v>1</v>
      </c>
      <c r="O4357" s="919">
        <v>3</v>
      </c>
      <c r="P4357" s="921">
        <f t="shared" si="135"/>
        <v>3450</v>
      </c>
    </row>
    <row r="4358" spans="1:16" ht="20.100000000000001" customHeight="1" x14ac:dyDescent="0.25">
      <c r="A4358" s="918" t="s">
        <v>481</v>
      </c>
      <c r="B4358" s="944" t="s">
        <v>3901</v>
      </c>
      <c r="C4358" s="919" t="s">
        <v>3902</v>
      </c>
      <c r="D4358" s="919" t="s">
        <v>4592</v>
      </c>
      <c r="E4358" s="920">
        <v>1150</v>
      </c>
      <c r="F4358" s="919" t="s">
        <v>11580</v>
      </c>
      <c r="G4358" s="919" t="s">
        <v>11581</v>
      </c>
      <c r="H4358" s="919" t="s">
        <v>4592</v>
      </c>
      <c r="I4358" s="919" t="s">
        <v>3686</v>
      </c>
      <c r="J4358" s="919"/>
      <c r="K4358" s="920"/>
      <c r="L4358" s="920"/>
      <c r="M4358" s="920">
        <f t="shared" ref="M4358:M4421" si="136">E4358*L4358</f>
        <v>0</v>
      </c>
      <c r="N4358" s="919">
        <v>1</v>
      </c>
      <c r="O4358" s="919">
        <v>4</v>
      </c>
      <c r="P4358" s="921">
        <f t="shared" ref="P4358:P4421" si="137">E4358*O4358</f>
        <v>4600</v>
      </c>
    </row>
    <row r="4359" spans="1:16" ht="20.100000000000001" customHeight="1" x14ac:dyDescent="0.25">
      <c r="A4359" s="918" t="s">
        <v>481</v>
      </c>
      <c r="B4359" s="944" t="s">
        <v>3901</v>
      </c>
      <c r="C4359" s="919" t="s">
        <v>3902</v>
      </c>
      <c r="D4359" s="919" t="s">
        <v>4109</v>
      </c>
      <c r="E4359" s="920">
        <v>1400</v>
      </c>
      <c r="F4359" s="919" t="s">
        <v>11582</v>
      </c>
      <c r="G4359" s="919" t="s">
        <v>11583</v>
      </c>
      <c r="H4359" s="919" t="s">
        <v>4109</v>
      </c>
      <c r="I4359" s="919" t="s">
        <v>3686</v>
      </c>
      <c r="J4359" s="919"/>
      <c r="K4359" s="920"/>
      <c r="L4359" s="920"/>
      <c r="M4359" s="920">
        <f t="shared" si="136"/>
        <v>0</v>
      </c>
      <c r="N4359" s="919">
        <v>1</v>
      </c>
      <c r="O4359" s="919">
        <v>4</v>
      </c>
      <c r="P4359" s="921">
        <f t="shared" si="137"/>
        <v>5600</v>
      </c>
    </row>
    <row r="4360" spans="1:16" ht="20.100000000000001" customHeight="1" x14ac:dyDescent="0.25">
      <c r="A4360" s="918" t="s">
        <v>481</v>
      </c>
      <c r="B4360" s="944" t="s">
        <v>3901</v>
      </c>
      <c r="C4360" s="919" t="s">
        <v>3902</v>
      </c>
      <c r="D4360" s="919" t="s">
        <v>4109</v>
      </c>
      <c r="E4360" s="920">
        <v>1400</v>
      </c>
      <c r="F4360" s="919" t="s">
        <v>11584</v>
      </c>
      <c r="G4360" s="919" t="s">
        <v>11585</v>
      </c>
      <c r="H4360" s="919" t="s">
        <v>4109</v>
      </c>
      <c r="I4360" s="919" t="s">
        <v>3686</v>
      </c>
      <c r="J4360" s="919"/>
      <c r="K4360" s="920"/>
      <c r="L4360" s="920"/>
      <c r="M4360" s="920">
        <f t="shared" si="136"/>
        <v>0</v>
      </c>
      <c r="N4360" s="919">
        <v>1</v>
      </c>
      <c r="O4360" s="919">
        <v>4</v>
      </c>
      <c r="P4360" s="921">
        <f t="shared" si="137"/>
        <v>5600</v>
      </c>
    </row>
    <row r="4361" spans="1:16" ht="20.100000000000001" customHeight="1" x14ac:dyDescent="0.25">
      <c r="A4361" s="918" t="s">
        <v>481</v>
      </c>
      <c r="B4361" s="944" t="s">
        <v>3901</v>
      </c>
      <c r="C4361" s="919" t="s">
        <v>3902</v>
      </c>
      <c r="D4361" s="919" t="s">
        <v>4109</v>
      </c>
      <c r="E4361" s="920">
        <v>1400</v>
      </c>
      <c r="F4361" s="919" t="s">
        <v>11586</v>
      </c>
      <c r="G4361" s="919" t="s">
        <v>11587</v>
      </c>
      <c r="H4361" s="919" t="s">
        <v>4109</v>
      </c>
      <c r="I4361" s="919" t="s">
        <v>3686</v>
      </c>
      <c r="J4361" s="919"/>
      <c r="K4361" s="920"/>
      <c r="L4361" s="920"/>
      <c r="M4361" s="920">
        <f t="shared" si="136"/>
        <v>0</v>
      </c>
      <c r="N4361" s="919">
        <v>1</v>
      </c>
      <c r="O4361" s="919">
        <v>3</v>
      </c>
      <c r="P4361" s="921">
        <f t="shared" si="137"/>
        <v>4200</v>
      </c>
    </row>
    <row r="4362" spans="1:16" ht="20.100000000000001" customHeight="1" x14ac:dyDescent="0.25">
      <c r="A4362" s="918" t="s">
        <v>481</v>
      </c>
      <c r="B4362" s="944" t="s">
        <v>3901</v>
      </c>
      <c r="C4362" s="919" t="s">
        <v>3902</v>
      </c>
      <c r="D4362" s="919" t="s">
        <v>4109</v>
      </c>
      <c r="E4362" s="920">
        <v>1400</v>
      </c>
      <c r="F4362" s="919" t="s">
        <v>11588</v>
      </c>
      <c r="G4362" s="919" t="s">
        <v>11589</v>
      </c>
      <c r="H4362" s="919" t="s">
        <v>4109</v>
      </c>
      <c r="I4362" s="919" t="s">
        <v>3686</v>
      </c>
      <c r="J4362" s="919"/>
      <c r="K4362" s="920"/>
      <c r="L4362" s="920"/>
      <c r="M4362" s="920">
        <f t="shared" si="136"/>
        <v>0</v>
      </c>
      <c r="N4362" s="919">
        <v>1</v>
      </c>
      <c r="O4362" s="919">
        <v>4</v>
      </c>
      <c r="P4362" s="921">
        <f t="shared" si="137"/>
        <v>5600</v>
      </c>
    </row>
    <row r="4363" spans="1:16" ht="20.100000000000001" customHeight="1" x14ac:dyDescent="0.25">
      <c r="A4363" s="918" t="s">
        <v>481</v>
      </c>
      <c r="B4363" s="944" t="s">
        <v>3901</v>
      </c>
      <c r="C4363" s="919" t="s">
        <v>3902</v>
      </c>
      <c r="D4363" s="919" t="s">
        <v>4109</v>
      </c>
      <c r="E4363" s="920">
        <v>1400</v>
      </c>
      <c r="F4363" s="919" t="s">
        <v>11590</v>
      </c>
      <c r="G4363" s="919" t="s">
        <v>11591</v>
      </c>
      <c r="H4363" s="919" t="s">
        <v>4109</v>
      </c>
      <c r="I4363" s="919" t="s">
        <v>3686</v>
      </c>
      <c r="J4363" s="919"/>
      <c r="K4363" s="920"/>
      <c r="L4363" s="920"/>
      <c r="M4363" s="920">
        <f t="shared" si="136"/>
        <v>0</v>
      </c>
      <c r="N4363" s="919">
        <v>1</v>
      </c>
      <c r="O4363" s="919">
        <v>4</v>
      </c>
      <c r="P4363" s="921">
        <f t="shared" si="137"/>
        <v>5600</v>
      </c>
    </row>
    <row r="4364" spans="1:16" ht="20.100000000000001" customHeight="1" x14ac:dyDescent="0.25">
      <c r="A4364" s="918" t="s">
        <v>481</v>
      </c>
      <c r="B4364" s="944" t="s">
        <v>3901</v>
      </c>
      <c r="C4364" s="919" t="s">
        <v>3902</v>
      </c>
      <c r="D4364" s="919" t="s">
        <v>4109</v>
      </c>
      <c r="E4364" s="920">
        <v>1400</v>
      </c>
      <c r="F4364" s="919" t="s">
        <v>11592</v>
      </c>
      <c r="G4364" s="919" t="s">
        <v>11593</v>
      </c>
      <c r="H4364" s="919" t="s">
        <v>4109</v>
      </c>
      <c r="I4364" s="919" t="s">
        <v>3686</v>
      </c>
      <c r="J4364" s="919"/>
      <c r="K4364" s="920"/>
      <c r="L4364" s="920"/>
      <c r="M4364" s="920">
        <f t="shared" si="136"/>
        <v>0</v>
      </c>
      <c r="N4364" s="919">
        <v>1</v>
      </c>
      <c r="O4364" s="919">
        <v>4</v>
      </c>
      <c r="P4364" s="921">
        <f t="shared" si="137"/>
        <v>5600</v>
      </c>
    </row>
    <row r="4365" spans="1:16" ht="20.100000000000001" customHeight="1" x14ac:dyDescent="0.25">
      <c r="A4365" s="918" t="s">
        <v>481</v>
      </c>
      <c r="B4365" s="944" t="s">
        <v>3901</v>
      </c>
      <c r="C4365" s="919" t="s">
        <v>3902</v>
      </c>
      <c r="D4365" s="919" t="s">
        <v>4657</v>
      </c>
      <c r="E4365" s="920">
        <v>1150</v>
      </c>
      <c r="F4365" s="919" t="s">
        <v>11594</v>
      </c>
      <c r="G4365" s="919" t="s">
        <v>11595</v>
      </c>
      <c r="H4365" s="919" t="s">
        <v>4657</v>
      </c>
      <c r="I4365" s="919" t="s">
        <v>3686</v>
      </c>
      <c r="J4365" s="919"/>
      <c r="K4365" s="920"/>
      <c r="L4365" s="920"/>
      <c r="M4365" s="920">
        <f t="shared" si="136"/>
        <v>0</v>
      </c>
      <c r="N4365" s="919">
        <v>1</v>
      </c>
      <c r="O4365" s="919">
        <v>4</v>
      </c>
      <c r="P4365" s="921">
        <f t="shared" si="137"/>
        <v>4600</v>
      </c>
    </row>
    <row r="4366" spans="1:16" ht="20.100000000000001" customHeight="1" x14ac:dyDescent="0.25">
      <c r="A4366" s="918" t="s">
        <v>481</v>
      </c>
      <c r="B4366" s="944" t="s">
        <v>3901</v>
      </c>
      <c r="C4366" s="919" t="s">
        <v>3902</v>
      </c>
      <c r="D4366" s="919" t="s">
        <v>4502</v>
      </c>
      <c r="E4366" s="920">
        <v>1150</v>
      </c>
      <c r="F4366" s="919" t="s">
        <v>11596</v>
      </c>
      <c r="G4366" s="919" t="s">
        <v>11597</v>
      </c>
      <c r="H4366" s="919" t="s">
        <v>4502</v>
      </c>
      <c r="I4366" s="919" t="s">
        <v>3686</v>
      </c>
      <c r="J4366" s="919"/>
      <c r="K4366" s="920"/>
      <c r="L4366" s="920"/>
      <c r="M4366" s="920">
        <f t="shared" si="136"/>
        <v>0</v>
      </c>
      <c r="N4366" s="919">
        <v>1</v>
      </c>
      <c r="O4366" s="919">
        <v>4</v>
      </c>
      <c r="P4366" s="921">
        <f t="shared" si="137"/>
        <v>4600</v>
      </c>
    </row>
    <row r="4367" spans="1:16" ht="20.100000000000001" customHeight="1" x14ac:dyDescent="0.25">
      <c r="A4367" s="918" t="s">
        <v>481</v>
      </c>
      <c r="B4367" s="944" t="s">
        <v>3901</v>
      </c>
      <c r="C4367" s="919" t="s">
        <v>3902</v>
      </c>
      <c r="D4367" s="919" t="s">
        <v>4502</v>
      </c>
      <c r="E4367" s="920">
        <v>1150</v>
      </c>
      <c r="F4367" s="919" t="s">
        <v>11598</v>
      </c>
      <c r="G4367" s="919" t="s">
        <v>11599</v>
      </c>
      <c r="H4367" s="919" t="s">
        <v>4502</v>
      </c>
      <c r="I4367" s="919" t="s">
        <v>3686</v>
      </c>
      <c r="J4367" s="919"/>
      <c r="K4367" s="920"/>
      <c r="L4367" s="920"/>
      <c r="M4367" s="920">
        <f t="shared" si="136"/>
        <v>0</v>
      </c>
      <c r="N4367" s="919">
        <v>1</v>
      </c>
      <c r="O4367" s="919">
        <v>4</v>
      </c>
      <c r="P4367" s="921">
        <f t="shared" si="137"/>
        <v>4600</v>
      </c>
    </row>
    <row r="4368" spans="1:16" ht="20.100000000000001" customHeight="1" x14ac:dyDescent="0.25">
      <c r="A4368" s="918" t="s">
        <v>481</v>
      </c>
      <c r="B4368" s="944" t="s">
        <v>3901</v>
      </c>
      <c r="C4368" s="919" t="s">
        <v>3902</v>
      </c>
      <c r="D4368" s="919" t="s">
        <v>4502</v>
      </c>
      <c r="E4368" s="920">
        <v>1150</v>
      </c>
      <c r="F4368" s="919" t="s">
        <v>11600</v>
      </c>
      <c r="G4368" s="919" t="s">
        <v>11601</v>
      </c>
      <c r="H4368" s="919" t="s">
        <v>4502</v>
      </c>
      <c r="I4368" s="919" t="s">
        <v>3686</v>
      </c>
      <c r="J4368" s="919"/>
      <c r="K4368" s="920"/>
      <c r="L4368" s="920"/>
      <c r="M4368" s="920">
        <f t="shared" si="136"/>
        <v>0</v>
      </c>
      <c r="N4368" s="919">
        <v>1</v>
      </c>
      <c r="O4368" s="919">
        <v>4</v>
      </c>
      <c r="P4368" s="921">
        <f t="shared" si="137"/>
        <v>4600</v>
      </c>
    </row>
    <row r="4369" spans="1:16" ht="20.100000000000001" customHeight="1" x14ac:dyDescent="0.25">
      <c r="A4369" s="918" t="s">
        <v>481</v>
      </c>
      <c r="B4369" s="944" t="s">
        <v>3901</v>
      </c>
      <c r="C4369" s="919" t="s">
        <v>3902</v>
      </c>
      <c r="D4369" s="919" t="s">
        <v>4502</v>
      </c>
      <c r="E4369" s="920">
        <v>1150</v>
      </c>
      <c r="F4369" s="919" t="s">
        <v>11602</v>
      </c>
      <c r="G4369" s="919" t="s">
        <v>11603</v>
      </c>
      <c r="H4369" s="919" t="s">
        <v>4502</v>
      </c>
      <c r="I4369" s="919" t="s">
        <v>3686</v>
      </c>
      <c r="J4369" s="919"/>
      <c r="K4369" s="920"/>
      <c r="L4369" s="920"/>
      <c r="M4369" s="920">
        <f t="shared" si="136"/>
        <v>0</v>
      </c>
      <c r="N4369" s="919">
        <v>1</v>
      </c>
      <c r="O4369" s="919">
        <v>4</v>
      </c>
      <c r="P4369" s="921">
        <f t="shared" si="137"/>
        <v>4600</v>
      </c>
    </row>
    <row r="4370" spans="1:16" ht="20.100000000000001" customHeight="1" x14ac:dyDescent="0.25">
      <c r="A4370" s="918" t="s">
        <v>481</v>
      </c>
      <c r="B4370" s="944" t="s">
        <v>3901</v>
      </c>
      <c r="C4370" s="919" t="s">
        <v>3902</v>
      </c>
      <c r="D4370" s="919" t="s">
        <v>4502</v>
      </c>
      <c r="E4370" s="920">
        <v>1150</v>
      </c>
      <c r="F4370" s="919" t="s">
        <v>11604</v>
      </c>
      <c r="G4370" s="919" t="s">
        <v>11605</v>
      </c>
      <c r="H4370" s="919" t="s">
        <v>4502</v>
      </c>
      <c r="I4370" s="919" t="s">
        <v>3686</v>
      </c>
      <c r="J4370" s="919"/>
      <c r="K4370" s="920"/>
      <c r="L4370" s="920"/>
      <c r="M4370" s="920">
        <f t="shared" si="136"/>
        <v>0</v>
      </c>
      <c r="N4370" s="919">
        <v>1</v>
      </c>
      <c r="O4370" s="919">
        <v>4</v>
      </c>
      <c r="P4370" s="921">
        <f t="shared" si="137"/>
        <v>4600</v>
      </c>
    </row>
    <row r="4371" spans="1:16" ht="20.100000000000001" customHeight="1" x14ac:dyDescent="0.25">
      <c r="A4371" s="918" t="s">
        <v>481</v>
      </c>
      <c r="B4371" s="944" t="s">
        <v>3901</v>
      </c>
      <c r="C4371" s="919" t="s">
        <v>3902</v>
      </c>
      <c r="D4371" s="919" t="s">
        <v>4502</v>
      </c>
      <c r="E4371" s="920">
        <v>1150</v>
      </c>
      <c r="F4371" s="919" t="s">
        <v>11606</v>
      </c>
      <c r="G4371" s="919" t="s">
        <v>11607</v>
      </c>
      <c r="H4371" s="919" t="s">
        <v>4502</v>
      </c>
      <c r="I4371" s="919" t="s">
        <v>3686</v>
      </c>
      <c r="J4371" s="919"/>
      <c r="K4371" s="920"/>
      <c r="L4371" s="920"/>
      <c r="M4371" s="920">
        <f t="shared" si="136"/>
        <v>0</v>
      </c>
      <c r="N4371" s="919">
        <v>1</v>
      </c>
      <c r="O4371" s="919">
        <v>4</v>
      </c>
      <c r="P4371" s="921">
        <f t="shared" si="137"/>
        <v>4600</v>
      </c>
    </row>
    <row r="4372" spans="1:16" ht="20.100000000000001" customHeight="1" x14ac:dyDescent="0.25">
      <c r="A4372" s="918" t="s">
        <v>481</v>
      </c>
      <c r="B4372" s="944" t="s">
        <v>3901</v>
      </c>
      <c r="C4372" s="919" t="s">
        <v>3902</v>
      </c>
      <c r="D4372" s="919" t="s">
        <v>4502</v>
      </c>
      <c r="E4372" s="920">
        <v>1150</v>
      </c>
      <c r="F4372" s="919" t="s">
        <v>11608</v>
      </c>
      <c r="G4372" s="919" t="s">
        <v>11609</v>
      </c>
      <c r="H4372" s="919" t="s">
        <v>4502</v>
      </c>
      <c r="I4372" s="919" t="s">
        <v>3686</v>
      </c>
      <c r="J4372" s="919"/>
      <c r="K4372" s="920"/>
      <c r="L4372" s="920"/>
      <c r="M4372" s="920">
        <f t="shared" si="136"/>
        <v>0</v>
      </c>
      <c r="N4372" s="919">
        <v>1</v>
      </c>
      <c r="O4372" s="919">
        <v>4</v>
      </c>
      <c r="P4372" s="921">
        <f t="shared" si="137"/>
        <v>4600</v>
      </c>
    </row>
    <row r="4373" spans="1:16" ht="20.100000000000001" customHeight="1" x14ac:dyDescent="0.25">
      <c r="A4373" s="918" t="s">
        <v>481</v>
      </c>
      <c r="B4373" s="944" t="s">
        <v>3901</v>
      </c>
      <c r="C4373" s="919" t="s">
        <v>3902</v>
      </c>
      <c r="D4373" s="919" t="s">
        <v>4502</v>
      </c>
      <c r="E4373" s="920">
        <v>1150</v>
      </c>
      <c r="F4373" s="919" t="s">
        <v>11610</v>
      </c>
      <c r="G4373" s="919" t="s">
        <v>11611</v>
      </c>
      <c r="H4373" s="919" t="s">
        <v>4502</v>
      </c>
      <c r="I4373" s="919" t="s">
        <v>3686</v>
      </c>
      <c r="J4373" s="919"/>
      <c r="K4373" s="920"/>
      <c r="L4373" s="920"/>
      <c r="M4373" s="920">
        <f t="shared" si="136"/>
        <v>0</v>
      </c>
      <c r="N4373" s="919">
        <v>1</v>
      </c>
      <c r="O4373" s="919">
        <v>4</v>
      </c>
      <c r="P4373" s="921">
        <f t="shared" si="137"/>
        <v>4600</v>
      </c>
    </row>
    <row r="4374" spans="1:16" ht="20.100000000000001" customHeight="1" x14ac:dyDescent="0.25">
      <c r="A4374" s="918" t="s">
        <v>481</v>
      </c>
      <c r="B4374" s="944" t="s">
        <v>3901</v>
      </c>
      <c r="C4374" s="919" t="s">
        <v>3902</v>
      </c>
      <c r="D4374" s="919" t="s">
        <v>4502</v>
      </c>
      <c r="E4374" s="920">
        <v>1150</v>
      </c>
      <c r="F4374" s="919" t="s">
        <v>11612</v>
      </c>
      <c r="G4374" s="919" t="s">
        <v>11613</v>
      </c>
      <c r="H4374" s="919" t="s">
        <v>4502</v>
      </c>
      <c r="I4374" s="919" t="s">
        <v>3686</v>
      </c>
      <c r="J4374" s="919"/>
      <c r="K4374" s="920"/>
      <c r="L4374" s="920"/>
      <c r="M4374" s="920">
        <f t="shared" si="136"/>
        <v>0</v>
      </c>
      <c r="N4374" s="919">
        <v>1</v>
      </c>
      <c r="O4374" s="919">
        <v>4</v>
      </c>
      <c r="P4374" s="921">
        <f t="shared" si="137"/>
        <v>4600</v>
      </c>
    </row>
    <row r="4375" spans="1:16" ht="20.100000000000001" customHeight="1" x14ac:dyDescent="0.25">
      <c r="A4375" s="918" t="s">
        <v>481</v>
      </c>
      <c r="B4375" s="944" t="s">
        <v>3901</v>
      </c>
      <c r="C4375" s="919" t="s">
        <v>3902</v>
      </c>
      <c r="D4375" s="919" t="s">
        <v>4502</v>
      </c>
      <c r="E4375" s="920">
        <v>1150</v>
      </c>
      <c r="F4375" s="919" t="s">
        <v>11614</v>
      </c>
      <c r="G4375" s="919" t="s">
        <v>11615</v>
      </c>
      <c r="H4375" s="919" t="s">
        <v>4502</v>
      </c>
      <c r="I4375" s="919" t="s">
        <v>3686</v>
      </c>
      <c r="J4375" s="919"/>
      <c r="K4375" s="920"/>
      <c r="L4375" s="920"/>
      <c r="M4375" s="920">
        <f t="shared" si="136"/>
        <v>0</v>
      </c>
      <c r="N4375" s="919">
        <v>1</v>
      </c>
      <c r="O4375" s="919">
        <v>4</v>
      </c>
      <c r="P4375" s="921">
        <f t="shared" si="137"/>
        <v>4600</v>
      </c>
    </row>
    <row r="4376" spans="1:16" ht="20.100000000000001" customHeight="1" x14ac:dyDescent="0.25">
      <c r="A4376" s="918" t="s">
        <v>481</v>
      </c>
      <c r="B4376" s="944" t="s">
        <v>3901</v>
      </c>
      <c r="C4376" s="919" t="s">
        <v>3902</v>
      </c>
      <c r="D4376" s="919" t="s">
        <v>4502</v>
      </c>
      <c r="E4376" s="920">
        <v>1150</v>
      </c>
      <c r="F4376" s="919" t="s">
        <v>11616</v>
      </c>
      <c r="G4376" s="919" t="s">
        <v>11617</v>
      </c>
      <c r="H4376" s="919" t="s">
        <v>4502</v>
      </c>
      <c r="I4376" s="919" t="s">
        <v>3686</v>
      </c>
      <c r="J4376" s="919"/>
      <c r="K4376" s="920"/>
      <c r="L4376" s="920"/>
      <c r="M4376" s="920">
        <f t="shared" si="136"/>
        <v>0</v>
      </c>
      <c r="N4376" s="919">
        <v>1</v>
      </c>
      <c r="O4376" s="919">
        <v>4</v>
      </c>
      <c r="P4376" s="921">
        <f t="shared" si="137"/>
        <v>4600</v>
      </c>
    </row>
    <row r="4377" spans="1:16" ht="20.100000000000001" customHeight="1" x14ac:dyDescent="0.25">
      <c r="A4377" s="918" t="s">
        <v>481</v>
      </c>
      <c r="B4377" s="944" t="s">
        <v>3901</v>
      </c>
      <c r="C4377" s="919" t="s">
        <v>3902</v>
      </c>
      <c r="D4377" s="919" t="s">
        <v>4502</v>
      </c>
      <c r="E4377" s="920">
        <v>1150</v>
      </c>
      <c r="F4377" s="919" t="s">
        <v>11618</v>
      </c>
      <c r="G4377" s="919" t="s">
        <v>11619</v>
      </c>
      <c r="H4377" s="919" t="s">
        <v>4502</v>
      </c>
      <c r="I4377" s="919" t="s">
        <v>3686</v>
      </c>
      <c r="J4377" s="919"/>
      <c r="K4377" s="920"/>
      <c r="L4377" s="920"/>
      <c r="M4377" s="920">
        <f t="shared" si="136"/>
        <v>0</v>
      </c>
      <c r="N4377" s="919">
        <v>1</v>
      </c>
      <c r="O4377" s="919">
        <v>4</v>
      </c>
      <c r="P4377" s="921">
        <f t="shared" si="137"/>
        <v>4600</v>
      </c>
    </row>
    <row r="4378" spans="1:16" ht="20.100000000000001" customHeight="1" x14ac:dyDescent="0.25">
      <c r="A4378" s="918" t="s">
        <v>481</v>
      </c>
      <c r="B4378" s="944" t="s">
        <v>3901</v>
      </c>
      <c r="C4378" s="919" t="s">
        <v>3902</v>
      </c>
      <c r="D4378" s="919" t="s">
        <v>4502</v>
      </c>
      <c r="E4378" s="920">
        <v>1150</v>
      </c>
      <c r="F4378" s="919" t="s">
        <v>11620</v>
      </c>
      <c r="G4378" s="919" t="s">
        <v>11621</v>
      </c>
      <c r="H4378" s="919" t="s">
        <v>4502</v>
      </c>
      <c r="I4378" s="919" t="s">
        <v>3686</v>
      </c>
      <c r="J4378" s="919"/>
      <c r="K4378" s="920"/>
      <c r="L4378" s="920"/>
      <c r="M4378" s="920">
        <f t="shared" si="136"/>
        <v>0</v>
      </c>
      <c r="N4378" s="919">
        <v>1</v>
      </c>
      <c r="O4378" s="919">
        <v>4</v>
      </c>
      <c r="P4378" s="921">
        <f t="shared" si="137"/>
        <v>4600</v>
      </c>
    </row>
    <row r="4379" spans="1:16" ht="20.100000000000001" customHeight="1" x14ac:dyDescent="0.25">
      <c r="A4379" s="918" t="s">
        <v>481</v>
      </c>
      <c r="B4379" s="944" t="s">
        <v>3901</v>
      </c>
      <c r="C4379" s="919" t="s">
        <v>3902</v>
      </c>
      <c r="D4379" s="919" t="s">
        <v>4502</v>
      </c>
      <c r="E4379" s="920">
        <v>1150</v>
      </c>
      <c r="F4379" s="919" t="s">
        <v>11622</v>
      </c>
      <c r="G4379" s="919" t="s">
        <v>11623</v>
      </c>
      <c r="H4379" s="919" t="s">
        <v>4502</v>
      </c>
      <c r="I4379" s="919" t="s">
        <v>3686</v>
      </c>
      <c r="J4379" s="919"/>
      <c r="K4379" s="920"/>
      <c r="L4379" s="920"/>
      <c r="M4379" s="920">
        <f t="shared" si="136"/>
        <v>0</v>
      </c>
      <c r="N4379" s="919">
        <v>1</v>
      </c>
      <c r="O4379" s="919">
        <v>4</v>
      </c>
      <c r="P4379" s="921">
        <f t="shared" si="137"/>
        <v>4600</v>
      </c>
    </row>
    <row r="4380" spans="1:16" ht="20.100000000000001" customHeight="1" x14ac:dyDescent="0.25">
      <c r="A4380" s="918" t="s">
        <v>481</v>
      </c>
      <c r="B4380" s="944" t="s">
        <v>3901</v>
      </c>
      <c r="C4380" s="919" t="s">
        <v>3902</v>
      </c>
      <c r="D4380" s="919" t="s">
        <v>4502</v>
      </c>
      <c r="E4380" s="920">
        <v>1150</v>
      </c>
      <c r="F4380" s="919" t="s">
        <v>4041</v>
      </c>
      <c r="G4380" s="919" t="s">
        <v>4042</v>
      </c>
      <c r="H4380" s="919" t="s">
        <v>4502</v>
      </c>
      <c r="I4380" s="919" t="s">
        <v>3686</v>
      </c>
      <c r="J4380" s="919"/>
      <c r="K4380" s="920">
        <v>1</v>
      </c>
      <c r="L4380" s="920">
        <v>12</v>
      </c>
      <c r="M4380" s="920">
        <f t="shared" si="136"/>
        <v>13800</v>
      </c>
      <c r="N4380" s="919"/>
      <c r="O4380" s="919"/>
      <c r="P4380" s="921">
        <f t="shared" si="137"/>
        <v>0</v>
      </c>
    </row>
    <row r="4381" spans="1:16" ht="20.100000000000001" customHeight="1" x14ac:dyDescent="0.25">
      <c r="A4381" s="918" t="s">
        <v>481</v>
      </c>
      <c r="B4381" s="944" t="s">
        <v>3901</v>
      </c>
      <c r="C4381" s="919" t="s">
        <v>3902</v>
      </c>
      <c r="D4381" s="919" t="s">
        <v>4502</v>
      </c>
      <c r="E4381" s="920">
        <v>1150</v>
      </c>
      <c r="F4381" s="919" t="s">
        <v>11624</v>
      </c>
      <c r="G4381" s="919" t="s">
        <v>11625</v>
      </c>
      <c r="H4381" s="919" t="s">
        <v>4502</v>
      </c>
      <c r="I4381" s="919" t="s">
        <v>3686</v>
      </c>
      <c r="J4381" s="919"/>
      <c r="K4381" s="920"/>
      <c r="L4381" s="920"/>
      <c r="M4381" s="920">
        <f t="shared" si="136"/>
        <v>0</v>
      </c>
      <c r="N4381" s="919">
        <v>1</v>
      </c>
      <c r="O4381" s="919">
        <v>4</v>
      </c>
      <c r="P4381" s="921">
        <f t="shared" si="137"/>
        <v>4600</v>
      </c>
    </row>
    <row r="4382" spans="1:16" ht="20.100000000000001" customHeight="1" x14ac:dyDescent="0.25">
      <c r="A4382" s="918" t="s">
        <v>481</v>
      </c>
      <c r="B4382" s="944" t="s">
        <v>3901</v>
      </c>
      <c r="C4382" s="919" t="s">
        <v>3902</v>
      </c>
      <c r="D4382" s="919" t="s">
        <v>4502</v>
      </c>
      <c r="E4382" s="920">
        <v>1150</v>
      </c>
      <c r="F4382" s="919" t="s">
        <v>11626</v>
      </c>
      <c r="G4382" s="919" t="s">
        <v>11627</v>
      </c>
      <c r="H4382" s="919" t="s">
        <v>4502</v>
      </c>
      <c r="I4382" s="919" t="s">
        <v>3686</v>
      </c>
      <c r="J4382" s="919"/>
      <c r="K4382" s="920"/>
      <c r="L4382" s="920"/>
      <c r="M4382" s="920">
        <f t="shared" si="136"/>
        <v>0</v>
      </c>
      <c r="N4382" s="919">
        <v>1</v>
      </c>
      <c r="O4382" s="919">
        <v>4</v>
      </c>
      <c r="P4382" s="921">
        <f t="shared" si="137"/>
        <v>4600</v>
      </c>
    </row>
    <row r="4383" spans="1:16" ht="20.100000000000001" customHeight="1" x14ac:dyDescent="0.25">
      <c r="A4383" s="918" t="s">
        <v>481</v>
      </c>
      <c r="B4383" s="944" t="s">
        <v>3901</v>
      </c>
      <c r="C4383" s="919" t="s">
        <v>3902</v>
      </c>
      <c r="D4383" s="919" t="s">
        <v>4502</v>
      </c>
      <c r="E4383" s="920">
        <v>1150</v>
      </c>
      <c r="F4383" s="919" t="s">
        <v>11628</v>
      </c>
      <c r="G4383" s="919" t="s">
        <v>11629</v>
      </c>
      <c r="H4383" s="919" t="s">
        <v>4502</v>
      </c>
      <c r="I4383" s="919" t="s">
        <v>3686</v>
      </c>
      <c r="J4383" s="919"/>
      <c r="K4383" s="920"/>
      <c r="L4383" s="920"/>
      <c r="M4383" s="920">
        <f t="shared" si="136"/>
        <v>0</v>
      </c>
      <c r="N4383" s="919">
        <v>1</v>
      </c>
      <c r="O4383" s="919">
        <v>4</v>
      </c>
      <c r="P4383" s="921">
        <f t="shared" si="137"/>
        <v>4600</v>
      </c>
    </row>
    <row r="4384" spans="1:16" ht="20.100000000000001" customHeight="1" x14ac:dyDescent="0.25">
      <c r="A4384" s="918" t="s">
        <v>481</v>
      </c>
      <c r="B4384" s="944" t="s">
        <v>3901</v>
      </c>
      <c r="C4384" s="919" t="s">
        <v>3902</v>
      </c>
      <c r="D4384" s="919" t="s">
        <v>4502</v>
      </c>
      <c r="E4384" s="920">
        <v>1150</v>
      </c>
      <c r="F4384" s="919" t="s">
        <v>11630</v>
      </c>
      <c r="G4384" s="919" t="s">
        <v>11631</v>
      </c>
      <c r="H4384" s="919" t="s">
        <v>4502</v>
      </c>
      <c r="I4384" s="919" t="s">
        <v>3686</v>
      </c>
      <c r="J4384" s="919"/>
      <c r="K4384" s="920"/>
      <c r="L4384" s="920"/>
      <c r="M4384" s="920">
        <f t="shared" si="136"/>
        <v>0</v>
      </c>
      <c r="N4384" s="919">
        <v>1</v>
      </c>
      <c r="O4384" s="919">
        <v>4</v>
      </c>
      <c r="P4384" s="921">
        <f t="shared" si="137"/>
        <v>4600</v>
      </c>
    </row>
    <row r="4385" spans="1:16" ht="20.100000000000001" customHeight="1" x14ac:dyDescent="0.25">
      <c r="A4385" s="918" t="s">
        <v>481</v>
      </c>
      <c r="B4385" s="944" t="s">
        <v>3901</v>
      </c>
      <c r="C4385" s="919" t="s">
        <v>3902</v>
      </c>
      <c r="D4385" s="919" t="s">
        <v>4502</v>
      </c>
      <c r="E4385" s="920">
        <v>1150</v>
      </c>
      <c r="F4385" s="919" t="s">
        <v>11632</v>
      </c>
      <c r="G4385" s="919" t="s">
        <v>11633</v>
      </c>
      <c r="H4385" s="919" t="s">
        <v>4502</v>
      </c>
      <c r="I4385" s="919" t="s">
        <v>3686</v>
      </c>
      <c r="J4385" s="919"/>
      <c r="K4385" s="920"/>
      <c r="L4385" s="920"/>
      <c r="M4385" s="920">
        <f t="shared" si="136"/>
        <v>0</v>
      </c>
      <c r="N4385" s="919">
        <v>1</v>
      </c>
      <c r="O4385" s="919">
        <v>4</v>
      </c>
      <c r="P4385" s="921">
        <f t="shared" si="137"/>
        <v>4600</v>
      </c>
    </row>
    <row r="4386" spans="1:16" ht="20.100000000000001" customHeight="1" x14ac:dyDescent="0.25">
      <c r="A4386" s="918" t="s">
        <v>481</v>
      </c>
      <c r="B4386" s="944" t="s">
        <v>3901</v>
      </c>
      <c r="C4386" s="919" t="s">
        <v>3902</v>
      </c>
      <c r="D4386" s="919" t="s">
        <v>4502</v>
      </c>
      <c r="E4386" s="920">
        <v>1150</v>
      </c>
      <c r="F4386" s="919" t="s">
        <v>11634</v>
      </c>
      <c r="G4386" s="919" t="s">
        <v>11635</v>
      </c>
      <c r="H4386" s="919" t="s">
        <v>4502</v>
      </c>
      <c r="I4386" s="919" t="s">
        <v>3686</v>
      </c>
      <c r="J4386" s="919"/>
      <c r="K4386" s="920"/>
      <c r="L4386" s="920"/>
      <c r="M4386" s="920">
        <f t="shared" si="136"/>
        <v>0</v>
      </c>
      <c r="N4386" s="919">
        <v>1</v>
      </c>
      <c r="O4386" s="919">
        <v>4</v>
      </c>
      <c r="P4386" s="921">
        <f t="shared" si="137"/>
        <v>4600</v>
      </c>
    </row>
    <row r="4387" spans="1:16" ht="20.100000000000001" customHeight="1" x14ac:dyDescent="0.25">
      <c r="A4387" s="918" t="s">
        <v>481</v>
      </c>
      <c r="B4387" s="944" t="s">
        <v>3901</v>
      </c>
      <c r="C4387" s="919" t="s">
        <v>3902</v>
      </c>
      <c r="D4387" s="919" t="s">
        <v>4502</v>
      </c>
      <c r="E4387" s="920">
        <v>1150</v>
      </c>
      <c r="F4387" s="919" t="s">
        <v>11636</v>
      </c>
      <c r="G4387" s="919" t="s">
        <v>11637</v>
      </c>
      <c r="H4387" s="919" t="s">
        <v>4502</v>
      </c>
      <c r="I4387" s="919" t="s">
        <v>3686</v>
      </c>
      <c r="J4387" s="919"/>
      <c r="K4387" s="920"/>
      <c r="L4387" s="920"/>
      <c r="M4387" s="920">
        <f t="shared" si="136"/>
        <v>0</v>
      </c>
      <c r="N4387" s="919">
        <v>1</v>
      </c>
      <c r="O4387" s="919">
        <v>4</v>
      </c>
      <c r="P4387" s="921">
        <f t="shared" si="137"/>
        <v>4600</v>
      </c>
    </row>
    <row r="4388" spans="1:16" ht="20.100000000000001" customHeight="1" x14ac:dyDescent="0.25">
      <c r="A4388" s="918" t="s">
        <v>481</v>
      </c>
      <c r="B4388" s="944" t="s">
        <v>3901</v>
      </c>
      <c r="C4388" s="919" t="s">
        <v>3902</v>
      </c>
      <c r="D4388" s="919" t="s">
        <v>4502</v>
      </c>
      <c r="E4388" s="920">
        <v>1150</v>
      </c>
      <c r="F4388" s="919" t="s">
        <v>11638</v>
      </c>
      <c r="G4388" s="919" t="s">
        <v>11639</v>
      </c>
      <c r="H4388" s="919" t="s">
        <v>4502</v>
      </c>
      <c r="I4388" s="919" t="s">
        <v>3686</v>
      </c>
      <c r="J4388" s="919"/>
      <c r="K4388" s="920"/>
      <c r="L4388" s="920"/>
      <c r="M4388" s="920">
        <f t="shared" si="136"/>
        <v>0</v>
      </c>
      <c r="N4388" s="919">
        <v>1</v>
      </c>
      <c r="O4388" s="919">
        <v>4</v>
      </c>
      <c r="P4388" s="921">
        <f t="shared" si="137"/>
        <v>4600</v>
      </c>
    </row>
    <row r="4389" spans="1:16" ht="20.100000000000001" customHeight="1" x14ac:dyDescent="0.25">
      <c r="A4389" s="918" t="s">
        <v>481</v>
      </c>
      <c r="B4389" s="944" t="s">
        <v>3901</v>
      </c>
      <c r="C4389" s="919" t="s">
        <v>3902</v>
      </c>
      <c r="D4389" s="919" t="s">
        <v>4502</v>
      </c>
      <c r="E4389" s="920">
        <v>1150</v>
      </c>
      <c r="F4389" s="919" t="s">
        <v>11640</v>
      </c>
      <c r="G4389" s="919" t="s">
        <v>11641</v>
      </c>
      <c r="H4389" s="919" t="s">
        <v>4502</v>
      </c>
      <c r="I4389" s="919" t="s">
        <v>3686</v>
      </c>
      <c r="J4389" s="919"/>
      <c r="K4389" s="920"/>
      <c r="L4389" s="920"/>
      <c r="M4389" s="920">
        <f t="shared" si="136"/>
        <v>0</v>
      </c>
      <c r="N4389" s="919">
        <v>1</v>
      </c>
      <c r="O4389" s="919">
        <v>4</v>
      </c>
      <c r="P4389" s="921">
        <f t="shared" si="137"/>
        <v>4600</v>
      </c>
    </row>
    <row r="4390" spans="1:16" ht="20.100000000000001" customHeight="1" x14ac:dyDescent="0.25">
      <c r="A4390" s="918" t="s">
        <v>481</v>
      </c>
      <c r="B4390" s="944" t="s">
        <v>3901</v>
      </c>
      <c r="C4390" s="919" t="s">
        <v>3902</v>
      </c>
      <c r="D4390" s="919" t="s">
        <v>4502</v>
      </c>
      <c r="E4390" s="920">
        <v>1150</v>
      </c>
      <c r="F4390" s="919" t="s">
        <v>11642</v>
      </c>
      <c r="G4390" s="919" t="s">
        <v>11643</v>
      </c>
      <c r="H4390" s="919" t="s">
        <v>4502</v>
      </c>
      <c r="I4390" s="919" t="s">
        <v>3686</v>
      </c>
      <c r="J4390" s="919"/>
      <c r="K4390" s="920"/>
      <c r="L4390" s="920"/>
      <c r="M4390" s="920">
        <f t="shared" si="136"/>
        <v>0</v>
      </c>
      <c r="N4390" s="919">
        <v>1</v>
      </c>
      <c r="O4390" s="919">
        <v>4</v>
      </c>
      <c r="P4390" s="921">
        <f t="shared" si="137"/>
        <v>4600</v>
      </c>
    </row>
    <row r="4391" spans="1:16" ht="20.100000000000001" customHeight="1" x14ac:dyDescent="0.25">
      <c r="A4391" s="918" t="s">
        <v>481</v>
      </c>
      <c r="B4391" s="944" t="s">
        <v>3901</v>
      </c>
      <c r="C4391" s="919" t="s">
        <v>3902</v>
      </c>
      <c r="D4391" s="919" t="s">
        <v>4502</v>
      </c>
      <c r="E4391" s="920">
        <v>1150</v>
      </c>
      <c r="F4391" s="919" t="s">
        <v>11644</v>
      </c>
      <c r="G4391" s="919" t="s">
        <v>11645</v>
      </c>
      <c r="H4391" s="919" t="s">
        <v>4502</v>
      </c>
      <c r="I4391" s="919" t="s">
        <v>3686</v>
      </c>
      <c r="J4391" s="919"/>
      <c r="K4391" s="920"/>
      <c r="L4391" s="920"/>
      <c r="M4391" s="920">
        <f t="shared" si="136"/>
        <v>0</v>
      </c>
      <c r="N4391" s="919">
        <v>1</v>
      </c>
      <c r="O4391" s="919">
        <v>4</v>
      </c>
      <c r="P4391" s="921">
        <f t="shared" si="137"/>
        <v>4600</v>
      </c>
    </row>
    <row r="4392" spans="1:16" ht="20.100000000000001" customHeight="1" x14ac:dyDescent="0.25">
      <c r="A4392" s="918" t="s">
        <v>481</v>
      </c>
      <c r="B4392" s="944" t="s">
        <v>3901</v>
      </c>
      <c r="C4392" s="919" t="s">
        <v>3902</v>
      </c>
      <c r="D4392" s="919" t="s">
        <v>4502</v>
      </c>
      <c r="E4392" s="920">
        <v>1150</v>
      </c>
      <c r="F4392" s="919" t="s">
        <v>11646</v>
      </c>
      <c r="G4392" s="919" t="s">
        <v>11647</v>
      </c>
      <c r="H4392" s="919" t="s">
        <v>4502</v>
      </c>
      <c r="I4392" s="919" t="s">
        <v>3686</v>
      </c>
      <c r="J4392" s="919"/>
      <c r="K4392" s="920"/>
      <c r="L4392" s="920"/>
      <c r="M4392" s="920">
        <f t="shared" si="136"/>
        <v>0</v>
      </c>
      <c r="N4392" s="919">
        <v>1</v>
      </c>
      <c r="O4392" s="919">
        <v>4</v>
      </c>
      <c r="P4392" s="921">
        <f t="shared" si="137"/>
        <v>4600</v>
      </c>
    </row>
    <row r="4393" spans="1:16" ht="20.100000000000001" customHeight="1" x14ac:dyDescent="0.25">
      <c r="A4393" s="918" t="s">
        <v>481</v>
      </c>
      <c r="B4393" s="944" t="s">
        <v>3901</v>
      </c>
      <c r="C4393" s="919" t="s">
        <v>3902</v>
      </c>
      <c r="D4393" s="919" t="s">
        <v>4502</v>
      </c>
      <c r="E4393" s="920">
        <v>1150</v>
      </c>
      <c r="F4393" s="919" t="s">
        <v>11648</v>
      </c>
      <c r="G4393" s="919" t="s">
        <v>11649</v>
      </c>
      <c r="H4393" s="919" t="s">
        <v>4502</v>
      </c>
      <c r="I4393" s="919" t="s">
        <v>3686</v>
      </c>
      <c r="J4393" s="919"/>
      <c r="K4393" s="920"/>
      <c r="L4393" s="920"/>
      <c r="M4393" s="920">
        <f t="shared" si="136"/>
        <v>0</v>
      </c>
      <c r="N4393" s="919">
        <v>1</v>
      </c>
      <c r="O4393" s="919">
        <v>4</v>
      </c>
      <c r="P4393" s="921">
        <f t="shared" si="137"/>
        <v>4600</v>
      </c>
    </row>
    <row r="4394" spans="1:16" ht="20.100000000000001" customHeight="1" x14ac:dyDescent="0.25">
      <c r="A4394" s="918" t="s">
        <v>481</v>
      </c>
      <c r="B4394" s="944" t="s">
        <v>3901</v>
      </c>
      <c r="C4394" s="919" t="s">
        <v>3902</v>
      </c>
      <c r="D4394" s="919" t="s">
        <v>4502</v>
      </c>
      <c r="E4394" s="920">
        <v>1150</v>
      </c>
      <c r="F4394" s="919" t="s">
        <v>11650</v>
      </c>
      <c r="G4394" s="919" t="s">
        <v>11651</v>
      </c>
      <c r="H4394" s="919" t="s">
        <v>4502</v>
      </c>
      <c r="I4394" s="919" t="s">
        <v>3686</v>
      </c>
      <c r="J4394" s="919"/>
      <c r="K4394" s="920"/>
      <c r="L4394" s="920"/>
      <c r="M4394" s="920">
        <f t="shared" si="136"/>
        <v>0</v>
      </c>
      <c r="N4394" s="919">
        <v>1</v>
      </c>
      <c r="O4394" s="919">
        <v>4</v>
      </c>
      <c r="P4394" s="921">
        <f t="shared" si="137"/>
        <v>4600</v>
      </c>
    </row>
    <row r="4395" spans="1:16" ht="20.100000000000001" customHeight="1" x14ac:dyDescent="0.25">
      <c r="A4395" s="918" t="s">
        <v>481</v>
      </c>
      <c r="B4395" s="944" t="s">
        <v>3901</v>
      </c>
      <c r="C4395" s="919" t="s">
        <v>3902</v>
      </c>
      <c r="D4395" s="919" t="s">
        <v>4502</v>
      </c>
      <c r="E4395" s="920">
        <v>1150</v>
      </c>
      <c r="F4395" s="919" t="s">
        <v>11652</v>
      </c>
      <c r="G4395" s="919" t="s">
        <v>11653</v>
      </c>
      <c r="H4395" s="919" t="s">
        <v>4502</v>
      </c>
      <c r="I4395" s="919" t="s">
        <v>3686</v>
      </c>
      <c r="J4395" s="919"/>
      <c r="K4395" s="920"/>
      <c r="L4395" s="920"/>
      <c r="M4395" s="920">
        <f t="shared" si="136"/>
        <v>0</v>
      </c>
      <c r="N4395" s="919">
        <v>1</v>
      </c>
      <c r="O4395" s="919">
        <v>4</v>
      </c>
      <c r="P4395" s="921">
        <f t="shared" si="137"/>
        <v>4600</v>
      </c>
    </row>
    <row r="4396" spans="1:16" ht="20.100000000000001" customHeight="1" x14ac:dyDescent="0.25">
      <c r="A4396" s="918" t="s">
        <v>481</v>
      </c>
      <c r="B4396" s="944" t="s">
        <v>3901</v>
      </c>
      <c r="C4396" s="919" t="s">
        <v>3902</v>
      </c>
      <c r="D4396" s="919" t="s">
        <v>4502</v>
      </c>
      <c r="E4396" s="920">
        <v>1150</v>
      </c>
      <c r="F4396" s="919" t="s">
        <v>11654</v>
      </c>
      <c r="G4396" s="919" t="s">
        <v>11655</v>
      </c>
      <c r="H4396" s="919" t="s">
        <v>4502</v>
      </c>
      <c r="I4396" s="919" t="s">
        <v>3686</v>
      </c>
      <c r="J4396" s="919"/>
      <c r="K4396" s="920"/>
      <c r="L4396" s="920"/>
      <c r="M4396" s="920">
        <f t="shared" si="136"/>
        <v>0</v>
      </c>
      <c r="N4396" s="919">
        <v>1</v>
      </c>
      <c r="O4396" s="919">
        <v>4</v>
      </c>
      <c r="P4396" s="921">
        <f t="shared" si="137"/>
        <v>4600</v>
      </c>
    </row>
    <row r="4397" spans="1:16" ht="20.100000000000001" customHeight="1" x14ac:dyDescent="0.25">
      <c r="A4397" s="918" t="s">
        <v>481</v>
      </c>
      <c r="B4397" s="944" t="s">
        <v>3901</v>
      </c>
      <c r="C4397" s="919" t="s">
        <v>3902</v>
      </c>
      <c r="D4397" s="919" t="s">
        <v>4502</v>
      </c>
      <c r="E4397" s="920">
        <v>1150</v>
      </c>
      <c r="F4397" s="919" t="s">
        <v>11656</v>
      </c>
      <c r="G4397" s="919" t="s">
        <v>11657</v>
      </c>
      <c r="H4397" s="919" t="s">
        <v>4502</v>
      </c>
      <c r="I4397" s="919" t="s">
        <v>3686</v>
      </c>
      <c r="J4397" s="919"/>
      <c r="K4397" s="920"/>
      <c r="L4397" s="920"/>
      <c r="M4397" s="920">
        <f t="shared" si="136"/>
        <v>0</v>
      </c>
      <c r="N4397" s="919">
        <v>1</v>
      </c>
      <c r="O4397" s="919">
        <v>4</v>
      </c>
      <c r="P4397" s="921">
        <f t="shared" si="137"/>
        <v>4600</v>
      </c>
    </row>
    <row r="4398" spans="1:16" ht="20.100000000000001" customHeight="1" x14ac:dyDescent="0.25">
      <c r="A4398" s="918" t="s">
        <v>481</v>
      </c>
      <c r="B4398" s="944" t="s">
        <v>3901</v>
      </c>
      <c r="C4398" s="919" t="s">
        <v>3902</v>
      </c>
      <c r="D4398" s="919" t="s">
        <v>4502</v>
      </c>
      <c r="E4398" s="920">
        <v>1150</v>
      </c>
      <c r="F4398" s="919" t="s">
        <v>11658</v>
      </c>
      <c r="G4398" s="919" t="s">
        <v>11659</v>
      </c>
      <c r="H4398" s="919" t="s">
        <v>4502</v>
      </c>
      <c r="I4398" s="919" t="s">
        <v>3686</v>
      </c>
      <c r="J4398" s="919"/>
      <c r="K4398" s="920"/>
      <c r="L4398" s="920"/>
      <c r="M4398" s="920">
        <f t="shared" si="136"/>
        <v>0</v>
      </c>
      <c r="N4398" s="919">
        <v>1</v>
      </c>
      <c r="O4398" s="919">
        <v>4</v>
      </c>
      <c r="P4398" s="921">
        <f t="shared" si="137"/>
        <v>4600</v>
      </c>
    </row>
    <row r="4399" spans="1:16" ht="20.100000000000001" customHeight="1" x14ac:dyDescent="0.25">
      <c r="A4399" s="918" t="s">
        <v>481</v>
      </c>
      <c r="B4399" s="944" t="s">
        <v>3901</v>
      </c>
      <c r="C4399" s="919" t="s">
        <v>3902</v>
      </c>
      <c r="D4399" s="919" t="s">
        <v>4774</v>
      </c>
      <c r="E4399" s="920">
        <v>2000</v>
      </c>
      <c r="F4399" s="919" t="s">
        <v>11660</v>
      </c>
      <c r="G4399" s="919" t="s">
        <v>11661</v>
      </c>
      <c r="H4399" s="919" t="s">
        <v>4774</v>
      </c>
      <c r="I4399" s="919" t="s">
        <v>3679</v>
      </c>
      <c r="J4399" s="919"/>
      <c r="K4399" s="920"/>
      <c r="L4399" s="920"/>
      <c r="M4399" s="920">
        <f t="shared" si="136"/>
        <v>0</v>
      </c>
      <c r="N4399" s="919">
        <v>1</v>
      </c>
      <c r="O4399" s="919">
        <v>4</v>
      </c>
      <c r="P4399" s="921">
        <f t="shared" si="137"/>
        <v>8000</v>
      </c>
    </row>
    <row r="4400" spans="1:16" ht="20.100000000000001" customHeight="1" x14ac:dyDescent="0.25">
      <c r="A4400" s="918" t="s">
        <v>481</v>
      </c>
      <c r="B4400" s="944" t="s">
        <v>3901</v>
      </c>
      <c r="C4400" s="919" t="s">
        <v>3902</v>
      </c>
      <c r="D4400" s="919" t="s">
        <v>4774</v>
      </c>
      <c r="E4400" s="920">
        <v>2000</v>
      </c>
      <c r="F4400" s="919" t="s">
        <v>11662</v>
      </c>
      <c r="G4400" s="919" t="s">
        <v>11663</v>
      </c>
      <c r="H4400" s="919" t="s">
        <v>4774</v>
      </c>
      <c r="I4400" s="919" t="s">
        <v>3679</v>
      </c>
      <c r="J4400" s="919"/>
      <c r="K4400" s="920"/>
      <c r="L4400" s="920"/>
      <c r="M4400" s="920">
        <f t="shared" si="136"/>
        <v>0</v>
      </c>
      <c r="N4400" s="919">
        <v>1</v>
      </c>
      <c r="O4400" s="919">
        <v>4</v>
      </c>
      <c r="P4400" s="921">
        <f t="shared" si="137"/>
        <v>8000</v>
      </c>
    </row>
    <row r="4401" spans="1:16" ht="20.100000000000001" customHeight="1" x14ac:dyDescent="0.25">
      <c r="A4401" s="918" t="s">
        <v>481</v>
      </c>
      <c r="B4401" s="944" t="s">
        <v>3901</v>
      </c>
      <c r="C4401" s="919" t="s">
        <v>3902</v>
      </c>
      <c r="D4401" s="919" t="s">
        <v>4774</v>
      </c>
      <c r="E4401" s="920">
        <v>2000</v>
      </c>
      <c r="F4401" s="919" t="s">
        <v>11664</v>
      </c>
      <c r="G4401" s="919" t="s">
        <v>11665</v>
      </c>
      <c r="H4401" s="919" t="s">
        <v>4774</v>
      </c>
      <c r="I4401" s="919" t="s">
        <v>3679</v>
      </c>
      <c r="J4401" s="919"/>
      <c r="K4401" s="920"/>
      <c r="L4401" s="920"/>
      <c r="M4401" s="920">
        <f t="shared" si="136"/>
        <v>0</v>
      </c>
      <c r="N4401" s="919">
        <v>1</v>
      </c>
      <c r="O4401" s="919">
        <v>4</v>
      </c>
      <c r="P4401" s="921">
        <f t="shared" si="137"/>
        <v>8000</v>
      </c>
    </row>
    <row r="4402" spans="1:16" ht="20.100000000000001" customHeight="1" x14ac:dyDescent="0.25">
      <c r="A4402" s="918" t="s">
        <v>481</v>
      </c>
      <c r="B4402" s="944" t="s">
        <v>3901</v>
      </c>
      <c r="C4402" s="919" t="s">
        <v>3902</v>
      </c>
      <c r="D4402" s="919" t="s">
        <v>4774</v>
      </c>
      <c r="E4402" s="920">
        <v>2000</v>
      </c>
      <c r="F4402" s="919" t="s">
        <v>11666</v>
      </c>
      <c r="G4402" s="919" t="s">
        <v>11667</v>
      </c>
      <c r="H4402" s="919" t="s">
        <v>4774</v>
      </c>
      <c r="I4402" s="919" t="s">
        <v>3679</v>
      </c>
      <c r="J4402" s="919"/>
      <c r="K4402" s="920"/>
      <c r="L4402" s="920"/>
      <c r="M4402" s="920">
        <f t="shared" si="136"/>
        <v>0</v>
      </c>
      <c r="N4402" s="919">
        <v>1</v>
      </c>
      <c r="O4402" s="919">
        <v>4</v>
      </c>
      <c r="P4402" s="921">
        <f t="shared" si="137"/>
        <v>8000</v>
      </c>
    </row>
    <row r="4403" spans="1:16" ht="20.100000000000001" customHeight="1" x14ac:dyDescent="0.25">
      <c r="A4403" s="918" t="s">
        <v>481</v>
      </c>
      <c r="B4403" s="944" t="s">
        <v>3901</v>
      </c>
      <c r="C4403" s="919" t="s">
        <v>3902</v>
      </c>
      <c r="D4403" s="919" t="s">
        <v>4777</v>
      </c>
      <c r="E4403" s="920">
        <v>2000</v>
      </c>
      <c r="F4403" s="919" t="s">
        <v>11668</v>
      </c>
      <c r="G4403" s="919" t="s">
        <v>11669</v>
      </c>
      <c r="H4403" s="919" t="s">
        <v>4777</v>
      </c>
      <c r="I4403" s="919" t="s">
        <v>3679</v>
      </c>
      <c r="J4403" s="919"/>
      <c r="K4403" s="920"/>
      <c r="L4403" s="920"/>
      <c r="M4403" s="920">
        <f t="shared" si="136"/>
        <v>0</v>
      </c>
      <c r="N4403" s="919">
        <v>1</v>
      </c>
      <c r="O4403" s="919">
        <v>4</v>
      </c>
      <c r="P4403" s="921">
        <f t="shared" si="137"/>
        <v>8000</v>
      </c>
    </row>
    <row r="4404" spans="1:16" ht="20.100000000000001" customHeight="1" x14ac:dyDescent="0.25">
      <c r="A4404" s="918" t="s">
        <v>481</v>
      </c>
      <c r="B4404" s="944" t="s">
        <v>3901</v>
      </c>
      <c r="C4404" s="919" t="s">
        <v>3902</v>
      </c>
      <c r="D4404" s="919" t="s">
        <v>4774</v>
      </c>
      <c r="E4404" s="920">
        <v>2000</v>
      </c>
      <c r="F4404" s="919" t="s">
        <v>11670</v>
      </c>
      <c r="G4404" s="919" t="s">
        <v>11671</v>
      </c>
      <c r="H4404" s="919" t="s">
        <v>4774</v>
      </c>
      <c r="I4404" s="919" t="s">
        <v>3679</v>
      </c>
      <c r="J4404" s="919"/>
      <c r="K4404" s="920"/>
      <c r="L4404" s="920"/>
      <c r="M4404" s="920">
        <f t="shared" si="136"/>
        <v>0</v>
      </c>
      <c r="N4404" s="919">
        <v>1</v>
      </c>
      <c r="O4404" s="919">
        <v>4</v>
      </c>
      <c r="P4404" s="921">
        <f t="shared" si="137"/>
        <v>8000</v>
      </c>
    </row>
    <row r="4405" spans="1:16" ht="20.100000000000001" customHeight="1" x14ac:dyDescent="0.25">
      <c r="A4405" s="918" t="s">
        <v>481</v>
      </c>
      <c r="B4405" s="944" t="s">
        <v>3901</v>
      </c>
      <c r="C4405" s="919" t="s">
        <v>3902</v>
      </c>
      <c r="D4405" s="919" t="s">
        <v>4777</v>
      </c>
      <c r="E4405" s="920">
        <v>2000</v>
      </c>
      <c r="F4405" s="919" t="s">
        <v>11672</v>
      </c>
      <c r="G4405" s="919" t="s">
        <v>11673</v>
      </c>
      <c r="H4405" s="919" t="s">
        <v>4777</v>
      </c>
      <c r="I4405" s="919" t="s">
        <v>3679</v>
      </c>
      <c r="J4405" s="919"/>
      <c r="K4405" s="920"/>
      <c r="L4405" s="920"/>
      <c r="M4405" s="920">
        <f t="shared" si="136"/>
        <v>0</v>
      </c>
      <c r="N4405" s="919">
        <v>1</v>
      </c>
      <c r="O4405" s="919">
        <v>4</v>
      </c>
      <c r="P4405" s="921">
        <f t="shared" si="137"/>
        <v>8000</v>
      </c>
    </row>
    <row r="4406" spans="1:16" ht="20.100000000000001" customHeight="1" x14ac:dyDescent="0.25">
      <c r="A4406" s="918" t="s">
        <v>481</v>
      </c>
      <c r="B4406" s="944" t="s">
        <v>3901</v>
      </c>
      <c r="C4406" s="919" t="s">
        <v>3902</v>
      </c>
      <c r="D4406" s="919" t="s">
        <v>4777</v>
      </c>
      <c r="E4406" s="920">
        <v>2000</v>
      </c>
      <c r="F4406" s="919" t="s">
        <v>11674</v>
      </c>
      <c r="G4406" s="919" t="s">
        <v>11675</v>
      </c>
      <c r="H4406" s="919" t="s">
        <v>4777</v>
      </c>
      <c r="I4406" s="919" t="s">
        <v>3679</v>
      </c>
      <c r="J4406" s="919"/>
      <c r="K4406" s="920"/>
      <c r="L4406" s="920"/>
      <c r="M4406" s="920">
        <f t="shared" si="136"/>
        <v>0</v>
      </c>
      <c r="N4406" s="919">
        <v>1</v>
      </c>
      <c r="O4406" s="919">
        <v>4</v>
      </c>
      <c r="P4406" s="921">
        <f t="shared" si="137"/>
        <v>8000</v>
      </c>
    </row>
    <row r="4407" spans="1:16" ht="20.100000000000001" customHeight="1" x14ac:dyDescent="0.25">
      <c r="A4407" s="918" t="s">
        <v>481</v>
      </c>
      <c r="B4407" s="944" t="s">
        <v>3901</v>
      </c>
      <c r="C4407" s="919" t="s">
        <v>3902</v>
      </c>
      <c r="D4407" s="919" t="s">
        <v>4777</v>
      </c>
      <c r="E4407" s="920">
        <v>2000</v>
      </c>
      <c r="F4407" s="919" t="s">
        <v>11676</v>
      </c>
      <c r="G4407" s="919" t="s">
        <v>11677</v>
      </c>
      <c r="H4407" s="919" t="s">
        <v>4777</v>
      </c>
      <c r="I4407" s="919" t="s">
        <v>3679</v>
      </c>
      <c r="J4407" s="919"/>
      <c r="K4407" s="920"/>
      <c r="L4407" s="920"/>
      <c r="M4407" s="920">
        <f t="shared" si="136"/>
        <v>0</v>
      </c>
      <c r="N4407" s="919">
        <v>1</v>
      </c>
      <c r="O4407" s="919">
        <v>4</v>
      </c>
      <c r="P4407" s="921">
        <f t="shared" si="137"/>
        <v>8000</v>
      </c>
    </row>
    <row r="4408" spans="1:16" ht="20.100000000000001" customHeight="1" x14ac:dyDescent="0.25">
      <c r="A4408" s="918" t="s">
        <v>481</v>
      </c>
      <c r="B4408" s="944" t="s">
        <v>3901</v>
      </c>
      <c r="C4408" s="919" t="s">
        <v>3902</v>
      </c>
      <c r="D4408" s="919" t="s">
        <v>4777</v>
      </c>
      <c r="E4408" s="920">
        <v>2000</v>
      </c>
      <c r="F4408" s="919" t="s">
        <v>11678</v>
      </c>
      <c r="G4408" s="919" t="s">
        <v>11679</v>
      </c>
      <c r="H4408" s="919" t="s">
        <v>4777</v>
      </c>
      <c r="I4408" s="919" t="s">
        <v>3679</v>
      </c>
      <c r="J4408" s="919"/>
      <c r="K4408" s="920"/>
      <c r="L4408" s="920"/>
      <c r="M4408" s="920">
        <f t="shared" si="136"/>
        <v>0</v>
      </c>
      <c r="N4408" s="919">
        <v>1</v>
      </c>
      <c r="O4408" s="919">
        <v>4</v>
      </c>
      <c r="P4408" s="921">
        <f t="shared" si="137"/>
        <v>8000</v>
      </c>
    </row>
    <row r="4409" spans="1:16" ht="20.100000000000001" customHeight="1" x14ac:dyDescent="0.25">
      <c r="A4409" s="918" t="s">
        <v>481</v>
      </c>
      <c r="B4409" s="944" t="s">
        <v>3901</v>
      </c>
      <c r="C4409" s="919" t="s">
        <v>3902</v>
      </c>
      <c r="D4409" s="919" t="s">
        <v>4777</v>
      </c>
      <c r="E4409" s="920">
        <v>2000</v>
      </c>
      <c r="F4409" s="919" t="s">
        <v>11680</v>
      </c>
      <c r="G4409" s="919" t="s">
        <v>11681</v>
      </c>
      <c r="H4409" s="919" t="s">
        <v>4777</v>
      </c>
      <c r="I4409" s="919" t="s">
        <v>3679</v>
      </c>
      <c r="J4409" s="919"/>
      <c r="K4409" s="920"/>
      <c r="L4409" s="920"/>
      <c r="M4409" s="920">
        <f t="shared" si="136"/>
        <v>0</v>
      </c>
      <c r="N4409" s="919">
        <v>1</v>
      </c>
      <c r="O4409" s="919">
        <v>4</v>
      </c>
      <c r="P4409" s="921">
        <f t="shared" si="137"/>
        <v>8000</v>
      </c>
    </row>
    <row r="4410" spans="1:16" ht="20.100000000000001" customHeight="1" x14ac:dyDescent="0.25">
      <c r="A4410" s="918" t="s">
        <v>481</v>
      </c>
      <c r="B4410" s="944" t="s">
        <v>3901</v>
      </c>
      <c r="C4410" s="919" t="s">
        <v>3902</v>
      </c>
      <c r="D4410" s="919" t="s">
        <v>4812</v>
      </c>
      <c r="E4410" s="920">
        <v>2000</v>
      </c>
      <c r="F4410" s="919" t="s">
        <v>11682</v>
      </c>
      <c r="G4410" s="919" t="s">
        <v>11683</v>
      </c>
      <c r="H4410" s="919" t="s">
        <v>4812</v>
      </c>
      <c r="I4410" s="919" t="s">
        <v>3679</v>
      </c>
      <c r="J4410" s="919"/>
      <c r="K4410" s="920"/>
      <c r="L4410" s="920"/>
      <c r="M4410" s="920">
        <f t="shared" si="136"/>
        <v>0</v>
      </c>
      <c r="N4410" s="919">
        <v>1</v>
      </c>
      <c r="O4410" s="919">
        <v>3</v>
      </c>
      <c r="P4410" s="921">
        <f t="shared" si="137"/>
        <v>6000</v>
      </c>
    </row>
    <row r="4411" spans="1:16" ht="20.100000000000001" customHeight="1" x14ac:dyDescent="0.25">
      <c r="A4411" s="918" t="s">
        <v>481</v>
      </c>
      <c r="B4411" s="944" t="s">
        <v>3901</v>
      </c>
      <c r="C4411" s="919" t="s">
        <v>3902</v>
      </c>
      <c r="D4411" s="919" t="s">
        <v>4382</v>
      </c>
      <c r="E4411" s="920">
        <v>2500</v>
      </c>
      <c r="F4411" s="919" t="s">
        <v>4041</v>
      </c>
      <c r="G4411" s="919" t="s">
        <v>4062</v>
      </c>
      <c r="H4411" s="919" t="s">
        <v>4382</v>
      </c>
      <c r="I4411" s="919" t="s">
        <v>3679</v>
      </c>
      <c r="J4411" s="919"/>
      <c r="K4411" s="920">
        <v>1</v>
      </c>
      <c r="L4411" s="920">
        <v>12</v>
      </c>
      <c r="M4411" s="920">
        <f t="shared" si="136"/>
        <v>30000</v>
      </c>
      <c r="N4411" s="919"/>
      <c r="O4411" s="919"/>
      <c r="P4411" s="921">
        <f t="shared" si="137"/>
        <v>0</v>
      </c>
    </row>
    <row r="4412" spans="1:16" ht="20.100000000000001" customHeight="1" x14ac:dyDescent="0.25">
      <c r="A4412" s="918" t="s">
        <v>481</v>
      </c>
      <c r="B4412" s="944" t="s">
        <v>3901</v>
      </c>
      <c r="C4412" s="919" t="s">
        <v>3902</v>
      </c>
      <c r="D4412" s="919" t="s">
        <v>7795</v>
      </c>
      <c r="E4412" s="920">
        <v>2000</v>
      </c>
      <c r="F4412" s="919" t="s">
        <v>4041</v>
      </c>
      <c r="G4412" s="919" t="s">
        <v>4042</v>
      </c>
      <c r="H4412" s="919" t="s">
        <v>7795</v>
      </c>
      <c r="I4412" s="919" t="s">
        <v>3679</v>
      </c>
      <c r="J4412" s="919"/>
      <c r="K4412" s="920">
        <v>1</v>
      </c>
      <c r="L4412" s="920">
        <v>12</v>
      </c>
      <c r="M4412" s="920">
        <f t="shared" si="136"/>
        <v>24000</v>
      </c>
      <c r="N4412" s="919"/>
      <c r="O4412" s="919"/>
      <c r="P4412" s="921">
        <f t="shared" si="137"/>
        <v>0</v>
      </c>
    </row>
    <row r="4413" spans="1:16" ht="20.100000000000001" customHeight="1" x14ac:dyDescent="0.25">
      <c r="A4413" s="918" t="s">
        <v>481</v>
      </c>
      <c r="B4413" s="944" t="s">
        <v>3901</v>
      </c>
      <c r="C4413" s="919" t="s">
        <v>3902</v>
      </c>
      <c r="D4413" s="919" t="s">
        <v>4347</v>
      </c>
      <c r="E4413" s="920">
        <v>3000</v>
      </c>
      <c r="F4413" s="919" t="s">
        <v>11684</v>
      </c>
      <c r="G4413" s="919" t="s">
        <v>11685</v>
      </c>
      <c r="H4413" s="919" t="s">
        <v>4347</v>
      </c>
      <c r="I4413" s="919" t="s">
        <v>3679</v>
      </c>
      <c r="J4413" s="919"/>
      <c r="K4413" s="920"/>
      <c r="L4413" s="920"/>
      <c r="M4413" s="920">
        <f t="shared" si="136"/>
        <v>0</v>
      </c>
      <c r="N4413" s="919">
        <v>1</v>
      </c>
      <c r="O4413" s="919">
        <v>4</v>
      </c>
      <c r="P4413" s="921">
        <f t="shared" si="137"/>
        <v>12000</v>
      </c>
    </row>
    <row r="4414" spans="1:16" ht="20.100000000000001" customHeight="1" x14ac:dyDescent="0.25">
      <c r="A4414" s="918" t="s">
        <v>481</v>
      </c>
      <c r="B4414" s="944" t="s">
        <v>3901</v>
      </c>
      <c r="C4414" s="919" t="s">
        <v>3902</v>
      </c>
      <c r="D4414" s="919" t="s">
        <v>4820</v>
      </c>
      <c r="E4414" s="920">
        <v>2600</v>
      </c>
      <c r="F4414" s="919" t="s">
        <v>11686</v>
      </c>
      <c r="G4414" s="919" t="s">
        <v>11687</v>
      </c>
      <c r="H4414" s="919" t="s">
        <v>4820</v>
      </c>
      <c r="I4414" s="919" t="s">
        <v>3679</v>
      </c>
      <c r="J4414" s="919"/>
      <c r="K4414" s="920"/>
      <c r="L4414" s="920"/>
      <c r="M4414" s="920">
        <f t="shared" si="136"/>
        <v>0</v>
      </c>
      <c r="N4414" s="919">
        <v>1</v>
      </c>
      <c r="O4414" s="919">
        <v>4</v>
      </c>
      <c r="P4414" s="921">
        <f t="shared" si="137"/>
        <v>10400</v>
      </c>
    </row>
    <row r="4415" spans="1:16" ht="20.100000000000001" customHeight="1" x14ac:dyDescent="0.25">
      <c r="A4415" s="918" t="s">
        <v>481</v>
      </c>
      <c r="B4415" s="944" t="s">
        <v>3901</v>
      </c>
      <c r="C4415" s="919" t="s">
        <v>3902</v>
      </c>
      <c r="D4415" s="919" t="s">
        <v>4823</v>
      </c>
      <c r="E4415" s="920">
        <v>2600</v>
      </c>
      <c r="F4415" s="919" t="s">
        <v>11688</v>
      </c>
      <c r="G4415" s="919" t="s">
        <v>11689</v>
      </c>
      <c r="H4415" s="919" t="s">
        <v>4823</v>
      </c>
      <c r="I4415" s="919" t="s">
        <v>3679</v>
      </c>
      <c r="J4415" s="919"/>
      <c r="K4415" s="920"/>
      <c r="L4415" s="920"/>
      <c r="M4415" s="920">
        <f t="shared" si="136"/>
        <v>0</v>
      </c>
      <c r="N4415" s="919">
        <v>1</v>
      </c>
      <c r="O4415" s="919">
        <v>4</v>
      </c>
      <c r="P4415" s="921">
        <f t="shared" si="137"/>
        <v>10400</v>
      </c>
    </row>
    <row r="4416" spans="1:16" ht="20.100000000000001" customHeight="1" x14ac:dyDescent="0.25">
      <c r="A4416" s="918" t="s">
        <v>481</v>
      </c>
      <c r="B4416" s="944" t="s">
        <v>3901</v>
      </c>
      <c r="C4416" s="919" t="s">
        <v>3902</v>
      </c>
      <c r="D4416" s="919" t="s">
        <v>4823</v>
      </c>
      <c r="E4416" s="920">
        <v>2600</v>
      </c>
      <c r="F4416" s="919" t="s">
        <v>11690</v>
      </c>
      <c r="G4416" s="919" t="s">
        <v>11691</v>
      </c>
      <c r="H4416" s="919" t="s">
        <v>4823</v>
      </c>
      <c r="I4416" s="919" t="s">
        <v>3679</v>
      </c>
      <c r="J4416" s="919"/>
      <c r="K4416" s="920"/>
      <c r="L4416" s="920"/>
      <c r="M4416" s="920">
        <f t="shared" si="136"/>
        <v>0</v>
      </c>
      <c r="N4416" s="919">
        <v>1</v>
      </c>
      <c r="O4416" s="919">
        <v>4</v>
      </c>
      <c r="P4416" s="921">
        <f t="shared" si="137"/>
        <v>10400</v>
      </c>
    </row>
    <row r="4417" spans="1:16" ht="20.100000000000001" customHeight="1" x14ac:dyDescent="0.25">
      <c r="A4417" s="918" t="s">
        <v>481</v>
      </c>
      <c r="B4417" s="944" t="s">
        <v>3901</v>
      </c>
      <c r="C4417" s="919" t="s">
        <v>3902</v>
      </c>
      <c r="D4417" s="919" t="s">
        <v>4840</v>
      </c>
      <c r="E4417" s="920">
        <v>3800</v>
      </c>
      <c r="F4417" s="919" t="s">
        <v>11692</v>
      </c>
      <c r="G4417" s="919" t="s">
        <v>11693</v>
      </c>
      <c r="H4417" s="919" t="s">
        <v>4840</v>
      </c>
      <c r="I4417" s="919" t="s">
        <v>3679</v>
      </c>
      <c r="J4417" s="919"/>
      <c r="K4417" s="920"/>
      <c r="L4417" s="920"/>
      <c r="M4417" s="920">
        <f t="shared" si="136"/>
        <v>0</v>
      </c>
      <c r="N4417" s="919">
        <v>1</v>
      </c>
      <c r="O4417" s="919">
        <v>4</v>
      </c>
      <c r="P4417" s="921">
        <f t="shared" si="137"/>
        <v>15200</v>
      </c>
    </row>
    <row r="4418" spans="1:16" ht="20.100000000000001" customHeight="1" x14ac:dyDescent="0.25">
      <c r="A4418" s="918" t="s">
        <v>481</v>
      </c>
      <c r="B4418" s="944" t="s">
        <v>3901</v>
      </c>
      <c r="C4418" s="919" t="s">
        <v>3902</v>
      </c>
      <c r="D4418" s="919" t="s">
        <v>4840</v>
      </c>
      <c r="E4418" s="920">
        <v>3700</v>
      </c>
      <c r="F4418" s="919" t="s">
        <v>11694</v>
      </c>
      <c r="G4418" s="919" t="s">
        <v>11695</v>
      </c>
      <c r="H4418" s="919" t="s">
        <v>4840</v>
      </c>
      <c r="I4418" s="919" t="s">
        <v>3679</v>
      </c>
      <c r="J4418" s="919"/>
      <c r="K4418" s="920"/>
      <c r="L4418" s="920"/>
      <c r="M4418" s="920">
        <f t="shared" si="136"/>
        <v>0</v>
      </c>
      <c r="N4418" s="919">
        <v>1</v>
      </c>
      <c r="O4418" s="919">
        <v>4</v>
      </c>
      <c r="P4418" s="921">
        <f t="shared" si="137"/>
        <v>14800</v>
      </c>
    </row>
    <row r="4419" spans="1:16" ht="20.100000000000001" customHeight="1" x14ac:dyDescent="0.25">
      <c r="A4419" s="918" t="s">
        <v>481</v>
      </c>
      <c r="B4419" s="944" t="s">
        <v>3901</v>
      </c>
      <c r="C4419" s="919" t="s">
        <v>3902</v>
      </c>
      <c r="D4419" s="919" t="s">
        <v>4840</v>
      </c>
      <c r="E4419" s="920">
        <v>3700</v>
      </c>
      <c r="F4419" s="919" t="s">
        <v>11696</v>
      </c>
      <c r="G4419" s="919" t="s">
        <v>11697</v>
      </c>
      <c r="H4419" s="919" t="s">
        <v>4840</v>
      </c>
      <c r="I4419" s="919" t="s">
        <v>3679</v>
      </c>
      <c r="J4419" s="919"/>
      <c r="K4419" s="920"/>
      <c r="L4419" s="920"/>
      <c r="M4419" s="920">
        <f t="shared" si="136"/>
        <v>0</v>
      </c>
      <c r="N4419" s="919">
        <v>1</v>
      </c>
      <c r="O4419" s="919">
        <v>4</v>
      </c>
      <c r="P4419" s="921">
        <f t="shared" si="137"/>
        <v>14800</v>
      </c>
    </row>
    <row r="4420" spans="1:16" ht="20.100000000000001" customHeight="1" x14ac:dyDescent="0.25">
      <c r="A4420" s="918" t="s">
        <v>481</v>
      </c>
      <c r="B4420" s="944" t="s">
        <v>3901</v>
      </c>
      <c r="C4420" s="919" t="s">
        <v>3902</v>
      </c>
      <c r="D4420" s="919" t="s">
        <v>4840</v>
      </c>
      <c r="E4420" s="920">
        <v>3700</v>
      </c>
      <c r="F4420" s="919" t="s">
        <v>11698</v>
      </c>
      <c r="G4420" s="919" t="s">
        <v>11699</v>
      </c>
      <c r="H4420" s="919" t="s">
        <v>4840</v>
      </c>
      <c r="I4420" s="919" t="s">
        <v>3679</v>
      </c>
      <c r="J4420" s="919"/>
      <c r="K4420" s="920"/>
      <c r="L4420" s="920"/>
      <c r="M4420" s="920">
        <f t="shared" si="136"/>
        <v>0</v>
      </c>
      <c r="N4420" s="919">
        <v>1</v>
      </c>
      <c r="O4420" s="919">
        <v>4</v>
      </c>
      <c r="P4420" s="921">
        <f t="shared" si="137"/>
        <v>14800</v>
      </c>
    </row>
    <row r="4421" spans="1:16" ht="20.100000000000001" customHeight="1" x14ac:dyDescent="0.25">
      <c r="A4421" s="918" t="s">
        <v>11906</v>
      </c>
      <c r="B4421" s="944" t="s">
        <v>3901</v>
      </c>
      <c r="C4421" s="919" t="s">
        <v>3902</v>
      </c>
      <c r="D4421" s="919" t="s">
        <v>4120</v>
      </c>
      <c r="E4421" s="920">
        <v>2400</v>
      </c>
      <c r="F4421" s="919" t="s">
        <v>11700</v>
      </c>
      <c r="G4421" s="919" t="s">
        <v>11701</v>
      </c>
      <c r="H4421" s="919" t="s">
        <v>4120</v>
      </c>
      <c r="I4421" s="919" t="s">
        <v>3679</v>
      </c>
      <c r="J4421" s="919"/>
      <c r="K4421" s="920">
        <v>1</v>
      </c>
      <c r="L4421" s="920">
        <v>12</v>
      </c>
      <c r="M4421" s="920">
        <f t="shared" si="136"/>
        <v>28800</v>
      </c>
      <c r="N4421" s="919"/>
      <c r="O4421" s="919"/>
      <c r="P4421" s="921">
        <f t="shared" si="137"/>
        <v>0</v>
      </c>
    </row>
    <row r="4422" spans="1:16" ht="20.100000000000001" customHeight="1" x14ac:dyDescent="0.25">
      <c r="A4422" s="918" t="s">
        <v>11906</v>
      </c>
      <c r="B4422" s="944" t="s">
        <v>3901</v>
      </c>
      <c r="C4422" s="919" t="s">
        <v>3902</v>
      </c>
      <c r="D4422" s="919" t="s">
        <v>11702</v>
      </c>
      <c r="E4422" s="920">
        <v>2400</v>
      </c>
      <c r="F4422" s="919" t="s">
        <v>11703</v>
      </c>
      <c r="G4422" s="919" t="s">
        <v>11704</v>
      </c>
      <c r="H4422" s="919" t="s">
        <v>11702</v>
      </c>
      <c r="I4422" s="919" t="s">
        <v>3679</v>
      </c>
      <c r="J4422" s="919"/>
      <c r="K4422" s="920"/>
      <c r="L4422" s="920"/>
      <c r="M4422" s="920">
        <f t="shared" ref="M4422:M4485" si="138">E4422*L4422</f>
        <v>0</v>
      </c>
      <c r="N4422" s="919">
        <v>1</v>
      </c>
      <c r="O4422" s="919">
        <v>1</v>
      </c>
      <c r="P4422" s="921">
        <f t="shared" ref="P4422:P4485" si="139">E4422*O4422</f>
        <v>2400</v>
      </c>
    </row>
    <row r="4423" spans="1:16" ht="20.100000000000001" customHeight="1" x14ac:dyDescent="0.25">
      <c r="A4423" s="918" t="s">
        <v>11906</v>
      </c>
      <c r="B4423" s="944" t="s">
        <v>3901</v>
      </c>
      <c r="C4423" s="919" t="s">
        <v>3902</v>
      </c>
      <c r="D4423" s="919" t="s">
        <v>11705</v>
      </c>
      <c r="E4423" s="920">
        <v>2400</v>
      </c>
      <c r="F4423" s="919" t="s">
        <v>4041</v>
      </c>
      <c r="G4423" s="919" t="s">
        <v>4042</v>
      </c>
      <c r="H4423" s="919" t="s">
        <v>11705</v>
      </c>
      <c r="I4423" s="919" t="s">
        <v>3679</v>
      </c>
      <c r="J4423" s="919"/>
      <c r="K4423" s="920">
        <v>1</v>
      </c>
      <c r="L4423" s="920">
        <v>12</v>
      </c>
      <c r="M4423" s="920">
        <f t="shared" si="138"/>
        <v>28800</v>
      </c>
      <c r="N4423" s="919"/>
      <c r="O4423" s="919"/>
      <c r="P4423" s="921">
        <f t="shared" si="139"/>
        <v>0</v>
      </c>
    </row>
    <row r="4424" spans="1:16" ht="20.100000000000001" customHeight="1" x14ac:dyDescent="0.25">
      <c r="A4424" s="918" t="s">
        <v>11906</v>
      </c>
      <c r="B4424" s="944" t="s">
        <v>3901</v>
      </c>
      <c r="C4424" s="919" t="s">
        <v>3902</v>
      </c>
      <c r="D4424" s="919" t="s">
        <v>11706</v>
      </c>
      <c r="E4424" s="920">
        <v>2400</v>
      </c>
      <c r="F4424" s="919" t="s">
        <v>11707</v>
      </c>
      <c r="G4424" s="919" t="s">
        <v>11708</v>
      </c>
      <c r="H4424" s="919" t="s">
        <v>11706</v>
      </c>
      <c r="I4424" s="919" t="s">
        <v>3679</v>
      </c>
      <c r="J4424" s="919"/>
      <c r="K4424" s="920">
        <v>1</v>
      </c>
      <c r="L4424" s="920">
        <v>12</v>
      </c>
      <c r="M4424" s="920">
        <f t="shared" si="138"/>
        <v>28800</v>
      </c>
      <c r="N4424" s="919"/>
      <c r="O4424" s="919"/>
      <c r="P4424" s="921">
        <f t="shared" si="139"/>
        <v>0</v>
      </c>
    </row>
    <row r="4425" spans="1:16" ht="20.100000000000001" customHeight="1" x14ac:dyDescent="0.25">
      <c r="A4425" s="918" t="s">
        <v>11906</v>
      </c>
      <c r="B4425" s="944" t="s">
        <v>3901</v>
      </c>
      <c r="C4425" s="919" t="s">
        <v>3902</v>
      </c>
      <c r="D4425" s="919" t="s">
        <v>11709</v>
      </c>
      <c r="E4425" s="920">
        <v>2400</v>
      </c>
      <c r="F4425" s="919" t="s">
        <v>4041</v>
      </c>
      <c r="G4425" s="919" t="s">
        <v>4042</v>
      </c>
      <c r="H4425" s="919" t="s">
        <v>11709</v>
      </c>
      <c r="I4425" s="919" t="s">
        <v>3679</v>
      </c>
      <c r="J4425" s="919"/>
      <c r="K4425" s="920">
        <v>1</v>
      </c>
      <c r="L4425" s="920">
        <v>12</v>
      </c>
      <c r="M4425" s="920">
        <f t="shared" si="138"/>
        <v>28800</v>
      </c>
      <c r="N4425" s="919"/>
      <c r="O4425" s="919"/>
      <c r="P4425" s="921">
        <f t="shared" si="139"/>
        <v>0</v>
      </c>
    </row>
    <row r="4426" spans="1:16" ht="20.100000000000001" customHeight="1" x14ac:dyDescent="0.25">
      <c r="A4426" s="918" t="s">
        <v>11906</v>
      </c>
      <c r="B4426" s="944" t="s">
        <v>3901</v>
      </c>
      <c r="C4426" s="919" t="s">
        <v>3902</v>
      </c>
      <c r="D4426" s="919" t="s">
        <v>11710</v>
      </c>
      <c r="E4426" s="920">
        <v>2400</v>
      </c>
      <c r="F4426" s="919" t="s">
        <v>11711</v>
      </c>
      <c r="G4426" s="919" t="s">
        <v>11712</v>
      </c>
      <c r="H4426" s="919" t="s">
        <v>11710</v>
      </c>
      <c r="I4426" s="919" t="s">
        <v>3679</v>
      </c>
      <c r="J4426" s="919"/>
      <c r="K4426" s="920">
        <v>1</v>
      </c>
      <c r="L4426" s="920">
        <v>12</v>
      </c>
      <c r="M4426" s="920">
        <f t="shared" si="138"/>
        <v>28800</v>
      </c>
      <c r="N4426" s="919"/>
      <c r="O4426" s="919"/>
      <c r="P4426" s="921">
        <f t="shared" si="139"/>
        <v>0</v>
      </c>
    </row>
    <row r="4427" spans="1:16" ht="20.100000000000001" customHeight="1" x14ac:dyDescent="0.25">
      <c r="A4427" s="918" t="s">
        <v>11906</v>
      </c>
      <c r="B4427" s="944" t="s">
        <v>3901</v>
      </c>
      <c r="C4427" s="919" t="s">
        <v>3902</v>
      </c>
      <c r="D4427" s="919" t="s">
        <v>4250</v>
      </c>
      <c r="E4427" s="920">
        <v>3500</v>
      </c>
      <c r="F4427" s="919" t="s">
        <v>11713</v>
      </c>
      <c r="G4427" s="919" t="s">
        <v>11714</v>
      </c>
      <c r="H4427" s="919" t="s">
        <v>4250</v>
      </c>
      <c r="I4427" s="919" t="s">
        <v>3679</v>
      </c>
      <c r="J4427" s="919"/>
      <c r="K4427" s="920"/>
      <c r="L4427" s="920"/>
      <c r="M4427" s="920">
        <f t="shared" si="138"/>
        <v>0</v>
      </c>
      <c r="N4427" s="919">
        <v>1</v>
      </c>
      <c r="O4427" s="919">
        <v>1</v>
      </c>
      <c r="P4427" s="921">
        <f t="shared" si="139"/>
        <v>3500</v>
      </c>
    </row>
    <row r="4428" spans="1:16" ht="20.100000000000001" customHeight="1" x14ac:dyDescent="0.25">
      <c r="A4428" s="918" t="s">
        <v>11906</v>
      </c>
      <c r="B4428" s="944" t="s">
        <v>3901</v>
      </c>
      <c r="C4428" s="919" t="s">
        <v>3902</v>
      </c>
      <c r="D4428" s="919" t="s">
        <v>4382</v>
      </c>
      <c r="E4428" s="920">
        <v>2500</v>
      </c>
      <c r="F4428" s="919" t="s">
        <v>11715</v>
      </c>
      <c r="G4428" s="919" t="s">
        <v>11716</v>
      </c>
      <c r="H4428" s="919" t="s">
        <v>4382</v>
      </c>
      <c r="I4428" s="919" t="s">
        <v>3679</v>
      </c>
      <c r="J4428" s="919"/>
      <c r="K4428" s="920"/>
      <c r="L4428" s="920"/>
      <c r="M4428" s="920">
        <f t="shared" si="138"/>
        <v>0</v>
      </c>
      <c r="N4428" s="919">
        <v>1</v>
      </c>
      <c r="O4428" s="919">
        <v>1</v>
      </c>
      <c r="P4428" s="921">
        <f t="shared" si="139"/>
        <v>2500</v>
      </c>
    </row>
    <row r="4429" spans="1:16" ht="20.100000000000001" customHeight="1" x14ac:dyDescent="0.25">
      <c r="A4429" s="918" t="s">
        <v>11906</v>
      </c>
      <c r="B4429" s="944" t="s">
        <v>3901</v>
      </c>
      <c r="C4429" s="919" t="s">
        <v>3902</v>
      </c>
      <c r="D4429" s="919" t="s">
        <v>3957</v>
      </c>
      <c r="E4429" s="920">
        <v>2800</v>
      </c>
      <c r="F4429" s="919" t="s">
        <v>11717</v>
      </c>
      <c r="G4429" s="919" t="s">
        <v>11718</v>
      </c>
      <c r="H4429" s="919" t="s">
        <v>3957</v>
      </c>
      <c r="I4429" s="919" t="s">
        <v>3679</v>
      </c>
      <c r="J4429" s="919"/>
      <c r="K4429" s="920"/>
      <c r="L4429" s="920"/>
      <c r="M4429" s="920">
        <f t="shared" si="138"/>
        <v>0</v>
      </c>
      <c r="N4429" s="919">
        <v>1</v>
      </c>
      <c r="O4429" s="919">
        <v>4</v>
      </c>
      <c r="P4429" s="921">
        <f t="shared" si="139"/>
        <v>11200</v>
      </c>
    </row>
    <row r="4430" spans="1:16" ht="20.100000000000001" customHeight="1" x14ac:dyDescent="0.25">
      <c r="A4430" s="918" t="s">
        <v>11906</v>
      </c>
      <c r="B4430" s="944" t="s">
        <v>3901</v>
      </c>
      <c r="C4430" s="919" t="s">
        <v>3902</v>
      </c>
      <c r="D4430" s="919" t="s">
        <v>3940</v>
      </c>
      <c r="E4430" s="920">
        <v>2800</v>
      </c>
      <c r="F4430" s="919" t="s">
        <v>11719</v>
      </c>
      <c r="G4430" s="919" t="s">
        <v>11720</v>
      </c>
      <c r="H4430" s="919" t="s">
        <v>3940</v>
      </c>
      <c r="I4430" s="919" t="s">
        <v>3679</v>
      </c>
      <c r="J4430" s="919"/>
      <c r="K4430" s="920"/>
      <c r="L4430" s="920"/>
      <c r="M4430" s="920">
        <f t="shared" si="138"/>
        <v>0</v>
      </c>
      <c r="N4430" s="919">
        <v>1</v>
      </c>
      <c r="O4430" s="919">
        <v>1</v>
      </c>
      <c r="P4430" s="921">
        <f t="shared" si="139"/>
        <v>2800</v>
      </c>
    </row>
    <row r="4431" spans="1:16" ht="20.100000000000001" customHeight="1" x14ac:dyDescent="0.25">
      <c r="A4431" s="918" t="s">
        <v>11906</v>
      </c>
      <c r="B4431" s="944" t="s">
        <v>3901</v>
      </c>
      <c r="C4431" s="919" t="s">
        <v>3902</v>
      </c>
      <c r="D4431" s="919" t="s">
        <v>3952</v>
      </c>
      <c r="E4431" s="920">
        <v>2800</v>
      </c>
      <c r="F4431" s="919" t="s">
        <v>4041</v>
      </c>
      <c r="G4431" s="919" t="s">
        <v>4062</v>
      </c>
      <c r="H4431" s="919" t="s">
        <v>3952</v>
      </c>
      <c r="I4431" s="919" t="s">
        <v>3679</v>
      </c>
      <c r="J4431" s="919"/>
      <c r="K4431" s="920">
        <v>1</v>
      </c>
      <c r="L4431" s="920">
        <v>12</v>
      </c>
      <c r="M4431" s="920">
        <f t="shared" si="138"/>
        <v>33600</v>
      </c>
      <c r="N4431" s="919"/>
      <c r="O4431" s="919"/>
      <c r="P4431" s="921">
        <f t="shared" si="139"/>
        <v>0</v>
      </c>
    </row>
    <row r="4432" spans="1:16" ht="20.100000000000001" customHeight="1" x14ac:dyDescent="0.25">
      <c r="A4432" s="918" t="s">
        <v>11906</v>
      </c>
      <c r="B4432" s="944" t="s">
        <v>3901</v>
      </c>
      <c r="C4432" s="919" t="s">
        <v>3902</v>
      </c>
      <c r="D4432" s="919" t="s">
        <v>4499</v>
      </c>
      <c r="E4432" s="920">
        <v>2500</v>
      </c>
      <c r="F4432" s="919" t="s">
        <v>11721</v>
      </c>
      <c r="G4432" s="919" t="s">
        <v>11722</v>
      </c>
      <c r="H4432" s="919" t="s">
        <v>4499</v>
      </c>
      <c r="I4432" s="919" t="s">
        <v>3679</v>
      </c>
      <c r="J4432" s="919"/>
      <c r="K4432" s="920"/>
      <c r="L4432" s="920"/>
      <c r="M4432" s="920">
        <f t="shared" si="138"/>
        <v>0</v>
      </c>
      <c r="N4432" s="919">
        <v>1</v>
      </c>
      <c r="O4432" s="919">
        <v>4</v>
      </c>
      <c r="P4432" s="921">
        <f t="shared" si="139"/>
        <v>10000</v>
      </c>
    </row>
    <row r="4433" spans="1:16" ht="20.100000000000001" customHeight="1" x14ac:dyDescent="0.25">
      <c r="A4433" s="918" t="s">
        <v>11906</v>
      </c>
      <c r="B4433" s="944" t="s">
        <v>3901</v>
      </c>
      <c r="C4433" s="919" t="s">
        <v>3902</v>
      </c>
      <c r="D4433" s="919" t="s">
        <v>4881</v>
      </c>
      <c r="E4433" s="920">
        <v>3200</v>
      </c>
      <c r="F4433" s="919" t="s">
        <v>11723</v>
      </c>
      <c r="G4433" s="919" t="s">
        <v>11724</v>
      </c>
      <c r="H4433" s="919" t="s">
        <v>4881</v>
      </c>
      <c r="I4433" s="919" t="s">
        <v>3679</v>
      </c>
      <c r="J4433" s="919"/>
      <c r="K4433" s="920"/>
      <c r="L4433" s="920"/>
      <c r="M4433" s="920">
        <f t="shared" si="138"/>
        <v>0</v>
      </c>
      <c r="N4433" s="919">
        <v>1</v>
      </c>
      <c r="O4433" s="919">
        <v>1</v>
      </c>
      <c r="P4433" s="921">
        <f t="shared" si="139"/>
        <v>3200</v>
      </c>
    </row>
    <row r="4434" spans="1:16" ht="20.100000000000001" customHeight="1" x14ac:dyDescent="0.25">
      <c r="A4434" s="918" t="s">
        <v>11906</v>
      </c>
      <c r="B4434" s="944" t="s">
        <v>3901</v>
      </c>
      <c r="C4434" s="919" t="s">
        <v>3902</v>
      </c>
      <c r="D4434" s="919" t="s">
        <v>4886</v>
      </c>
      <c r="E4434" s="920">
        <v>2300</v>
      </c>
      <c r="F4434" s="919" t="s">
        <v>11725</v>
      </c>
      <c r="G4434" s="919" t="s">
        <v>11726</v>
      </c>
      <c r="H4434" s="919" t="s">
        <v>4886</v>
      </c>
      <c r="I4434" s="919" t="s">
        <v>3679</v>
      </c>
      <c r="J4434" s="919"/>
      <c r="K4434" s="920"/>
      <c r="L4434" s="920"/>
      <c r="M4434" s="920">
        <f t="shared" si="138"/>
        <v>0</v>
      </c>
      <c r="N4434" s="919">
        <v>1</v>
      </c>
      <c r="O4434" s="919">
        <v>1</v>
      </c>
      <c r="P4434" s="921">
        <f t="shared" si="139"/>
        <v>2300</v>
      </c>
    </row>
    <row r="4435" spans="1:16" ht="20.100000000000001" customHeight="1" x14ac:dyDescent="0.25">
      <c r="A4435" s="918" t="s">
        <v>11906</v>
      </c>
      <c r="B4435" s="944" t="s">
        <v>3901</v>
      </c>
      <c r="C4435" s="919" t="s">
        <v>3902</v>
      </c>
      <c r="D4435" s="919" t="s">
        <v>4657</v>
      </c>
      <c r="E4435" s="920">
        <v>1150</v>
      </c>
      <c r="F4435" s="919" t="s">
        <v>11727</v>
      </c>
      <c r="G4435" s="919" t="s">
        <v>11728</v>
      </c>
      <c r="H4435" s="919" t="s">
        <v>4657</v>
      </c>
      <c r="I4435" s="919" t="s">
        <v>3686</v>
      </c>
      <c r="J4435" s="919"/>
      <c r="K4435" s="920"/>
      <c r="L4435" s="920"/>
      <c r="M4435" s="920">
        <f t="shared" si="138"/>
        <v>0</v>
      </c>
      <c r="N4435" s="919">
        <v>1</v>
      </c>
      <c r="O4435" s="919">
        <v>1</v>
      </c>
      <c r="P4435" s="921">
        <f t="shared" si="139"/>
        <v>1150</v>
      </c>
    </row>
    <row r="4436" spans="1:16" ht="20.100000000000001" customHeight="1" x14ac:dyDescent="0.25">
      <c r="A4436" s="918" t="s">
        <v>11906</v>
      </c>
      <c r="B4436" s="944" t="s">
        <v>3901</v>
      </c>
      <c r="C4436" s="919" t="s">
        <v>3902</v>
      </c>
      <c r="D4436" s="919" t="s">
        <v>4895</v>
      </c>
      <c r="E4436" s="920">
        <v>1150</v>
      </c>
      <c r="F4436" s="919" t="s">
        <v>4041</v>
      </c>
      <c r="G4436" s="919" t="s">
        <v>4062</v>
      </c>
      <c r="H4436" s="919" t="s">
        <v>4895</v>
      </c>
      <c r="I4436" s="919" t="s">
        <v>3693</v>
      </c>
      <c r="J4436" s="919"/>
      <c r="K4436" s="920">
        <v>1</v>
      </c>
      <c r="L4436" s="920">
        <v>12</v>
      </c>
      <c r="M4436" s="920">
        <f t="shared" si="138"/>
        <v>13800</v>
      </c>
      <c r="N4436" s="919"/>
      <c r="O4436" s="919"/>
      <c r="P4436" s="921">
        <f t="shared" si="139"/>
        <v>0</v>
      </c>
    </row>
    <row r="4437" spans="1:16" ht="20.100000000000001" customHeight="1" x14ac:dyDescent="0.25">
      <c r="A4437" s="918" t="s">
        <v>11906</v>
      </c>
      <c r="B4437" s="944" t="s">
        <v>3901</v>
      </c>
      <c r="C4437" s="919" t="s">
        <v>3902</v>
      </c>
      <c r="D4437" s="919" t="s">
        <v>4895</v>
      </c>
      <c r="E4437" s="920">
        <v>1150</v>
      </c>
      <c r="F4437" s="919" t="s">
        <v>4041</v>
      </c>
      <c r="G4437" s="919" t="s">
        <v>4062</v>
      </c>
      <c r="H4437" s="919" t="s">
        <v>4895</v>
      </c>
      <c r="I4437" s="919" t="s">
        <v>3693</v>
      </c>
      <c r="J4437" s="919"/>
      <c r="K4437" s="920">
        <v>1</v>
      </c>
      <c r="L4437" s="920">
        <v>12</v>
      </c>
      <c r="M4437" s="920">
        <f t="shared" si="138"/>
        <v>13800</v>
      </c>
      <c r="N4437" s="919"/>
      <c r="O4437" s="919"/>
      <c r="P4437" s="921">
        <f t="shared" si="139"/>
        <v>0</v>
      </c>
    </row>
    <row r="4438" spans="1:16" ht="20.100000000000001" customHeight="1" x14ac:dyDescent="0.25">
      <c r="A4438" s="918" t="s">
        <v>11906</v>
      </c>
      <c r="B4438" s="944" t="s">
        <v>3901</v>
      </c>
      <c r="C4438" s="919" t="s">
        <v>3902</v>
      </c>
      <c r="D4438" s="919" t="s">
        <v>4502</v>
      </c>
      <c r="E4438" s="920">
        <v>1150</v>
      </c>
      <c r="F4438" s="919" t="s">
        <v>11729</v>
      </c>
      <c r="G4438" s="919" t="s">
        <v>11730</v>
      </c>
      <c r="H4438" s="919" t="s">
        <v>4502</v>
      </c>
      <c r="I4438" s="919" t="s">
        <v>3686</v>
      </c>
      <c r="J4438" s="919"/>
      <c r="K4438" s="920"/>
      <c r="L4438" s="920"/>
      <c r="M4438" s="920">
        <f t="shared" si="138"/>
        <v>0</v>
      </c>
      <c r="N4438" s="919">
        <v>1</v>
      </c>
      <c r="O4438" s="919">
        <v>5</v>
      </c>
      <c r="P4438" s="921">
        <f t="shared" si="139"/>
        <v>5750</v>
      </c>
    </row>
    <row r="4439" spans="1:16" ht="20.100000000000001" customHeight="1" x14ac:dyDescent="0.25">
      <c r="A4439" s="918" t="s">
        <v>11906</v>
      </c>
      <c r="B4439" s="944" t="s">
        <v>3901</v>
      </c>
      <c r="C4439" s="919" t="s">
        <v>3902</v>
      </c>
      <c r="D4439" s="919" t="s">
        <v>4502</v>
      </c>
      <c r="E4439" s="920">
        <v>1150</v>
      </c>
      <c r="F4439" s="919" t="s">
        <v>4041</v>
      </c>
      <c r="G4439" s="919" t="s">
        <v>4042</v>
      </c>
      <c r="H4439" s="919" t="s">
        <v>4502</v>
      </c>
      <c r="I4439" s="919" t="s">
        <v>3686</v>
      </c>
      <c r="J4439" s="919"/>
      <c r="K4439" s="920">
        <v>1</v>
      </c>
      <c r="L4439" s="920">
        <v>12</v>
      </c>
      <c r="M4439" s="920">
        <f t="shared" si="138"/>
        <v>13800</v>
      </c>
      <c r="N4439" s="919"/>
      <c r="O4439" s="919"/>
      <c r="P4439" s="921">
        <f t="shared" si="139"/>
        <v>0</v>
      </c>
    </row>
    <row r="4440" spans="1:16" ht="20.100000000000001" customHeight="1" x14ac:dyDescent="0.25">
      <c r="A4440" s="918" t="s">
        <v>11906</v>
      </c>
      <c r="B4440" s="944" t="s">
        <v>3901</v>
      </c>
      <c r="C4440" s="919" t="s">
        <v>3902</v>
      </c>
      <c r="D4440" s="919" t="s">
        <v>4502</v>
      </c>
      <c r="E4440" s="920">
        <v>1150</v>
      </c>
      <c r="F4440" s="919" t="s">
        <v>4041</v>
      </c>
      <c r="G4440" s="919" t="s">
        <v>4042</v>
      </c>
      <c r="H4440" s="919" t="s">
        <v>4502</v>
      </c>
      <c r="I4440" s="919" t="s">
        <v>3686</v>
      </c>
      <c r="J4440" s="919"/>
      <c r="K4440" s="920">
        <v>1</v>
      </c>
      <c r="L4440" s="920">
        <v>12</v>
      </c>
      <c r="M4440" s="920">
        <f t="shared" si="138"/>
        <v>13800</v>
      </c>
      <c r="N4440" s="919"/>
      <c r="O4440" s="919"/>
      <c r="P4440" s="921">
        <f t="shared" si="139"/>
        <v>0</v>
      </c>
    </row>
    <row r="4441" spans="1:16" ht="20.100000000000001" customHeight="1" x14ac:dyDescent="0.25">
      <c r="A4441" s="918" t="s">
        <v>11906</v>
      </c>
      <c r="B4441" s="944" t="s">
        <v>3901</v>
      </c>
      <c r="C4441" s="919" t="s">
        <v>3902</v>
      </c>
      <c r="D4441" s="919" t="s">
        <v>4502</v>
      </c>
      <c r="E4441" s="920">
        <v>1150</v>
      </c>
      <c r="F4441" s="919" t="s">
        <v>11731</v>
      </c>
      <c r="G4441" s="919" t="s">
        <v>11732</v>
      </c>
      <c r="H4441" s="919" t="s">
        <v>4502</v>
      </c>
      <c r="I4441" s="919" t="s">
        <v>3686</v>
      </c>
      <c r="J4441" s="919"/>
      <c r="K4441" s="920"/>
      <c r="L4441" s="920"/>
      <c r="M4441" s="920">
        <f t="shared" si="138"/>
        <v>0</v>
      </c>
      <c r="N4441" s="919">
        <v>1</v>
      </c>
      <c r="O4441" s="919">
        <v>5</v>
      </c>
      <c r="P4441" s="921">
        <f t="shared" si="139"/>
        <v>5750</v>
      </c>
    </row>
    <row r="4442" spans="1:16" ht="20.100000000000001" customHeight="1" x14ac:dyDescent="0.25">
      <c r="A4442" s="918" t="s">
        <v>11906</v>
      </c>
      <c r="B4442" s="944" t="s">
        <v>3901</v>
      </c>
      <c r="C4442" s="919" t="s">
        <v>3902</v>
      </c>
      <c r="D4442" s="919" t="s">
        <v>4502</v>
      </c>
      <c r="E4442" s="920">
        <v>1150</v>
      </c>
      <c r="F4442" s="919" t="s">
        <v>11733</v>
      </c>
      <c r="G4442" s="919" t="s">
        <v>11734</v>
      </c>
      <c r="H4442" s="919" t="s">
        <v>4502</v>
      </c>
      <c r="I4442" s="919" t="s">
        <v>3686</v>
      </c>
      <c r="J4442" s="919"/>
      <c r="K4442" s="920"/>
      <c r="L4442" s="920"/>
      <c r="M4442" s="920">
        <f t="shared" si="138"/>
        <v>0</v>
      </c>
      <c r="N4442" s="919">
        <v>1</v>
      </c>
      <c r="O4442" s="919">
        <v>4</v>
      </c>
      <c r="P4442" s="921">
        <f t="shared" si="139"/>
        <v>4600</v>
      </c>
    </row>
    <row r="4443" spans="1:16" ht="20.100000000000001" customHeight="1" x14ac:dyDescent="0.25">
      <c r="A4443" s="918" t="s">
        <v>11906</v>
      </c>
      <c r="B4443" s="944" t="s">
        <v>3901</v>
      </c>
      <c r="C4443" s="919" t="s">
        <v>3902</v>
      </c>
      <c r="D4443" s="919" t="s">
        <v>4502</v>
      </c>
      <c r="E4443" s="920">
        <v>1150</v>
      </c>
      <c r="F4443" s="919" t="s">
        <v>11735</v>
      </c>
      <c r="G4443" s="919" t="s">
        <v>11736</v>
      </c>
      <c r="H4443" s="919" t="s">
        <v>4502</v>
      </c>
      <c r="I4443" s="919" t="s">
        <v>3686</v>
      </c>
      <c r="J4443" s="919"/>
      <c r="K4443" s="920"/>
      <c r="L4443" s="920"/>
      <c r="M4443" s="920">
        <f t="shared" si="138"/>
        <v>0</v>
      </c>
      <c r="N4443" s="919">
        <v>1</v>
      </c>
      <c r="O4443" s="919">
        <v>5</v>
      </c>
      <c r="P4443" s="921">
        <f t="shared" si="139"/>
        <v>5750</v>
      </c>
    </row>
    <row r="4444" spans="1:16" ht="20.100000000000001" customHeight="1" x14ac:dyDescent="0.25">
      <c r="A4444" s="918" t="s">
        <v>11906</v>
      </c>
      <c r="B4444" s="944" t="s">
        <v>3901</v>
      </c>
      <c r="C4444" s="919" t="s">
        <v>3902</v>
      </c>
      <c r="D4444" s="919" t="s">
        <v>4531</v>
      </c>
      <c r="E4444" s="920">
        <v>1800</v>
      </c>
      <c r="F4444" s="919" t="s">
        <v>11737</v>
      </c>
      <c r="G4444" s="919" t="s">
        <v>11738</v>
      </c>
      <c r="H4444" s="919" t="s">
        <v>4531</v>
      </c>
      <c r="I4444" s="919" t="s">
        <v>3679</v>
      </c>
      <c r="J4444" s="919"/>
      <c r="K4444" s="920"/>
      <c r="L4444" s="920"/>
      <c r="M4444" s="920">
        <f t="shared" si="138"/>
        <v>0</v>
      </c>
      <c r="N4444" s="919">
        <v>1</v>
      </c>
      <c r="O4444" s="919">
        <v>1</v>
      </c>
      <c r="P4444" s="921">
        <f t="shared" si="139"/>
        <v>1800</v>
      </c>
    </row>
    <row r="4445" spans="1:16" ht="20.100000000000001" customHeight="1" x14ac:dyDescent="0.25">
      <c r="A4445" s="918" t="s">
        <v>11906</v>
      </c>
      <c r="B4445" s="944" t="s">
        <v>3901</v>
      </c>
      <c r="C4445" s="919" t="s">
        <v>3902</v>
      </c>
      <c r="D4445" s="919" t="s">
        <v>4531</v>
      </c>
      <c r="E4445" s="920">
        <v>1800</v>
      </c>
      <c r="F4445" s="919" t="s">
        <v>11739</v>
      </c>
      <c r="G4445" s="919" t="s">
        <v>11740</v>
      </c>
      <c r="H4445" s="919" t="s">
        <v>4531</v>
      </c>
      <c r="I4445" s="919" t="s">
        <v>3679</v>
      </c>
      <c r="J4445" s="919"/>
      <c r="K4445" s="920"/>
      <c r="L4445" s="920"/>
      <c r="M4445" s="920">
        <f t="shared" si="138"/>
        <v>0</v>
      </c>
      <c r="N4445" s="919">
        <v>1</v>
      </c>
      <c r="O4445" s="919">
        <v>4</v>
      </c>
      <c r="P4445" s="921">
        <f t="shared" si="139"/>
        <v>7200</v>
      </c>
    </row>
    <row r="4446" spans="1:16" ht="20.100000000000001" customHeight="1" x14ac:dyDescent="0.25">
      <c r="A4446" s="918" t="s">
        <v>11906</v>
      </c>
      <c r="B4446" s="944" t="s">
        <v>3901</v>
      </c>
      <c r="C4446" s="919" t="s">
        <v>3902</v>
      </c>
      <c r="D4446" s="919" t="s">
        <v>4531</v>
      </c>
      <c r="E4446" s="920">
        <v>1800</v>
      </c>
      <c r="F4446" s="919" t="s">
        <v>11741</v>
      </c>
      <c r="G4446" s="919" t="s">
        <v>11742</v>
      </c>
      <c r="H4446" s="919" t="s">
        <v>4531</v>
      </c>
      <c r="I4446" s="919" t="s">
        <v>3679</v>
      </c>
      <c r="J4446" s="919"/>
      <c r="K4446" s="920"/>
      <c r="L4446" s="920"/>
      <c r="M4446" s="920">
        <f t="shared" si="138"/>
        <v>0</v>
      </c>
      <c r="N4446" s="919">
        <v>1</v>
      </c>
      <c r="O4446" s="919">
        <v>1</v>
      </c>
      <c r="P4446" s="921">
        <f t="shared" si="139"/>
        <v>1800</v>
      </c>
    </row>
    <row r="4447" spans="1:16" ht="20.100000000000001" customHeight="1" x14ac:dyDescent="0.25">
      <c r="A4447" s="918" t="s">
        <v>11906</v>
      </c>
      <c r="B4447" s="944" t="s">
        <v>3901</v>
      </c>
      <c r="C4447" s="919" t="s">
        <v>3902</v>
      </c>
      <c r="D4447" s="919" t="s">
        <v>4531</v>
      </c>
      <c r="E4447" s="920">
        <v>1800</v>
      </c>
      <c r="F4447" s="919" t="s">
        <v>11743</v>
      </c>
      <c r="G4447" s="919" t="s">
        <v>11744</v>
      </c>
      <c r="H4447" s="919" t="s">
        <v>4531</v>
      </c>
      <c r="I4447" s="919" t="s">
        <v>3679</v>
      </c>
      <c r="J4447" s="919"/>
      <c r="K4447" s="920"/>
      <c r="L4447" s="920"/>
      <c r="M4447" s="920">
        <f t="shared" si="138"/>
        <v>0</v>
      </c>
      <c r="N4447" s="919">
        <v>1</v>
      </c>
      <c r="O4447" s="919">
        <v>4</v>
      </c>
      <c r="P4447" s="921">
        <f t="shared" si="139"/>
        <v>7200</v>
      </c>
    </row>
    <row r="4448" spans="1:16" ht="20.100000000000001" customHeight="1" x14ac:dyDescent="0.25">
      <c r="A4448" s="918" t="s">
        <v>11906</v>
      </c>
      <c r="B4448" s="944" t="s">
        <v>3901</v>
      </c>
      <c r="C4448" s="919" t="s">
        <v>3902</v>
      </c>
      <c r="D4448" s="919" t="s">
        <v>4531</v>
      </c>
      <c r="E4448" s="920">
        <v>1800</v>
      </c>
      <c r="F4448" s="919" t="s">
        <v>11745</v>
      </c>
      <c r="G4448" s="919" t="s">
        <v>11746</v>
      </c>
      <c r="H4448" s="919" t="s">
        <v>4531</v>
      </c>
      <c r="I4448" s="919" t="s">
        <v>3679</v>
      </c>
      <c r="J4448" s="919"/>
      <c r="K4448" s="920"/>
      <c r="L4448" s="920"/>
      <c r="M4448" s="920">
        <f t="shared" si="138"/>
        <v>0</v>
      </c>
      <c r="N4448" s="919">
        <v>1</v>
      </c>
      <c r="O4448" s="919">
        <v>4</v>
      </c>
      <c r="P4448" s="921">
        <f t="shared" si="139"/>
        <v>7200</v>
      </c>
    </row>
    <row r="4449" spans="1:16" ht="20.100000000000001" customHeight="1" x14ac:dyDescent="0.25">
      <c r="A4449" s="918" t="s">
        <v>11906</v>
      </c>
      <c r="B4449" s="944" t="s">
        <v>3901</v>
      </c>
      <c r="C4449" s="919" t="s">
        <v>3902</v>
      </c>
      <c r="D4449" s="919" t="s">
        <v>4531</v>
      </c>
      <c r="E4449" s="920">
        <v>1800</v>
      </c>
      <c r="F4449" s="919" t="s">
        <v>11747</v>
      </c>
      <c r="G4449" s="919" t="s">
        <v>11748</v>
      </c>
      <c r="H4449" s="919" t="s">
        <v>4531</v>
      </c>
      <c r="I4449" s="919" t="s">
        <v>3679</v>
      </c>
      <c r="J4449" s="919"/>
      <c r="K4449" s="920"/>
      <c r="L4449" s="920"/>
      <c r="M4449" s="920">
        <f t="shared" si="138"/>
        <v>0</v>
      </c>
      <c r="N4449" s="919">
        <v>1</v>
      </c>
      <c r="O4449" s="919">
        <v>1</v>
      </c>
      <c r="P4449" s="921">
        <f t="shared" si="139"/>
        <v>1800</v>
      </c>
    </row>
    <row r="4450" spans="1:16" ht="20.100000000000001" customHeight="1" x14ac:dyDescent="0.25">
      <c r="A4450" s="918" t="s">
        <v>11906</v>
      </c>
      <c r="B4450" s="944" t="s">
        <v>3901</v>
      </c>
      <c r="C4450" s="919" t="s">
        <v>3902</v>
      </c>
      <c r="D4450" s="919" t="s">
        <v>4531</v>
      </c>
      <c r="E4450" s="920">
        <v>1800</v>
      </c>
      <c r="F4450" s="919" t="s">
        <v>11749</v>
      </c>
      <c r="G4450" s="919" t="s">
        <v>11750</v>
      </c>
      <c r="H4450" s="919" t="s">
        <v>4531</v>
      </c>
      <c r="I4450" s="919" t="s">
        <v>3679</v>
      </c>
      <c r="J4450" s="919"/>
      <c r="K4450" s="920"/>
      <c r="L4450" s="920"/>
      <c r="M4450" s="920">
        <f t="shared" si="138"/>
        <v>0</v>
      </c>
      <c r="N4450" s="919">
        <v>1</v>
      </c>
      <c r="O4450" s="919">
        <v>4</v>
      </c>
      <c r="P4450" s="921">
        <f t="shared" si="139"/>
        <v>7200</v>
      </c>
    </row>
    <row r="4451" spans="1:16" ht="20.100000000000001" customHeight="1" x14ac:dyDescent="0.25">
      <c r="A4451" s="918" t="s">
        <v>11906</v>
      </c>
      <c r="B4451" s="944" t="s">
        <v>3901</v>
      </c>
      <c r="C4451" s="919" t="s">
        <v>3902</v>
      </c>
      <c r="D4451" s="919" t="s">
        <v>4531</v>
      </c>
      <c r="E4451" s="920">
        <v>1800</v>
      </c>
      <c r="F4451" s="919" t="s">
        <v>11751</v>
      </c>
      <c r="G4451" s="919" t="s">
        <v>11752</v>
      </c>
      <c r="H4451" s="919" t="s">
        <v>4531</v>
      </c>
      <c r="I4451" s="919" t="s">
        <v>3679</v>
      </c>
      <c r="J4451" s="919"/>
      <c r="K4451" s="920"/>
      <c r="L4451" s="920"/>
      <c r="M4451" s="920">
        <f t="shared" si="138"/>
        <v>0</v>
      </c>
      <c r="N4451" s="919">
        <v>1</v>
      </c>
      <c r="O4451" s="919">
        <v>4</v>
      </c>
      <c r="P4451" s="921">
        <f t="shared" si="139"/>
        <v>7200</v>
      </c>
    </row>
    <row r="4452" spans="1:16" ht="20.100000000000001" customHeight="1" x14ac:dyDescent="0.25">
      <c r="A4452" s="918" t="s">
        <v>11906</v>
      </c>
      <c r="B4452" s="944" t="s">
        <v>3901</v>
      </c>
      <c r="C4452" s="919" t="s">
        <v>3902</v>
      </c>
      <c r="D4452" s="919" t="s">
        <v>4531</v>
      </c>
      <c r="E4452" s="920">
        <v>1800</v>
      </c>
      <c r="F4452" s="919" t="s">
        <v>11753</v>
      </c>
      <c r="G4452" s="919" t="s">
        <v>11754</v>
      </c>
      <c r="H4452" s="919" t="s">
        <v>4531</v>
      </c>
      <c r="I4452" s="919" t="s">
        <v>3679</v>
      </c>
      <c r="J4452" s="919"/>
      <c r="K4452" s="920"/>
      <c r="L4452" s="920"/>
      <c r="M4452" s="920">
        <f t="shared" si="138"/>
        <v>0</v>
      </c>
      <c r="N4452" s="919">
        <v>1</v>
      </c>
      <c r="O4452" s="919">
        <v>4</v>
      </c>
      <c r="P4452" s="921">
        <f t="shared" si="139"/>
        <v>7200</v>
      </c>
    </row>
    <row r="4453" spans="1:16" ht="20.100000000000001" customHeight="1" x14ac:dyDescent="0.25">
      <c r="A4453" s="918" t="s">
        <v>11906</v>
      </c>
      <c r="B4453" s="944" t="s">
        <v>3901</v>
      </c>
      <c r="C4453" s="919" t="s">
        <v>3902</v>
      </c>
      <c r="D4453" s="919" t="s">
        <v>4382</v>
      </c>
      <c r="E4453" s="920">
        <v>2500</v>
      </c>
      <c r="F4453" s="919" t="s">
        <v>11755</v>
      </c>
      <c r="G4453" s="919" t="s">
        <v>11756</v>
      </c>
      <c r="H4453" s="919" t="s">
        <v>4382</v>
      </c>
      <c r="I4453" s="919" t="s">
        <v>3679</v>
      </c>
      <c r="J4453" s="919"/>
      <c r="K4453" s="920"/>
      <c r="L4453" s="920"/>
      <c r="M4453" s="920">
        <f t="shared" si="138"/>
        <v>0</v>
      </c>
      <c r="N4453" s="919">
        <v>1</v>
      </c>
      <c r="O4453" s="919">
        <v>4</v>
      </c>
      <c r="P4453" s="921">
        <f t="shared" si="139"/>
        <v>10000</v>
      </c>
    </row>
    <row r="4454" spans="1:16" ht="20.100000000000001" customHeight="1" x14ac:dyDescent="0.25">
      <c r="A4454" s="918" t="s">
        <v>11906</v>
      </c>
      <c r="B4454" s="944" t="s">
        <v>3901</v>
      </c>
      <c r="C4454" s="919" t="s">
        <v>3902</v>
      </c>
      <c r="D4454" s="919" t="s">
        <v>4382</v>
      </c>
      <c r="E4454" s="920">
        <v>2500</v>
      </c>
      <c r="F4454" s="919" t="s">
        <v>11757</v>
      </c>
      <c r="G4454" s="919" t="s">
        <v>11758</v>
      </c>
      <c r="H4454" s="919" t="s">
        <v>4382</v>
      </c>
      <c r="I4454" s="919" t="s">
        <v>3679</v>
      </c>
      <c r="J4454" s="919"/>
      <c r="K4454" s="920"/>
      <c r="L4454" s="920"/>
      <c r="M4454" s="920">
        <f t="shared" si="138"/>
        <v>0</v>
      </c>
      <c r="N4454" s="919">
        <v>1</v>
      </c>
      <c r="O4454" s="919">
        <v>1</v>
      </c>
      <c r="P4454" s="921">
        <f t="shared" si="139"/>
        <v>2500</v>
      </c>
    </row>
    <row r="4455" spans="1:16" ht="20.100000000000001" customHeight="1" x14ac:dyDescent="0.25">
      <c r="A4455" s="918" t="s">
        <v>11906</v>
      </c>
      <c r="B4455" s="944" t="s">
        <v>3901</v>
      </c>
      <c r="C4455" s="919" t="s">
        <v>3902</v>
      </c>
      <c r="D4455" s="919" t="s">
        <v>4382</v>
      </c>
      <c r="E4455" s="920">
        <v>2500</v>
      </c>
      <c r="F4455" s="919" t="s">
        <v>11759</v>
      </c>
      <c r="G4455" s="919" t="s">
        <v>11760</v>
      </c>
      <c r="H4455" s="919" t="s">
        <v>4382</v>
      </c>
      <c r="I4455" s="919" t="s">
        <v>3679</v>
      </c>
      <c r="J4455" s="919"/>
      <c r="K4455" s="920"/>
      <c r="L4455" s="920"/>
      <c r="M4455" s="920">
        <f t="shared" si="138"/>
        <v>0</v>
      </c>
      <c r="N4455" s="919">
        <v>1</v>
      </c>
      <c r="O4455" s="919">
        <v>1</v>
      </c>
      <c r="P4455" s="921">
        <f t="shared" si="139"/>
        <v>2500</v>
      </c>
    </row>
    <row r="4456" spans="1:16" ht="20.100000000000001" customHeight="1" x14ac:dyDescent="0.25">
      <c r="A4456" s="918" t="s">
        <v>11906</v>
      </c>
      <c r="B4456" s="944" t="s">
        <v>3901</v>
      </c>
      <c r="C4456" s="919" t="s">
        <v>3902</v>
      </c>
      <c r="D4456" s="919" t="s">
        <v>4382</v>
      </c>
      <c r="E4456" s="920">
        <v>2500</v>
      </c>
      <c r="F4456" s="919" t="s">
        <v>11761</v>
      </c>
      <c r="G4456" s="919" t="s">
        <v>11762</v>
      </c>
      <c r="H4456" s="919" t="s">
        <v>4382</v>
      </c>
      <c r="I4456" s="919" t="s">
        <v>3679</v>
      </c>
      <c r="J4456" s="919"/>
      <c r="K4456" s="920"/>
      <c r="L4456" s="920"/>
      <c r="M4456" s="920">
        <f t="shared" si="138"/>
        <v>0</v>
      </c>
      <c r="N4456" s="919">
        <v>1</v>
      </c>
      <c r="O4456" s="919">
        <v>1</v>
      </c>
      <c r="P4456" s="921">
        <f t="shared" si="139"/>
        <v>2500</v>
      </c>
    </row>
    <row r="4457" spans="1:16" ht="20.100000000000001" customHeight="1" x14ac:dyDescent="0.25">
      <c r="A4457" s="918" t="s">
        <v>11906</v>
      </c>
      <c r="B4457" s="944" t="s">
        <v>3901</v>
      </c>
      <c r="C4457" s="919" t="s">
        <v>3902</v>
      </c>
      <c r="D4457" s="919" t="s">
        <v>4382</v>
      </c>
      <c r="E4457" s="920">
        <v>2500</v>
      </c>
      <c r="F4457" s="919" t="s">
        <v>11763</v>
      </c>
      <c r="G4457" s="919" t="s">
        <v>11764</v>
      </c>
      <c r="H4457" s="919" t="s">
        <v>4382</v>
      </c>
      <c r="I4457" s="919" t="s">
        <v>3679</v>
      </c>
      <c r="J4457" s="919"/>
      <c r="K4457" s="920"/>
      <c r="L4457" s="920"/>
      <c r="M4457" s="920">
        <f t="shared" si="138"/>
        <v>0</v>
      </c>
      <c r="N4457" s="919">
        <v>1</v>
      </c>
      <c r="O4457" s="919">
        <v>1</v>
      </c>
      <c r="P4457" s="921">
        <f t="shared" si="139"/>
        <v>2500</v>
      </c>
    </row>
    <row r="4458" spans="1:16" ht="20.100000000000001" customHeight="1" x14ac:dyDescent="0.25">
      <c r="A4458" s="918" t="s">
        <v>11906</v>
      </c>
      <c r="B4458" s="944" t="s">
        <v>3901</v>
      </c>
      <c r="C4458" s="919" t="s">
        <v>3902</v>
      </c>
      <c r="D4458" s="919" t="s">
        <v>4382</v>
      </c>
      <c r="E4458" s="920">
        <v>2500</v>
      </c>
      <c r="F4458" s="919" t="s">
        <v>11765</v>
      </c>
      <c r="G4458" s="919" t="s">
        <v>11766</v>
      </c>
      <c r="H4458" s="919" t="s">
        <v>4382</v>
      </c>
      <c r="I4458" s="919" t="s">
        <v>3679</v>
      </c>
      <c r="J4458" s="919"/>
      <c r="K4458" s="920"/>
      <c r="L4458" s="920"/>
      <c r="M4458" s="920">
        <f t="shared" si="138"/>
        <v>0</v>
      </c>
      <c r="N4458" s="919">
        <v>1</v>
      </c>
      <c r="O4458" s="919">
        <v>1</v>
      </c>
      <c r="P4458" s="921">
        <f t="shared" si="139"/>
        <v>2500</v>
      </c>
    </row>
    <row r="4459" spans="1:16" ht="20.100000000000001" customHeight="1" x14ac:dyDescent="0.25">
      <c r="A4459" s="918" t="s">
        <v>11906</v>
      </c>
      <c r="B4459" s="944" t="s">
        <v>3901</v>
      </c>
      <c r="C4459" s="919" t="s">
        <v>3902</v>
      </c>
      <c r="D4459" s="919" t="s">
        <v>4382</v>
      </c>
      <c r="E4459" s="920">
        <v>2500</v>
      </c>
      <c r="F4459" s="919" t="s">
        <v>11767</v>
      </c>
      <c r="G4459" s="919" t="s">
        <v>11768</v>
      </c>
      <c r="H4459" s="919" t="s">
        <v>4382</v>
      </c>
      <c r="I4459" s="919" t="s">
        <v>3679</v>
      </c>
      <c r="J4459" s="919"/>
      <c r="K4459" s="920"/>
      <c r="L4459" s="920"/>
      <c r="M4459" s="920">
        <f t="shared" si="138"/>
        <v>0</v>
      </c>
      <c r="N4459" s="919">
        <v>1</v>
      </c>
      <c r="O4459" s="919">
        <v>1</v>
      </c>
      <c r="P4459" s="921">
        <f t="shared" si="139"/>
        <v>2500</v>
      </c>
    </row>
    <row r="4460" spans="1:16" ht="20.100000000000001" customHeight="1" x14ac:dyDescent="0.25">
      <c r="A4460" s="918" t="s">
        <v>11906</v>
      </c>
      <c r="B4460" s="944" t="s">
        <v>3901</v>
      </c>
      <c r="C4460" s="919" t="s">
        <v>3902</v>
      </c>
      <c r="D4460" s="919" t="s">
        <v>4382</v>
      </c>
      <c r="E4460" s="920">
        <v>2500</v>
      </c>
      <c r="F4460" s="919" t="s">
        <v>11769</v>
      </c>
      <c r="G4460" s="919" t="s">
        <v>11770</v>
      </c>
      <c r="H4460" s="919" t="s">
        <v>4382</v>
      </c>
      <c r="I4460" s="919" t="s">
        <v>3679</v>
      </c>
      <c r="J4460" s="919"/>
      <c r="K4460" s="920"/>
      <c r="L4460" s="920"/>
      <c r="M4460" s="920">
        <f t="shared" si="138"/>
        <v>0</v>
      </c>
      <c r="N4460" s="919">
        <v>1</v>
      </c>
      <c r="O4460" s="919">
        <v>1</v>
      </c>
      <c r="P4460" s="921">
        <f t="shared" si="139"/>
        <v>2500</v>
      </c>
    </row>
    <row r="4461" spans="1:16" ht="20.100000000000001" customHeight="1" x14ac:dyDescent="0.25">
      <c r="A4461" s="918" t="s">
        <v>11906</v>
      </c>
      <c r="B4461" s="944" t="s">
        <v>3901</v>
      </c>
      <c r="C4461" s="919" t="s">
        <v>3902</v>
      </c>
      <c r="D4461" s="919" t="s">
        <v>4592</v>
      </c>
      <c r="E4461" s="920">
        <v>1150</v>
      </c>
      <c r="F4461" s="919" t="s">
        <v>11771</v>
      </c>
      <c r="G4461" s="919" t="s">
        <v>11772</v>
      </c>
      <c r="H4461" s="919" t="s">
        <v>4592</v>
      </c>
      <c r="I4461" s="919" t="s">
        <v>3686</v>
      </c>
      <c r="J4461" s="919"/>
      <c r="K4461" s="920"/>
      <c r="L4461" s="920"/>
      <c r="M4461" s="920">
        <f t="shared" si="138"/>
        <v>0</v>
      </c>
      <c r="N4461" s="919">
        <v>1</v>
      </c>
      <c r="O4461" s="919">
        <v>4</v>
      </c>
      <c r="P4461" s="921">
        <f t="shared" si="139"/>
        <v>4600</v>
      </c>
    </row>
    <row r="4462" spans="1:16" ht="20.100000000000001" customHeight="1" x14ac:dyDescent="0.25">
      <c r="A4462" s="918" t="s">
        <v>11906</v>
      </c>
      <c r="B4462" s="944" t="s">
        <v>3901</v>
      </c>
      <c r="C4462" s="919" t="s">
        <v>3902</v>
      </c>
      <c r="D4462" s="919" t="s">
        <v>4592</v>
      </c>
      <c r="E4462" s="920">
        <v>1150</v>
      </c>
      <c r="F4462" s="919" t="s">
        <v>11773</v>
      </c>
      <c r="G4462" s="919" t="s">
        <v>11774</v>
      </c>
      <c r="H4462" s="919" t="s">
        <v>4592</v>
      </c>
      <c r="I4462" s="919" t="s">
        <v>3686</v>
      </c>
      <c r="J4462" s="919"/>
      <c r="K4462" s="920"/>
      <c r="L4462" s="920"/>
      <c r="M4462" s="920">
        <f t="shared" si="138"/>
        <v>0</v>
      </c>
      <c r="N4462" s="919">
        <v>1</v>
      </c>
      <c r="O4462" s="919">
        <v>1</v>
      </c>
      <c r="P4462" s="921">
        <f t="shared" si="139"/>
        <v>1150</v>
      </c>
    </row>
    <row r="4463" spans="1:16" ht="20.100000000000001" customHeight="1" x14ac:dyDescent="0.25">
      <c r="A4463" s="918" t="s">
        <v>11906</v>
      </c>
      <c r="B4463" s="944" t="s">
        <v>3901</v>
      </c>
      <c r="C4463" s="919" t="s">
        <v>3902</v>
      </c>
      <c r="D4463" s="919" t="s">
        <v>4592</v>
      </c>
      <c r="E4463" s="920">
        <v>1150</v>
      </c>
      <c r="F4463" s="919" t="s">
        <v>11775</v>
      </c>
      <c r="G4463" s="919" t="s">
        <v>11776</v>
      </c>
      <c r="H4463" s="919" t="s">
        <v>4592</v>
      </c>
      <c r="I4463" s="919" t="s">
        <v>3686</v>
      </c>
      <c r="J4463" s="919"/>
      <c r="K4463" s="920"/>
      <c r="L4463" s="920"/>
      <c r="M4463" s="920">
        <f t="shared" si="138"/>
        <v>0</v>
      </c>
      <c r="N4463" s="919">
        <v>1</v>
      </c>
      <c r="O4463" s="919">
        <v>1</v>
      </c>
      <c r="P4463" s="921">
        <f t="shared" si="139"/>
        <v>1150</v>
      </c>
    </row>
    <row r="4464" spans="1:16" ht="20.100000000000001" customHeight="1" x14ac:dyDescent="0.25">
      <c r="A4464" s="918" t="s">
        <v>11906</v>
      </c>
      <c r="B4464" s="944" t="s">
        <v>3901</v>
      </c>
      <c r="C4464" s="919" t="s">
        <v>3902</v>
      </c>
      <c r="D4464" s="919" t="s">
        <v>4592</v>
      </c>
      <c r="E4464" s="920">
        <v>1150</v>
      </c>
      <c r="F4464" s="919" t="s">
        <v>11777</v>
      </c>
      <c r="G4464" s="919" t="s">
        <v>11778</v>
      </c>
      <c r="H4464" s="919" t="s">
        <v>4592</v>
      </c>
      <c r="I4464" s="919" t="s">
        <v>3686</v>
      </c>
      <c r="J4464" s="919"/>
      <c r="K4464" s="920"/>
      <c r="L4464" s="920"/>
      <c r="M4464" s="920">
        <f t="shared" si="138"/>
        <v>0</v>
      </c>
      <c r="N4464" s="919">
        <v>1</v>
      </c>
      <c r="O4464" s="919">
        <v>1</v>
      </c>
      <c r="P4464" s="921">
        <f t="shared" si="139"/>
        <v>1150</v>
      </c>
    </row>
    <row r="4465" spans="1:16" ht="20.100000000000001" customHeight="1" x14ac:dyDescent="0.25">
      <c r="A4465" s="918" t="s">
        <v>11906</v>
      </c>
      <c r="B4465" s="944" t="s">
        <v>3901</v>
      </c>
      <c r="C4465" s="919" t="s">
        <v>3902</v>
      </c>
      <c r="D4465" s="919" t="s">
        <v>4592</v>
      </c>
      <c r="E4465" s="920">
        <v>1150</v>
      </c>
      <c r="F4465" s="919" t="s">
        <v>11779</v>
      </c>
      <c r="G4465" s="919" t="s">
        <v>11780</v>
      </c>
      <c r="H4465" s="919" t="s">
        <v>4592</v>
      </c>
      <c r="I4465" s="919" t="s">
        <v>3686</v>
      </c>
      <c r="J4465" s="919"/>
      <c r="K4465" s="920"/>
      <c r="L4465" s="920"/>
      <c r="M4465" s="920">
        <f t="shared" si="138"/>
        <v>0</v>
      </c>
      <c r="N4465" s="919">
        <v>1</v>
      </c>
      <c r="O4465" s="919">
        <v>1</v>
      </c>
      <c r="P4465" s="921">
        <f t="shared" si="139"/>
        <v>1150</v>
      </c>
    </row>
    <row r="4466" spans="1:16" ht="20.100000000000001" customHeight="1" x14ac:dyDescent="0.25">
      <c r="A4466" s="918" t="s">
        <v>11906</v>
      </c>
      <c r="B4466" s="944" t="s">
        <v>3901</v>
      </c>
      <c r="C4466" s="919" t="s">
        <v>3902</v>
      </c>
      <c r="D4466" s="919" t="s">
        <v>4592</v>
      </c>
      <c r="E4466" s="920">
        <v>1150</v>
      </c>
      <c r="F4466" s="919" t="s">
        <v>11781</v>
      </c>
      <c r="G4466" s="919" t="s">
        <v>11782</v>
      </c>
      <c r="H4466" s="919" t="s">
        <v>4592</v>
      </c>
      <c r="I4466" s="919" t="s">
        <v>3686</v>
      </c>
      <c r="J4466" s="919"/>
      <c r="K4466" s="920"/>
      <c r="L4466" s="920"/>
      <c r="M4466" s="920">
        <f t="shared" si="138"/>
        <v>0</v>
      </c>
      <c r="N4466" s="919">
        <v>1</v>
      </c>
      <c r="O4466" s="919">
        <v>1</v>
      </c>
      <c r="P4466" s="921">
        <f t="shared" si="139"/>
        <v>1150</v>
      </c>
    </row>
    <row r="4467" spans="1:16" ht="20.100000000000001" customHeight="1" x14ac:dyDescent="0.25">
      <c r="A4467" s="918" t="s">
        <v>11906</v>
      </c>
      <c r="B4467" s="944" t="s">
        <v>3901</v>
      </c>
      <c r="C4467" s="919" t="s">
        <v>3902</v>
      </c>
      <c r="D4467" s="919" t="s">
        <v>4592</v>
      </c>
      <c r="E4467" s="920">
        <v>1150</v>
      </c>
      <c r="F4467" s="919" t="s">
        <v>11783</v>
      </c>
      <c r="G4467" s="919" t="s">
        <v>11784</v>
      </c>
      <c r="H4467" s="919" t="s">
        <v>4592</v>
      </c>
      <c r="I4467" s="919" t="s">
        <v>3686</v>
      </c>
      <c r="J4467" s="919"/>
      <c r="K4467" s="920"/>
      <c r="L4467" s="920"/>
      <c r="M4467" s="920">
        <f t="shared" si="138"/>
        <v>0</v>
      </c>
      <c r="N4467" s="919">
        <v>1</v>
      </c>
      <c r="O4467" s="919">
        <v>1</v>
      </c>
      <c r="P4467" s="921">
        <f t="shared" si="139"/>
        <v>1150</v>
      </c>
    </row>
    <row r="4468" spans="1:16" ht="20.100000000000001" customHeight="1" x14ac:dyDescent="0.25">
      <c r="A4468" s="918" t="s">
        <v>11906</v>
      </c>
      <c r="B4468" s="944" t="s">
        <v>3901</v>
      </c>
      <c r="C4468" s="919" t="s">
        <v>3902</v>
      </c>
      <c r="D4468" s="919" t="s">
        <v>4592</v>
      </c>
      <c r="E4468" s="920">
        <v>1150</v>
      </c>
      <c r="F4468" s="919" t="s">
        <v>11785</v>
      </c>
      <c r="G4468" s="919" t="s">
        <v>11786</v>
      </c>
      <c r="H4468" s="919" t="s">
        <v>4592</v>
      </c>
      <c r="I4468" s="919" t="s">
        <v>3686</v>
      </c>
      <c r="J4468" s="919"/>
      <c r="K4468" s="920"/>
      <c r="L4468" s="920"/>
      <c r="M4468" s="920">
        <f t="shared" si="138"/>
        <v>0</v>
      </c>
      <c r="N4468" s="919">
        <v>1</v>
      </c>
      <c r="O4468" s="919">
        <v>1</v>
      </c>
      <c r="P4468" s="921">
        <f t="shared" si="139"/>
        <v>1150</v>
      </c>
    </row>
    <row r="4469" spans="1:16" ht="20.100000000000001" customHeight="1" x14ac:dyDescent="0.25">
      <c r="A4469" s="918" t="s">
        <v>11906</v>
      </c>
      <c r="B4469" s="944" t="s">
        <v>3901</v>
      </c>
      <c r="C4469" s="919" t="s">
        <v>3902</v>
      </c>
      <c r="D4469" s="919" t="s">
        <v>4592</v>
      </c>
      <c r="E4469" s="920">
        <v>1150</v>
      </c>
      <c r="F4469" s="919" t="s">
        <v>11787</v>
      </c>
      <c r="G4469" s="919" t="s">
        <v>11788</v>
      </c>
      <c r="H4469" s="919" t="s">
        <v>4592</v>
      </c>
      <c r="I4469" s="919" t="s">
        <v>3686</v>
      </c>
      <c r="J4469" s="919"/>
      <c r="K4469" s="920"/>
      <c r="L4469" s="920"/>
      <c r="M4469" s="920">
        <f t="shared" si="138"/>
        <v>0</v>
      </c>
      <c r="N4469" s="919">
        <v>1</v>
      </c>
      <c r="O4469" s="919">
        <v>4</v>
      </c>
      <c r="P4469" s="921">
        <f t="shared" si="139"/>
        <v>4600</v>
      </c>
    </row>
    <row r="4470" spans="1:16" ht="20.100000000000001" customHeight="1" x14ac:dyDescent="0.25">
      <c r="A4470" s="918" t="s">
        <v>11906</v>
      </c>
      <c r="B4470" s="944" t="s">
        <v>3901</v>
      </c>
      <c r="C4470" s="919" t="s">
        <v>3902</v>
      </c>
      <c r="D4470" s="919" t="s">
        <v>4109</v>
      </c>
      <c r="E4470" s="920">
        <v>1400</v>
      </c>
      <c r="F4470" s="919" t="s">
        <v>11789</v>
      </c>
      <c r="G4470" s="919" t="s">
        <v>11790</v>
      </c>
      <c r="H4470" s="919" t="s">
        <v>4109</v>
      </c>
      <c r="I4470" s="919" t="s">
        <v>3686</v>
      </c>
      <c r="J4470" s="919"/>
      <c r="K4470" s="920"/>
      <c r="L4470" s="920"/>
      <c r="M4470" s="920">
        <f t="shared" si="138"/>
        <v>0</v>
      </c>
      <c r="N4470" s="919">
        <v>1</v>
      </c>
      <c r="O4470" s="919">
        <v>5</v>
      </c>
      <c r="P4470" s="921">
        <f t="shared" si="139"/>
        <v>7000</v>
      </c>
    </row>
    <row r="4471" spans="1:16" ht="20.100000000000001" customHeight="1" x14ac:dyDescent="0.25">
      <c r="A4471" s="918" t="s">
        <v>11906</v>
      </c>
      <c r="B4471" s="944" t="s">
        <v>3901</v>
      </c>
      <c r="C4471" s="919" t="s">
        <v>3902</v>
      </c>
      <c r="D4471" s="919" t="s">
        <v>4109</v>
      </c>
      <c r="E4471" s="920">
        <v>1400</v>
      </c>
      <c r="F4471" s="919" t="s">
        <v>11791</v>
      </c>
      <c r="G4471" s="919" t="s">
        <v>11792</v>
      </c>
      <c r="H4471" s="919" t="s">
        <v>4109</v>
      </c>
      <c r="I4471" s="919" t="s">
        <v>3686</v>
      </c>
      <c r="J4471" s="919"/>
      <c r="K4471" s="920"/>
      <c r="L4471" s="920"/>
      <c r="M4471" s="920">
        <f t="shared" si="138"/>
        <v>0</v>
      </c>
      <c r="N4471" s="919">
        <v>1</v>
      </c>
      <c r="O4471" s="919">
        <v>4</v>
      </c>
      <c r="P4471" s="921">
        <f t="shared" si="139"/>
        <v>5600</v>
      </c>
    </row>
    <row r="4472" spans="1:16" ht="20.100000000000001" customHeight="1" x14ac:dyDescent="0.25">
      <c r="A4472" s="918" t="s">
        <v>11906</v>
      </c>
      <c r="B4472" s="944" t="s">
        <v>3901</v>
      </c>
      <c r="C4472" s="919" t="s">
        <v>3902</v>
      </c>
      <c r="D4472" s="919" t="s">
        <v>4109</v>
      </c>
      <c r="E4472" s="920">
        <v>1400</v>
      </c>
      <c r="F4472" s="919" t="s">
        <v>11793</v>
      </c>
      <c r="G4472" s="919" t="s">
        <v>11794</v>
      </c>
      <c r="H4472" s="919" t="s">
        <v>4109</v>
      </c>
      <c r="I4472" s="919" t="s">
        <v>3686</v>
      </c>
      <c r="J4472" s="919"/>
      <c r="K4472" s="920"/>
      <c r="L4472" s="920"/>
      <c r="M4472" s="920">
        <f t="shared" si="138"/>
        <v>0</v>
      </c>
      <c r="N4472" s="919">
        <v>1</v>
      </c>
      <c r="O4472" s="919">
        <v>5</v>
      </c>
      <c r="P4472" s="921">
        <f t="shared" si="139"/>
        <v>7000</v>
      </c>
    </row>
    <row r="4473" spans="1:16" ht="20.100000000000001" customHeight="1" x14ac:dyDescent="0.25">
      <c r="A4473" s="918" t="s">
        <v>11906</v>
      </c>
      <c r="B4473" s="944" t="s">
        <v>3901</v>
      </c>
      <c r="C4473" s="919" t="s">
        <v>3902</v>
      </c>
      <c r="D4473" s="919" t="s">
        <v>4109</v>
      </c>
      <c r="E4473" s="920">
        <v>1400</v>
      </c>
      <c r="F4473" s="919" t="s">
        <v>11795</v>
      </c>
      <c r="G4473" s="919" t="s">
        <v>11796</v>
      </c>
      <c r="H4473" s="919" t="s">
        <v>4109</v>
      </c>
      <c r="I4473" s="919" t="s">
        <v>3686</v>
      </c>
      <c r="J4473" s="919"/>
      <c r="K4473" s="920"/>
      <c r="L4473" s="920"/>
      <c r="M4473" s="920">
        <f t="shared" si="138"/>
        <v>0</v>
      </c>
      <c r="N4473" s="919">
        <v>1</v>
      </c>
      <c r="O4473" s="919">
        <v>5</v>
      </c>
      <c r="P4473" s="921">
        <f t="shared" si="139"/>
        <v>7000</v>
      </c>
    </row>
    <row r="4474" spans="1:16" ht="20.100000000000001" customHeight="1" x14ac:dyDescent="0.25">
      <c r="A4474" s="918" t="s">
        <v>11906</v>
      </c>
      <c r="B4474" s="944" t="s">
        <v>3901</v>
      </c>
      <c r="C4474" s="919" t="s">
        <v>3902</v>
      </c>
      <c r="D4474" s="919" t="s">
        <v>4109</v>
      </c>
      <c r="E4474" s="920">
        <v>1400</v>
      </c>
      <c r="F4474" s="919" t="s">
        <v>11797</v>
      </c>
      <c r="G4474" s="919" t="s">
        <v>11798</v>
      </c>
      <c r="H4474" s="919" t="s">
        <v>4109</v>
      </c>
      <c r="I4474" s="919" t="s">
        <v>3686</v>
      </c>
      <c r="J4474" s="919"/>
      <c r="K4474" s="920"/>
      <c r="L4474" s="920"/>
      <c r="M4474" s="920">
        <f t="shared" si="138"/>
        <v>0</v>
      </c>
      <c r="N4474" s="919">
        <v>1</v>
      </c>
      <c r="O4474" s="919">
        <v>4</v>
      </c>
      <c r="P4474" s="921">
        <f t="shared" si="139"/>
        <v>5600</v>
      </c>
    </row>
    <row r="4475" spans="1:16" ht="20.100000000000001" customHeight="1" x14ac:dyDescent="0.25">
      <c r="A4475" s="918" t="s">
        <v>11906</v>
      </c>
      <c r="B4475" s="944" t="s">
        <v>3901</v>
      </c>
      <c r="C4475" s="919" t="s">
        <v>3902</v>
      </c>
      <c r="D4475" s="919" t="s">
        <v>4109</v>
      </c>
      <c r="E4475" s="920">
        <v>1400</v>
      </c>
      <c r="F4475" s="919" t="s">
        <v>11799</v>
      </c>
      <c r="G4475" s="919" t="s">
        <v>11800</v>
      </c>
      <c r="H4475" s="919" t="s">
        <v>4109</v>
      </c>
      <c r="I4475" s="919" t="s">
        <v>3686</v>
      </c>
      <c r="J4475" s="919"/>
      <c r="K4475" s="920"/>
      <c r="L4475" s="920"/>
      <c r="M4475" s="920">
        <f t="shared" si="138"/>
        <v>0</v>
      </c>
      <c r="N4475" s="919">
        <v>1</v>
      </c>
      <c r="O4475" s="919">
        <v>5</v>
      </c>
      <c r="P4475" s="921">
        <f t="shared" si="139"/>
        <v>7000</v>
      </c>
    </row>
    <row r="4476" spans="1:16" ht="20.100000000000001" customHeight="1" x14ac:dyDescent="0.25">
      <c r="A4476" s="918" t="s">
        <v>11906</v>
      </c>
      <c r="B4476" s="944" t="s">
        <v>3901</v>
      </c>
      <c r="C4476" s="919" t="s">
        <v>3902</v>
      </c>
      <c r="D4476" s="919" t="s">
        <v>4109</v>
      </c>
      <c r="E4476" s="920">
        <v>1400</v>
      </c>
      <c r="F4476" s="919" t="s">
        <v>11801</v>
      </c>
      <c r="G4476" s="919" t="s">
        <v>11802</v>
      </c>
      <c r="H4476" s="919" t="s">
        <v>4109</v>
      </c>
      <c r="I4476" s="919" t="s">
        <v>3686</v>
      </c>
      <c r="J4476" s="919"/>
      <c r="K4476" s="920"/>
      <c r="L4476" s="920"/>
      <c r="M4476" s="920">
        <f t="shared" si="138"/>
        <v>0</v>
      </c>
      <c r="N4476" s="919">
        <v>1</v>
      </c>
      <c r="O4476" s="919">
        <v>5</v>
      </c>
      <c r="P4476" s="921">
        <f t="shared" si="139"/>
        <v>7000</v>
      </c>
    </row>
    <row r="4477" spans="1:16" ht="20.100000000000001" customHeight="1" x14ac:dyDescent="0.25">
      <c r="A4477" s="918" t="s">
        <v>11906</v>
      </c>
      <c r="B4477" s="944" t="s">
        <v>3901</v>
      </c>
      <c r="C4477" s="919" t="s">
        <v>3902</v>
      </c>
      <c r="D4477" s="919" t="s">
        <v>4109</v>
      </c>
      <c r="E4477" s="920">
        <v>1400</v>
      </c>
      <c r="F4477" s="919" t="s">
        <v>11803</v>
      </c>
      <c r="G4477" s="919" t="s">
        <v>11804</v>
      </c>
      <c r="H4477" s="919" t="s">
        <v>4109</v>
      </c>
      <c r="I4477" s="919" t="s">
        <v>3686</v>
      </c>
      <c r="J4477" s="919"/>
      <c r="K4477" s="920"/>
      <c r="L4477" s="920"/>
      <c r="M4477" s="920">
        <f t="shared" si="138"/>
        <v>0</v>
      </c>
      <c r="N4477" s="919">
        <v>1</v>
      </c>
      <c r="O4477" s="919">
        <v>5</v>
      </c>
      <c r="P4477" s="921">
        <f t="shared" si="139"/>
        <v>7000</v>
      </c>
    </row>
    <row r="4478" spans="1:16" ht="20.100000000000001" customHeight="1" x14ac:dyDescent="0.25">
      <c r="A4478" s="918" t="s">
        <v>11906</v>
      </c>
      <c r="B4478" s="944" t="s">
        <v>3901</v>
      </c>
      <c r="C4478" s="919" t="s">
        <v>3902</v>
      </c>
      <c r="D4478" s="919" t="s">
        <v>4657</v>
      </c>
      <c r="E4478" s="920">
        <v>1150</v>
      </c>
      <c r="F4478" s="919" t="s">
        <v>11805</v>
      </c>
      <c r="G4478" s="919" t="s">
        <v>11806</v>
      </c>
      <c r="H4478" s="919" t="s">
        <v>4657</v>
      </c>
      <c r="I4478" s="919" t="s">
        <v>3686</v>
      </c>
      <c r="J4478" s="919"/>
      <c r="K4478" s="920"/>
      <c r="L4478" s="920"/>
      <c r="M4478" s="920">
        <f t="shared" si="138"/>
        <v>0</v>
      </c>
      <c r="N4478" s="919">
        <v>1</v>
      </c>
      <c r="O4478" s="919">
        <v>1</v>
      </c>
      <c r="P4478" s="921">
        <f t="shared" si="139"/>
        <v>1150</v>
      </c>
    </row>
    <row r="4479" spans="1:16" ht="20.100000000000001" customHeight="1" x14ac:dyDescent="0.25">
      <c r="A4479" s="918" t="s">
        <v>11906</v>
      </c>
      <c r="B4479" s="944" t="s">
        <v>3901</v>
      </c>
      <c r="C4479" s="919" t="s">
        <v>3902</v>
      </c>
      <c r="D4479" s="919" t="s">
        <v>4657</v>
      </c>
      <c r="E4479" s="920">
        <v>1150</v>
      </c>
      <c r="F4479" s="919" t="s">
        <v>11807</v>
      </c>
      <c r="G4479" s="919" t="s">
        <v>11808</v>
      </c>
      <c r="H4479" s="919" t="s">
        <v>4657</v>
      </c>
      <c r="I4479" s="919" t="s">
        <v>3686</v>
      </c>
      <c r="J4479" s="919"/>
      <c r="K4479" s="920"/>
      <c r="L4479" s="920"/>
      <c r="M4479" s="920">
        <f t="shared" si="138"/>
        <v>0</v>
      </c>
      <c r="N4479" s="919">
        <v>1</v>
      </c>
      <c r="O4479" s="919">
        <v>5</v>
      </c>
      <c r="P4479" s="921">
        <f t="shared" si="139"/>
        <v>5750</v>
      </c>
    </row>
    <row r="4480" spans="1:16" ht="20.100000000000001" customHeight="1" x14ac:dyDescent="0.25">
      <c r="A4480" s="918" t="s">
        <v>11906</v>
      </c>
      <c r="B4480" s="944" t="s">
        <v>3901</v>
      </c>
      <c r="C4480" s="919" t="s">
        <v>3902</v>
      </c>
      <c r="D4480" s="919" t="s">
        <v>4657</v>
      </c>
      <c r="E4480" s="920">
        <v>1150</v>
      </c>
      <c r="F4480" s="919" t="s">
        <v>11809</v>
      </c>
      <c r="G4480" s="919" t="s">
        <v>11810</v>
      </c>
      <c r="H4480" s="919" t="s">
        <v>4657</v>
      </c>
      <c r="I4480" s="919" t="s">
        <v>3686</v>
      </c>
      <c r="J4480" s="919"/>
      <c r="K4480" s="920"/>
      <c r="L4480" s="920"/>
      <c r="M4480" s="920">
        <f t="shared" si="138"/>
        <v>0</v>
      </c>
      <c r="N4480" s="919">
        <v>1</v>
      </c>
      <c r="O4480" s="919">
        <v>5</v>
      </c>
      <c r="P4480" s="921">
        <f t="shared" si="139"/>
        <v>5750</v>
      </c>
    </row>
    <row r="4481" spans="1:16" ht="20.100000000000001" customHeight="1" x14ac:dyDescent="0.25">
      <c r="A4481" s="918" t="s">
        <v>11906</v>
      </c>
      <c r="B4481" s="944" t="s">
        <v>3901</v>
      </c>
      <c r="C4481" s="919" t="s">
        <v>3902</v>
      </c>
      <c r="D4481" s="919" t="s">
        <v>4657</v>
      </c>
      <c r="E4481" s="920">
        <v>1150</v>
      </c>
      <c r="F4481" s="919" t="s">
        <v>11811</v>
      </c>
      <c r="G4481" s="919" t="s">
        <v>11812</v>
      </c>
      <c r="H4481" s="919" t="s">
        <v>4657</v>
      </c>
      <c r="I4481" s="919" t="s">
        <v>3686</v>
      </c>
      <c r="J4481" s="919"/>
      <c r="K4481" s="920"/>
      <c r="L4481" s="920"/>
      <c r="M4481" s="920">
        <f t="shared" si="138"/>
        <v>0</v>
      </c>
      <c r="N4481" s="919">
        <v>1</v>
      </c>
      <c r="O4481" s="919">
        <v>5</v>
      </c>
      <c r="P4481" s="921">
        <f t="shared" si="139"/>
        <v>5750</v>
      </c>
    </row>
    <row r="4482" spans="1:16" ht="20.100000000000001" customHeight="1" x14ac:dyDescent="0.25">
      <c r="A4482" s="918" t="s">
        <v>11906</v>
      </c>
      <c r="B4482" s="944" t="s">
        <v>3901</v>
      </c>
      <c r="C4482" s="919" t="s">
        <v>3902</v>
      </c>
      <c r="D4482" s="919" t="s">
        <v>4657</v>
      </c>
      <c r="E4482" s="920">
        <v>1150</v>
      </c>
      <c r="F4482" s="919" t="s">
        <v>11813</v>
      </c>
      <c r="G4482" s="919" t="s">
        <v>11814</v>
      </c>
      <c r="H4482" s="919" t="s">
        <v>4657</v>
      </c>
      <c r="I4482" s="919" t="s">
        <v>3686</v>
      </c>
      <c r="J4482" s="919"/>
      <c r="K4482" s="920"/>
      <c r="L4482" s="920"/>
      <c r="M4482" s="920">
        <f t="shared" si="138"/>
        <v>0</v>
      </c>
      <c r="N4482" s="919">
        <v>1</v>
      </c>
      <c r="O4482" s="919">
        <v>1</v>
      </c>
      <c r="P4482" s="921">
        <f t="shared" si="139"/>
        <v>1150</v>
      </c>
    </row>
    <row r="4483" spans="1:16" ht="20.100000000000001" customHeight="1" x14ac:dyDescent="0.25">
      <c r="A4483" s="918" t="s">
        <v>11906</v>
      </c>
      <c r="B4483" s="944" t="s">
        <v>3901</v>
      </c>
      <c r="C4483" s="919" t="s">
        <v>3902</v>
      </c>
      <c r="D4483" s="919" t="s">
        <v>4657</v>
      </c>
      <c r="E4483" s="920">
        <v>1150</v>
      </c>
      <c r="F4483" s="919" t="s">
        <v>11815</v>
      </c>
      <c r="G4483" s="919" t="s">
        <v>11816</v>
      </c>
      <c r="H4483" s="919" t="s">
        <v>4657</v>
      </c>
      <c r="I4483" s="919" t="s">
        <v>3686</v>
      </c>
      <c r="J4483" s="919"/>
      <c r="K4483" s="920"/>
      <c r="L4483" s="920"/>
      <c r="M4483" s="920">
        <f t="shared" si="138"/>
        <v>0</v>
      </c>
      <c r="N4483" s="919">
        <v>1</v>
      </c>
      <c r="O4483" s="919">
        <v>5</v>
      </c>
      <c r="P4483" s="921">
        <f t="shared" si="139"/>
        <v>5750</v>
      </c>
    </row>
    <row r="4484" spans="1:16" ht="20.100000000000001" customHeight="1" x14ac:dyDescent="0.25">
      <c r="A4484" s="918" t="s">
        <v>11906</v>
      </c>
      <c r="B4484" s="944" t="s">
        <v>3901</v>
      </c>
      <c r="C4484" s="919" t="s">
        <v>3902</v>
      </c>
      <c r="D4484" s="919" t="s">
        <v>4502</v>
      </c>
      <c r="E4484" s="920">
        <v>1150</v>
      </c>
      <c r="F4484" s="919" t="s">
        <v>11817</v>
      </c>
      <c r="G4484" s="919" t="s">
        <v>11818</v>
      </c>
      <c r="H4484" s="919" t="s">
        <v>4502</v>
      </c>
      <c r="I4484" s="919" t="s">
        <v>3686</v>
      </c>
      <c r="J4484" s="919"/>
      <c r="K4484" s="920"/>
      <c r="L4484" s="920"/>
      <c r="M4484" s="920">
        <f t="shared" si="138"/>
        <v>0</v>
      </c>
      <c r="N4484" s="919">
        <v>1</v>
      </c>
      <c r="O4484" s="919">
        <v>5</v>
      </c>
      <c r="P4484" s="921">
        <f t="shared" si="139"/>
        <v>5750</v>
      </c>
    </row>
    <row r="4485" spans="1:16" ht="20.100000000000001" customHeight="1" x14ac:dyDescent="0.25">
      <c r="A4485" s="918" t="s">
        <v>11906</v>
      </c>
      <c r="B4485" s="944" t="s">
        <v>3901</v>
      </c>
      <c r="C4485" s="919" t="s">
        <v>3902</v>
      </c>
      <c r="D4485" s="919" t="s">
        <v>4502</v>
      </c>
      <c r="E4485" s="920">
        <v>1150</v>
      </c>
      <c r="F4485" s="919" t="s">
        <v>11819</v>
      </c>
      <c r="G4485" s="919" t="s">
        <v>11820</v>
      </c>
      <c r="H4485" s="919" t="s">
        <v>4502</v>
      </c>
      <c r="I4485" s="919" t="s">
        <v>3686</v>
      </c>
      <c r="J4485" s="919"/>
      <c r="K4485" s="920"/>
      <c r="L4485" s="920"/>
      <c r="M4485" s="920">
        <f t="shared" si="138"/>
        <v>0</v>
      </c>
      <c r="N4485" s="919">
        <v>1</v>
      </c>
      <c r="O4485" s="919">
        <v>1</v>
      </c>
      <c r="P4485" s="921">
        <f t="shared" si="139"/>
        <v>1150</v>
      </c>
    </row>
    <row r="4486" spans="1:16" ht="20.100000000000001" customHeight="1" x14ac:dyDescent="0.25">
      <c r="A4486" s="918" t="s">
        <v>11906</v>
      </c>
      <c r="B4486" s="944" t="s">
        <v>3901</v>
      </c>
      <c r="C4486" s="919" t="s">
        <v>3902</v>
      </c>
      <c r="D4486" s="919" t="s">
        <v>4502</v>
      </c>
      <c r="E4486" s="920">
        <v>1150</v>
      </c>
      <c r="F4486" s="919" t="s">
        <v>11821</v>
      </c>
      <c r="G4486" s="919" t="s">
        <v>11822</v>
      </c>
      <c r="H4486" s="919" t="s">
        <v>4502</v>
      </c>
      <c r="I4486" s="919" t="s">
        <v>3686</v>
      </c>
      <c r="J4486" s="919"/>
      <c r="K4486" s="920"/>
      <c r="L4486" s="920"/>
      <c r="M4486" s="920">
        <f t="shared" ref="M4486:M4526" si="140">E4486*L4486</f>
        <v>0</v>
      </c>
      <c r="N4486" s="919">
        <v>1</v>
      </c>
      <c r="O4486" s="919">
        <v>5</v>
      </c>
      <c r="P4486" s="921">
        <f t="shared" ref="P4486:P4526" si="141">E4486*O4486</f>
        <v>5750</v>
      </c>
    </row>
    <row r="4487" spans="1:16" ht="20.100000000000001" customHeight="1" x14ac:dyDescent="0.25">
      <c r="A4487" s="918" t="s">
        <v>11906</v>
      </c>
      <c r="B4487" s="944" t="s">
        <v>3901</v>
      </c>
      <c r="C4487" s="919" t="s">
        <v>3902</v>
      </c>
      <c r="D4487" s="919" t="s">
        <v>4502</v>
      </c>
      <c r="E4487" s="920">
        <v>1150</v>
      </c>
      <c r="F4487" s="919" t="s">
        <v>11823</v>
      </c>
      <c r="G4487" s="919" t="s">
        <v>11824</v>
      </c>
      <c r="H4487" s="919" t="s">
        <v>4502</v>
      </c>
      <c r="I4487" s="919" t="s">
        <v>3686</v>
      </c>
      <c r="J4487" s="919"/>
      <c r="K4487" s="920"/>
      <c r="L4487" s="920"/>
      <c r="M4487" s="920">
        <f t="shared" si="140"/>
        <v>0</v>
      </c>
      <c r="N4487" s="919">
        <v>1</v>
      </c>
      <c r="O4487" s="919">
        <v>5</v>
      </c>
      <c r="P4487" s="921">
        <f t="shared" si="141"/>
        <v>5750</v>
      </c>
    </row>
    <row r="4488" spans="1:16" ht="20.100000000000001" customHeight="1" x14ac:dyDescent="0.25">
      <c r="A4488" s="918" t="s">
        <v>11906</v>
      </c>
      <c r="B4488" s="944" t="s">
        <v>3901</v>
      </c>
      <c r="C4488" s="919" t="s">
        <v>3902</v>
      </c>
      <c r="D4488" s="919" t="s">
        <v>4502</v>
      </c>
      <c r="E4488" s="920">
        <v>1150</v>
      </c>
      <c r="F4488" s="919" t="s">
        <v>11825</v>
      </c>
      <c r="G4488" s="919" t="s">
        <v>11826</v>
      </c>
      <c r="H4488" s="919" t="s">
        <v>4502</v>
      </c>
      <c r="I4488" s="919" t="s">
        <v>3686</v>
      </c>
      <c r="J4488" s="919"/>
      <c r="K4488" s="920"/>
      <c r="L4488" s="920"/>
      <c r="M4488" s="920">
        <f t="shared" si="140"/>
        <v>0</v>
      </c>
      <c r="N4488" s="919">
        <v>1</v>
      </c>
      <c r="O4488" s="919">
        <v>5</v>
      </c>
      <c r="P4488" s="921">
        <f t="shared" si="141"/>
        <v>5750</v>
      </c>
    </row>
    <row r="4489" spans="1:16" ht="20.100000000000001" customHeight="1" x14ac:dyDescent="0.25">
      <c r="A4489" s="918" t="s">
        <v>11906</v>
      </c>
      <c r="B4489" s="944" t="s">
        <v>3901</v>
      </c>
      <c r="C4489" s="919" t="s">
        <v>3902</v>
      </c>
      <c r="D4489" s="919" t="s">
        <v>4502</v>
      </c>
      <c r="E4489" s="920">
        <v>1150</v>
      </c>
      <c r="F4489" s="919" t="s">
        <v>11827</v>
      </c>
      <c r="G4489" s="919" t="s">
        <v>11828</v>
      </c>
      <c r="H4489" s="919" t="s">
        <v>4502</v>
      </c>
      <c r="I4489" s="919" t="s">
        <v>3686</v>
      </c>
      <c r="J4489" s="919"/>
      <c r="K4489" s="920"/>
      <c r="L4489" s="920"/>
      <c r="M4489" s="920">
        <f t="shared" si="140"/>
        <v>0</v>
      </c>
      <c r="N4489" s="919">
        <v>1</v>
      </c>
      <c r="O4489" s="919">
        <v>5</v>
      </c>
      <c r="P4489" s="921">
        <f t="shared" si="141"/>
        <v>5750</v>
      </c>
    </row>
    <row r="4490" spans="1:16" ht="20.100000000000001" customHeight="1" x14ac:dyDescent="0.25">
      <c r="A4490" s="918" t="s">
        <v>11906</v>
      </c>
      <c r="B4490" s="944" t="s">
        <v>3901</v>
      </c>
      <c r="C4490" s="919" t="s">
        <v>3902</v>
      </c>
      <c r="D4490" s="919" t="s">
        <v>4502</v>
      </c>
      <c r="E4490" s="920">
        <v>1150</v>
      </c>
      <c r="F4490" s="919" t="s">
        <v>11829</v>
      </c>
      <c r="G4490" s="919" t="s">
        <v>11830</v>
      </c>
      <c r="H4490" s="919" t="s">
        <v>4502</v>
      </c>
      <c r="I4490" s="919" t="s">
        <v>3686</v>
      </c>
      <c r="J4490" s="919"/>
      <c r="K4490" s="920"/>
      <c r="L4490" s="920"/>
      <c r="M4490" s="920">
        <f t="shared" si="140"/>
        <v>0</v>
      </c>
      <c r="N4490" s="919">
        <v>1</v>
      </c>
      <c r="O4490" s="919">
        <v>5</v>
      </c>
      <c r="P4490" s="921">
        <f t="shared" si="141"/>
        <v>5750</v>
      </c>
    </row>
    <row r="4491" spans="1:16" ht="20.100000000000001" customHeight="1" x14ac:dyDescent="0.25">
      <c r="A4491" s="918" t="s">
        <v>11906</v>
      </c>
      <c r="B4491" s="944" t="s">
        <v>3901</v>
      </c>
      <c r="C4491" s="919" t="s">
        <v>3902</v>
      </c>
      <c r="D4491" s="919" t="s">
        <v>4502</v>
      </c>
      <c r="E4491" s="920">
        <v>1150</v>
      </c>
      <c r="F4491" s="919" t="s">
        <v>11831</v>
      </c>
      <c r="G4491" s="919" t="s">
        <v>11832</v>
      </c>
      <c r="H4491" s="919" t="s">
        <v>4502</v>
      </c>
      <c r="I4491" s="919" t="s">
        <v>3686</v>
      </c>
      <c r="J4491" s="919"/>
      <c r="K4491" s="920"/>
      <c r="L4491" s="920"/>
      <c r="M4491" s="920">
        <f t="shared" si="140"/>
        <v>0</v>
      </c>
      <c r="N4491" s="919">
        <v>1</v>
      </c>
      <c r="O4491" s="919">
        <v>5</v>
      </c>
      <c r="P4491" s="921">
        <f t="shared" si="141"/>
        <v>5750</v>
      </c>
    </row>
    <row r="4492" spans="1:16" ht="20.100000000000001" customHeight="1" x14ac:dyDescent="0.25">
      <c r="A4492" s="918" t="s">
        <v>11906</v>
      </c>
      <c r="B4492" s="944" t="s">
        <v>3901</v>
      </c>
      <c r="C4492" s="919" t="s">
        <v>3902</v>
      </c>
      <c r="D4492" s="919" t="s">
        <v>4502</v>
      </c>
      <c r="E4492" s="920">
        <v>1150</v>
      </c>
      <c r="F4492" s="919" t="s">
        <v>11833</v>
      </c>
      <c r="G4492" s="919" t="s">
        <v>11834</v>
      </c>
      <c r="H4492" s="919" t="s">
        <v>4502</v>
      </c>
      <c r="I4492" s="919" t="s">
        <v>3686</v>
      </c>
      <c r="J4492" s="919"/>
      <c r="K4492" s="920"/>
      <c r="L4492" s="920"/>
      <c r="M4492" s="920">
        <f t="shared" si="140"/>
        <v>0</v>
      </c>
      <c r="N4492" s="919">
        <v>1</v>
      </c>
      <c r="O4492" s="919">
        <v>5</v>
      </c>
      <c r="P4492" s="921">
        <f t="shared" si="141"/>
        <v>5750</v>
      </c>
    </row>
    <row r="4493" spans="1:16" ht="20.100000000000001" customHeight="1" x14ac:dyDescent="0.25">
      <c r="A4493" s="918" t="s">
        <v>11906</v>
      </c>
      <c r="B4493" s="944" t="s">
        <v>3901</v>
      </c>
      <c r="C4493" s="919" t="s">
        <v>3902</v>
      </c>
      <c r="D4493" s="919" t="s">
        <v>4502</v>
      </c>
      <c r="E4493" s="920">
        <v>1150</v>
      </c>
      <c r="F4493" s="919" t="s">
        <v>11835</v>
      </c>
      <c r="G4493" s="919" t="s">
        <v>11836</v>
      </c>
      <c r="H4493" s="919" t="s">
        <v>4502</v>
      </c>
      <c r="I4493" s="919" t="s">
        <v>3686</v>
      </c>
      <c r="J4493" s="919"/>
      <c r="K4493" s="920"/>
      <c r="L4493" s="920"/>
      <c r="M4493" s="920">
        <f t="shared" si="140"/>
        <v>0</v>
      </c>
      <c r="N4493" s="919">
        <v>1</v>
      </c>
      <c r="O4493" s="919">
        <v>5</v>
      </c>
      <c r="P4493" s="921">
        <f t="shared" si="141"/>
        <v>5750</v>
      </c>
    </row>
    <row r="4494" spans="1:16" ht="20.100000000000001" customHeight="1" x14ac:dyDescent="0.25">
      <c r="A4494" s="918" t="s">
        <v>11906</v>
      </c>
      <c r="B4494" s="944" t="s">
        <v>3901</v>
      </c>
      <c r="C4494" s="919" t="s">
        <v>3902</v>
      </c>
      <c r="D4494" s="919" t="s">
        <v>4502</v>
      </c>
      <c r="E4494" s="920">
        <v>1150</v>
      </c>
      <c r="F4494" s="919" t="s">
        <v>11837</v>
      </c>
      <c r="G4494" s="919" t="s">
        <v>11838</v>
      </c>
      <c r="H4494" s="919" t="s">
        <v>4502</v>
      </c>
      <c r="I4494" s="919" t="s">
        <v>3686</v>
      </c>
      <c r="J4494" s="919"/>
      <c r="K4494" s="920"/>
      <c r="L4494" s="920"/>
      <c r="M4494" s="920">
        <f t="shared" si="140"/>
        <v>0</v>
      </c>
      <c r="N4494" s="919">
        <v>1</v>
      </c>
      <c r="O4494" s="919">
        <v>5</v>
      </c>
      <c r="P4494" s="921">
        <f t="shared" si="141"/>
        <v>5750</v>
      </c>
    </row>
    <row r="4495" spans="1:16" ht="20.100000000000001" customHeight="1" x14ac:dyDescent="0.25">
      <c r="A4495" s="918" t="s">
        <v>11906</v>
      </c>
      <c r="B4495" s="944" t="s">
        <v>3901</v>
      </c>
      <c r="C4495" s="919" t="s">
        <v>3902</v>
      </c>
      <c r="D4495" s="919" t="s">
        <v>4502</v>
      </c>
      <c r="E4495" s="920">
        <v>1150</v>
      </c>
      <c r="F4495" s="919" t="s">
        <v>4041</v>
      </c>
      <c r="G4495" s="919" t="s">
        <v>4042</v>
      </c>
      <c r="H4495" s="919" t="s">
        <v>4502</v>
      </c>
      <c r="I4495" s="919" t="s">
        <v>3686</v>
      </c>
      <c r="J4495" s="919"/>
      <c r="K4495" s="920">
        <v>1</v>
      </c>
      <c r="L4495" s="920">
        <v>12</v>
      </c>
      <c r="M4495" s="920">
        <f t="shared" si="140"/>
        <v>13800</v>
      </c>
      <c r="N4495" s="919"/>
      <c r="O4495" s="919"/>
      <c r="P4495" s="921">
        <f t="shared" si="141"/>
        <v>0</v>
      </c>
    </row>
    <row r="4496" spans="1:16" ht="20.100000000000001" customHeight="1" x14ac:dyDescent="0.25">
      <c r="A4496" s="918" t="s">
        <v>11906</v>
      </c>
      <c r="B4496" s="944" t="s">
        <v>3901</v>
      </c>
      <c r="C4496" s="919" t="s">
        <v>3902</v>
      </c>
      <c r="D4496" s="919" t="s">
        <v>4502</v>
      </c>
      <c r="E4496" s="920">
        <v>1150</v>
      </c>
      <c r="F4496" s="919" t="s">
        <v>11839</v>
      </c>
      <c r="G4496" s="919" t="s">
        <v>11840</v>
      </c>
      <c r="H4496" s="919" t="s">
        <v>4502</v>
      </c>
      <c r="I4496" s="919" t="s">
        <v>3686</v>
      </c>
      <c r="J4496" s="919"/>
      <c r="K4496" s="920"/>
      <c r="L4496" s="920"/>
      <c r="M4496" s="920">
        <f t="shared" si="140"/>
        <v>0</v>
      </c>
      <c r="N4496" s="919">
        <v>1</v>
      </c>
      <c r="O4496" s="919">
        <v>5</v>
      </c>
      <c r="P4496" s="921">
        <f t="shared" si="141"/>
        <v>5750</v>
      </c>
    </row>
    <row r="4497" spans="1:16" ht="20.100000000000001" customHeight="1" x14ac:dyDescent="0.25">
      <c r="A4497" s="918" t="s">
        <v>11906</v>
      </c>
      <c r="B4497" s="944" t="s">
        <v>3901</v>
      </c>
      <c r="C4497" s="919" t="s">
        <v>3902</v>
      </c>
      <c r="D4497" s="919" t="s">
        <v>4502</v>
      </c>
      <c r="E4497" s="920">
        <v>1150</v>
      </c>
      <c r="F4497" s="919" t="s">
        <v>11841</v>
      </c>
      <c r="G4497" s="919" t="s">
        <v>11842</v>
      </c>
      <c r="H4497" s="919" t="s">
        <v>4502</v>
      </c>
      <c r="I4497" s="919" t="s">
        <v>3686</v>
      </c>
      <c r="J4497" s="919"/>
      <c r="K4497" s="920"/>
      <c r="L4497" s="920"/>
      <c r="M4497" s="920">
        <f t="shared" si="140"/>
        <v>0</v>
      </c>
      <c r="N4497" s="919">
        <v>1</v>
      </c>
      <c r="O4497" s="919">
        <v>5</v>
      </c>
      <c r="P4497" s="921">
        <f t="shared" si="141"/>
        <v>5750</v>
      </c>
    </row>
    <row r="4498" spans="1:16" ht="20.100000000000001" customHeight="1" x14ac:dyDescent="0.25">
      <c r="A4498" s="918" t="s">
        <v>11906</v>
      </c>
      <c r="B4498" s="944" t="s">
        <v>3901</v>
      </c>
      <c r="C4498" s="919" t="s">
        <v>3902</v>
      </c>
      <c r="D4498" s="919" t="s">
        <v>4502</v>
      </c>
      <c r="E4498" s="920">
        <v>1150</v>
      </c>
      <c r="F4498" s="919" t="s">
        <v>11843</v>
      </c>
      <c r="G4498" s="919" t="s">
        <v>11844</v>
      </c>
      <c r="H4498" s="919" t="s">
        <v>4502</v>
      </c>
      <c r="I4498" s="919" t="s">
        <v>3686</v>
      </c>
      <c r="J4498" s="919"/>
      <c r="K4498" s="920"/>
      <c r="L4498" s="920"/>
      <c r="M4498" s="920">
        <f t="shared" si="140"/>
        <v>0</v>
      </c>
      <c r="N4498" s="919">
        <v>1</v>
      </c>
      <c r="O4498" s="919">
        <v>5</v>
      </c>
      <c r="P4498" s="921">
        <f t="shared" si="141"/>
        <v>5750</v>
      </c>
    </row>
    <row r="4499" spans="1:16" ht="20.100000000000001" customHeight="1" x14ac:dyDescent="0.25">
      <c r="A4499" s="918" t="s">
        <v>11906</v>
      </c>
      <c r="B4499" s="944" t="s">
        <v>3901</v>
      </c>
      <c r="C4499" s="919" t="s">
        <v>3902</v>
      </c>
      <c r="D4499" s="919" t="s">
        <v>4502</v>
      </c>
      <c r="E4499" s="920">
        <v>1150</v>
      </c>
      <c r="F4499" s="919" t="s">
        <v>11845</v>
      </c>
      <c r="G4499" s="919" t="s">
        <v>11846</v>
      </c>
      <c r="H4499" s="919" t="s">
        <v>4502</v>
      </c>
      <c r="I4499" s="919" t="s">
        <v>3686</v>
      </c>
      <c r="J4499" s="919"/>
      <c r="K4499" s="920"/>
      <c r="L4499" s="920"/>
      <c r="M4499" s="920">
        <f t="shared" si="140"/>
        <v>0</v>
      </c>
      <c r="N4499" s="919">
        <v>1</v>
      </c>
      <c r="O4499" s="919">
        <v>5</v>
      </c>
      <c r="P4499" s="921">
        <f t="shared" si="141"/>
        <v>5750</v>
      </c>
    </row>
    <row r="4500" spans="1:16" ht="20.100000000000001" customHeight="1" x14ac:dyDescent="0.25">
      <c r="A4500" s="918" t="s">
        <v>11906</v>
      </c>
      <c r="B4500" s="944" t="s">
        <v>3901</v>
      </c>
      <c r="C4500" s="919" t="s">
        <v>3902</v>
      </c>
      <c r="D4500" s="919" t="s">
        <v>4502</v>
      </c>
      <c r="E4500" s="920">
        <v>1150</v>
      </c>
      <c r="F4500" s="919" t="s">
        <v>11847</v>
      </c>
      <c r="G4500" s="919" t="s">
        <v>11848</v>
      </c>
      <c r="H4500" s="919" t="s">
        <v>4502</v>
      </c>
      <c r="I4500" s="919" t="s">
        <v>3686</v>
      </c>
      <c r="J4500" s="919"/>
      <c r="K4500" s="920"/>
      <c r="L4500" s="920"/>
      <c r="M4500" s="920">
        <f t="shared" si="140"/>
        <v>0</v>
      </c>
      <c r="N4500" s="919">
        <v>1</v>
      </c>
      <c r="O4500" s="919">
        <v>4</v>
      </c>
      <c r="P4500" s="921">
        <f t="shared" si="141"/>
        <v>4600</v>
      </c>
    </row>
    <row r="4501" spans="1:16" ht="20.100000000000001" customHeight="1" x14ac:dyDescent="0.25">
      <c r="A4501" s="918" t="s">
        <v>11906</v>
      </c>
      <c r="B4501" s="944" t="s">
        <v>3901</v>
      </c>
      <c r="C4501" s="919" t="s">
        <v>3902</v>
      </c>
      <c r="D4501" s="919" t="s">
        <v>4502</v>
      </c>
      <c r="E4501" s="920">
        <v>1150</v>
      </c>
      <c r="F4501" s="919" t="s">
        <v>11849</v>
      </c>
      <c r="G4501" s="919" t="s">
        <v>11850</v>
      </c>
      <c r="H4501" s="919" t="s">
        <v>4502</v>
      </c>
      <c r="I4501" s="919" t="s">
        <v>3686</v>
      </c>
      <c r="J4501" s="919"/>
      <c r="K4501" s="920"/>
      <c r="L4501" s="920"/>
      <c r="M4501" s="920">
        <f t="shared" si="140"/>
        <v>0</v>
      </c>
      <c r="N4501" s="919">
        <v>1</v>
      </c>
      <c r="O4501" s="919">
        <v>4</v>
      </c>
      <c r="P4501" s="921">
        <f t="shared" si="141"/>
        <v>4600</v>
      </c>
    </row>
    <row r="4502" spans="1:16" ht="20.100000000000001" customHeight="1" x14ac:dyDescent="0.25">
      <c r="A4502" s="918" t="s">
        <v>11906</v>
      </c>
      <c r="B4502" s="944" t="s">
        <v>3901</v>
      </c>
      <c r="C4502" s="919" t="s">
        <v>3902</v>
      </c>
      <c r="D4502" s="919" t="s">
        <v>4502</v>
      </c>
      <c r="E4502" s="920">
        <v>1150</v>
      </c>
      <c r="F4502" s="919" t="s">
        <v>11851</v>
      </c>
      <c r="G4502" s="919" t="s">
        <v>11852</v>
      </c>
      <c r="H4502" s="919" t="s">
        <v>4502</v>
      </c>
      <c r="I4502" s="919" t="s">
        <v>3686</v>
      </c>
      <c r="J4502" s="919"/>
      <c r="K4502" s="920"/>
      <c r="L4502" s="920"/>
      <c r="M4502" s="920">
        <f t="shared" si="140"/>
        <v>0</v>
      </c>
      <c r="N4502" s="919">
        <v>1</v>
      </c>
      <c r="O4502" s="919">
        <v>5</v>
      </c>
      <c r="P4502" s="921">
        <f t="shared" si="141"/>
        <v>5750</v>
      </c>
    </row>
    <row r="4503" spans="1:16" ht="20.100000000000001" customHeight="1" x14ac:dyDescent="0.25">
      <c r="A4503" s="918" t="s">
        <v>11906</v>
      </c>
      <c r="B4503" s="944" t="s">
        <v>3901</v>
      </c>
      <c r="C4503" s="919" t="s">
        <v>3902</v>
      </c>
      <c r="D4503" s="919" t="s">
        <v>4502</v>
      </c>
      <c r="E4503" s="920">
        <v>1150</v>
      </c>
      <c r="F4503" s="919" t="s">
        <v>11853</v>
      </c>
      <c r="G4503" s="919" t="s">
        <v>11854</v>
      </c>
      <c r="H4503" s="919" t="s">
        <v>4502</v>
      </c>
      <c r="I4503" s="919" t="s">
        <v>3686</v>
      </c>
      <c r="J4503" s="919"/>
      <c r="K4503" s="920"/>
      <c r="L4503" s="920"/>
      <c r="M4503" s="920">
        <f t="shared" si="140"/>
        <v>0</v>
      </c>
      <c r="N4503" s="919">
        <v>1</v>
      </c>
      <c r="O4503" s="919">
        <v>5</v>
      </c>
      <c r="P4503" s="921">
        <f t="shared" si="141"/>
        <v>5750</v>
      </c>
    </row>
    <row r="4504" spans="1:16" ht="20.100000000000001" customHeight="1" x14ac:dyDescent="0.25">
      <c r="A4504" s="918" t="s">
        <v>11906</v>
      </c>
      <c r="B4504" s="944" t="s">
        <v>3901</v>
      </c>
      <c r="C4504" s="919" t="s">
        <v>3902</v>
      </c>
      <c r="D4504" s="919" t="s">
        <v>4502</v>
      </c>
      <c r="E4504" s="920">
        <v>1150</v>
      </c>
      <c r="F4504" s="919" t="s">
        <v>11855</v>
      </c>
      <c r="G4504" s="919" t="s">
        <v>11856</v>
      </c>
      <c r="H4504" s="919" t="s">
        <v>4502</v>
      </c>
      <c r="I4504" s="919" t="s">
        <v>3686</v>
      </c>
      <c r="J4504" s="919"/>
      <c r="K4504" s="920"/>
      <c r="L4504" s="920"/>
      <c r="M4504" s="920">
        <f t="shared" si="140"/>
        <v>0</v>
      </c>
      <c r="N4504" s="919">
        <v>1</v>
      </c>
      <c r="O4504" s="919">
        <v>5</v>
      </c>
      <c r="P4504" s="921">
        <f t="shared" si="141"/>
        <v>5750</v>
      </c>
    </row>
    <row r="4505" spans="1:16" ht="20.100000000000001" customHeight="1" x14ac:dyDescent="0.25">
      <c r="A4505" s="918" t="s">
        <v>11906</v>
      </c>
      <c r="B4505" s="944" t="s">
        <v>3901</v>
      </c>
      <c r="C4505" s="919" t="s">
        <v>3902</v>
      </c>
      <c r="D4505" s="919" t="s">
        <v>4502</v>
      </c>
      <c r="E4505" s="920">
        <v>1150</v>
      </c>
      <c r="F4505" s="919" t="s">
        <v>11857</v>
      </c>
      <c r="G4505" s="919" t="s">
        <v>11858</v>
      </c>
      <c r="H4505" s="919" t="s">
        <v>4502</v>
      </c>
      <c r="I4505" s="919" t="s">
        <v>3686</v>
      </c>
      <c r="J4505" s="919"/>
      <c r="K4505" s="920"/>
      <c r="L4505" s="920"/>
      <c r="M4505" s="920">
        <f t="shared" si="140"/>
        <v>0</v>
      </c>
      <c r="N4505" s="919">
        <v>1</v>
      </c>
      <c r="O4505" s="919">
        <v>5</v>
      </c>
      <c r="P4505" s="921">
        <f t="shared" si="141"/>
        <v>5750</v>
      </c>
    </row>
    <row r="4506" spans="1:16" ht="20.100000000000001" customHeight="1" x14ac:dyDescent="0.25">
      <c r="A4506" s="918" t="s">
        <v>11906</v>
      </c>
      <c r="B4506" s="944" t="s">
        <v>3901</v>
      </c>
      <c r="C4506" s="919" t="s">
        <v>3902</v>
      </c>
      <c r="D4506" s="919" t="s">
        <v>4502</v>
      </c>
      <c r="E4506" s="920">
        <v>1150</v>
      </c>
      <c r="F4506" s="919" t="s">
        <v>11859</v>
      </c>
      <c r="G4506" s="919" t="s">
        <v>11860</v>
      </c>
      <c r="H4506" s="919" t="s">
        <v>4502</v>
      </c>
      <c r="I4506" s="919" t="s">
        <v>3686</v>
      </c>
      <c r="J4506" s="919"/>
      <c r="K4506" s="920"/>
      <c r="L4506" s="920"/>
      <c r="M4506" s="920">
        <f t="shared" si="140"/>
        <v>0</v>
      </c>
      <c r="N4506" s="919">
        <v>1</v>
      </c>
      <c r="O4506" s="919">
        <v>5</v>
      </c>
      <c r="P4506" s="921">
        <f t="shared" si="141"/>
        <v>5750</v>
      </c>
    </row>
    <row r="4507" spans="1:16" ht="20.100000000000001" customHeight="1" x14ac:dyDescent="0.25">
      <c r="A4507" s="918" t="s">
        <v>11906</v>
      </c>
      <c r="B4507" s="944" t="s">
        <v>3901</v>
      </c>
      <c r="C4507" s="919" t="s">
        <v>3902</v>
      </c>
      <c r="D4507" s="919" t="s">
        <v>4502</v>
      </c>
      <c r="E4507" s="920">
        <v>1150</v>
      </c>
      <c r="F4507" s="919" t="s">
        <v>11861</v>
      </c>
      <c r="G4507" s="919" t="s">
        <v>11862</v>
      </c>
      <c r="H4507" s="919" t="s">
        <v>4502</v>
      </c>
      <c r="I4507" s="919" t="s">
        <v>3686</v>
      </c>
      <c r="J4507" s="919"/>
      <c r="K4507" s="920"/>
      <c r="L4507" s="920"/>
      <c r="M4507" s="920">
        <f t="shared" si="140"/>
        <v>0</v>
      </c>
      <c r="N4507" s="919">
        <v>1</v>
      </c>
      <c r="O4507" s="919">
        <v>5</v>
      </c>
      <c r="P4507" s="921">
        <f t="shared" si="141"/>
        <v>5750</v>
      </c>
    </row>
    <row r="4508" spans="1:16" ht="20.100000000000001" customHeight="1" x14ac:dyDescent="0.25">
      <c r="A4508" s="918" t="s">
        <v>11906</v>
      </c>
      <c r="B4508" s="944" t="s">
        <v>3901</v>
      </c>
      <c r="C4508" s="919" t="s">
        <v>3902</v>
      </c>
      <c r="D4508" s="919" t="s">
        <v>4774</v>
      </c>
      <c r="E4508" s="920">
        <v>2000</v>
      </c>
      <c r="F4508" s="919" t="s">
        <v>11863</v>
      </c>
      <c r="G4508" s="919" t="s">
        <v>11864</v>
      </c>
      <c r="H4508" s="919" t="s">
        <v>4774</v>
      </c>
      <c r="I4508" s="919" t="s">
        <v>3679</v>
      </c>
      <c r="J4508" s="919"/>
      <c r="K4508" s="920"/>
      <c r="L4508" s="920"/>
      <c r="M4508" s="920">
        <f t="shared" si="140"/>
        <v>0</v>
      </c>
      <c r="N4508" s="919">
        <v>1</v>
      </c>
      <c r="O4508" s="919">
        <v>5</v>
      </c>
      <c r="P4508" s="921">
        <f t="shared" si="141"/>
        <v>10000</v>
      </c>
    </row>
    <row r="4509" spans="1:16" ht="20.100000000000001" customHeight="1" x14ac:dyDescent="0.25">
      <c r="A4509" s="918" t="s">
        <v>11906</v>
      </c>
      <c r="B4509" s="944" t="s">
        <v>3901</v>
      </c>
      <c r="C4509" s="919" t="s">
        <v>3902</v>
      </c>
      <c r="D4509" s="919" t="s">
        <v>4774</v>
      </c>
      <c r="E4509" s="920">
        <v>2000</v>
      </c>
      <c r="F4509" s="919" t="s">
        <v>11865</v>
      </c>
      <c r="G4509" s="919" t="s">
        <v>11866</v>
      </c>
      <c r="H4509" s="919" t="s">
        <v>4774</v>
      </c>
      <c r="I4509" s="919" t="s">
        <v>3679</v>
      </c>
      <c r="J4509" s="919"/>
      <c r="K4509" s="920"/>
      <c r="L4509" s="920"/>
      <c r="M4509" s="920">
        <f t="shared" si="140"/>
        <v>0</v>
      </c>
      <c r="N4509" s="919">
        <v>1</v>
      </c>
      <c r="O4509" s="919">
        <v>5</v>
      </c>
      <c r="P4509" s="921">
        <f t="shared" si="141"/>
        <v>10000</v>
      </c>
    </row>
    <row r="4510" spans="1:16" ht="20.100000000000001" customHeight="1" x14ac:dyDescent="0.25">
      <c r="A4510" s="918" t="s">
        <v>11906</v>
      </c>
      <c r="B4510" s="944" t="s">
        <v>3901</v>
      </c>
      <c r="C4510" s="919" t="s">
        <v>3902</v>
      </c>
      <c r="D4510" s="919" t="s">
        <v>4774</v>
      </c>
      <c r="E4510" s="920">
        <v>2000</v>
      </c>
      <c r="F4510" s="919" t="s">
        <v>11867</v>
      </c>
      <c r="G4510" s="919" t="s">
        <v>11868</v>
      </c>
      <c r="H4510" s="919" t="s">
        <v>4774</v>
      </c>
      <c r="I4510" s="919" t="s">
        <v>3679</v>
      </c>
      <c r="J4510" s="919"/>
      <c r="K4510" s="920"/>
      <c r="L4510" s="920"/>
      <c r="M4510" s="920">
        <f t="shared" si="140"/>
        <v>0</v>
      </c>
      <c r="N4510" s="919">
        <v>1</v>
      </c>
      <c r="O4510" s="919">
        <v>5</v>
      </c>
      <c r="P4510" s="921">
        <f t="shared" si="141"/>
        <v>10000</v>
      </c>
    </row>
    <row r="4511" spans="1:16" ht="20.100000000000001" customHeight="1" x14ac:dyDescent="0.25">
      <c r="A4511" s="918" t="s">
        <v>11906</v>
      </c>
      <c r="B4511" s="944" t="s">
        <v>3901</v>
      </c>
      <c r="C4511" s="919" t="s">
        <v>3902</v>
      </c>
      <c r="D4511" s="919" t="s">
        <v>4774</v>
      </c>
      <c r="E4511" s="920">
        <v>2000</v>
      </c>
      <c r="F4511" s="919" t="s">
        <v>11869</v>
      </c>
      <c r="G4511" s="919" t="s">
        <v>11870</v>
      </c>
      <c r="H4511" s="919" t="s">
        <v>4774</v>
      </c>
      <c r="I4511" s="919" t="s">
        <v>3679</v>
      </c>
      <c r="J4511" s="919"/>
      <c r="K4511" s="920"/>
      <c r="L4511" s="920"/>
      <c r="M4511" s="920">
        <f t="shared" si="140"/>
        <v>0</v>
      </c>
      <c r="N4511" s="919">
        <v>1</v>
      </c>
      <c r="O4511" s="919">
        <v>5</v>
      </c>
      <c r="P4511" s="921">
        <f t="shared" si="141"/>
        <v>10000</v>
      </c>
    </row>
    <row r="4512" spans="1:16" ht="20.100000000000001" customHeight="1" x14ac:dyDescent="0.25">
      <c r="A4512" s="918" t="s">
        <v>11906</v>
      </c>
      <c r="B4512" s="944" t="s">
        <v>3901</v>
      </c>
      <c r="C4512" s="919" t="s">
        <v>3902</v>
      </c>
      <c r="D4512" s="919" t="s">
        <v>4777</v>
      </c>
      <c r="E4512" s="920">
        <v>2000</v>
      </c>
      <c r="F4512" s="919" t="s">
        <v>11871</v>
      </c>
      <c r="G4512" s="919" t="s">
        <v>11872</v>
      </c>
      <c r="H4512" s="919" t="s">
        <v>4777</v>
      </c>
      <c r="I4512" s="919" t="s">
        <v>3679</v>
      </c>
      <c r="J4512" s="919"/>
      <c r="K4512" s="920"/>
      <c r="L4512" s="920"/>
      <c r="M4512" s="920">
        <f t="shared" si="140"/>
        <v>0</v>
      </c>
      <c r="N4512" s="919">
        <v>1</v>
      </c>
      <c r="O4512" s="919">
        <v>5</v>
      </c>
      <c r="P4512" s="921">
        <f t="shared" si="141"/>
        <v>10000</v>
      </c>
    </row>
    <row r="4513" spans="1:16" ht="20.100000000000001" customHeight="1" x14ac:dyDescent="0.25">
      <c r="A4513" s="918" t="s">
        <v>11906</v>
      </c>
      <c r="B4513" s="944" t="s">
        <v>3901</v>
      </c>
      <c r="C4513" s="919" t="s">
        <v>3902</v>
      </c>
      <c r="D4513" s="919" t="s">
        <v>4777</v>
      </c>
      <c r="E4513" s="920">
        <v>2000</v>
      </c>
      <c r="F4513" s="919" t="s">
        <v>11873</v>
      </c>
      <c r="G4513" s="919" t="s">
        <v>11874</v>
      </c>
      <c r="H4513" s="919" t="s">
        <v>4777</v>
      </c>
      <c r="I4513" s="919" t="s">
        <v>3679</v>
      </c>
      <c r="J4513" s="919"/>
      <c r="K4513" s="920"/>
      <c r="L4513" s="920"/>
      <c r="M4513" s="920">
        <f t="shared" si="140"/>
        <v>0</v>
      </c>
      <c r="N4513" s="919">
        <v>1</v>
      </c>
      <c r="O4513" s="919">
        <v>5</v>
      </c>
      <c r="P4513" s="921">
        <f t="shared" si="141"/>
        <v>10000</v>
      </c>
    </row>
    <row r="4514" spans="1:16" ht="20.100000000000001" customHeight="1" x14ac:dyDescent="0.25">
      <c r="A4514" s="918" t="s">
        <v>11906</v>
      </c>
      <c r="B4514" s="944" t="s">
        <v>3901</v>
      </c>
      <c r="C4514" s="919" t="s">
        <v>3902</v>
      </c>
      <c r="D4514" s="919" t="s">
        <v>4777</v>
      </c>
      <c r="E4514" s="920">
        <v>2000</v>
      </c>
      <c r="F4514" s="919" t="s">
        <v>11875</v>
      </c>
      <c r="G4514" s="919" t="s">
        <v>11876</v>
      </c>
      <c r="H4514" s="919" t="s">
        <v>4777</v>
      </c>
      <c r="I4514" s="919" t="s">
        <v>3679</v>
      </c>
      <c r="J4514" s="919"/>
      <c r="K4514" s="920"/>
      <c r="L4514" s="920"/>
      <c r="M4514" s="920">
        <f t="shared" si="140"/>
        <v>0</v>
      </c>
      <c r="N4514" s="919">
        <v>1</v>
      </c>
      <c r="O4514" s="919">
        <v>5</v>
      </c>
      <c r="P4514" s="921">
        <f t="shared" si="141"/>
        <v>10000</v>
      </c>
    </row>
    <row r="4515" spans="1:16" ht="20.100000000000001" customHeight="1" x14ac:dyDescent="0.25">
      <c r="A4515" s="918" t="s">
        <v>11906</v>
      </c>
      <c r="B4515" s="944" t="s">
        <v>3901</v>
      </c>
      <c r="C4515" s="919" t="s">
        <v>3902</v>
      </c>
      <c r="D4515" s="919" t="s">
        <v>4777</v>
      </c>
      <c r="E4515" s="920">
        <v>2000</v>
      </c>
      <c r="F4515" s="919" t="s">
        <v>11877</v>
      </c>
      <c r="G4515" s="919" t="s">
        <v>11878</v>
      </c>
      <c r="H4515" s="919" t="s">
        <v>4777</v>
      </c>
      <c r="I4515" s="919" t="s">
        <v>3679</v>
      </c>
      <c r="J4515" s="919"/>
      <c r="K4515" s="920"/>
      <c r="L4515" s="920"/>
      <c r="M4515" s="920">
        <f t="shared" si="140"/>
        <v>0</v>
      </c>
      <c r="N4515" s="919">
        <v>1</v>
      </c>
      <c r="O4515" s="919">
        <v>5</v>
      </c>
      <c r="P4515" s="921">
        <f t="shared" si="141"/>
        <v>10000</v>
      </c>
    </row>
    <row r="4516" spans="1:16" ht="20.100000000000001" customHeight="1" x14ac:dyDescent="0.25">
      <c r="A4516" s="918" t="s">
        <v>11906</v>
      </c>
      <c r="B4516" s="944" t="s">
        <v>3901</v>
      </c>
      <c r="C4516" s="919" t="s">
        <v>3902</v>
      </c>
      <c r="D4516" s="919" t="s">
        <v>4382</v>
      </c>
      <c r="E4516" s="920">
        <v>2500</v>
      </c>
      <c r="F4516" s="919" t="s">
        <v>11879</v>
      </c>
      <c r="G4516" s="919" t="s">
        <v>11880</v>
      </c>
      <c r="H4516" s="919" t="s">
        <v>4382</v>
      </c>
      <c r="I4516" s="919" t="s">
        <v>3679</v>
      </c>
      <c r="J4516" s="919"/>
      <c r="K4516" s="920"/>
      <c r="L4516" s="920"/>
      <c r="M4516" s="920">
        <f t="shared" si="140"/>
        <v>0</v>
      </c>
      <c r="N4516" s="919">
        <v>1</v>
      </c>
      <c r="O4516" s="919">
        <v>1</v>
      </c>
      <c r="P4516" s="921">
        <f t="shared" si="141"/>
        <v>2500</v>
      </c>
    </row>
    <row r="4517" spans="1:16" ht="20.100000000000001" customHeight="1" x14ac:dyDescent="0.25">
      <c r="A4517" s="918" t="s">
        <v>11906</v>
      </c>
      <c r="B4517" s="944" t="s">
        <v>3901</v>
      </c>
      <c r="C4517" s="919" t="s">
        <v>3902</v>
      </c>
      <c r="D4517" s="919" t="s">
        <v>4815</v>
      </c>
      <c r="E4517" s="920">
        <v>2000</v>
      </c>
      <c r="F4517" s="919" t="s">
        <v>11881</v>
      </c>
      <c r="G4517" s="919" t="s">
        <v>11882</v>
      </c>
      <c r="H4517" s="919" t="s">
        <v>4815</v>
      </c>
      <c r="I4517" s="919" t="s">
        <v>3679</v>
      </c>
      <c r="J4517" s="919"/>
      <c r="K4517" s="920"/>
      <c r="L4517" s="920"/>
      <c r="M4517" s="920">
        <f t="shared" si="140"/>
        <v>0</v>
      </c>
      <c r="N4517" s="919">
        <v>1</v>
      </c>
      <c r="O4517" s="919">
        <v>1</v>
      </c>
      <c r="P4517" s="921">
        <f t="shared" si="141"/>
        <v>2000</v>
      </c>
    </row>
    <row r="4518" spans="1:16" ht="20.100000000000001" customHeight="1" x14ac:dyDescent="0.25">
      <c r="A4518" s="918" t="s">
        <v>11906</v>
      </c>
      <c r="B4518" s="944" t="s">
        <v>3901</v>
      </c>
      <c r="C4518" s="919" t="s">
        <v>3902</v>
      </c>
      <c r="D4518" s="919" t="s">
        <v>4347</v>
      </c>
      <c r="E4518" s="920">
        <v>3000</v>
      </c>
      <c r="F4518" s="919" t="s">
        <v>11883</v>
      </c>
      <c r="G4518" s="919" t="s">
        <v>11884</v>
      </c>
      <c r="H4518" s="919" t="s">
        <v>4347</v>
      </c>
      <c r="I4518" s="919" t="s">
        <v>3679</v>
      </c>
      <c r="J4518" s="919"/>
      <c r="K4518" s="920"/>
      <c r="L4518" s="920"/>
      <c r="M4518" s="920">
        <f t="shared" si="140"/>
        <v>0</v>
      </c>
      <c r="N4518" s="919">
        <v>1</v>
      </c>
      <c r="O4518" s="919">
        <v>1</v>
      </c>
      <c r="P4518" s="921">
        <f t="shared" si="141"/>
        <v>3000</v>
      </c>
    </row>
    <row r="4519" spans="1:16" ht="20.100000000000001" customHeight="1" x14ac:dyDescent="0.25">
      <c r="A4519" s="918" t="s">
        <v>11906</v>
      </c>
      <c r="B4519" s="944" t="s">
        <v>3901</v>
      </c>
      <c r="C4519" s="919" t="s">
        <v>3902</v>
      </c>
      <c r="D4519" s="919" t="s">
        <v>4823</v>
      </c>
      <c r="E4519" s="920">
        <v>2600</v>
      </c>
      <c r="F4519" s="919" t="s">
        <v>11885</v>
      </c>
      <c r="G4519" s="919" t="s">
        <v>11886</v>
      </c>
      <c r="H4519" s="919" t="s">
        <v>4823</v>
      </c>
      <c r="I4519" s="919" t="s">
        <v>3679</v>
      </c>
      <c r="J4519" s="919"/>
      <c r="K4519" s="920"/>
      <c r="L4519" s="920"/>
      <c r="M4519" s="920">
        <f t="shared" si="140"/>
        <v>0</v>
      </c>
      <c r="N4519" s="919">
        <v>1</v>
      </c>
      <c r="O4519" s="919">
        <v>4</v>
      </c>
      <c r="P4519" s="921">
        <f t="shared" si="141"/>
        <v>10400</v>
      </c>
    </row>
    <row r="4520" spans="1:16" ht="20.100000000000001" customHeight="1" x14ac:dyDescent="0.25">
      <c r="A4520" s="918" t="s">
        <v>11906</v>
      </c>
      <c r="B4520" s="944" t="s">
        <v>3901</v>
      </c>
      <c r="C4520" s="919" t="s">
        <v>3902</v>
      </c>
      <c r="D4520" s="919" t="s">
        <v>4823</v>
      </c>
      <c r="E4520" s="920">
        <v>2600</v>
      </c>
      <c r="F4520" s="919" t="s">
        <v>11887</v>
      </c>
      <c r="G4520" s="919" t="s">
        <v>11888</v>
      </c>
      <c r="H4520" s="919" t="s">
        <v>4823</v>
      </c>
      <c r="I4520" s="919" t="s">
        <v>3679</v>
      </c>
      <c r="J4520" s="919"/>
      <c r="K4520" s="920"/>
      <c r="L4520" s="920"/>
      <c r="M4520" s="920">
        <f t="shared" si="140"/>
        <v>0</v>
      </c>
      <c r="N4520" s="919">
        <v>1</v>
      </c>
      <c r="O4520" s="919">
        <v>4</v>
      </c>
      <c r="P4520" s="921">
        <f t="shared" si="141"/>
        <v>10400</v>
      </c>
    </row>
    <row r="4521" spans="1:16" ht="20.100000000000001" customHeight="1" x14ac:dyDescent="0.25">
      <c r="A4521" s="918" t="s">
        <v>11906</v>
      </c>
      <c r="B4521" s="944" t="s">
        <v>3901</v>
      </c>
      <c r="C4521" s="919" t="s">
        <v>3902</v>
      </c>
      <c r="D4521" s="919" t="s">
        <v>4832</v>
      </c>
      <c r="E4521" s="920">
        <v>4200</v>
      </c>
      <c r="F4521" s="919" t="s">
        <v>11889</v>
      </c>
      <c r="G4521" s="919" t="s">
        <v>11890</v>
      </c>
      <c r="H4521" s="919" t="s">
        <v>4832</v>
      </c>
      <c r="I4521" s="919" t="s">
        <v>3679</v>
      </c>
      <c r="J4521" s="919"/>
      <c r="K4521" s="920"/>
      <c r="L4521" s="920"/>
      <c r="M4521" s="920">
        <f t="shared" si="140"/>
        <v>0</v>
      </c>
      <c r="N4521" s="919">
        <v>1</v>
      </c>
      <c r="O4521" s="919">
        <v>4</v>
      </c>
      <c r="P4521" s="921">
        <f t="shared" si="141"/>
        <v>16800</v>
      </c>
    </row>
    <row r="4522" spans="1:16" ht="20.100000000000001" customHeight="1" x14ac:dyDescent="0.25">
      <c r="A4522" s="918" t="s">
        <v>11906</v>
      </c>
      <c r="B4522" s="944" t="s">
        <v>3901</v>
      </c>
      <c r="C4522" s="919" t="s">
        <v>3902</v>
      </c>
      <c r="D4522" s="919" t="s">
        <v>4832</v>
      </c>
      <c r="E4522" s="920">
        <v>4200</v>
      </c>
      <c r="F4522" s="919" t="s">
        <v>11891</v>
      </c>
      <c r="G4522" s="919" t="s">
        <v>11892</v>
      </c>
      <c r="H4522" s="919" t="s">
        <v>4832</v>
      </c>
      <c r="I4522" s="919" t="s">
        <v>3679</v>
      </c>
      <c r="J4522" s="919"/>
      <c r="K4522" s="920"/>
      <c r="L4522" s="920"/>
      <c r="M4522" s="920">
        <f t="shared" si="140"/>
        <v>0</v>
      </c>
      <c r="N4522" s="919">
        <v>1</v>
      </c>
      <c r="O4522" s="919">
        <v>4</v>
      </c>
      <c r="P4522" s="921">
        <f t="shared" si="141"/>
        <v>16800</v>
      </c>
    </row>
    <row r="4523" spans="1:16" ht="20.100000000000001" customHeight="1" x14ac:dyDescent="0.25">
      <c r="A4523" s="918" t="s">
        <v>11906</v>
      </c>
      <c r="B4523" s="944" t="s">
        <v>3901</v>
      </c>
      <c r="C4523" s="919" t="s">
        <v>3902</v>
      </c>
      <c r="D4523" s="919" t="s">
        <v>4835</v>
      </c>
      <c r="E4523" s="920">
        <v>4200</v>
      </c>
      <c r="F4523" s="919" t="s">
        <v>11893</v>
      </c>
      <c r="G4523" s="919" t="s">
        <v>11894</v>
      </c>
      <c r="H4523" s="919" t="s">
        <v>4835</v>
      </c>
      <c r="I4523" s="919" t="s">
        <v>3679</v>
      </c>
      <c r="J4523" s="919"/>
      <c r="K4523" s="920"/>
      <c r="L4523" s="920"/>
      <c r="M4523" s="920">
        <f t="shared" si="140"/>
        <v>0</v>
      </c>
      <c r="N4523" s="919">
        <v>1</v>
      </c>
      <c r="O4523" s="919">
        <v>4</v>
      </c>
      <c r="P4523" s="921">
        <f t="shared" si="141"/>
        <v>16800</v>
      </c>
    </row>
    <row r="4524" spans="1:16" ht="20.100000000000001" customHeight="1" x14ac:dyDescent="0.25">
      <c r="A4524" s="918" t="s">
        <v>11906</v>
      </c>
      <c r="B4524" s="944" t="s">
        <v>3901</v>
      </c>
      <c r="C4524" s="919" t="s">
        <v>3902</v>
      </c>
      <c r="D4524" s="919" t="s">
        <v>4835</v>
      </c>
      <c r="E4524" s="920">
        <v>4200</v>
      </c>
      <c r="F4524" s="919" t="s">
        <v>11895</v>
      </c>
      <c r="G4524" s="919" t="s">
        <v>11896</v>
      </c>
      <c r="H4524" s="919" t="s">
        <v>4835</v>
      </c>
      <c r="I4524" s="919" t="s">
        <v>3679</v>
      </c>
      <c r="J4524" s="919"/>
      <c r="K4524" s="920"/>
      <c r="L4524" s="920"/>
      <c r="M4524" s="920">
        <f t="shared" si="140"/>
        <v>0</v>
      </c>
      <c r="N4524" s="919">
        <v>1</v>
      </c>
      <c r="O4524" s="919">
        <v>4</v>
      </c>
      <c r="P4524" s="921">
        <f t="shared" si="141"/>
        <v>16800</v>
      </c>
    </row>
    <row r="4525" spans="1:16" ht="20.100000000000001" customHeight="1" x14ac:dyDescent="0.25">
      <c r="A4525" s="918" t="s">
        <v>11906</v>
      </c>
      <c r="B4525" s="944" t="s">
        <v>3901</v>
      </c>
      <c r="C4525" s="919" t="s">
        <v>3902</v>
      </c>
      <c r="D4525" s="919" t="s">
        <v>4835</v>
      </c>
      <c r="E4525" s="920">
        <v>4200</v>
      </c>
      <c r="F4525" s="919" t="s">
        <v>11897</v>
      </c>
      <c r="G4525" s="919" t="s">
        <v>11898</v>
      </c>
      <c r="H4525" s="919" t="s">
        <v>4835</v>
      </c>
      <c r="I4525" s="919" t="s">
        <v>3679</v>
      </c>
      <c r="J4525" s="919"/>
      <c r="K4525" s="920"/>
      <c r="L4525" s="920"/>
      <c r="M4525" s="920">
        <f t="shared" si="140"/>
        <v>0</v>
      </c>
      <c r="N4525" s="919">
        <v>1</v>
      </c>
      <c r="O4525" s="919">
        <v>4</v>
      </c>
      <c r="P4525" s="921">
        <f t="shared" si="141"/>
        <v>16800</v>
      </c>
    </row>
    <row r="4526" spans="1:16" ht="20.100000000000001" customHeight="1" thickBot="1" x14ac:dyDescent="0.3">
      <c r="A4526" s="918" t="s">
        <v>11906</v>
      </c>
      <c r="B4526" s="946" t="s">
        <v>3901</v>
      </c>
      <c r="C4526" s="927" t="s">
        <v>3902</v>
      </c>
      <c r="D4526" s="927" t="s">
        <v>4835</v>
      </c>
      <c r="E4526" s="928">
        <v>4200</v>
      </c>
      <c r="F4526" s="927" t="s">
        <v>11899</v>
      </c>
      <c r="G4526" s="927" t="s">
        <v>11900</v>
      </c>
      <c r="H4526" s="927" t="s">
        <v>4835</v>
      </c>
      <c r="I4526" s="927" t="s">
        <v>3679</v>
      </c>
      <c r="J4526" s="927"/>
      <c r="K4526" s="928"/>
      <c r="L4526" s="928"/>
      <c r="M4526" s="928">
        <f t="shared" si="140"/>
        <v>0</v>
      </c>
      <c r="N4526" s="927">
        <v>1</v>
      </c>
      <c r="O4526" s="927">
        <v>3</v>
      </c>
      <c r="P4526" s="929">
        <f t="shared" si="141"/>
        <v>12600</v>
      </c>
    </row>
    <row r="4527" spans="1:16" ht="20.100000000000001" customHeight="1" thickBot="1" x14ac:dyDescent="0.3">
      <c r="A4527" s="930"/>
      <c r="B4527" s="931"/>
      <c r="C4527" s="932"/>
      <c r="D4527" s="932"/>
      <c r="E4527" s="933"/>
      <c r="F4527" s="934"/>
      <c r="G4527" s="932"/>
      <c r="H4527" s="932"/>
      <c r="I4527" s="932"/>
      <c r="J4527" s="941"/>
      <c r="K4527" s="942"/>
      <c r="L4527" s="942"/>
      <c r="M4527" s="942">
        <v>56484240</v>
      </c>
      <c r="N4527" s="941"/>
      <c r="O4527" s="941"/>
      <c r="P4527" s="943">
        <v>14281710</v>
      </c>
    </row>
    <row r="4528" spans="1:16" ht="13.5" x14ac:dyDescent="0.25">
      <c r="A4528" s="935" t="s">
        <v>405</v>
      </c>
      <c r="B4528" s="936"/>
      <c r="C4528" s="937"/>
      <c r="D4528" s="937"/>
      <c r="E4528" s="938"/>
      <c r="F4528" s="939"/>
      <c r="G4528" s="937"/>
      <c r="H4528" s="937"/>
      <c r="I4528" s="937"/>
      <c r="J4528" s="937"/>
      <c r="K4528" s="938"/>
      <c r="L4528" s="938"/>
      <c r="M4528" s="938"/>
      <c r="N4528" s="937"/>
      <c r="O4528" s="937"/>
      <c r="P4528" s="938"/>
    </row>
    <row r="4529" spans="1:16" ht="13.5" x14ac:dyDescent="0.25">
      <c r="A4529" s="936"/>
      <c r="B4529" s="936"/>
      <c r="C4529" s="937"/>
      <c r="D4529" s="937"/>
      <c r="E4529" s="938"/>
      <c r="F4529" s="939"/>
      <c r="G4529" s="937"/>
      <c r="H4529" s="937"/>
      <c r="I4529" s="937"/>
      <c r="J4529" s="937"/>
      <c r="K4529" s="938"/>
      <c r="L4529" s="938"/>
      <c r="M4529" s="938"/>
      <c r="N4529" s="937"/>
      <c r="O4529" s="937"/>
      <c r="P4529" s="938"/>
    </row>
    <row r="4530" spans="1:16" ht="13.5" x14ac:dyDescent="0.25">
      <c r="A4530" s="936"/>
      <c r="B4530" s="936"/>
      <c r="C4530" s="937"/>
      <c r="D4530" s="937"/>
      <c r="E4530" s="938"/>
      <c r="F4530" s="939"/>
      <c r="G4530" s="937"/>
      <c r="H4530" s="937"/>
      <c r="I4530" s="937"/>
      <c r="J4530" s="937"/>
      <c r="K4530" s="938"/>
      <c r="L4530" s="938"/>
      <c r="M4530" s="938"/>
      <c r="N4530" s="937"/>
      <c r="O4530" s="937"/>
      <c r="P4530" s="938"/>
    </row>
    <row r="4531" spans="1:16" ht="13.5" x14ac:dyDescent="0.25">
      <c r="A4531" s="936"/>
      <c r="B4531" s="936"/>
      <c r="C4531" s="937"/>
      <c r="D4531" s="937"/>
      <c r="E4531" s="938"/>
      <c r="F4531" s="939"/>
      <c r="G4531" s="937"/>
      <c r="H4531" s="937"/>
      <c r="I4531" s="937"/>
      <c r="J4531" s="937"/>
      <c r="K4531" s="938"/>
      <c r="L4531" s="938"/>
      <c r="M4531" s="938"/>
      <c r="N4531" s="937"/>
      <c r="O4531" s="937"/>
      <c r="P4531" s="938"/>
    </row>
    <row r="4532" spans="1:16" ht="13.5" x14ac:dyDescent="0.25">
      <c r="A4532" s="936"/>
      <c r="B4532" s="936"/>
      <c r="C4532" s="937"/>
      <c r="D4532" s="937"/>
      <c r="E4532" s="938"/>
      <c r="F4532" s="939"/>
      <c r="G4532" s="937"/>
      <c r="H4532" s="937"/>
      <c r="I4532" s="937"/>
      <c r="J4532" s="937"/>
      <c r="K4532" s="938"/>
      <c r="L4532" s="938"/>
      <c r="M4532" s="938"/>
      <c r="N4532" s="937"/>
      <c r="O4532" s="937"/>
      <c r="P4532" s="938"/>
    </row>
    <row r="4533" spans="1:16" ht="13.5" x14ac:dyDescent="0.25">
      <c r="A4533" s="936"/>
      <c r="B4533" s="936"/>
      <c r="C4533" s="937"/>
      <c r="D4533" s="937"/>
      <c r="E4533" s="938"/>
      <c r="F4533" s="939"/>
      <c r="G4533" s="937"/>
      <c r="H4533" s="937"/>
      <c r="I4533" s="937"/>
      <c r="J4533" s="937"/>
      <c r="K4533" s="938"/>
      <c r="L4533" s="938"/>
      <c r="M4533" s="938"/>
      <c r="N4533" s="937"/>
      <c r="O4533" s="937"/>
      <c r="P4533" s="938"/>
    </row>
    <row r="4534" spans="1:16" ht="13.5" x14ac:dyDescent="0.25">
      <c r="A4534" s="936"/>
      <c r="B4534" s="936"/>
      <c r="C4534" s="937"/>
      <c r="D4534" s="937"/>
      <c r="E4534" s="938"/>
      <c r="F4534" s="939"/>
      <c r="G4534" s="937"/>
      <c r="H4534" s="937"/>
      <c r="I4534" s="937"/>
      <c r="J4534" s="937"/>
      <c r="K4534" s="938"/>
      <c r="L4534" s="938"/>
      <c r="M4534" s="938"/>
      <c r="N4534" s="937"/>
      <c r="O4534" s="937"/>
      <c r="P4534" s="938"/>
    </row>
  </sheetData>
  <mergeCells count="4">
    <mergeCell ref="K4:M4"/>
    <mergeCell ref="N4:P4"/>
    <mergeCell ref="A4:E4"/>
    <mergeCell ref="F4:J4"/>
  </mergeCells>
  <printOptions horizontalCentered="1"/>
  <pageMargins left="0.23622047244094491" right="0.23622047244094491" top="0.74803149606299213" bottom="0.74803149606299213" header="0.31496062992125984" footer="0.31496062992125984"/>
  <pageSetup paperSize="9" scale="60" orientation="landscape" r:id="rId1"/>
  <headerFooter alignWithMargins="0">
    <oddHeader>&amp;C&amp;"Arial,Negrita"&amp;18PROYECTO DE PRESUPUESTO 2021</oddHeader>
    <oddFooter>&amp;L&amp;"Arial,Negrita"&amp;8PROYECTO DE PRESUPUESTO PARA EL AÑO FISCAL 2020
INFORMACIÓN PARA LA COMISIÓN DE PRESUPUESTO Y CUENTA GENERAL DE LA REPÚBLICA DEL CONGRESO DE LA REPÚBLICA</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R139"/>
  <sheetViews>
    <sheetView zoomScaleNormal="100" zoomScaleSheetLayoutView="100" zoomScalePageLayoutView="85" workbookViewId="0">
      <selection activeCell="E138" sqref="E138:E141"/>
    </sheetView>
  </sheetViews>
  <sheetFormatPr baseColWidth="10" defaultRowHeight="12" x14ac:dyDescent="0.2"/>
  <cols>
    <col min="1" max="1" width="18.7109375" style="81" customWidth="1"/>
    <col min="2" max="2" width="29.140625" style="81" customWidth="1"/>
    <col min="3" max="6" width="18.7109375" style="81" customWidth="1"/>
    <col min="7" max="8" width="6.7109375" style="32" customWidth="1"/>
    <col min="9" max="9" width="6.7109375" style="81" customWidth="1"/>
    <col min="10" max="12" width="18.7109375" style="81" customWidth="1"/>
    <col min="13" max="13" width="18.28515625" style="81" customWidth="1"/>
    <col min="14" max="14" width="20.42578125" style="81" customWidth="1"/>
    <col min="15" max="16384" width="11.42578125" style="81"/>
  </cols>
  <sheetData>
    <row r="1" spans="1:18" s="63" customFormat="1" x14ac:dyDescent="0.2">
      <c r="A1" s="83" t="s">
        <v>430</v>
      </c>
      <c r="B1" s="83"/>
      <c r="C1" s="83"/>
      <c r="D1" s="83"/>
      <c r="E1" s="83"/>
      <c r="F1" s="83"/>
      <c r="G1" s="83"/>
      <c r="H1" s="83"/>
      <c r="J1" s="83"/>
      <c r="K1" s="83"/>
      <c r="L1" s="83"/>
      <c r="M1" s="83"/>
      <c r="N1" s="83"/>
    </row>
    <row r="2" spans="1:18" s="5" customFormat="1" x14ac:dyDescent="0.2">
      <c r="A2" s="82" t="s">
        <v>453</v>
      </c>
      <c r="B2" s="82"/>
      <c r="C2" s="82"/>
      <c r="D2" s="82"/>
      <c r="E2" s="82"/>
      <c r="F2" s="82"/>
      <c r="G2" s="82"/>
      <c r="H2" s="82"/>
      <c r="I2" s="82"/>
      <c r="J2" s="82"/>
      <c r="K2" s="82"/>
      <c r="L2" s="82"/>
      <c r="M2" s="82"/>
      <c r="N2" s="82"/>
      <c r="O2" s="82"/>
      <c r="P2" s="82"/>
      <c r="Q2" s="82"/>
      <c r="R2" s="82"/>
    </row>
    <row r="3" spans="1:18" ht="12.75" thickBot="1" x14ac:dyDescent="0.25"/>
    <row r="4" spans="1:18" s="43" customFormat="1" ht="34.5" customHeight="1" thickBot="1" x14ac:dyDescent="0.25">
      <c r="A4" s="1317" t="s">
        <v>311</v>
      </c>
      <c r="B4" s="1319"/>
      <c r="C4" s="1318" t="s">
        <v>312</v>
      </c>
      <c r="D4" s="1318"/>
      <c r="E4" s="1320" t="s">
        <v>315</v>
      </c>
      <c r="F4" s="1321"/>
      <c r="G4" s="1321"/>
      <c r="H4" s="1321"/>
      <c r="I4" s="1323"/>
      <c r="J4" s="1318" t="s">
        <v>316</v>
      </c>
      <c r="K4" s="1318"/>
      <c r="L4" s="1319"/>
      <c r="M4" s="1273" t="s">
        <v>11968</v>
      </c>
      <c r="N4" s="1325" t="s">
        <v>11969</v>
      </c>
    </row>
    <row r="5" spans="1:18" s="44" customFormat="1" ht="86.25" customHeight="1" x14ac:dyDescent="0.2">
      <c r="A5" s="973" t="s">
        <v>85</v>
      </c>
      <c r="B5" s="490" t="s">
        <v>86</v>
      </c>
      <c r="C5" s="974" t="s">
        <v>314</v>
      </c>
      <c r="D5" s="975" t="s">
        <v>313</v>
      </c>
      <c r="E5" s="973" t="s">
        <v>319</v>
      </c>
      <c r="F5" s="976" t="s">
        <v>320</v>
      </c>
      <c r="G5" s="977" t="s">
        <v>321</v>
      </c>
      <c r="H5" s="977" t="s">
        <v>322</v>
      </c>
      <c r="I5" s="978" t="s">
        <v>12</v>
      </c>
      <c r="J5" s="973" t="s">
        <v>317</v>
      </c>
      <c r="K5" s="974" t="s">
        <v>318</v>
      </c>
      <c r="L5" s="491" t="s">
        <v>323</v>
      </c>
      <c r="M5" s="1284"/>
      <c r="N5" s="1326"/>
    </row>
    <row r="6" spans="1:18" ht="30" customHeight="1" x14ac:dyDescent="0.2">
      <c r="A6" s="969" t="s">
        <v>11927</v>
      </c>
      <c r="B6" s="1111" t="s">
        <v>11902</v>
      </c>
      <c r="C6" s="1112" t="s">
        <v>14232</v>
      </c>
      <c r="D6" s="1113">
        <v>10244850044</v>
      </c>
      <c r="E6" s="508" t="s">
        <v>1941</v>
      </c>
      <c r="F6" s="1111"/>
      <c r="G6" s="1111"/>
      <c r="H6" s="1111"/>
      <c r="I6" s="1111"/>
      <c r="J6" s="1111"/>
      <c r="K6" s="1114">
        <v>4000</v>
      </c>
      <c r="L6" s="1111"/>
      <c r="M6" s="1111">
        <v>2019</v>
      </c>
      <c r="N6" s="1111"/>
    </row>
    <row r="7" spans="1:18" ht="30" customHeight="1" x14ac:dyDescent="0.2">
      <c r="A7" s="969" t="s">
        <v>11927</v>
      </c>
      <c r="B7" s="1111" t="s">
        <v>11902</v>
      </c>
      <c r="C7" s="1111" t="s">
        <v>14232</v>
      </c>
      <c r="D7" s="1111">
        <v>10244850044</v>
      </c>
      <c r="E7" s="508" t="s">
        <v>1941</v>
      </c>
      <c r="F7" s="1111"/>
      <c r="G7" s="1111"/>
      <c r="H7" s="1111"/>
      <c r="I7" s="1111"/>
      <c r="J7" s="1111"/>
      <c r="K7" s="1115">
        <v>4000</v>
      </c>
      <c r="L7" s="1111"/>
      <c r="M7" s="1111">
        <v>2019</v>
      </c>
      <c r="N7" s="1111"/>
    </row>
    <row r="8" spans="1:18" ht="30" customHeight="1" x14ac:dyDescent="0.2">
      <c r="A8" s="969" t="s">
        <v>11927</v>
      </c>
      <c r="B8" s="1111" t="s">
        <v>11902</v>
      </c>
      <c r="C8" s="1111" t="s">
        <v>14233</v>
      </c>
      <c r="D8" s="1111">
        <v>10462825507</v>
      </c>
      <c r="E8" s="508" t="s">
        <v>1941</v>
      </c>
      <c r="F8" s="1116"/>
      <c r="G8" s="1116"/>
      <c r="H8" s="1116"/>
      <c r="I8" s="1116"/>
      <c r="J8" s="1116"/>
      <c r="K8" s="1115">
        <v>3000</v>
      </c>
      <c r="L8" s="1111"/>
      <c r="M8" s="1111">
        <v>2019</v>
      </c>
      <c r="N8" s="1111"/>
    </row>
    <row r="9" spans="1:18" ht="30" customHeight="1" x14ac:dyDescent="0.2">
      <c r="A9" s="969" t="s">
        <v>11927</v>
      </c>
      <c r="B9" s="1111" t="s">
        <v>11902</v>
      </c>
      <c r="C9" s="1111" t="s">
        <v>14234</v>
      </c>
      <c r="D9" s="1111">
        <v>10239243717</v>
      </c>
      <c r="E9" s="508" t="s">
        <v>1941</v>
      </c>
      <c r="F9" s="1111"/>
      <c r="G9" s="1111"/>
      <c r="H9" s="1111"/>
      <c r="I9" s="1111"/>
      <c r="J9" s="1111"/>
      <c r="K9" s="1115">
        <v>1900</v>
      </c>
      <c r="L9" s="1111"/>
      <c r="M9" s="1111">
        <v>2019</v>
      </c>
      <c r="N9" s="1111"/>
    </row>
    <row r="10" spans="1:18" ht="30" customHeight="1" x14ac:dyDescent="0.2">
      <c r="A10" s="969" t="s">
        <v>11927</v>
      </c>
      <c r="B10" s="1111" t="s">
        <v>11902</v>
      </c>
      <c r="C10" s="1111" t="s">
        <v>14234</v>
      </c>
      <c r="D10" s="1111">
        <v>10239243717</v>
      </c>
      <c r="E10" s="508" t="s">
        <v>1941</v>
      </c>
      <c r="F10" s="1111"/>
      <c r="G10" s="1111"/>
      <c r="H10" s="1111"/>
      <c r="I10" s="1111"/>
      <c r="J10" s="1111"/>
      <c r="K10" s="1115">
        <v>1900</v>
      </c>
      <c r="L10" s="1111"/>
      <c r="M10" s="1111">
        <v>2019</v>
      </c>
      <c r="N10" s="1111"/>
    </row>
    <row r="11" spans="1:18" ht="30" customHeight="1" x14ac:dyDescent="0.2">
      <c r="A11" s="969" t="s">
        <v>11927</v>
      </c>
      <c r="B11" s="1111" t="s">
        <v>11902</v>
      </c>
      <c r="C11" s="1111" t="s">
        <v>14235</v>
      </c>
      <c r="D11" s="1111">
        <v>20490574400</v>
      </c>
      <c r="E11" s="508" t="s">
        <v>14236</v>
      </c>
      <c r="F11" s="1111"/>
      <c r="G11" s="1111"/>
      <c r="H11" s="1111"/>
      <c r="I11" s="1111"/>
      <c r="J11" s="1111"/>
      <c r="K11" s="1115">
        <v>4800</v>
      </c>
      <c r="L11" s="1111"/>
      <c r="M11" s="1111">
        <v>2019</v>
      </c>
      <c r="N11" s="1111"/>
    </row>
    <row r="12" spans="1:18" ht="30" customHeight="1" x14ac:dyDescent="0.2">
      <c r="A12" s="969" t="s">
        <v>11927</v>
      </c>
      <c r="B12" s="1111" t="s">
        <v>11902</v>
      </c>
      <c r="C12" s="1111" t="s">
        <v>14233</v>
      </c>
      <c r="D12" s="1111">
        <v>10462825507</v>
      </c>
      <c r="E12" s="508" t="s">
        <v>1941</v>
      </c>
      <c r="F12" s="1111"/>
      <c r="G12" s="1111"/>
      <c r="H12" s="1111"/>
      <c r="I12" s="1111"/>
      <c r="J12" s="1111"/>
      <c r="K12" s="1115">
        <v>3000</v>
      </c>
      <c r="L12" s="1111"/>
      <c r="M12" s="1111">
        <v>2019</v>
      </c>
      <c r="N12" s="1111"/>
    </row>
    <row r="13" spans="1:18" ht="30" customHeight="1" x14ac:dyDescent="0.2">
      <c r="A13" s="969" t="s">
        <v>11927</v>
      </c>
      <c r="B13" s="1111" t="s">
        <v>11902</v>
      </c>
      <c r="C13" s="1111" t="s">
        <v>14233</v>
      </c>
      <c r="D13" s="1111">
        <v>10462825507</v>
      </c>
      <c r="E13" s="508" t="s">
        <v>1941</v>
      </c>
      <c r="F13" s="1111"/>
      <c r="G13" s="1111"/>
      <c r="H13" s="1111"/>
      <c r="I13" s="1111"/>
      <c r="J13" s="1111"/>
      <c r="K13" s="1115">
        <v>3000</v>
      </c>
      <c r="L13" s="1111"/>
      <c r="M13" s="1111">
        <v>2019</v>
      </c>
      <c r="N13" s="1111"/>
    </row>
    <row r="14" spans="1:18" ht="30" customHeight="1" x14ac:dyDescent="0.2">
      <c r="A14" s="969" t="s">
        <v>11927</v>
      </c>
      <c r="B14" s="1111" t="s">
        <v>11902</v>
      </c>
      <c r="C14" s="1111" t="s">
        <v>14232</v>
      </c>
      <c r="D14" s="1111">
        <v>10244850044</v>
      </c>
      <c r="E14" s="508" t="s">
        <v>1941</v>
      </c>
      <c r="F14" s="1111"/>
      <c r="G14" s="1111"/>
      <c r="H14" s="1111"/>
      <c r="I14" s="1111"/>
      <c r="J14" s="1111"/>
      <c r="K14" s="1115">
        <v>13800</v>
      </c>
      <c r="L14" s="1111"/>
      <c r="M14" s="1111">
        <v>2019</v>
      </c>
      <c r="N14" s="1111"/>
    </row>
    <row r="15" spans="1:18" ht="30" customHeight="1" x14ac:dyDescent="0.2">
      <c r="A15" s="969" t="s">
        <v>11927</v>
      </c>
      <c r="B15" s="1111" t="s">
        <v>11902</v>
      </c>
      <c r="C15" s="1111" t="s">
        <v>14234</v>
      </c>
      <c r="D15" s="1111">
        <v>10239243717</v>
      </c>
      <c r="E15" s="508" t="s">
        <v>1941</v>
      </c>
      <c r="F15" s="1111"/>
      <c r="G15" s="1111"/>
      <c r="H15" s="1111"/>
      <c r="I15" s="1111"/>
      <c r="J15" s="1111"/>
      <c r="K15" s="1115">
        <v>1900</v>
      </c>
      <c r="L15" s="1111"/>
      <c r="M15" s="1111">
        <v>2019</v>
      </c>
      <c r="N15" s="1111"/>
    </row>
    <row r="16" spans="1:18" ht="30" customHeight="1" x14ac:dyDescent="0.2">
      <c r="A16" s="969" t="s">
        <v>11927</v>
      </c>
      <c r="B16" s="1111" t="s">
        <v>11902</v>
      </c>
      <c r="C16" s="1111" t="s">
        <v>14237</v>
      </c>
      <c r="D16" s="1111">
        <v>10076054946</v>
      </c>
      <c r="E16" s="508" t="s">
        <v>1941</v>
      </c>
      <c r="F16" s="1111"/>
      <c r="G16" s="1111"/>
      <c r="H16" s="1111"/>
      <c r="I16" s="1111"/>
      <c r="J16" s="1111"/>
      <c r="K16" s="1115">
        <v>6000</v>
      </c>
      <c r="L16" s="1111"/>
      <c r="M16" s="1111">
        <v>2019</v>
      </c>
      <c r="N16" s="1111"/>
    </row>
    <row r="17" spans="1:14" ht="30" customHeight="1" x14ac:dyDescent="0.2">
      <c r="A17" s="969" t="s">
        <v>11927</v>
      </c>
      <c r="B17" s="1111" t="s">
        <v>11902</v>
      </c>
      <c r="C17" s="1111" t="s">
        <v>14238</v>
      </c>
      <c r="D17" s="1111">
        <v>10741299734</v>
      </c>
      <c r="E17" s="508" t="s">
        <v>1941</v>
      </c>
      <c r="F17" s="1111"/>
      <c r="G17" s="1111"/>
      <c r="H17" s="1111"/>
      <c r="I17" s="1111"/>
      <c r="J17" s="1111"/>
      <c r="K17" s="1115">
        <v>2420</v>
      </c>
      <c r="L17" s="1111"/>
      <c r="M17" s="1111">
        <v>2019</v>
      </c>
      <c r="N17" s="1111"/>
    </row>
    <row r="18" spans="1:14" ht="30" customHeight="1" x14ac:dyDescent="0.2">
      <c r="A18" s="969" t="s">
        <v>11927</v>
      </c>
      <c r="B18" s="1111" t="s">
        <v>11902</v>
      </c>
      <c r="C18" s="1111" t="s">
        <v>14239</v>
      </c>
      <c r="D18" s="1111">
        <v>10022986568</v>
      </c>
      <c r="E18" s="508" t="s">
        <v>1941</v>
      </c>
      <c r="F18" s="1111"/>
      <c r="G18" s="1111"/>
      <c r="H18" s="1111"/>
      <c r="I18" s="1111"/>
      <c r="J18" s="1111"/>
      <c r="K18" s="1115">
        <v>3900</v>
      </c>
      <c r="L18" s="1111"/>
      <c r="M18" s="1111">
        <v>2019</v>
      </c>
      <c r="N18" s="1111"/>
    </row>
    <row r="19" spans="1:14" ht="30" customHeight="1" x14ac:dyDescent="0.2">
      <c r="A19" s="969" t="s">
        <v>11927</v>
      </c>
      <c r="B19" s="1111" t="s">
        <v>11902</v>
      </c>
      <c r="C19" s="1111" t="s">
        <v>14233</v>
      </c>
      <c r="D19" s="1111">
        <v>10462825507</v>
      </c>
      <c r="E19" s="508" t="s">
        <v>1941</v>
      </c>
      <c r="F19" s="1111"/>
      <c r="G19" s="1111"/>
      <c r="H19" s="1111"/>
      <c r="I19" s="1111"/>
      <c r="J19" s="1111"/>
      <c r="K19" s="1115">
        <v>3000</v>
      </c>
      <c r="L19" s="1111"/>
      <c r="M19" s="1111">
        <v>2019</v>
      </c>
      <c r="N19" s="1111"/>
    </row>
    <row r="20" spans="1:14" ht="30" customHeight="1" x14ac:dyDescent="0.2">
      <c r="A20" s="969" t="s">
        <v>11927</v>
      </c>
      <c r="B20" s="1111" t="s">
        <v>11902</v>
      </c>
      <c r="C20" s="1111" t="s">
        <v>14234</v>
      </c>
      <c r="D20" s="1111">
        <v>10239243717</v>
      </c>
      <c r="E20" s="508" t="s">
        <v>1941</v>
      </c>
      <c r="F20" s="1111"/>
      <c r="G20" s="1111"/>
      <c r="H20" s="1111"/>
      <c r="I20" s="1111"/>
      <c r="J20" s="1111"/>
      <c r="K20" s="1115">
        <v>1900</v>
      </c>
      <c r="L20" s="1111"/>
      <c r="M20" s="1111">
        <v>2019</v>
      </c>
      <c r="N20" s="1111"/>
    </row>
    <row r="21" spans="1:14" ht="30" customHeight="1" x14ac:dyDescent="0.2">
      <c r="A21" s="969" t="s">
        <v>11927</v>
      </c>
      <c r="B21" s="1111" t="s">
        <v>11902</v>
      </c>
      <c r="C21" s="1111" t="s">
        <v>14234</v>
      </c>
      <c r="D21" s="1111">
        <v>10239243717</v>
      </c>
      <c r="E21" s="508" t="s">
        <v>1941</v>
      </c>
      <c r="F21" s="1111"/>
      <c r="G21" s="1111"/>
      <c r="H21" s="1111"/>
      <c r="I21" s="1111"/>
      <c r="J21" s="1111"/>
      <c r="K21" s="1115">
        <v>3800</v>
      </c>
      <c r="L21" s="1111"/>
      <c r="M21" s="1111">
        <v>2019</v>
      </c>
      <c r="N21" s="1111"/>
    </row>
    <row r="22" spans="1:14" ht="30" customHeight="1" x14ac:dyDescent="0.2">
      <c r="A22" s="969" t="s">
        <v>11927</v>
      </c>
      <c r="B22" s="1111" t="s">
        <v>11902</v>
      </c>
      <c r="C22" s="1111" t="s">
        <v>14240</v>
      </c>
      <c r="D22" s="1111">
        <v>10248845321</v>
      </c>
      <c r="E22" s="508" t="s">
        <v>14236</v>
      </c>
      <c r="F22" s="1111"/>
      <c r="G22" s="1111"/>
      <c r="H22" s="1111"/>
      <c r="I22" s="1111"/>
      <c r="J22" s="1111"/>
      <c r="K22" s="1115">
        <v>2700</v>
      </c>
      <c r="L22" s="1111"/>
      <c r="M22" s="1111">
        <v>2019</v>
      </c>
      <c r="N22" s="1111"/>
    </row>
    <row r="23" spans="1:14" ht="30" customHeight="1" x14ac:dyDescent="0.2">
      <c r="A23" s="969" t="s">
        <v>11927</v>
      </c>
      <c r="B23" s="1111" t="s">
        <v>11902</v>
      </c>
      <c r="C23" s="1111" t="s">
        <v>14237</v>
      </c>
      <c r="D23" s="1111">
        <v>10076054946</v>
      </c>
      <c r="E23" s="508" t="s">
        <v>1941</v>
      </c>
      <c r="F23" s="1111"/>
      <c r="G23" s="1111"/>
      <c r="H23" s="1111"/>
      <c r="I23" s="1111"/>
      <c r="J23" s="1111"/>
      <c r="K23" s="1115">
        <v>6000</v>
      </c>
      <c r="L23" s="1111"/>
      <c r="M23" s="1111">
        <v>2019</v>
      </c>
      <c r="N23" s="1111"/>
    </row>
    <row r="24" spans="1:14" ht="30" customHeight="1" x14ac:dyDescent="0.2">
      <c r="A24" s="969" t="s">
        <v>11927</v>
      </c>
      <c r="B24" s="1111" t="s">
        <v>11902</v>
      </c>
      <c r="C24" s="1111" t="s">
        <v>14233</v>
      </c>
      <c r="D24" s="1111">
        <v>10462825507</v>
      </c>
      <c r="E24" s="508" t="s">
        <v>1941</v>
      </c>
      <c r="F24" s="1111"/>
      <c r="G24" s="1111"/>
      <c r="H24" s="1111"/>
      <c r="I24" s="1111"/>
      <c r="J24" s="1111"/>
      <c r="K24" s="1115">
        <v>3000</v>
      </c>
      <c r="L24" s="1111"/>
      <c r="M24" s="1111">
        <v>2019</v>
      </c>
      <c r="N24" s="1111"/>
    </row>
    <row r="25" spans="1:14" ht="30" customHeight="1" x14ac:dyDescent="0.2">
      <c r="A25" s="969" t="s">
        <v>11927</v>
      </c>
      <c r="B25" s="1111" t="s">
        <v>11902</v>
      </c>
      <c r="C25" s="1111" t="s">
        <v>14241</v>
      </c>
      <c r="D25" s="1111">
        <v>20358558748</v>
      </c>
      <c r="E25" s="508" t="s">
        <v>1941</v>
      </c>
      <c r="F25" s="1111"/>
      <c r="G25" s="1111"/>
      <c r="H25" s="1111"/>
      <c r="I25" s="1111"/>
      <c r="J25" s="1111"/>
      <c r="K25" s="1115">
        <v>2000</v>
      </c>
      <c r="L25" s="1111"/>
      <c r="M25" s="1111">
        <v>2019</v>
      </c>
      <c r="N25" s="1111"/>
    </row>
    <row r="26" spans="1:14" ht="30" customHeight="1" x14ac:dyDescent="0.2">
      <c r="A26" s="969" t="s">
        <v>11927</v>
      </c>
      <c r="B26" s="1111" t="s">
        <v>11902</v>
      </c>
      <c r="C26" s="1111" t="s">
        <v>14232</v>
      </c>
      <c r="D26" s="1111">
        <v>10244850044</v>
      </c>
      <c r="E26" s="508" t="s">
        <v>1941</v>
      </c>
      <c r="F26" s="1111"/>
      <c r="G26" s="1111"/>
      <c r="H26" s="1111"/>
      <c r="I26" s="1111"/>
      <c r="J26" s="1111"/>
      <c r="K26" s="1115">
        <v>4600</v>
      </c>
      <c r="L26" s="1111"/>
      <c r="M26" s="1111">
        <v>2019</v>
      </c>
      <c r="N26" s="1111"/>
    </row>
    <row r="27" spans="1:14" ht="30" customHeight="1" x14ac:dyDescent="0.2">
      <c r="A27" s="969" t="s">
        <v>11927</v>
      </c>
      <c r="B27" s="1111" t="s">
        <v>11902</v>
      </c>
      <c r="C27" s="1111" t="s">
        <v>14238</v>
      </c>
      <c r="D27" s="1111">
        <v>10741299734</v>
      </c>
      <c r="E27" s="508" t="s">
        <v>1941</v>
      </c>
      <c r="F27" s="1111"/>
      <c r="G27" s="1111"/>
      <c r="H27" s="1111"/>
      <c r="I27" s="1111"/>
      <c r="J27" s="1111"/>
      <c r="K27" s="1115">
        <v>2420</v>
      </c>
      <c r="L27" s="1111"/>
      <c r="M27" s="1111">
        <v>2019</v>
      </c>
      <c r="N27" s="1111"/>
    </row>
    <row r="28" spans="1:14" ht="30" customHeight="1" x14ac:dyDescent="0.2">
      <c r="A28" s="969" t="s">
        <v>11927</v>
      </c>
      <c r="B28" s="1111" t="s">
        <v>11902</v>
      </c>
      <c r="C28" s="1111" t="s">
        <v>14234</v>
      </c>
      <c r="D28" s="1111">
        <v>10239243717</v>
      </c>
      <c r="E28" s="508" t="s">
        <v>1941</v>
      </c>
      <c r="F28" s="1111"/>
      <c r="G28" s="1111"/>
      <c r="H28" s="1111"/>
      <c r="I28" s="1111"/>
      <c r="J28" s="1111"/>
      <c r="K28" s="1115">
        <v>1900</v>
      </c>
      <c r="L28" s="1111"/>
      <c r="M28" s="1111">
        <v>2019</v>
      </c>
      <c r="N28" s="1111"/>
    </row>
    <row r="29" spans="1:14" ht="30" customHeight="1" x14ac:dyDescent="0.2">
      <c r="A29" s="969" t="s">
        <v>11927</v>
      </c>
      <c r="B29" s="1111" t="s">
        <v>11902</v>
      </c>
      <c r="C29" s="1111" t="s">
        <v>14234</v>
      </c>
      <c r="D29" s="1111">
        <v>10239243717</v>
      </c>
      <c r="E29" s="508" t="s">
        <v>1941</v>
      </c>
      <c r="F29" s="1111"/>
      <c r="G29" s="1111"/>
      <c r="H29" s="1111"/>
      <c r="I29" s="1111"/>
      <c r="J29" s="1111"/>
      <c r="K29" s="1115">
        <v>1900</v>
      </c>
      <c r="L29" s="1111"/>
      <c r="M29" s="1111">
        <v>2019</v>
      </c>
      <c r="N29" s="1111"/>
    </row>
    <row r="30" spans="1:14" ht="30" customHeight="1" x14ac:dyDescent="0.2">
      <c r="A30" s="969" t="s">
        <v>11927</v>
      </c>
      <c r="B30" s="1111" t="s">
        <v>11902</v>
      </c>
      <c r="C30" s="1111" t="s">
        <v>14238</v>
      </c>
      <c r="D30" s="1111">
        <v>10741299734</v>
      </c>
      <c r="E30" s="508" t="s">
        <v>1941</v>
      </c>
      <c r="F30" s="1111"/>
      <c r="G30" s="1111"/>
      <c r="H30" s="1111"/>
      <c r="I30" s="1111"/>
      <c r="J30" s="1111"/>
      <c r="K30" s="1115">
        <v>2420</v>
      </c>
      <c r="L30" s="1111"/>
      <c r="M30" s="1111">
        <v>2019</v>
      </c>
      <c r="N30" s="1111"/>
    </row>
    <row r="31" spans="1:14" ht="30" customHeight="1" x14ac:dyDescent="0.2">
      <c r="A31" s="969" t="s">
        <v>11927</v>
      </c>
      <c r="B31" s="1111" t="s">
        <v>11902</v>
      </c>
      <c r="C31" s="1111" t="s">
        <v>14238</v>
      </c>
      <c r="D31" s="1111">
        <v>10741299734</v>
      </c>
      <c r="E31" s="508" t="s">
        <v>1941</v>
      </c>
      <c r="F31" s="1111"/>
      <c r="G31" s="1111"/>
      <c r="H31" s="1111"/>
      <c r="I31" s="1111"/>
      <c r="J31" s="1111"/>
      <c r="K31" s="1115">
        <v>2420</v>
      </c>
      <c r="L31" s="1111"/>
      <c r="M31" s="1111">
        <v>2019</v>
      </c>
      <c r="N31" s="1111"/>
    </row>
    <row r="32" spans="1:14" ht="30" customHeight="1" x14ac:dyDescent="0.2">
      <c r="A32" s="969" t="s">
        <v>11927</v>
      </c>
      <c r="B32" s="1111" t="s">
        <v>11902</v>
      </c>
      <c r="C32" s="1111" t="s">
        <v>14234</v>
      </c>
      <c r="D32" s="1111">
        <v>10239243717</v>
      </c>
      <c r="E32" s="508" t="s">
        <v>1941</v>
      </c>
      <c r="F32" s="1111"/>
      <c r="G32" s="1111"/>
      <c r="H32" s="1111"/>
      <c r="I32" s="1111"/>
      <c r="J32" s="1111"/>
      <c r="K32" s="1115">
        <v>1900</v>
      </c>
      <c r="L32" s="1111"/>
      <c r="M32" s="1111">
        <v>2019</v>
      </c>
      <c r="N32" s="1111"/>
    </row>
    <row r="33" spans="1:14" ht="30" customHeight="1" x14ac:dyDescent="0.2">
      <c r="A33" s="969" t="s">
        <v>11927</v>
      </c>
      <c r="B33" s="1111" t="s">
        <v>11902</v>
      </c>
      <c r="C33" s="1111" t="s">
        <v>14234</v>
      </c>
      <c r="D33" s="1111">
        <v>10239243717</v>
      </c>
      <c r="E33" s="508" t="s">
        <v>1941</v>
      </c>
      <c r="F33" s="1111"/>
      <c r="G33" s="1111"/>
      <c r="H33" s="1111"/>
      <c r="I33" s="1111"/>
      <c r="J33" s="1111"/>
      <c r="K33" s="1115">
        <v>1900</v>
      </c>
      <c r="L33" s="1111"/>
      <c r="M33" s="1111">
        <v>2019</v>
      </c>
      <c r="N33" s="1111"/>
    </row>
    <row r="34" spans="1:14" ht="30" customHeight="1" x14ac:dyDescent="0.2">
      <c r="A34" s="969" t="s">
        <v>11927</v>
      </c>
      <c r="B34" s="1111" t="s">
        <v>11902</v>
      </c>
      <c r="C34" s="1111" t="s">
        <v>14233</v>
      </c>
      <c r="D34" s="1111">
        <v>10462825507</v>
      </c>
      <c r="E34" s="508" t="s">
        <v>1941</v>
      </c>
      <c r="F34" s="1111"/>
      <c r="G34" s="1111"/>
      <c r="H34" s="1111"/>
      <c r="I34" s="1111"/>
      <c r="J34" s="1111"/>
      <c r="K34" s="1115">
        <v>6000</v>
      </c>
      <c r="L34" s="1111"/>
      <c r="M34" s="1111">
        <v>2019</v>
      </c>
      <c r="N34" s="1111"/>
    </row>
    <row r="35" spans="1:14" ht="30" customHeight="1" x14ac:dyDescent="0.2">
      <c r="A35" s="969" t="s">
        <v>11927</v>
      </c>
      <c r="B35" s="1111" t="s">
        <v>11902</v>
      </c>
      <c r="C35" s="1111" t="s">
        <v>14234</v>
      </c>
      <c r="D35" s="1111">
        <v>10239243717</v>
      </c>
      <c r="E35" s="508" t="s">
        <v>1941</v>
      </c>
      <c r="F35" s="1111"/>
      <c r="G35" s="1111"/>
      <c r="H35" s="1111"/>
      <c r="I35" s="1111"/>
      <c r="J35" s="1111"/>
      <c r="K35" s="1115">
        <v>1900</v>
      </c>
      <c r="L35" s="1111"/>
      <c r="M35" s="1111">
        <v>2019</v>
      </c>
      <c r="N35" s="1111"/>
    </row>
    <row r="36" spans="1:14" ht="30" customHeight="1" x14ac:dyDescent="0.2">
      <c r="A36" s="969" t="s">
        <v>11927</v>
      </c>
      <c r="B36" s="1111" t="s">
        <v>11902</v>
      </c>
      <c r="C36" s="1111" t="s">
        <v>14234</v>
      </c>
      <c r="D36" s="1111">
        <v>10239243717</v>
      </c>
      <c r="E36" s="508" t="s">
        <v>1941</v>
      </c>
      <c r="F36" s="1111"/>
      <c r="G36" s="1111"/>
      <c r="H36" s="1111"/>
      <c r="I36" s="1111"/>
      <c r="J36" s="1111"/>
      <c r="K36" s="1115">
        <v>1900</v>
      </c>
      <c r="L36" s="1111"/>
      <c r="M36" s="1111">
        <v>2019</v>
      </c>
      <c r="N36" s="1111"/>
    </row>
    <row r="37" spans="1:14" ht="30" customHeight="1" x14ac:dyDescent="0.2">
      <c r="A37" s="969" t="s">
        <v>11927</v>
      </c>
      <c r="B37" s="1111" t="s">
        <v>11902</v>
      </c>
      <c r="C37" s="1111" t="s">
        <v>14237</v>
      </c>
      <c r="D37" s="1111">
        <v>10076054946</v>
      </c>
      <c r="E37" s="508" t="s">
        <v>14242</v>
      </c>
      <c r="F37" s="1111"/>
      <c r="G37" s="1111"/>
      <c r="H37" s="1111"/>
      <c r="I37" s="1111"/>
      <c r="J37" s="1111"/>
      <c r="K37" s="1115">
        <v>6000</v>
      </c>
      <c r="L37" s="1111"/>
      <c r="M37" s="1111">
        <v>2019</v>
      </c>
      <c r="N37" s="1111"/>
    </row>
    <row r="38" spans="1:14" ht="30" customHeight="1" x14ac:dyDescent="0.2">
      <c r="A38" s="969" t="s">
        <v>11927</v>
      </c>
      <c r="B38" s="1111" t="s">
        <v>11902</v>
      </c>
      <c r="C38" s="1111" t="s">
        <v>14232</v>
      </c>
      <c r="D38" s="1111">
        <v>10244850044</v>
      </c>
      <c r="E38" s="508" t="s">
        <v>1941</v>
      </c>
      <c r="F38" s="1111"/>
      <c r="G38" s="1111"/>
      <c r="H38" s="1111"/>
      <c r="I38" s="1111"/>
      <c r="J38" s="1111"/>
      <c r="K38" s="1115">
        <v>4600</v>
      </c>
      <c r="L38" s="1111"/>
      <c r="M38" s="1111">
        <v>2019</v>
      </c>
      <c r="N38" s="1111"/>
    </row>
    <row r="39" spans="1:14" ht="30" customHeight="1" x14ac:dyDescent="0.2">
      <c r="A39" s="969" t="s">
        <v>11927</v>
      </c>
      <c r="B39" s="1111" t="s">
        <v>11902</v>
      </c>
      <c r="C39" s="1111" t="s">
        <v>14243</v>
      </c>
      <c r="D39" s="1111">
        <v>10401538459</v>
      </c>
      <c r="E39" s="508" t="s">
        <v>1941</v>
      </c>
      <c r="F39" s="1111"/>
      <c r="G39" s="1111"/>
      <c r="H39" s="1111"/>
      <c r="I39" s="1111"/>
      <c r="J39" s="1111"/>
      <c r="K39" s="1115">
        <v>9600</v>
      </c>
      <c r="L39" s="1111"/>
      <c r="M39" s="1111">
        <v>2019</v>
      </c>
      <c r="N39" s="1111"/>
    </row>
    <row r="40" spans="1:14" ht="30" customHeight="1" x14ac:dyDescent="0.2">
      <c r="A40" s="969" t="s">
        <v>11927</v>
      </c>
      <c r="B40" s="1111" t="s">
        <v>11902</v>
      </c>
      <c r="C40" s="1111" t="s">
        <v>14234</v>
      </c>
      <c r="D40" s="1111">
        <v>10239243717</v>
      </c>
      <c r="E40" s="508" t="s">
        <v>1941</v>
      </c>
      <c r="F40" s="1111"/>
      <c r="G40" s="1111"/>
      <c r="H40" s="1111"/>
      <c r="I40" s="1111"/>
      <c r="J40" s="1111"/>
      <c r="K40" s="1115">
        <v>1900</v>
      </c>
      <c r="L40" s="1111"/>
      <c r="M40" s="1111">
        <v>2019</v>
      </c>
      <c r="N40" s="1111"/>
    </row>
    <row r="41" spans="1:14" ht="30" customHeight="1" x14ac:dyDescent="0.2">
      <c r="A41" s="969" t="s">
        <v>11927</v>
      </c>
      <c r="B41" s="1111" t="s">
        <v>11902</v>
      </c>
      <c r="C41" s="1111" t="s">
        <v>14238</v>
      </c>
      <c r="D41" s="1111">
        <v>10741299734</v>
      </c>
      <c r="E41" s="508" t="s">
        <v>1941</v>
      </c>
      <c r="F41" s="1111"/>
      <c r="G41" s="1111"/>
      <c r="H41" s="1111"/>
      <c r="I41" s="1111"/>
      <c r="J41" s="1111"/>
      <c r="K41" s="1115">
        <v>2420</v>
      </c>
      <c r="L41" s="1111"/>
      <c r="M41" s="1111">
        <v>2019</v>
      </c>
      <c r="N41" s="1111"/>
    </row>
    <row r="42" spans="1:14" ht="30" customHeight="1" x14ac:dyDescent="0.2">
      <c r="A42" s="969" t="s">
        <v>11927</v>
      </c>
      <c r="B42" s="1111" t="s">
        <v>11902</v>
      </c>
      <c r="C42" s="1111" t="s">
        <v>14239</v>
      </c>
      <c r="D42" s="1111">
        <v>10022986568</v>
      </c>
      <c r="E42" s="508" t="s">
        <v>1941</v>
      </c>
      <c r="F42" s="1111"/>
      <c r="G42" s="1111"/>
      <c r="H42" s="1111"/>
      <c r="I42" s="1111"/>
      <c r="J42" s="1111"/>
      <c r="K42" s="1115">
        <v>3900</v>
      </c>
      <c r="L42" s="1111"/>
      <c r="M42" s="1111">
        <v>2019</v>
      </c>
      <c r="N42" s="1111"/>
    </row>
    <row r="43" spans="1:14" ht="30" customHeight="1" x14ac:dyDescent="0.2">
      <c r="A43" s="969" t="s">
        <v>11927</v>
      </c>
      <c r="B43" s="1111" t="s">
        <v>11902</v>
      </c>
      <c r="C43" s="1111" t="s">
        <v>14238</v>
      </c>
      <c r="D43" s="1111">
        <v>10741299734</v>
      </c>
      <c r="E43" s="508" t="s">
        <v>1941</v>
      </c>
      <c r="F43" s="1111"/>
      <c r="G43" s="1111"/>
      <c r="H43" s="1111"/>
      <c r="I43" s="1111"/>
      <c r="J43" s="1111"/>
      <c r="K43" s="1115">
        <v>2420</v>
      </c>
      <c r="L43" s="1111"/>
      <c r="M43" s="1111">
        <v>2019</v>
      </c>
      <c r="N43" s="1111"/>
    </row>
    <row r="44" spans="1:14" ht="30" customHeight="1" x14ac:dyDescent="0.2">
      <c r="A44" s="969" t="s">
        <v>11927</v>
      </c>
      <c r="B44" s="1111" t="s">
        <v>11902</v>
      </c>
      <c r="C44" s="1111" t="s">
        <v>14238</v>
      </c>
      <c r="D44" s="1111">
        <v>10741299734</v>
      </c>
      <c r="E44" s="508" t="s">
        <v>1941</v>
      </c>
      <c r="F44" s="1111"/>
      <c r="G44" s="1111"/>
      <c r="H44" s="1111"/>
      <c r="I44" s="1111"/>
      <c r="J44" s="1111"/>
      <c r="K44" s="1115">
        <v>2420</v>
      </c>
      <c r="L44" s="1111"/>
      <c r="M44" s="1111">
        <v>2019</v>
      </c>
      <c r="N44" s="1111"/>
    </row>
    <row r="45" spans="1:14" ht="30" customHeight="1" x14ac:dyDescent="0.2">
      <c r="A45" s="969" t="s">
        <v>11927</v>
      </c>
      <c r="B45" s="1111" t="s">
        <v>11902</v>
      </c>
      <c r="C45" s="1111" t="s">
        <v>14234</v>
      </c>
      <c r="D45" s="1111">
        <v>10239243717</v>
      </c>
      <c r="E45" s="508" t="s">
        <v>1941</v>
      </c>
      <c r="F45" s="1111"/>
      <c r="G45" s="1111"/>
      <c r="H45" s="1111"/>
      <c r="I45" s="1111"/>
      <c r="J45" s="1111"/>
      <c r="K45" s="1115">
        <v>1900</v>
      </c>
      <c r="L45" s="1111"/>
      <c r="M45" s="1111">
        <v>2019</v>
      </c>
      <c r="N45" s="1111"/>
    </row>
    <row r="46" spans="1:14" ht="30" customHeight="1" x14ac:dyDescent="0.2">
      <c r="A46" s="969" t="s">
        <v>11927</v>
      </c>
      <c r="B46" s="1111" t="s">
        <v>11902</v>
      </c>
      <c r="C46" s="1111" t="s">
        <v>14244</v>
      </c>
      <c r="D46" s="1111">
        <v>10238349228</v>
      </c>
      <c r="E46" s="508" t="s">
        <v>1941</v>
      </c>
      <c r="F46" s="1111"/>
      <c r="G46" s="1111"/>
      <c r="H46" s="1111"/>
      <c r="I46" s="1111"/>
      <c r="J46" s="1111"/>
      <c r="K46" s="1115">
        <v>2000</v>
      </c>
      <c r="L46" s="1111"/>
      <c r="M46" s="1111">
        <v>2019</v>
      </c>
      <c r="N46" s="1111"/>
    </row>
    <row r="47" spans="1:14" ht="30" customHeight="1" x14ac:dyDescent="0.2">
      <c r="A47" s="969" t="s">
        <v>11927</v>
      </c>
      <c r="B47" s="1111" t="s">
        <v>11902</v>
      </c>
      <c r="C47" s="1111" t="s">
        <v>14244</v>
      </c>
      <c r="D47" s="1111">
        <v>10238349228</v>
      </c>
      <c r="E47" s="508" t="s">
        <v>1941</v>
      </c>
      <c r="F47" s="1111"/>
      <c r="G47" s="1111"/>
      <c r="H47" s="1111"/>
      <c r="I47" s="1111"/>
      <c r="J47" s="1111"/>
      <c r="K47" s="1115">
        <v>2000</v>
      </c>
      <c r="L47" s="1111"/>
      <c r="M47" s="1111">
        <v>2019</v>
      </c>
      <c r="N47" s="1111"/>
    </row>
    <row r="48" spans="1:14" ht="30" customHeight="1" x14ac:dyDescent="0.2">
      <c r="A48" s="969" t="s">
        <v>11927</v>
      </c>
      <c r="B48" s="1111" t="s">
        <v>11902</v>
      </c>
      <c r="C48" s="1111" t="s">
        <v>14239</v>
      </c>
      <c r="D48" s="1111">
        <v>10022986568</v>
      </c>
      <c r="E48" s="508" t="s">
        <v>1941</v>
      </c>
      <c r="F48" s="1111"/>
      <c r="G48" s="1111"/>
      <c r="H48" s="1111"/>
      <c r="I48" s="1111"/>
      <c r="J48" s="1111"/>
      <c r="K48" s="1115">
        <v>2600</v>
      </c>
      <c r="L48" s="1111"/>
      <c r="M48" s="1111">
        <v>2019</v>
      </c>
      <c r="N48" s="1111"/>
    </row>
    <row r="49" spans="1:14" ht="30" customHeight="1" x14ac:dyDescent="0.2">
      <c r="A49" s="969" t="s">
        <v>11927</v>
      </c>
      <c r="B49" s="1111" t="s">
        <v>11902</v>
      </c>
      <c r="C49" s="1111" t="s">
        <v>14234</v>
      </c>
      <c r="D49" s="1111">
        <v>10239243717</v>
      </c>
      <c r="E49" s="508" t="s">
        <v>1941</v>
      </c>
      <c r="F49" s="1111"/>
      <c r="G49" s="1111"/>
      <c r="H49" s="1111"/>
      <c r="I49" s="1111"/>
      <c r="J49" s="1111"/>
      <c r="K49" s="1115">
        <v>1900</v>
      </c>
      <c r="L49" s="1111"/>
      <c r="M49" s="1111">
        <v>2019</v>
      </c>
      <c r="N49" s="1111"/>
    </row>
    <row r="50" spans="1:14" ht="30" customHeight="1" x14ac:dyDescent="0.2">
      <c r="A50" s="969" t="s">
        <v>11927</v>
      </c>
      <c r="B50" s="1111" t="s">
        <v>11902</v>
      </c>
      <c r="C50" s="1111" t="s">
        <v>14234</v>
      </c>
      <c r="D50" s="1111">
        <v>10239243717</v>
      </c>
      <c r="E50" s="508" t="s">
        <v>1941</v>
      </c>
      <c r="F50" s="1111"/>
      <c r="G50" s="1111"/>
      <c r="H50" s="1111"/>
      <c r="I50" s="1111"/>
      <c r="J50" s="1111"/>
      <c r="K50" s="1115">
        <v>1900</v>
      </c>
      <c r="L50" s="1111"/>
      <c r="M50" s="1111">
        <v>2019</v>
      </c>
      <c r="N50" s="1111"/>
    </row>
    <row r="51" spans="1:14" ht="30" customHeight="1" x14ac:dyDescent="0.2">
      <c r="A51" s="969" t="s">
        <v>11927</v>
      </c>
      <c r="B51" s="1111" t="s">
        <v>11902</v>
      </c>
      <c r="C51" s="1111" t="s">
        <v>14244</v>
      </c>
      <c r="D51" s="1111">
        <v>10238349228</v>
      </c>
      <c r="E51" s="508" t="s">
        <v>1941</v>
      </c>
      <c r="F51" s="1111"/>
      <c r="G51" s="1111"/>
      <c r="H51" s="1111"/>
      <c r="I51" s="1111"/>
      <c r="J51" s="1111"/>
      <c r="K51" s="1115">
        <v>2000</v>
      </c>
      <c r="L51" s="1111"/>
      <c r="M51" s="1111">
        <v>2019</v>
      </c>
      <c r="N51" s="1111"/>
    </row>
    <row r="52" spans="1:14" ht="30" customHeight="1" x14ac:dyDescent="0.2">
      <c r="A52" s="969" t="s">
        <v>11927</v>
      </c>
      <c r="B52" s="1111" t="s">
        <v>11902</v>
      </c>
      <c r="C52" s="1111" t="s">
        <v>14234</v>
      </c>
      <c r="D52" s="1111">
        <v>10239243717</v>
      </c>
      <c r="E52" s="508" t="s">
        <v>1941</v>
      </c>
      <c r="F52" s="1111"/>
      <c r="G52" s="1111"/>
      <c r="H52" s="1111"/>
      <c r="I52" s="1111"/>
      <c r="J52" s="1111"/>
      <c r="K52" s="1115">
        <v>1900</v>
      </c>
      <c r="L52" s="1111"/>
      <c r="M52" s="1111">
        <v>2019</v>
      </c>
      <c r="N52" s="1111"/>
    </row>
    <row r="53" spans="1:14" ht="30" customHeight="1" x14ac:dyDescent="0.2">
      <c r="A53" s="969" t="s">
        <v>11927</v>
      </c>
      <c r="B53" s="1111" t="s">
        <v>11902</v>
      </c>
      <c r="C53" s="1111" t="s">
        <v>14234</v>
      </c>
      <c r="D53" s="1111">
        <v>10239243717</v>
      </c>
      <c r="E53" s="508" t="s">
        <v>1941</v>
      </c>
      <c r="F53" s="1111"/>
      <c r="G53" s="1111"/>
      <c r="H53" s="1111"/>
      <c r="I53" s="1111"/>
      <c r="J53" s="1111"/>
      <c r="K53" s="1115">
        <v>1900</v>
      </c>
      <c r="L53" s="1111"/>
      <c r="M53" s="1111">
        <v>2019</v>
      </c>
      <c r="N53" s="1111"/>
    </row>
    <row r="54" spans="1:14" ht="30" customHeight="1" x14ac:dyDescent="0.2">
      <c r="A54" s="969" t="s">
        <v>11927</v>
      </c>
      <c r="B54" s="1111" t="s">
        <v>11902</v>
      </c>
      <c r="C54" s="1111" t="s">
        <v>14232</v>
      </c>
      <c r="D54" s="1111">
        <v>10244850044</v>
      </c>
      <c r="E54" s="508" t="s">
        <v>1941</v>
      </c>
      <c r="F54" s="1111"/>
      <c r="G54" s="1111"/>
      <c r="H54" s="1111"/>
      <c r="I54" s="1111"/>
      <c r="J54" s="1111"/>
      <c r="K54" s="1115">
        <v>9200</v>
      </c>
      <c r="L54" s="1111"/>
      <c r="M54" s="1111">
        <v>2019</v>
      </c>
      <c r="N54" s="1111"/>
    </row>
    <row r="55" spans="1:14" ht="30" customHeight="1" x14ac:dyDescent="0.2">
      <c r="A55" s="969" t="s">
        <v>11927</v>
      </c>
      <c r="B55" s="1111" t="s">
        <v>11902</v>
      </c>
      <c r="C55" s="1111" t="s">
        <v>14237</v>
      </c>
      <c r="D55" s="1111">
        <v>10076054946</v>
      </c>
      <c r="E55" s="508" t="s">
        <v>14242</v>
      </c>
      <c r="F55" s="1111"/>
      <c r="G55" s="1111"/>
      <c r="H55" s="1111"/>
      <c r="I55" s="1111"/>
      <c r="J55" s="1111"/>
      <c r="K55" s="1115">
        <v>6000</v>
      </c>
      <c r="L55" s="1111"/>
      <c r="M55" s="1111">
        <v>2019</v>
      </c>
      <c r="N55" s="1111"/>
    </row>
    <row r="56" spans="1:14" ht="30" customHeight="1" x14ac:dyDescent="0.2">
      <c r="A56" s="969" t="s">
        <v>11927</v>
      </c>
      <c r="B56" s="1111" t="s">
        <v>11902</v>
      </c>
      <c r="C56" s="1111" t="s">
        <v>14244</v>
      </c>
      <c r="D56" s="1111">
        <v>10238349228</v>
      </c>
      <c r="E56" s="508" t="s">
        <v>1941</v>
      </c>
      <c r="F56" s="1111"/>
      <c r="G56" s="1111"/>
      <c r="H56" s="1111"/>
      <c r="I56" s="1111"/>
      <c r="J56" s="1111"/>
      <c r="K56" s="1115">
        <v>2000</v>
      </c>
      <c r="L56" s="1111"/>
      <c r="M56" s="1111">
        <v>2019</v>
      </c>
      <c r="N56" s="1111"/>
    </row>
    <row r="57" spans="1:14" ht="30" customHeight="1" x14ac:dyDescent="0.2">
      <c r="A57" s="969" t="s">
        <v>11927</v>
      </c>
      <c r="B57" s="1111" t="s">
        <v>11902</v>
      </c>
      <c r="C57" s="1111" t="s">
        <v>14232</v>
      </c>
      <c r="D57" s="1111">
        <v>10244850044</v>
      </c>
      <c r="E57" s="508" t="s">
        <v>14236</v>
      </c>
      <c r="F57" s="1111"/>
      <c r="G57" s="1111"/>
      <c r="H57" s="1111"/>
      <c r="I57" s="1111"/>
      <c r="J57" s="1111"/>
      <c r="K57" s="1115">
        <v>18400</v>
      </c>
      <c r="L57" s="1111"/>
      <c r="M57" s="1111">
        <v>2019</v>
      </c>
      <c r="N57" s="1111"/>
    </row>
    <row r="58" spans="1:14" ht="30" customHeight="1" x14ac:dyDescent="0.2">
      <c r="A58" s="969" t="s">
        <v>11927</v>
      </c>
      <c r="B58" s="1111" t="s">
        <v>11902</v>
      </c>
      <c r="C58" s="1111" t="s">
        <v>14232</v>
      </c>
      <c r="D58" s="1111">
        <v>10244850044</v>
      </c>
      <c r="E58" s="508" t="s">
        <v>1941</v>
      </c>
      <c r="F58" s="1111"/>
      <c r="G58" s="1111"/>
      <c r="H58" s="1111"/>
      <c r="I58" s="1111"/>
      <c r="J58" s="1111"/>
      <c r="K58" s="1115">
        <v>9200</v>
      </c>
      <c r="L58" s="1111"/>
      <c r="M58" s="1111">
        <v>2019</v>
      </c>
      <c r="N58" s="1111"/>
    </row>
    <row r="59" spans="1:14" ht="30" customHeight="1" x14ac:dyDescent="0.2">
      <c r="A59" s="969" t="s">
        <v>11927</v>
      </c>
      <c r="B59" s="1111" t="s">
        <v>11902</v>
      </c>
      <c r="C59" s="1111" t="s">
        <v>14244</v>
      </c>
      <c r="D59" s="1111">
        <v>10238349228</v>
      </c>
      <c r="E59" s="508" t="s">
        <v>1941</v>
      </c>
      <c r="F59" s="1111"/>
      <c r="G59" s="1111"/>
      <c r="H59" s="1111"/>
      <c r="I59" s="1111"/>
      <c r="J59" s="1111"/>
      <c r="K59" s="1115">
        <v>2000</v>
      </c>
      <c r="L59" s="1111"/>
      <c r="M59" s="1111">
        <v>2019</v>
      </c>
      <c r="N59" s="1111"/>
    </row>
    <row r="60" spans="1:14" ht="30" customHeight="1" x14ac:dyDescent="0.2">
      <c r="A60" s="969" t="s">
        <v>11927</v>
      </c>
      <c r="B60" s="1111" t="s">
        <v>11902</v>
      </c>
      <c r="C60" s="1111" t="s">
        <v>14238</v>
      </c>
      <c r="D60" s="1111">
        <v>10741299734</v>
      </c>
      <c r="E60" s="508" t="s">
        <v>1941</v>
      </c>
      <c r="F60" s="1111"/>
      <c r="G60" s="1111"/>
      <c r="H60" s="1111"/>
      <c r="I60" s="1111"/>
      <c r="J60" s="1111"/>
      <c r="K60" s="1115">
        <v>2420</v>
      </c>
      <c r="L60" s="1111"/>
      <c r="M60" s="1111">
        <v>2019</v>
      </c>
      <c r="N60" s="1111"/>
    </row>
    <row r="61" spans="1:14" ht="30" customHeight="1" x14ac:dyDescent="0.2">
      <c r="A61" s="969" t="s">
        <v>11927</v>
      </c>
      <c r="B61" s="1111" t="s">
        <v>11902</v>
      </c>
      <c r="C61" s="1111" t="s">
        <v>14234</v>
      </c>
      <c r="D61" s="1111">
        <v>10239243717</v>
      </c>
      <c r="E61" s="508" t="s">
        <v>1941</v>
      </c>
      <c r="F61" s="1111"/>
      <c r="G61" s="1111"/>
      <c r="H61" s="1111"/>
      <c r="I61" s="1111"/>
      <c r="J61" s="1111"/>
      <c r="K61" s="1115">
        <v>1900</v>
      </c>
      <c r="L61" s="1111"/>
      <c r="M61" s="1111">
        <v>2019</v>
      </c>
      <c r="N61" s="1111"/>
    </row>
    <row r="62" spans="1:14" ht="30" customHeight="1" x14ac:dyDescent="0.2">
      <c r="A62" s="969" t="s">
        <v>11927</v>
      </c>
      <c r="B62" s="1111" t="s">
        <v>11902</v>
      </c>
      <c r="C62" s="1111" t="s">
        <v>14234</v>
      </c>
      <c r="D62" s="1111">
        <v>10239243717</v>
      </c>
      <c r="E62" s="508" t="s">
        <v>1941</v>
      </c>
      <c r="F62" s="1111"/>
      <c r="G62" s="1111"/>
      <c r="H62" s="1111"/>
      <c r="I62" s="1111"/>
      <c r="J62" s="1111"/>
      <c r="K62" s="1115">
        <v>1900</v>
      </c>
      <c r="L62" s="1111"/>
      <c r="M62" s="1111">
        <v>2019</v>
      </c>
      <c r="N62" s="1111"/>
    </row>
    <row r="63" spans="1:14" ht="30" customHeight="1" x14ac:dyDescent="0.2">
      <c r="A63" s="969" t="s">
        <v>11927</v>
      </c>
      <c r="B63" s="1111" t="s">
        <v>11902</v>
      </c>
      <c r="C63" s="1111" t="s">
        <v>14238</v>
      </c>
      <c r="D63" s="1111">
        <v>10741299734</v>
      </c>
      <c r="E63" s="508" t="s">
        <v>1941</v>
      </c>
      <c r="F63" s="1111"/>
      <c r="G63" s="1111"/>
      <c r="H63" s="1111"/>
      <c r="I63" s="1111"/>
      <c r="J63" s="1111"/>
      <c r="K63" s="1115">
        <v>2420</v>
      </c>
      <c r="L63" s="1111"/>
      <c r="M63" s="1111">
        <v>2019</v>
      </c>
      <c r="N63" s="1111"/>
    </row>
    <row r="64" spans="1:14" ht="30" customHeight="1" x14ac:dyDescent="0.2">
      <c r="A64" s="969" t="s">
        <v>11927</v>
      </c>
      <c r="B64" s="1111" t="s">
        <v>11902</v>
      </c>
      <c r="C64" s="1111" t="s">
        <v>14241</v>
      </c>
      <c r="D64" s="1111">
        <v>20358558748</v>
      </c>
      <c r="E64" s="508" t="s">
        <v>1941</v>
      </c>
      <c r="F64" s="1111"/>
      <c r="G64" s="1111"/>
      <c r="H64" s="1111"/>
      <c r="I64" s="1111"/>
      <c r="J64" s="1111"/>
      <c r="K64" s="1115">
        <v>2000</v>
      </c>
      <c r="L64" s="1111"/>
      <c r="M64" s="1111">
        <v>2019</v>
      </c>
      <c r="N64" s="1111"/>
    </row>
    <row r="65" spans="1:14" ht="30" customHeight="1" x14ac:dyDescent="0.2">
      <c r="A65" s="969" t="s">
        <v>11927</v>
      </c>
      <c r="B65" s="1111" t="s">
        <v>11902</v>
      </c>
      <c r="C65" s="1111" t="s">
        <v>14244</v>
      </c>
      <c r="D65" s="1111">
        <v>10238349228</v>
      </c>
      <c r="E65" s="508" t="s">
        <v>1941</v>
      </c>
      <c r="F65" s="1111"/>
      <c r="G65" s="1111"/>
      <c r="H65" s="1111"/>
      <c r="I65" s="1111"/>
      <c r="J65" s="1111"/>
      <c r="K65" s="1115">
        <v>2000</v>
      </c>
      <c r="L65" s="1111"/>
      <c r="M65" s="1111">
        <v>2019</v>
      </c>
      <c r="N65" s="1111"/>
    </row>
    <row r="66" spans="1:14" ht="30" customHeight="1" x14ac:dyDescent="0.2">
      <c r="A66" s="969" t="s">
        <v>11927</v>
      </c>
      <c r="B66" s="1111" t="s">
        <v>11902</v>
      </c>
      <c r="C66" s="1111" t="s">
        <v>14234</v>
      </c>
      <c r="D66" s="1111">
        <v>10239243717</v>
      </c>
      <c r="E66" s="508" t="s">
        <v>1941</v>
      </c>
      <c r="F66" s="1111"/>
      <c r="G66" s="1111"/>
      <c r="H66" s="1111"/>
      <c r="I66" s="1111"/>
      <c r="J66" s="1111"/>
      <c r="K66" s="1115">
        <v>1900</v>
      </c>
      <c r="L66" s="1111"/>
      <c r="M66" s="1111">
        <v>2019</v>
      </c>
      <c r="N66" s="1111"/>
    </row>
    <row r="67" spans="1:14" ht="30" customHeight="1" x14ac:dyDescent="0.2">
      <c r="A67" s="969" t="s">
        <v>11927</v>
      </c>
      <c r="B67" s="1111" t="s">
        <v>11902</v>
      </c>
      <c r="C67" s="1111" t="s">
        <v>14234</v>
      </c>
      <c r="D67" s="1111">
        <v>10239243717</v>
      </c>
      <c r="E67" s="508" t="s">
        <v>1941</v>
      </c>
      <c r="F67" s="1111"/>
      <c r="G67" s="1111"/>
      <c r="H67" s="1111"/>
      <c r="I67" s="1111"/>
      <c r="J67" s="1111"/>
      <c r="K67" s="1115">
        <v>1900</v>
      </c>
      <c r="L67" s="1111"/>
      <c r="M67" s="1111">
        <v>2019</v>
      </c>
      <c r="N67" s="1111"/>
    </row>
    <row r="68" spans="1:14" ht="30" customHeight="1" x14ac:dyDescent="0.2">
      <c r="A68" s="969" t="s">
        <v>11927</v>
      </c>
      <c r="B68" s="1111" t="s">
        <v>11902</v>
      </c>
      <c r="C68" s="1111" t="s">
        <v>14245</v>
      </c>
      <c r="D68" s="1111">
        <v>10239256398</v>
      </c>
      <c r="E68" s="508" t="s">
        <v>1941</v>
      </c>
      <c r="F68" s="1111"/>
      <c r="G68" s="1111"/>
      <c r="H68" s="1111"/>
      <c r="I68" s="1111"/>
      <c r="J68" s="1111"/>
      <c r="K68" s="1115">
        <v>3200</v>
      </c>
      <c r="L68" s="1111"/>
      <c r="M68" s="1111">
        <v>2019</v>
      </c>
      <c r="N68" s="1111"/>
    </row>
    <row r="69" spans="1:14" ht="30" customHeight="1" x14ac:dyDescent="0.2">
      <c r="A69" s="969" t="s">
        <v>11927</v>
      </c>
      <c r="B69" s="1111" t="s">
        <v>11902</v>
      </c>
      <c r="C69" s="1111" t="s">
        <v>14234</v>
      </c>
      <c r="D69" s="1111">
        <v>10239243717</v>
      </c>
      <c r="E69" s="508" t="s">
        <v>1941</v>
      </c>
      <c r="F69" s="1111"/>
      <c r="G69" s="1111"/>
      <c r="H69" s="1111"/>
      <c r="I69" s="1111"/>
      <c r="J69" s="1111"/>
      <c r="K69" s="1115">
        <v>1900</v>
      </c>
      <c r="L69" s="1111"/>
      <c r="M69" s="1111">
        <v>2019</v>
      </c>
      <c r="N69" s="1111"/>
    </row>
    <row r="70" spans="1:14" ht="30" customHeight="1" x14ac:dyDescent="0.2">
      <c r="A70" s="969" t="s">
        <v>11927</v>
      </c>
      <c r="B70" s="1111" t="s">
        <v>11902</v>
      </c>
      <c r="C70" s="1111" t="s">
        <v>14241</v>
      </c>
      <c r="D70" s="1111">
        <v>20358558748</v>
      </c>
      <c r="E70" s="508" t="s">
        <v>1941</v>
      </c>
      <c r="F70" s="1111"/>
      <c r="G70" s="1111"/>
      <c r="H70" s="1111"/>
      <c r="I70" s="1111"/>
      <c r="J70" s="1111"/>
      <c r="K70" s="1115">
        <v>2000</v>
      </c>
      <c r="L70" s="1111"/>
      <c r="M70" s="1111">
        <v>2019</v>
      </c>
      <c r="N70" s="1111"/>
    </row>
    <row r="71" spans="1:14" ht="30" customHeight="1" x14ac:dyDescent="0.2">
      <c r="A71" s="969" t="s">
        <v>11927</v>
      </c>
      <c r="B71" s="1111" t="s">
        <v>11902</v>
      </c>
      <c r="C71" s="1111" t="s">
        <v>14238</v>
      </c>
      <c r="D71" s="1111">
        <v>10741299734</v>
      </c>
      <c r="E71" s="508" t="s">
        <v>1941</v>
      </c>
      <c r="F71" s="1111"/>
      <c r="G71" s="1111"/>
      <c r="H71" s="1111"/>
      <c r="I71" s="1111"/>
      <c r="J71" s="1111"/>
      <c r="K71" s="1115">
        <v>4840</v>
      </c>
      <c r="L71" s="1111"/>
      <c r="M71" s="1111">
        <v>2019</v>
      </c>
      <c r="N71" s="1111"/>
    </row>
    <row r="72" spans="1:14" ht="30" customHeight="1" x14ac:dyDescent="0.2">
      <c r="A72" s="969" t="s">
        <v>11927</v>
      </c>
      <c r="B72" s="1111" t="s">
        <v>11902</v>
      </c>
      <c r="C72" s="1111" t="s">
        <v>14245</v>
      </c>
      <c r="D72" s="1111">
        <v>10239256398</v>
      </c>
      <c r="E72" s="508" t="s">
        <v>1941</v>
      </c>
      <c r="F72" s="1111"/>
      <c r="G72" s="1111"/>
      <c r="H72" s="1111"/>
      <c r="I72" s="1111"/>
      <c r="J72" s="1111"/>
      <c r="K72" s="1115">
        <v>1600</v>
      </c>
      <c r="L72" s="1111"/>
      <c r="M72" s="1111">
        <v>2019</v>
      </c>
      <c r="N72" s="1111"/>
    </row>
    <row r="73" spans="1:14" ht="30" customHeight="1" x14ac:dyDescent="0.2">
      <c r="A73" s="969" t="s">
        <v>11927</v>
      </c>
      <c r="B73" s="1111" t="s">
        <v>11902</v>
      </c>
      <c r="C73" s="1111" t="s">
        <v>14234</v>
      </c>
      <c r="D73" s="1111">
        <v>10239243717</v>
      </c>
      <c r="E73" s="508" t="s">
        <v>1941</v>
      </c>
      <c r="F73" s="1111"/>
      <c r="G73" s="1111"/>
      <c r="H73" s="1111"/>
      <c r="I73" s="1111"/>
      <c r="J73" s="1111"/>
      <c r="K73" s="1115">
        <v>1900</v>
      </c>
      <c r="L73" s="1111"/>
      <c r="M73" s="1111">
        <v>2019</v>
      </c>
      <c r="N73" s="1111"/>
    </row>
    <row r="74" spans="1:14" ht="30" customHeight="1" x14ac:dyDescent="0.2">
      <c r="A74" s="969" t="s">
        <v>11927</v>
      </c>
      <c r="B74" s="1111" t="s">
        <v>11902</v>
      </c>
      <c r="C74" s="1111" t="s">
        <v>14234</v>
      </c>
      <c r="D74" s="1111">
        <v>10239243717</v>
      </c>
      <c r="E74" s="508" t="s">
        <v>1941</v>
      </c>
      <c r="F74" s="1111"/>
      <c r="G74" s="1111"/>
      <c r="H74" s="1111"/>
      <c r="I74" s="1111"/>
      <c r="J74" s="1111"/>
      <c r="K74" s="1115">
        <v>3800</v>
      </c>
      <c r="L74" s="1111"/>
      <c r="M74" s="1111"/>
      <c r="N74" s="1111">
        <v>2020</v>
      </c>
    </row>
    <row r="75" spans="1:14" ht="30" customHeight="1" x14ac:dyDescent="0.2">
      <c r="A75" s="969" t="s">
        <v>11927</v>
      </c>
      <c r="B75" s="1111" t="s">
        <v>11902</v>
      </c>
      <c r="C75" s="1111" t="s">
        <v>14237</v>
      </c>
      <c r="D75" s="1111">
        <v>10076054946</v>
      </c>
      <c r="E75" s="508" t="s">
        <v>14242</v>
      </c>
      <c r="F75" s="1111"/>
      <c r="G75" s="1111"/>
      <c r="H75" s="1111"/>
      <c r="I75" s="1111"/>
      <c r="J75" s="1111"/>
      <c r="K75" s="1115">
        <v>6000</v>
      </c>
      <c r="L75" s="1111"/>
      <c r="M75" s="1111"/>
      <c r="N75" s="1111">
        <v>2020</v>
      </c>
    </row>
    <row r="76" spans="1:14" ht="30" customHeight="1" x14ac:dyDescent="0.2">
      <c r="A76" s="969" t="s">
        <v>11927</v>
      </c>
      <c r="B76" s="1111" t="s">
        <v>11902</v>
      </c>
      <c r="C76" s="1111" t="s">
        <v>14244</v>
      </c>
      <c r="D76" s="1111">
        <v>10238349228</v>
      </c>
      <c r="E76" s="508" t="s">
        <v>1941</v>
      </c>
      <c r="F76" s="1111"/>
      <c r="G76" s="1111"/>
      <c r="H76" s="1111"/>
      <c r="I76" s="1111"/>
      <c r="J76" s="1111"/>
      <c r="K76" s="1115">
        <v>2000</v>
      </c>
      <c r="L76" s="1111"/>
      <c r="M76" s="1111"/>
      <c r="N76" s="1111">
        <v>2020</v>
      </c>
    </row>
    <row r="77" spans="1:14" ht="30" customHeight="1" x14ac:dyDescent="0.2">
      <c r="A77" s="969" t="s">
        <v>11927</v>
      </c>
      <c r="B77" s="1111" t="s">
        <v>11902</v>
      </c>
      <c r="C77" s="1111" t="s">
        <v>14239</v>
      </c>
      <c r="D77" s="1111">
        <v>10022986568</v>
      </c>
      <c r="E77" s="508" t="s">
        <v>1941</v>
      </c>
      <c r="F77" s="1111"/>
      <c r="G77" s="1111"/>
      <c r="H77" s="1111"/>
      <c r="I77" s="1111"/>
      <c r="J77" s="1111"/>
      <c r="K77" s="1115">
        <v>14300</v>
      </c>
      <c r="L77" s="1111"/>
      <c r="M77" s="1111"/>
      <c r="N77" s="1111">
        <v>2020</v>
      </c>
    </row>
    <row r="78" spans="1:14" ht="30" customHeight="1" x14ac:dyDescent="0.2">
      <c r="A78" s="969" t="s">
        <v>11927</v>
      </c>
      <c r="B78" s="1111" t="s">
        <v>11902</v>
      </c>
      <c r="C78" s="1111" t="s">
        <v>14244</v>
      </c>
      <c r="D78" s="1111">
        <v>10238349228</v>
      </c>
      <c r="E78" s="508" t="s">
        <v>1941</v>
      </c>
      <c r="F78" s="1111"/>
      <c r="G78" s="1111"/>
      <c r="H78" s="1111"/>
      <c r="I78" s="1111"/>
      <c r="J78" s="1111"/>
      <c r="K78" s="1115">
        <v>2000</v>
      </c>
      <c r="L78" s="1111"/>
      <c r="M78" s="1111"/>
      <c r="N78" s="1111">
        <v>2020</v>
      </c>
    </row>
    <row r="79" spans="1:14" ht="30" customHeight="1" x14ac:dyDescent="0.2">
      <c r="A79" s="969" t="s">
        <v>11927</v>
      </c>
      <c r="B79" s="1111" t="s">
        <v>11902</v>
      </c>
      <c r="C79" s="1111" t="s">
        <v>14244</v>
      </c>
      <c r="D79" s="1111">
        <v>10238349228</v>
      </c>
      <c r="E79" s="508" t="s">
        <v>1941</v>
      </c>
      <c r="F79" s="1111"/>
      <c r="G79" s="1111"/>
      <c r="H79" s="1111"/>
      <c r="I79" s="1111"/>
      <c r="J79" s="1111"/>
      <c r="K79" s="1115">
        <v>2000</v>
      </c>
      <c r="L79" s="1111"/>
      <c r="M79" s="1111"/>
      <c r="N79" s="1111">
        <v>2020</v>
      </c>
    </row>
    <row r="80" spans="1:14" ht="30" customHeight="1" x14ac:dyDescent="0.2">
      <c r="A80" s="969" t="s">
        <v>11927</v>
      </c>
      <c r="B80" s="1111" t="s">
        <v>11902</v>
      </c>
      <c r="C80" s="1111" t="s">
        <v>14245</v>
      </c>
      <c r="D80" s="1111">
        <v>10239256398</v>
      </c>
      <c r="E80" s="508" t="s">
        <v>1941</v>
      </c>
      <c r="F80" s="1111"/>
      <c r="G80" s="1111"/>
      <c r="H80" s="1111"/>
      <c r="I80" s="1111"/>
      <c r="J80" s="1111"/>
      <c r="K80" s="1115">
        <v>3200</v>
      </c>
      <c r="L80" s="1111"/>
      <c r="M80" s="1111"/>
      <c r="N80" s="1111">
        <v>2020</v>
      </c>
    </row>
    <row r="81" spans="1:14" ht="30" customHeight="1" x14ac:dyDescent="0.2">
      <c r="A81" s="969" t="s">
        <v>11927</v>
      </c>
      <c r="B81" s="1111" t="s">
        <v>11902</v>
      </c>
      <c r="C81" s="1111" t="s">
        <v>14237</v>
      </c>
      <c r="D81" s="1111">
        <v>10076054946</v>
      </c>
      <c r="E81" s="508" t="s">
        <v>1941</v>
      </c>
      <c r="F81" s="1111"/>
      <c r="G81" s="1111"/>
      <c r="H81" s="1111"/>
      <c r="I81" s="1111"/>
      <c r="J81" s="1111"/>
      <c r="K81" s="1115">
        <v>6000</v>
      </c>
      <c r="L81" s="1111"/>
      <c r="M81" s="1111"/>
      <c r="N81" s="1111">
        <v>2020</v>
      </c>
    </row>
    <row r="82" spans="1:14" ht="30" customHeight="1" x14ac:dyDescent="0.2">
      <c r="A82" s="969" t="s">
        <v>11927</v>
      </c>
      <c r="B82" s="1111" t="s">
        <v>11902</v>
      </c>
      <c r="C82" s="1111" t="s">
        <v>14244</v>
      </c>
      <c r="D82" s="1111">
        <v>10238349228</v>
      </c>
      <c r="E82" s="508" t="s">
        <v>1941</v>
      </c>
      <c r="F82" s="1111"/>
      <c r="G82" s="1111"/>
      <c r="H82" s="1111"/>
      <c r="I82" s="1111"/>
      <c r="J82" s="1111"/>
      <c r="K82" s="1115">
        <v>2000</v>
      </c>
      <c r="L82" s="1111"/>
      <c r="M82" s="1111"/>
      <c r="N82" s="1111">
        <v>2020</v>
      </c>
    </row>
    <row r="83" spans="1:14" ht="30" customHeight="1" x14ac:dyDescent="0.2">
      <c r="A83" s="969" t="s">
        <v>11927</v>
      </c>
      <c r="B83" s="1111" t="s">
        <v>11902</v>
      </c>
      <c r="C83" s="1111" t="s">
        <v>14244</v>
      </c>
      <c r="D83" s="1111">
        <v>10238349228</v>
      </c>
      <c r="E83" s="508" t="s">
        <v>1941</v>
      </c>
      <c r="F83" s="1111"/>
      <c r="G83" s="1111"/>
      <c r="H83" s="1111"/>
      <c r="I83" s="1111"/>
      <c r="J83" s="1111"/>
      <c r="K83" s="1115">
        <v>2000</v>
      </c>
      <c r="L83" s="1111"/>
      <c r="M83" s="1111"/>
      <c r="N83" s="1111">
        <v>2020</v>
      </c>
    </row>
    <row r="84" spans="1:14" ht="30" customHeight="1" x14ac:dyDescent="0.2">
      <c r="A84" s="969" t="s">
        <v>11927</v>
      </c>
      <c r="B84" s="1111" t="s">
        <v>11902</v>
      </c>
      <c r="C84" s="1111" t="s">
        <v>14234</v>
      </c>
      <c r="D84" s="1111">
        <v>10239243717</v>
      </c>
      <c r="E84" s="508" t="s">
        <v>1941</v>
      </c>
      <c r="F84" s="1111"/>
      <c r="G84" s="1111"/>
      <c r="H84" s="1111"/>
      <c r="I84" s="1111"/>
      <c r="J84" s="1111"/>
      <c r="K84" s="1115">
        <v>6150</v>
      </c>
      <c r="L84" s="1111"/>
      <c r="M84" s="1111"/>
      <c r="N84" s="1111">
        <v>2020</v>
      </c>
    </row>
    <row r="85" spans="1:14" ht="30" customHeight="1" x14ac:dyDescent="0.2">
      <c r="A85" s="969" t="s">
        <v>11927</v>
      </c>
      <c r="B85" s="1111" t="s">
        <v>11902</v>
      </c>
      <c r="C85" s="1111" t="s">
        <v>14238</v>
      </c>
      <c r="D85" s="1111">
        <v>10741299734</v>
      </c>
      <c r="E85" s="508" t="s">
        <v>1941</v>
      </c>
      <c r="F85" s="1111"/>
      <c r="G85" s="1111"/>
      <c r="H85" s="1111"/>
      <c r="I85" s="1111"/>
      <c r="J85" s="1111"/>
      <c r="K85" s="1115">
        <v>2600</v>
      </c>
      <c r="L85" s="1111"/>
      <c r="M85" s="1111"/>
      <c r="N85" s="1111">
        <v>2020</v>
      </c>
    </row>
    <row r="86" spans="1:14" ht="30" customHeight="1" x14ac:dyDescent="0.2">
      <c r="A86" s="969" t="s">
        <v>11927</v>
      </c>
      <c r="B86" s="1111" t="s">
        <v>11902</v>
      </c>
      <c r="C86" s="1111" t="s">
        <v>14234</v>
      </c>
      <c r="D86" s="1111">
        <v>10239243717</v>
      </c>
      <c r="E86" s="508" t="s">
        <v>1941</v>
      </c>
      <c r="F86" s="1111"/>
      <c r="G86" s="1111"/>
      <c r="H86" s="1111"/>
      <c r="I86" s="1111"/>
      <c r="J86" s="1111"/>
      <c r="K86" s="1115">
        <v>7600</v>
      </c>
      <c r="L86" s="1111"/>
      <c r="M86" s="1111"/>
      <c r="N86" s="1111">
        <v>2020</v>
      </c>
    </row>
    <row r="87" spans="1:14" ht="30" customHeight="1" x14ac:dyDescent="0.2">
      <c r="A87" s="969" t="s">
        <v>11927</v>
      </c>
      <c r="B87" s="1111" t="s">
        <v>11902</v>
      </c>
      <c r="C87" s="1111" t="s">
        <v>14244</v>
      </c>
      <c r="D87" s="1111">
        <v>10238349228</v>
      </c>
      <c r="E87" s="508" t="s">
        <v>1941</v>
      </c>
      <c r="F87" s="1111"/>
      <c r="G87" s="1111"/>
      <c r="H87" s="1111"/>
      <c r="I87" s="1111"/>
      <c r="J87" s="1111"/>
      <c r="K87" s="1115">
        <v>2000</v>
      </c>
      <c r="L87" s="1111"/>
      <c r="M87" s="1111"/>
      <c r="N87" s="1111">
        <v>2020</v>
      </c>
    </row>
    <row r="88" spans="1:14" ht="30" customHeight="1" x14ac:dyDescent="0.2">
      <c r="A88" s="969" t="s">
        <v>11927</v>
      </c>
      <c r="B88" s="1111" t="s">
        <v>11902</v>
      </c>
      <c r="C88" s="1111" t="s">
        <v>14234</v>
      </c>
      <c r="D88" s="1111">
        <v>10239243717</v>
      </c>
      <c r="E88" s="508" t="s">
        <v>1941</v>
      </c>
      <c r="F88" s="1111"/>
      <c r="G88" s="1111"/>
      <c r="H88" s="1111"/>
      <c r="I88" s="1111"/>
      <c r="J88" s="1111"/>
      <c r="K88" s="1115">
        <v>2050</v>
      </c>
      <c r="L88" s="1111"/>
      <c r="M88" s="1111"/>
      <c r="N88" s="1111">
        <v>2020</v>
      </c>
    </row>
    <row r="89" spans="1:14" ht="30" customHeight="1" x14ac:dyDescent="0.2">
      <c r="A89" s="969" t="s">
        <v>11927</v>
      </c>
      <c r="B89" s="1111" t="s">
        <v>11902</v>
      </c>
      <c r="C89" s="1111" t="s">
        <v>14245</v>
      </c>
      <c r="D89" s="1111">
        <v>10239256398</v>
      </c>
      <c r="E89" s="508" t="s">
        <v>1941</v>
      </c>
      <c r="F89" s="1111"/>
      <c r="G89" s="1111"/>
      <c r="H89" s="1111"/>
      <c r="I89" s="1111"/>
      <c r="J89" s="1111"/>
      <c r="K89" s="1115">
        <v>8000</v>
      </c>
      <c r="L89" s="1111"/>
      <c r="M89" s="1111"/>
      <c r="N89" s="1111">
        <v>2020</v>
      </c>
    </row>
    <row r="90" spans="1:14" ht="30" customHeight="1" x14ac:dyDescent="0.2">
      <c r="A90" s="969" t="s">
        <v>11927</v>
      </c>
      <c r="B90" s="1111" t="s">
        <v>11902</v>
      </c>
      <c r="C90" s="1111" t="s">
        <v>14237</v>
      </c>
      <c r="D90" s="1111">
        <v>10076054946</v>
      </c>
      <c r="E90" s="508" t="s">
        <v>1941</v>
      </c>
      <c r="F90" s="1111"/>
      <c r="G90" s="1111"/>
      <c r="H90" s="1111"/>
      <c r="I90" s="1111"/>
      <c r="J90" s="1111"/>
      <c r="K90" s="1115">
        <v>6000</v>
      </c>
      <c r="L90" s="1111"/>
      <c r="M90" s="1111"/>
      <c r="N90" s="1111">
        <v>2020</v>
      </c>
    </row>
    <row r="91" spans="1:14" ht="30" customHeight="1" x14ac:dyDescent="0.2">
      <c r="A91" s="969" t="s">
        <v>11927</v>
      </c>
      <c r="B91" s="1111" t="s">
        <v>11902</v>
      </c>
      <c r="C91" s="1111" t="s">
        <v>14244</v>
      </c>
      <c r="D91" s="1111">
        <v>10238349228</v>
      </c>
      <c r="E91" s="508" t="s">
        <v>1941</v>
      </c>
      <c r="F91" s="1111"/>
      <c r="G91" s="1111"/>
      <c r="H91" s="1111"/>
      <c r="I91" s="1111"/>
      <c r="J91" s="1111"/>
      <c r="K91" s="1115">
        <v>2000</v>
      </c>
      <c r="L91" s="1111"/>
      <c r="M91" s="1111"/>
      <c r="N91" s="1111">
        <v>2020</v>
      </c>
    </row>
    <row r="92" spans="1:14" ht="30" customHeight="1" x14ac:dyDescent="0.2">
      <c r="A92" s="969" t="s">
        <v>11927</v>
      </c>
      <c r="B92" s="1111" t="s">
        <v>11902</v>
      </c>
      <c r="C92" s="1111" t="s">
        <v>14241</v>
      </c>
      <c r="D92" s="1111">
        <v>20358558748</v>
      </c>
      <c r="E92" s="508" t="s">
        <v>1941</v>
      </c>
      <c r="F92" s="1111"/>
      <c r="G92" s="1111"/>
      <c r="H92" s="1111"/>
      <c r="I92" s="1111"/>
      <c r="J92" s="1111"/>
      <c r="K92" s="1115">
        <v>3500</v>
      </c>
      <c r="L92" s="1111"/>
      <c r="M92" s="1111"/>
      <c r="N92" s="1111">
        <v>2020</v>
      </c>
    </row>
    <row r="93" spans="1:14" ht="30" customHeight="1" x14ac:dyDescent="0.2">
      <c r="A93" s="969" t="s">
        <v>11927</v>
      </c>
      <c r="B93" s="1111" t="s">
        <v>11902</v>
      </c>
      <c r="C93" s="1111" t="s">
        <v>14234</v>
      </c>
      <c r="D93" s="1111">
        <v>10239243717</v>
      </c>
      <c r="E93" s="508" t="s">
        <v>1941</v>
      </c>
      <c r="F93" s="1111"/>
      <c r="G93" s="1111"/>
      <c r="H93" s="1111"/>
      <c r="I93" s="1111"/>
      <c r="J93" s="1111"/>
      <c r="K93" s="1115">
        <v>1900</v>
      </c>
      <c r="L93" s="1111"/>
      <c r="M93" s="1111"/>
      <c r="N93" s="1111">
        <v>2020</v>
      </c>
    </row>
    <row r="94" spans="1:14" ht="30" customHeight="1" x14ac:dyDescent="0.2">
      <c r="A94" s="969" t="s">
        <v>11927</v>
      </c>
      <c r="B94" s="1111" t="s">
        <v>11902</v>
      </c>
      <c r="C94" s="1111" t="s">
        <v>14238</v>
      </c>
      <c r="D94" s="1111">
        <v>10741299734</v>
      </c>
      <c r="E94" s="508" t="s">
        <v>1941</v>
      </c>
      <c r="F94" s="1111"/>
      <c r="G94" s="1111"/>
      <c r="H94" s="1111"/>
      <c r="I94" s="1111"/>
      <c r="J94" s="1111"/>
      <c r="K94" s="1115">
        <v>9680</v>
      </c>
      <c r="L94" s="1111"/>
      <c r="M94" s="1111"/>
      <c r="N94" s="1111">
        <v>2020</v>
      </c>
    </row>
    <row r="95" spans="1:14" ht="30" customHeight="1" x14ac:dyDescent="0.2">
      <c r="A95" s="969" t="s">
        <v>11927</v>
      </c>
      <c r="B95" s="1111" t="s">
        <v>11902</v>
      </c>
      <c r="C95" s="1111" t="s">
        <v>14234</v>
      </c>
      <c r="D95" s="1111">
        <v>10239243717</v>
      </c>
      <c r="E95" s="508" t="s">
        <v>1941</v>
      </c>
      <c r="F95" s="1111"/>
      <c r="G95" s="1111"/>
      <c r="H95" s="1111"/>
      <c r="I95" s="1111"/>
      <c r="J95" s="1111"/>
      <c r="K95" s="1115">
        <v>3800</v>
      </c>
      <c r="L95" s="1111"/>
      <c r="M95" s="1111"/>
      <c r="N95" s="1111">
        <v>2020</v>
      </c>
    </row>
    <row r="96" spans="1:14" ht="30" customHeight="1" x14ac:dyDescent="0.2">
      <c r="A96" s="969" t="s">
        <v>11927</v>
      </c>
      <c r="B96" s="1111" t="s">
        <v>11902</v>
      </c>
      <c r="C96" s="1111" t="s">
        <v>14245</v>
      </c>
      <c r="D96" s="1111">
        <v>10239256398</v>
      </c>
      <c r="E96" s="508" t="s">
        <v>1941</v>
      </c>
      <c r="F96" s="1111"/>
      <c r="G96" s="1111"/>
      <c r="H96" s="1111"/>
      <c r="I96" s="1111"/>
      <c r="J96" s="1111"/>
      <c r="K96" s="1115">
        <v>1600</v>
      </c>
      <c r="L96" s="1111"/>
      <c r="M96" s="1111"/>
      <c r="N96" s="1111">
        <v>2020</v>
      </c>
    </row>
    <row r="97" spans="1:14" ht="30" customHeight="1" x14ac:dyDescent="0.2">
      <c r="A97" s="969" t="s">
        <v>11927</v>
      </c>
      <c r="B97" s="1111" t="s">
        <v>11902</v>
      </c>
      <c r="C97" s="1111" t="s">
        <v>14234</v>
      </c>
      <c r="D97" s="1111">
        <v>10239243717</v>
      </c>
      <c r="E97" s="508" t="s">
        <v>1941</v>
      </c>
      <c r="F97" s="1111"/>
      <c r="G97" s="1111"/>
      <c r="H97" s="1111"/>
      <c r="I97" s="1111"/>
      <c r="J97" s="1111"/>
      <c r="K97" s="1115">
        <v>4100</v>
      </c>
      <c r="L97" s="1111"/>
      <c r="M97" s="1111"/>
      <c r="N97" s="1111">
        <v>2020</v>
      </c>
    </row>
    <row r="98" spans="1:14" ht="30" customHeight="1" x14ac:dyDescent="0.2">
      <c r="A98" s="969" t="s">
        <v>11927</v>
      </c>
      <c r="B98" s="1111" t="s">
        <v>11902</v>
      </c>
      <c r="C98" s="1111" t="s">
        <v>14232</v>
      </c>
      <c r="D98" s="1111">
        <v>10244850044</v>
      </c>
      <c r="E98" s="508" t="s">
        <v>1941</v>
      </c>
      <c r="F98" s="1111"/>
      <c r="G98" s="1111"/>
      <c r="H98" s="1111"/>
      <c r="I98" s="1111"/>
      <c r="J98" s="1111"/>
      <c r="K98" s="1115">
        <v>22000</v>
      </c>
      <c r="L98" s="1111"/>
      <c r="M98" s="1111"/>
      <c r="N98" s="1111">
        <v>2020</v>
      </c>
    </row>
    <row r="99" spans="1:14" ht="30" customHeight="1" x14ac:dyDescent="0.2">
      <c r="A99" s="969" t="s">
        <v>11927</v>
      </c>
      <c r="B99" s="1111" t="s">
        <v>11902</v>
      </c>
      <c r="C99" s="1111" t="s">
        <v>14244</v>
      </c>
      <c r="D99" s="1111">
        <v>10238349228</v>
      </c>
      <c r="E99" s="508" t="s">
        <v>1941</v>
      </c>
      <c r="F99" s="1111"/>
      <c r="G99" s="1111"/>
      <c r="H99" s="1111"/>
      <c r="I99" s="1111"/>
      <c r="J99" s="1111"/>
      <c r="K99" s="1115">
        <v>4000</v>
      </c>
      <c r="L99" s="1111"/>
      <c r="M99" s="1111"/>
      <c r="N99" s="1111">
        <v>2020</v>
      </c>
    </row>
    <row r="100" spans="1:14" ht="30" customHeight="1" x14ac:dyDescent="0.2">
      <c r="A100" s="969" t="s">
        <v>11927</v>
      </c>
      <c r="B100" s="1111" t="s">
        <v>11902</v>
      </c>
      <c r="C100" s="1111" t="s">
        <v>14245</v>
      </c>
      <c r="D100" s="1111">
        <v>10239256398</v>
      </c>
      <c r="E100" s="508" t="s">
        <v>1941</v>
      </c>
      <c r="F100" s="1111"/>
      <c r="G100" s="1111"/>
      <c r="H100" s="1111"/>
      <c r="I100" s="1111"/>
      <c r="J100" s="1111"/>
      <c r="K100" s="1115">
        <v>1600</v>
      </c>
      <c r="L100" s="1111"/>
      <c r="M100" s="1111"/>
      <c r="N100" s="1111">
        <v>2020</v>
      </c>
    </row>
    <row r="101" spans="1:14" ht="30" customHeight="1" x14ac:dyDescent="0.2">
      <c r="A101" s="969" t="s">
        <v>11927</v>
      </c>
      <c r="B101" s="1111" t="s">
        <v>11902</v>
      </c>
      <c r="C101" s="1111" t="s">
        <v>14244</v>
      </c>
      <c r="D101" s="1111">
        <v>10238349228</v>
      </c>
      <c r="E101" s="508" t="s">
        <v>1941</v>
      </c>
      <c r="F101" s="1111"/>
      <c r="G101" s="1111"/>
      <c r="H101" s="1111"/>
      <c r="I101" s="1111"/>
      <c r="J101" s="1111"/>
      <c r="K101" s="1115">
        <v>2000</v>
      </c>
      <c r="L101" s="1111"/>
      <c r="M101" s="1111"/>
      <c r="N101" s="1111">
        <v>2020</v>
      </c>
    </row>
    <row r="102" spans="1:14" ht="30" customHeight="1" x14ac:dyDescent="0.2">
      <c r="A102" s="969" t="s">
        <v>11927</v>
      </c>
      <c r="B102" s="1111" t="s">
        <v>11902</v>
      </c>
      <c r="C102" s="1111" t="s">
        <v>14234</v>
      </c>
      <c r="D102" s="1111">
        <v>10239243717</v>
      </c>
      <c r="E102" s="508" t="s">
        <v>1941</v>
      </c>
      <c r="F102" s="1111"/>
      <c r="G102" s="1111"/>
      <c r="H102" s="1111"/>
      <c r="I102" s="1111"/>
      <c r="J102" s="1111"/>
      <c r="K102" s="1115">
        <v>1900</v>
      </c>
      <c r="L102" s="1111"/>
      <c r="M102" s="1111"/>
      <c r="N102" s="1111">
        <v>2020</v>
      </c>
    </row>
    <row r="103" spans="1:14" ht="30" customHeight="1" x14ac:dyDescent="0.2">
      <c r="A103" s="969" t="s">
        <v>11927</v>
      </c>
      <c r="B103" s="1111" t="s">
        <v>11902</v>
      </c>
      <c r="C103" s="1111" t="s">
        <v>14234</v>
      </c>
      <c r="D103" s="1111">
        <v>10239243717</v>
      </c>
      <c r="E103" s="508" t="s">
        <v>1941</v>
      </c>
      <c r="F103" s="1111"/>
      <c r="G103" s="1111"/>
      <c r="H103" s="1111"/>
      <c r="I103" s="1111"/>
      <c r="J103" s="1111"/>
      <c r="K103" s="1115">
        <v>2050</v>
      </c>
      <c r="L103" s="1111"/>
      <c r="M103" s="1111"/>
      <c r="N103" s="1111">
        <v>2020</v>
      </c>
    </row>
    <row r="104" spans="1:14" ht="30" customHeight="1" x14ac:dyDescent="0.2">
      <c r="A104" s="969" t="s">
        <v>11927</v>
      </c>
      <c r="B104" s="1111" t="s">
        <v>11902</v>
      </c>
      <c r="C104" s="1111" t="s">
        <v>14238</v>
      </c>
      <c r="D104" s="1111">
        <v>10741299734</v>
      </c>
      <c r="E104" s="508" t="s">
        <v>1941</v>
      </c>
      <c r="F104" s="1111"/>
      <c r="G104" s="1111"/>
      <c r="H104" s="1111"/>
      <c r="I104" s="1111"/>
      <c r="J104" s="1111"/>
      <c r="K104" s="1115">
        <v>5200</v>
      </c>
      <c r="L104" s="1111"/>
      <c r="M104" s="1111"/>
      <c r="N104" s="1111">
        <v>2020</v>
      </c>
    </row>
    <row r="105" spans="1:14" ht="30" customHeight="1" x14ac:dyDescent="0.2">
      <c r="A105" s="969" t="s">
        <v>11927</v>
      </c>
      <c r="B105" s="1111" t="s">
        <v>11902</v>
      </c>
      <c r="C105" s="1111" t="s">
        <v>14234</v>
      </c>
      <c r="D105" s="1111">
        <v>10239243717</v>
      </c>
      <c r="E105" s="508" t="s">
        <v>1941</v>
      </c>
      <c r="F105" s="1111"/>
      <c r="G105" s="1111"/>
      <c r="H105" s="1111"/>
      <c r="I105" s="1111"/>
      <c r="J105" s="1111"/>
      <c r="K105" s="1115">
        <v>5700</v>
      </c>
      <c r="L105" s="1111"/>
      <c r="M105" s="1111"/>
      <c r="N105" s="1111">
        <v>2020</v>
      </c>
    </row>
    <row r="106" spans="1:14" ht="30" customHeight="1" x14ac:dyDescent="0.2">
      <c r="A106" s="969" t="s">
        <v>11927</v>
      </c>
      <c r="B106" s="1111" t="s">
        <v>11902</v>
      </c>
      <c r="C106" s="1111" t="s">
        <v>14234</v>
      </c>
      <c r="D106" s="1111">
        <v>10239243717</v>
      </c>
      <c r="E106" s="508" t="s">
        <v>1941</v>
      </c>
      <c r="F106" s="1111"/>
      <c r="G106" s="1111"/>
      <c r="H106" s="1111"/>
      <c r="I106" s="1111"/>
      <c r="J106" s="1111"/>
      <c r="K106" s="1115">
        <v>22800</v>
      </c>
      <c r="L106" s="1111"/>
      <c r="M106" s="1111"/>
      <c r="N106" s="1111">
        <v>2020</v>
      </c>
    </row>
    <row r="107" spans="1:14" ht="30" customHeight="1" x14ac:dyDescent="0.2">
      <c r="A107" s="969" t="s">
        <v>11927</v>
      </c>
      <c r="B107" s="969" t="s">
        <v>11950</v>
      </c>
      <c r="C107" s="500" t="s">
        <v>11951</v>
      </c>
      <c r="D107" s="500">
        <v>10238540432</v>
      </c>
      <c r="E107" s="1107" t="s">
        <v>11952</v>
      </c>
      <c r="F107" s="969" t="s">
        <v>11953</v>
      </c>
      <c r="G107" s="969">
        <v>200</v>
      </c>
      <c r="H107" s="969">
        <v>1</v>
      </c>
      <c r="I107" s="969">
        <v>0</v>
      </c>
      <c r="J107" s="979">
        <v>43830</v>
      </c>
      <c r="K107" s="500">
        <v>750</v>
      </c>
      <c r="L107" s="969" t="s">
        <v>11954</v>
      </c>
      <c r="M107" s="972">
        <v>9000</v>
      </c>
      <c r="N107" s="972"/>
    </row>
    <row r="108" spans="1:14" ht="30" customHeight="1" x14ac:dyDescent="0.2">
      <c r="A108" s="969" t="s">
        <v>11927</v>
      </c>
      <c r="B108" s="969" t="s">
        <v>11950</v>
      </c>
      <c r="C108" s="500" t="s">
        <v>11951</v>
      </c>
      <c r="D108" s="500">
        <v>10238540432</v>
      </c>
      <c r="E108" s="1107" t="s">
        <v>11952</v>
      </c>
      <c r="F108" s="969" t="s">
        <v>11953</v>
      </c>
      <c r="G108" s="969">
        <v>200</v>
      </c>
      <c r="H108" s="969">
        <v>1</v>
      </c>
      <c r="I108" s="969">
        <v>0</v>
      </c>
      <c r="J108" s="979">
        <v>44196</v>
      </c>
      <c r="K108" s="500">
        <v>750</v>
      </c>
      <c r="L108" s="969" t="s">
        <v>11954</v>
      </c>
      <c r="M108" s="972"/>
      <c r="N108" s="972">
        <f>750*4</f>
        <v>3000</v>
      </c>
    </row>
    <row r="109" spans="1:14" ht="30" customHeight="1" x14ac:dyDescent="0.2">
      <c r="A109" s="969" t="s">
        <v>11927</v>
      </c>
      <c r="B109" s="969" t="s">
        <v>471</v>
      </c>
      <c r="C109" s="969" t="s">
        <v>11955</v>
      </c>
      <c r="D109" s="969">
        <v>24947050</v>
      </c>
      <c r="E109" s="1107" t="s">
        <v>11943</v>
      </c>
      <c r="F109" s="980">
        <v>2008017</v>
      </c>
      <c r="G109" s="969" t="s">
        <v>11956</v>
      </c>
      <c r="H109" s="969" t="s">
        <v>11957</v>
      </c>
      <c r="I109" s="969"/>
      <c r="J109" s="969" t="s">
        <v>11958</v>
      </c>
      <c r="K109" s="972">
        <v>1400</v>
      </c>
      <c r="L109" s="969" t="s">
        <v>11959</v>
      </c>
      <c r="M109" s="972">
        <f>1400*12</f>
        <v>16800</v>
      </c>
      <c r="N109" s="972"/>
    </row>
    <row r="110" spans="1:14" ht="30" customHeight="1" x14ac:dyDescent="0.2">
      <c r="A110" s="969" t="s">
        <v>11927</v>
      </c>
      <c r="B110" s="969" t="s">
        <v>471</v>
      </c>
      <c r="C110" s="500" t="s">
        <v>11955</v>
      </c>
      <c r="D110" s="969">
        <v>24947050</v>
      </c>
      <c r="E110" s="1107" t="s">
        <v>11943</v>
      </c>
      <c r="F110" s="980">
        <v>2033690</v>
      </c>
      <c r="G110" s="969" t="s">
        <v>11960</v>
      </c>
      <c r="H110" s="969"/>
      <c r="I110" s="969" t="s">
        <v>11957</v>
      </c>
      <c r="J110" s="969" t="s">
        <v>11961</v>
      </c>
      <c r="K110" s="981">
        <v>1400</v>
      </c>
      <c r="L110" s="969" t="s">
        <v>11959</v>
      </c>
      <c r="M110" s="972"/>
      <c r="N110" s="972">
        <f>+K110*6</f>
        <v>8400</v>
      </c>
    </row>
    <row r="111" spans="1:14" ht="30" customHeight="1" x14ac:dyDescent="0.2">
      <c r="A111" s="969" t="s">
        <v>11927</v>
      </c>
      <c r="B111" s="969" t="s">
        <v>471</v>
      </c>
      <c r="C111" s="969" t="s">
        <v>11955</v>
      </c>
      <c r="D111" s="969">
        <v>24947050</v>
      </c>
      <c r="E111" s="1107" t="s">
        <v>11943</v>
      </c>
      <c r="F111" s="980">
        <v>2008017</v>
      </c>
      <c r="G111" s="969" t="s">
        <v>11956</v>
      </c>
      <c r="H111" s="969" t="s">
        <v>11957</v>
      </c>
      <c r="I111" s="969"/>
      <c r="J111" s="969" t="s">
        <v>11961</v>
      </c>
      <c r="K111" s="972">
        <v>1400</v>
      </c>
      <c r="L111" s="969" t="s">
        <v>11959</v>
      </c>
      <c r="M111" s="972"/>
      <c r="N111" s="972">
        <f>+K111*6</f>
        <v>8400</v>
      </c>
    </row>
    <row r="112" spans="1:14" ht="30" customHeight="1" x14ac:dyDescent="0.2">
      <c r="A112" s="969" t="s">
        <v>11927</v>
      </c>
      <c r="B112" s="503" t="s">
        <v>472</v>
      </c>
      <c r="C112" s="500" t="s">
        <v>11997</v>
      </c>
      <c r="D112" s="500">
        <v>10416992962</v>
      </c>
      <c r="E112" s="985" t="s">
        <v>11998</v>
      </c>
      <c r="F112" s="503" t="s">
        <v>11999</v>
      </c>
      <c r="G112" s="503">
        <v>100</v>
      </c>
      <c r="H112" s="503" t="s">
        <v>11946</v>
      </c>
      <c r="I112" s="503" t="s">
        <v>621</v>
      </c>
      <c r="J112" s="503" t="s">
        <v>12000</v>
      </c>
      <c r="K112" s="500">
        <v>226</v>
      </c>
      <c r="L112" s="503" t="s">
        <v>12001</v>
      </c>
      <c r="M112" s="982">
        <v>1760</v>
      </c>
      <c r="N112" s="982">
        <v>2710</v>
      </c>
    </row>
    <row r="113" spans="1:14" ht="30" customHeight="1" x14ac:dyDescent="0.2">
      <c r="A113" s="969" t="s">
        <v>11927</v>
      </c>
      <c r="B113" s="503" t="s">
        <v>472</v>
      </c>
      <c r="C113" s="503" t="s">
        <v>12002</v>
      </c>
      <c r="D113" s="503">
        <v>20600339363</v>
      </c>
      <c r="E113" s="985" t="s">
        <v>11998</v>
      </c>
      <c r="F113" s="503" t="s">
        <v>11999</v>
      </c>
      <c r="G113" s="503">
        <v>120</v>
      </c>
      <c r="H113" s="503" t="s">
        <v>11946</v>
      </c>
      <c r="I113" s="503" t="s">
        <v>621</v>
      </c>
      <c r="J113" s="503" t="s">
        <v>12000</v>
      </c>
      <c r="K113" s="503">
        <v>250</v>
      </c>
      <c r="L113" s="503" t="s">
        <v>12001</v>
      </c>
      <c r="M113" s="982">
        <v>3000</v>
      </c>
      <c r="N113" s="982">
        <v>3000</v>
      </c>
    </row>
    <row r="114" spans="1:14" ht="30" customHeight="1" x14ac:dyDescent="0.2">
      <c r="A114" s="969" t="s">
        <v>11927</v>
      </c>
      <c r="B114" s="503" t="s">
        <v>472</v>
      </c>
      <c r="C114" s="503" t="s">
        <v>12003</v>
      </c>
      <c r="D114" s="503">
        <v>20604958891</v>
      </c>
      <c r="E114" s="985" t="s">
        <v>11998</v>
      </c>
      <c r="F114" s="503" t="s">
        <v>11999</v>
      </c>
      <c r="G114" s="503">
        <v>70</v>
      </c>
      <c r="H114" s="503" t="s">
        <v>11946</v>
      </c>
      <c r="I114" s="503" t="s">
        <v>621</v>
      </c>
      <c r="J114" s="503" t="s">
        <v>12000</v>
      </c>
      <c r="K114" s="503">
        <v>170</v>
      </c>
      <c r="L114" s="503" t="s">
        <v>12001</v>
      </c>
      <c r="M114" s="982">
        <v>2040</v>
      </c>
      <c r="N114" s="982">
        <v>2040</v>
      </c>
    </row>
    <row r="115" spans="1:14" ht="30" customHeight="1" x14ac:dyDescent="0.2">
      <c r="A115" s="969" t="s">
        <v>11927</v>
      </c>
      <c r="B115" s="503" t="s">
        <v>11979</v>
      </c>
      <c r="C115" s="983" t="s">
        <v>11980</v>
      </c>
      <c r="D115" s="983">
        <v>20200541317</v>
      </c>
      <c r="E115" s="503" t="s">
        <v>11943</v>
      </c>
      <c r="F115" s="503" t="s">
        <v>621</v>
      </c>
      <c r="G115" s="503" t="s">
        <v>11981</v>
      </c>
      <c r="H115" s="503"/>
      <c r="I115" s="503" t="s">
        <v>11982</v>
      </c>
      <c r="J115" s="503" t="s">
        <v>11983</v>
      </c>
      <c r="K115" s="984" t="s">
        <v>621</v>
      </c>
      <c r="L115" s="985" t="s">
        <v>11984</v>
      </c>
      <c r="M115" s="984">
        <v>680</v>
      </c>
      <c r="N115" s="986"/>
    </row>
    <row r="116" spans="1:14" ht="30" customHeight="1" x14ac:dyDescent="0.2">
      <c r="A116" s="969" t="s">
        <v>11927</v>
      </c>
      <c r="B116" s="503" t="s">
        <v>11979</v>
      </c>
      <c r="C116" s="983" t="s">
        <v>11985</v>
      </c>
      <c r="D116" s="983">
        <v>20225625922</v>
      </c>
      <c r="E116" s="503" t="s">
        <v>11943</v>
      </c>
      <c r="F116" s="503" t="s">
        <v>621</v>
      </c>
      <c r="G116" s="503" t="s">
        <v>11986</v>
      </c>
      <c r="H116" s="503"/>
      <c r="I116" s="503" t="s">
        <v>11982</v>
      </c>
      <c r="J116" s="503" t="s">
        <v>11983</v>
      </c>
      <c r="K116" s="984" t="s">
        <v>621</v>
      </c>
      <c r="L116" s="985" t="s">
        <v>11984</v>
      </c>
      <c r="M116" s="984">
        <v>600</v>
      </c>
      <c r="N116" s="986"/>
    </row>
    <row r="117" spans="1:14" ht="30" customHeight="1" x14ac:dyDescent="0.2">
      <c r="A117" s="969" t="s">
        <v>11927</v>
      </c>
      <c r="B117" s="503" t="s">
        <v>11979</v>
      </c>
      <c r="C117" s="983" t="s">
        <v>11985</v>
      </c>
      <c r="D117" s="983">
        <v>20225625922</v>
      </c>
      <c r="E117" s="503" t="s">
        <v>11943</v>
      </c>
      <c r="F117" s="503" t="s">
        <v>621</v>
      </c>
      <c r="G117" s="503" t="s">
        <v>11986</v>
      </c>
      <c r="H117" s="503"/>
      <c r="I117" s="503" t="s">
        <v>11982</v>
      </c>
      <c r="J117" s="503" t="s">
        <v>11983</v>
      </c>
      <c r="K117" s="984" t="s">
        <v>621</v>
      </c>
      <c r="L117" s="985" t="s">
        <v>11984</v>
      </c>
      <c r="M117" s="984">
        <v>700</v>
      </c>
      <c r="N117" s="986"/>
    </row>
    <row r="118" spans="1:14" ht="30" customHeight="1" x14ac:dyDescent="0.2">
      <c r="A118" s="969" t="s">
        <v>11927</v>
      </c>
      <c r="B118" s="503" t="s">
        <v>11979</v>
      </c>
      <c r="C118" s="983" t="s">
        <v>11985</v>
      </c>
      <c r="D118" s="983">
        <v>20225625922</v>
      </c>
      <c r="E118" s="503" t="s">
        <v>11943</v>
      </c>
      <c r="F118" s="503" t="s">
        <v>621</v>
      </c>
      <c r="G118" s="503" t="s">
        <v>11986</v>
      </c>
      <c r="H118" s="503"/>
      <c r="I118" s="503" t="s">
        <v>11982</v>
      </c>
      <c r="J118" s="503" t="s">
        <v>11983</v>
      </c>
      <c r="K118" s="984" t="s">
        <v>621</v>
      </c>
      <c r="L118" s="985" t="s">
        <v>11984</v>
      </c>
      <c r="M118" s="984">
        <v>150</v>
      </c>
      <c r="N118" s="986"/>
    </row>
    <row r="119" spans="1:14" ht="30" customHeight="1" x14ac:dyDescent="0.2">
      <c r="A119" s="969" t="s">
        <v>11927</v>
      </c>
      <c r="B119" s="503" t="s">
        <v>11979</v>
      </c>
      <c r="C119" s="969" t="s">
        <v>11985</v>
      </c>
      <c r="D119" s="983">
        <v>20225625922</v>
      </c>
      <c r="E119" s="503" t="s">
        <v>11943</v>
      </c>
      <c r="F119" s="503" t="s">
        <v>621</v>
      </c>
      <c r="G119" s="503" t="s">
        <v>11986</v>
      </c>
      <c r="H119" s="969"/>
      <c r="I119" s="503" t="s">
        <v>11982</v>
      </c>
      <c r="J119" s="503" t="s">
        <v>11983</v>
      </c>
      <c r="K119" s="984" t="s">
        <v>621</v>
      </c>
      <c r="L119" s="985" t="s">
        <v>11984</v>
      </c>
      <c r="M119" s="987">
        <v>400</v>
      </c>
      <c r="N119" s="969"/>
    </row>
    <row r="120" spans="1:14" ht="30" customHeight="1" x14ac:dyDescent="0.2">
      <c r="A120" s="969" t="s">
        <v>11927</v>
      </c>
      <c r="B120" s="503" t="s">
        <v>11979</v>
      </c>
      <c r="C120" s="969" t="s">
        <v>11985</v>
      </c>
      <c r="D120" s="983">
        <v>20225625922</v>
      </c>
      <c r="E120" s="503" t="s">
        <v>11943</v>
      </c>
      <c r="F120" s="503" t="s">
        <v>621</v>
      </c>
      <c r="G120" s="503" t="s">
        <v>11986</v>
      </c>
      <c r="H120" s="969"/>
      <c r="I120" s="503" t="s">
        <v>11982</v>
      </c>
      <c r="J120" s="503" t="s">
        <v>11983</v>
      </c>
      <c r="K120" s="984" t="s">
        <v>621</v>
      </c>
      <c r="L120" s="985" t="s">
        <v>11984</v>
      </c>
      <c r="M120" s="987">
        <v>700</v>
      </c>
      <c r="N120" s="969"/>
    </row>
    <row r="121" spans="1:14" ht="30" customHeight="1" x14ac:dyDescent="0.2">
      <c r="A121" s="969" t="s">
        <v>11927</v>
      </c>
      <c r="B121" s="503" t="s">
        <v>11979</v>
      </c>
      <c r="C121" s="969" t="s">
        <v>11985</v>
      </c>
      <c r="D121" s="983">
        <v>20225625922</v>
      </c>
      <c r="E121" s="503" t="s">
        <v>11943</v>
      </c>
      <c r="F121" s="503" t="s">
        <v>621</v>
      </c>
      <c r="G121" s="503" t="s">
        <v>11986</v>
      </c>
      <c r="H121" s="969"/>
      <c r="I121" s="503" t="s">
        <v>11982</v>
      </c>
      <c r="J121" s="503" t="s">
        <v>11983</v>
      </c>
      <c r="K121" s="984" t="s">
        <v>621</v>
      </c>
      <c r="L121" s="985" t="s">
        <v>11984</v>
      </c>
      <c r="M121" s="987">
        <v>500</v>
      </c>
      <c r="N121" s="969"/>
    </row>
    <row r="122" spans="1:14" ht="30" customHeight="1" x14ac:dyDescent="0.2">
      <c r="A122" s="969" t="s">
        <v>11927</v>
      </c>
      <c r="B122" s="503" t="s">
        <v>11979</v>
      </c>
      <c r="C122" s="969" t="s">
        <v>11985</v>
      </c>
      <c r="D122" s="983">
        <v>20225625922</v>
      </c>
      <c r="E122" s="503" t="s">
        <v>11943</v>
      </c>
      <c r="F122" s="503" t="s">
        <v>621</v>
      </c>
      <c r="G122" s="503" t="s">
        <v>11986</v>
      </c>
      <c r="H122" s="969"/>
      <c r="I122" s="503" t="s">
        <v>11982</v>
      </c>
      <c r="J122" s="503" t="s">
        <v>11987</v>
      </c>
      <c r="K122" s="984" t="s">
        <v>621</v>
      </c>
      <c r="L122" s="985" t="s">
        <v>11984</v>
      </c>
      <c r="M122" s="987">
        <v>100</v>
      </c>
      <c r="N122" s="969"/>
    </row>
    <row r="123" spans="1:14" ht="30" customHeight="1" x14ac:dyDescent="0.2">
      <c r="A123" s="969" t="s">
        <v>11927</v>
      </c>
      <c r="B123" s="503" t="s">
        <v>11979</v>
      </c>
      <c r="C123" s="969" t="s">
        <v>11988</v>
      </c>
      <c r="D123" s="969">
        <v>20600581521</v>
      </c>
      <c r="E123" s="503" t="s">
        <v>11943</v>
      </c>
      <c r="F123" s="503" t="s">
        <v>621</v>
      </c>
      <c r="G123" s="503" t="s">
        <v>11989</v>
      </c>
      <c r="H123" s="969"/>
      <c r="I123" s="503" t="s">
        <v>11982</v>
      </c>
      <c r="J123" s="503" t="s">
        <v>11990</v>
      </c>
      <c r="K123" s="984" t="s">
        <v>621</v>
      </c>
      <c r="L123" s="985" t="s">
        <v>11984</v>
      </c>
      <c r="M123" s="987">
        <v>250</v>
      </c>
      <c r="N123" s="969"/>
    </row>
    <row r="124" spans="1:14" ht="30" customHeight="1" x14ac:dyDescent="0.2">
      <c r="A124" s="969" t="s">
        <v>11927</v>
      </c>
      <c r="B124" s="503" t="s">
        <v>11979</v>
      </c>
      <c r="C124" s="969" t="s">
        <v>11991</v>
      </c>
      <c r="D124" s="969">
        <v>20205496883</v>
      </c>
      <c r="E124" s="503" t="s">
        <v>11943</v>
      </c>
      <c r="F124" s="503" t="s">
        <v>621</v>
      </c>
      <c r="G124" s="503" t="s">
        <v>11992</v>
      </c>
      <c r="H124" s="969"/>
      <c r="I124" s="503" t="s">
        <v>11982</v>
      </c>
      <c r="J124" s="503" t="s">
        <v>11990</v>
      </c>
      <c r="K124" s="984" t="s">
        <v>621</v>
      </c>
      <c r="L124" s="985" t="s">
        <v>11984</v>
      </c>
      <c r="M124" s="987">
        <v>1600</v>
      </c>
      <c r="N124" s="969"/>
    </row>
    <row r="125" spans="1:14" ht="30" customHeight="1" x14ac:dyDescent="0.2">
      <c r="A125" s="969" t="s">
        <v>11927</v>
      </c>
      <c r="B125" s="503" t="s">
        <v>11979</v>
      </c>
      <c r="C125" s="969" t="s">
        <v>11993</v>
      </c>
      <c r="D125" s="969">
        <v>20317929243</v>
      </c>
      <c r="E125" s="503" t="s">
        <v>11943</v>
      </c>
      <c r="F125" s="503" t="s">
        <v>621</v>
      </c>
      <c r="G125" s="503" t="s">
        <v>11994</v>
      </c>
      <c r="H125" s="969"/>
      <c r="I125" s="969" t="s">
        <v>11995</v>
      </c>
      <c r="J125" s="969" t="s">
        <v>11996</v>
      </c>
      <c r="K125" s="984" t="s">
        <v>621</v>
      </c>
      <c r="L125" s="985" t="s">
        <v>11984</v>
      </c>
      <c r="M125" s="969"/>
      <c r="N125" s="987">
        <v>335</v>
      </c>
    </row>
    <row r="126" spans="1:14" ht="30" customHeight="1" x14ac:dyDescent="0.2">
      <c r="A126" s="969" t="s">
        <v>11927</v>
      </c>
      <c r="B126" s="968" t="s">
        <v>475</v>
      </c>
      <c r="C126" s="514" t="s">
        <v>11962</v>
      </c>
      <c r="D126" s="500">
        <v>25121058</v>
      </c>
      <c r="E126" s="640" t="s">
        <v>11952</v>
      </c>
      <c r="F126" s="969" t="s">
        <v>11963</v>
      </c>
      <c r="G126" s="640" t="s">
        <v>11945</v>
      </c>
      <c r="H126" s="640"/>
      <c r="I126" s="969"/>
      <c r="J126" s="968" t="s">
        <v>11964</v>
      </c>
      <c r="K126" s="970">
        <v>400</v>
      </c>
      <c r="L126" s="640" t="s">
        <v>11933</v>
      </c>
      <c r="M126" s="971">
        <v>4800</v>
      </c>
      <c r="N126" s="972"/>
    </row>
    <row r="127" spans="1:14" ht="30" customHeight="1" x14ac:dyDescent="0.2">
      <c r="A127" s="969" t="s">
        <v>11927</v>
      </c>
      <c r="B127" s="968" t="s">
        <v>475</v>
      </c>
      <c r="C127" s="968" t="s">
        <v>11965</v>
      </c>
      <c r="D127" s="640">
        <v>25120776</v>
      </c>
      <c r="E127" s="640" t="s">
        <v>11952</v>
      </c>
      <c r="F127" s="969" t="s">
        <v>11963</v>
      </c>
      <c r="G127" s="640" t="s">
        <v>11945</v>
      </c>
      <c r="H127" s="640"/>
      <c r="I127" s="969"/>
      <c r="J127" s="968" t="s">
        <v>11964</v>
      </c>
      <c r="K127" s="970">
        <v>400</v>
      </c>
      <c r="L127" s="640" t="s">
        <v>11933</v>
      </c>
      <c r="M127" s="971">
        <v>4000</v>
      </c>
      <c r="N127" s="971"/>
    </row>
    <row r="128" spans="1:14" ht="30" customHeight="1" x14ac:dyDescent="0.2">
      <c r="A128" s="969" t="s">
        <v>11927</v>
      </c>
      <c r="B128" s="968" t="s">
        <v>475</v>
      </c>
      <c r="C128" s="968" t="s">
        <v>11966</v>
      </c>
      <c r="D128" s="640">
        <v>25120152</v>
      </c>
      <c r="E128" s="640" t="s">
        <v>11952</v>
      </c>
      <c r="F128" s="969" t="s">
        <v>11963</v>
      </c>
      <c r="G128" s="640" t="s">
        <v>11945</v>
      </c>
      <c r="H128" s="640"/>
      <c r="I128" s="969"/>
      <c r="J128" s="968" t="s">
        <v>11964</v>
      </c>
      <c r="K128" s="970">
        <v>400</v>
      </c>
      <c r="L128" s="640" t="s">
        <v>11933</v>
      </c>
      <c r="M128" s="971">
        <v>800</v>
      </c>
      <c r="N128" s="971"/>
    </row>
    <row r="129" spans="1:14" ht="30" customHeight="1" x14ac:dyDescent="0.2">
      <c r="A129" s="969" t="s">
        <v>11927</v>
      </c>
      <c r="B129" s="968" t="s">
        <v>475</v>
      </c>
      <c r="C129" s="640" t="s">
        <v>11967</v>
      </c>
      <c r="D129" s="640">
        <v>41488419</v>
      </c>
      <c r="E129" s="640" t="s">
        <v>11952</v>
      </c>
      <c r="F129" s="969" t="s">
        <v>11963</v>
      </c>
      <c r="G129" s="640" t="s">
        <v>11945</v>
      </c>
      <c r="H129" s="640"/>
      <c r="I129" s="969"/>
      <c r="J129" s="968" t="s">
        <v>11964</v>
      </c>
      <c r="K129" s="970">
        <v>400</v>
      </c>
      <c r="L129" s="640" t="s">
        <v>11933</v>
      </c>
      <c r="M129" s="971"/>
      <c r="N129" s="971">
        <v>2400</v>
      </c>
    </row>
    <row r="130" spans="1:14" ht="30" customHeight="1" x14ac:dyDescent="0.2">
      <c r="A130" s="969" t="s">
        <v>11927</v>
      </c>
      <c r="B130" s="969" t="s">
        <v>11970</v>
      </c>
      <c r="C130" s="969" t="s">
        <v>11971</v>
      </c>
      <c r="D130" s="969">
        <v>10127858</v>
      </c>
      <c r="E130" s="969" t="s">
        <v>11952</v>
      </c>
      <c r="F130" s="969" t="s">
        <v>11963</v>
      </c>
      <c r="G130" s="969" t="s">
        <v>11972</v>
      </c>
      <c r="H130" s="969"/>
      <c r="I130" s="969" t="s">
        <v>11957</v>
      </c>
      <c r="J130" s="969" t="s">
        <v>11973</v>
      </c>
      <c r="K130" s="988">
        <v>4650</v>
      </c>
      <c r="L130" s="979" t="s">
        <v>11974</v>
      </c>
      <c r="M130" s="972">
        <v>4650</v>
      </c>
      <c r="N130" s="972"/>
    </row>
    <row r="131" spans="1:14" ht="30" customHeight="1" x14ac:dyDescent="0.2">
      <c r="A131" s="969" t="s">
        <v>11927</v>
      </c>
      <c r="B131" s="969" t="s">
        <v>11970</v>
      </c>
      <c r="C131" s="969" t="s">
        <v>11975</v>
      </c>
      <c r="D131" s="500">
        <v>24290161</v>
      </c>
      <c r="E131" s="969" t="s">
        <v>11952</v>
      </c>
      <c r="F131" s="969" t="s">
        <v>11963</v>
      </c>
      <c r="G131" s="969" t="s">
        <v>11976</v>
      </c>
      <c r="H131" s="969" t="s">
        <v>11957</v>
      </c>
      <c r="I131" s="969"/>
      <c r="J131" s="969" t="s">
        <v>11977</v>
      </c>
      <c r="K131" s="989">
        <v>1200</v>
      </c>
      <c r="L131" s="979" t="s">
        <v>11978</v>
      </c>
      <c r="M131" s="972"/>
      <c r="N131" s="972">
        <v>888</v>
      </c>
    </row>
    <row r="132" spans="1:14" ht="30" customHeight="1" x14ac:dyDescent="0.2">
      <c r="A132" s="969" t="s">
        <v>11927</v>
      </c>
      <c r="B132" s="969" t="s">
        <v>11928</v>
      </c>
      <c r="C132" s="990" t="s">
        <v>11929</v>
      </c>
      <c r="D132" s="969">
        <v>24668914</v>
      </c>
      <c r="E132" s="969" t="s">
        <v>11930</v>
      </c>
      <c r="F132" s="969" t="s">
        <v>11931</v>
      </c>
      <c r="G132" s="969"/>
      <c r="H132" s="969"/>
      <c r="I132" s="969"/>
      <c r="J132" s="969" t="s">
        <v>11932</v>
      </c>
      <c r="K132" s="991">
        <v>1700</v>
      </c>
      <c r="L132" s="969" t="s">
        <v>11933</v>
      </c>
      <c r="M132" s="992">
        <v>1700</v>
      </c>
      <c r="N132" s="969"/>
    </row>
    <row r="133" spans="1:14" ht="30" customHeight="1" x14ac:dyDescent="0.2">
      <c r="A133" s="969" t="s">
        <v>11927</v>
      </c>
      <c r="B133" s="969" t="s">
        <v>11928</v>
      </c>
      <c r="C133" s="990" t="s">
        <v>11934</v>
      </c>
      <c r="D133" s="969">
        <v>42764452</v>
      </c>
      <c r="E133" s="969" t="s">
        <v>11930</v>
      </c>
      <c r="F133" s="969" t="s">
        <v>11935</v>
      </c>
      <c r="G133" s="969" t="s">
        <v>11936</v>
      </c>
      <c r="H133" s="969"/>
      <c r="I133" s="969"/>
      <c r="J133" s="969" t="s">
        <v>11937</v>
      </c>
      <c r="K133" s="991">
        <v>900</v>
      </c>
      <c r="L133" s="969" t="s">
        <v>11933</v>
      </c>
      <c r="M133" s="992">
        <v>5100</v>
      </c>
      <c r="N133" s="969"/>
    </row>
    <row r="134" spans="1:14" ht="30" customHeight="1" x14ac:dyDescent="0.2">
      <c r="A134" s="969" t="s">
        <v>11927</v>
      </c>
      <c r="B134" s="969" t="s">
        <v>11928</v>
      </c>
      <c r="C134" s="990" t="s">
        <v>11929</v>
      </c>
      <c r="D134" s="969">
        <v>24668914</v>
      </c>
      <c r="E134" s="969" t="s">
        <v>11930</v>
      </c>
      <c r="F134" s="969" t="s">
        <v>11931</v>
      </c>
      <c r="G134" s="969"/>
      <c r="H134" s="969"/>
      <c r="I134" s="969"/>
      <c r="J134" s="969" t="s">
        <v>11938</v>
      </c>
      <c r="K134" s="991">
        <v>1700</v>
      </c>
      <c r="L134" s="969" t="s">
        <v>11933</v>
      </c>
      <c r="M134" s="992"/>
      <c r="N134" s="992">
        <f>1700*3</f>
        <v>5100</v>
      </c>
    </row>
    <row r="135" spans="1:14" ht="30" customHeight="1" x14ac:dyDescent="0.2">
      <c r="A135" s="969" t="s">
        <v>11927</v>
      </c>
      <c r="B135" s="969" t="s">
        <v>11928</v>
      </c>
      <c r="C135" s="990" t="s">
        <v>11934</v>
      </c>
      <c r="D135" s="969">
        <v>42764452</v>
      </c>
      <c r="E135" s="969" t="s">
        <v>11930</v>
      </c>
      <c r="F135" s="969" t="s">
        <v>11935</v>
      </c>
      <c r="G135" s="969" t="s">
        <v>11936</v>
      </c>
      <c r="H135" s="969"/>
      <c r="I135" s="969"/>
      <c r="J135" s="969" t="s">
        <v>11939</v>
      </c>
      <c r="K135" s="991">
        <v>350</v>
      </c>
      <c r="L135" s="969" t="s">
        <v>11933</v>
      </c>
      <c r="M135" s="992"/>
      <c r="N135" s="992">
        <f>350*6</f>
        <v>2100</v>
      </c>
    </row>
    <row r="136" spans="1:14" ht="30" customHeight="1" x14ac:dyDescent="0.2">
      <c r="A136" s="969" t="s">
        <v>11940</v>
      </c>
      <c r="B136" s="969" t="s">
        <v>11941</v>
      </c>
      <c r="C136" s="969" t="s">
        <v>11942</v>
      </c>
      <c r="D136" s="640">
        <v>23952596</v>
      </c>
      <c r="E136" s="640" t="s">
        <v>11943</v>
      </c>
      <c r="F136" s="993" t="s">
        <v>11944</v>
      </c>
      <c r="G136" s="969" t="s">
        <v>11945</v>
      </c>
      <c r="H136" s="969" t="s">
        <v>11946</v>
      </c>
      <c r="I136" s="969" t="s">
        <v>11946</v>
      </c>
      <c r="J136" s="969" t="s">
        <v>11947</v>
      </c>
      <c r="K136" s="971">
        <v>2800</v>
      </c>
      <c r="L136" s="969" t="s">
        <v>11948</v>
      </c>
      <c r="M136" s="992">
        <v>25200</v>
      </c>
      <c r="N136" s="992"/>
    </row>
    <row r="137" spans="1:14" ht="30" customHeight="1" thickBot="1" x14ac:dyDescent="0.25">
      <c r="A137" s="969" t="s">
        <v>11940</v>
      </c>
      <c r="B137" s="969" t="s">
        <v>11941</v>
      </c>
      <c r="C137" s="969" t="s">
        <v>11942</v>
      </c>
      <c r="D137" s="640">
        <v>23952596</v>
      </c>
      <c r="E137" s="640" t="s">
        <v>11943</v>
      </c>
      <c r="F137" s="993" t="s">
        <v>11944</v>
      </c>
      <c r="G137" s="969" t="s">
        <v>11945</v>
      </c>
      <c r="H137" s="969" t="s">
        <v>11946</v>
      </c>
      <c r="I137" s="969" t="s">
        <v>11946</v>
      </c>
      <c r="J137" s="979" t="s">
        <v>11949</v>
      </c>
      <c r="K137" s="971">
        <v>2800</v>
      </c>
      <c r="L137" s="969" t="s">
        <v>11948</v>
      </c>
      <c r="M137" s="992"/>
      <c r="N137" s="992">
        <v>16800</v>
      </c>
    </row>
    <row r="138" spans="1:14" ht="23.25" customHeight="1" thickBot="1" x14ac:dyDescent="0.25">
      <c r="A138" s="42"/>
      <c r="B138" s="119"/>
      <c r="C138" s="33"/>
      <c r="D138" s="121"/>
      <c r="E138" s="122"/>
      <c r="F138" s="31"/>
      <c r="G138" s="31"/>
      <c r="H138" s="31"/>
      <c r="I138" s="120"/>
      <c r="J138" s="13"/>
      <c r="K138" s="33"/>
      <c r="L138" s="14"/>
      <c r="M138" s="14"/>
      <c r="N138" s="14"/>
    </row>
    <row r="139" spans="1:14" x14ac:dyDescent="0.2">
      <c r="A139" s="1324" t="s">
        <v>431</v>
      </c>
      <c r="B139" s="1324"/>
    </row>
  </sheetData>
  <mergeCells count="7">
    <mergeCell ref="A139:B139"/>
    <mergeCell ref="M4:M5"/>
    <mergeCell ref="N4:N5"/>
    <mergeCell ref="C4:D4"/>
    <mergeCell ref="A4:B4"/>
    <mergeCell ref="J4:L4"/>
    <mergeCell ref="E4:I4"/>
  </mergeCells>
  <printOptions horizontalCentered="1"/>
  <pageMargins left="0.23622047244094491" right="0.23622047244094491" top="0.74803149606299213" bottom="0.74803149606299213" header="0.31496062992125984" footer="0.31496062992125984"/>
  <pageSetup paperSize="9" scale="70" orientation="landscape" r:id="rId1"/>
  <headerFooter alignWithMargins="0">
    <oddHeader>&amp;C&amp;"Arial,Negrita"&amp;18PROYECTO DE PRESUPUESTO 2021</oddHeader>
    <oddFooter>&amp;L&amp;"Arial,Negrita"&amp;8PROYECTO DE PRESUPUESTO PARA EL AÑO FISCAL 2020
INFORMACIÓN PARA LA COMISIÓN DE PRESUPUESTO Y CUENTA GENERAL DE LA REPÚBLICA DEL CONGRESO DE LA REPÚBLICA</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249977111117893"/>
  </sheetPr>
  <dimension ref="A1:N26"/>
  <sheetViews>
    <sheetView view="pageBreakPreview" topLeftCell="A22" zoomScaleNormal="100" zoomScaleSheetLayoutView="100" workbookViewId="0">
      <selection activeCell="A3" sqref="A3:A4"/>
    </sheetView>
  </sheetViews>
  <sheetFormatPr baseColWidth="10" defaultRowHeight="11.25" x14ac:dyDescent="0.2"/>
  <cols>
    <col min="1" max="1" width="21.28515625" style="46" customWidth="1"/>
    <col min="2" max="2" width="9.5703125" style="46" customWidth="1"/>
    <col min="3" max="3" width="22.42578125" style="46" customWidth="1"/>
    <col min="4" max="4" width="27.7109375" style="46" customWidth="1"/>
    <col min="5" max="5" width="8.140625" style="46" customWidth="1"/>
    <col min="6" max="6" width="8" style="46" customWidth="1"/>
    <col min="7" max="7" width="9" style="46" customWidth="1"/>
    <col min="8" max="8" width="11" style="46" customWidth="1"/>
    <col min="9" max="9" width="7.140625" style="46" customWidth="1"/>
    <col min="10" max="10" width="8.5703125" style="46" customWidth="1"/>
    <col min="11" max="11" width="6.85546875" style="46" customWidth="1"/>
    <col min="12" max="13" width="9.7109375" style="46" customWidth="1"/>
    <col min="14" max="14" width="10.140625" style="46" customWidth="1"/>
    <col min="15" max="15" width="8.7109375" style="46" customWidth="1"/>
    <col min="16" max="16384" width="11.42578125" style="46"/>
  </cols>
  <sheetData>
    <row r="1" spans="1:14" s="90" customFormat="1" ht="17.25" customHeight="1" x14ac:dyDescent="0.2">
      <c r="A1" s="89" t="s">
        <v>339</v>
      </c>
      <c r="B1" s="124"/>
      <c r="C1" s="89"/>
    </row>
    <row r="2" spans="1:14" s="90" customFormat="1" ht="22.5" customHeight="1" thickBot="1" x14ac:dyDescent="0.25">
      <c r="A2" s="91" t="s">
        <v>613</v>
      </c>
      <c r="B2" s="91"/>
      <c r="C2" s="91"/>
    </row>
    <row r="3" spans="1:14" s="45" customFormat="1" ht="28.5" customHeight="1" x14ac:dyDescent="0.2">
      <c r="A3" s="1243" t="s">
        <v>294</v>
      </c>
      <c r="B3" s="1243" t="s">
        <v>297</v>
      </c>
      <c r="C3" s="1243" t="s">
        <v>296</v>
      </c>
      <c r="D3" s="1245" t="s">
        <v>295</v>
      </c>
      <c r="E3" s="1245" t="s">
        <v>271</v>
      </c>
      <c r="F3" s="1245" t="s">
        <v>272</v>
      </c>
      <c r="G3" s="1245" t="s">
        <v>121</v>
      </c>
      <c r="H3" s="1245" t="s">
        <v>274</v>
      </c>
      <c r="I3" s="1241">
        <v>2018</v>
      </c>
      <c r="J3" s="1242"/>
      <c r="K3" s="1241">
        <v>2019</v>
      </c>
      <c r="L3" s="1242"/>
      <c r="M3" s="128">
        <v>2020</v>
      </c>
      <c r="N3" s="128">
        <v>2021</v>
      </c>
    </row>
    <row r="4" spans="1:14" s="45" customFormat="1" ht="32.25" customHeight="1" x14ac:dyDescent="0.2">
      <c r="A4" s="1244"/>
      <c r="B4" s="1244"/>
      <c r="C4" s="1244"/>
      <c r="D4" s="1246"/>
      <c r="E4" s="1246"/>
      <c r="F4" s="1246"/>
      <c r="G4" s="1246"/>
      <c r="H4" s="1246"/>
      <c r="I4" s="129" t="s">
        <v>277</v>
      </c>
      <c r="J4" s="129" t="s">
        <v>275</v>
      </c>
      <c r="K4" s="129" t="s">
        <v>277</v>
      </c>
      <c r="L4" s="129" t="s">
        <v>276</v>
      </c>
      <c r="M4" s="129" t="s">
        <v>277</v>
      </c>
      <c r="N4" s="129" t="s">
        <v>277</v>
      </c>
    </row>
    <row r="5" spans="1:14" s="92" customFormat="1" ht="69" customHeight="1" x14ac:dyDescent="0.2">
      <c r="A5" s="1238" t="s">
        <v>543</v>
      </c>
      <c r="B5" s="1239" t="s">
        <v>544</v>
      </c>
      <c r="C5" s="1240" t="s">
        <v>545</v>
      </c>
      <c r="D5" s="328" t="s">
        <v>546</v>
      </c>
      <c r="E5" s="332">
        <v>0.85799999999999998</v>
      </c>
      <c r="F5" s="332">
        <v>0.90600000000000003</v>
      </c>
      <c r="G5" s="329" t="s">
        <v>547</v>
      </c>
      <c r="H5" s="329" t="s">
        <v>547</v>
      </c>
      <c r="I5" s="337"/>
      <c r="J5" s="337"/>
      <c r="K5" s="337"/>
      <c r="L5" s="337"/>
      <c r="M5" s="332">
        <v>0.89790000000000003</v>
      </c>
      <c r="N5" s="332">
        <v>0.90600000000000003</v>
      </c>
    </row>
    <row r="6" spans="1:14" s="92" customFormat="1" ht="60.75" customHeight="1" x14ac:dyDescent="0.2">
      <c r="A6" s="1238"/>
      <c r="B6" s="1239"/>
      <c r="C6" s="1240"/>
      <c r="D6" s="328" t="s">
        <v>273</v>
      </c>
      <c r="E6" s="333" t="s">
        <v>548</v>
      </c>
      <c r="F6" s="333" t="s">
        <v>549</v>
      </c>
      <c r="G6" s="329" t="s">
        <v>550</v>
      </c>
      <c r="H6" s="329" t="s">
        <v>550</v>
      </c>
      <c r="I6" s="337"/>
      <c r="J6" s="337"/>
      <c r="K6" s="337"/>
      <c r="L6" s="337"/>
      <c r="M6" s="333" t="s">
        <v>551</v>
      </c>
      <c r="N6" s="333" t="s">
        <v>549</v>
      </c>
    </row>
    <row r="7" spans="1:14" s="92" customFormat="1" ht="93" customHeight="1" x14ac:dyDescent="0.2">
      <c r="A7" s="330" t="s">
        <v>543</v>
      </c>
      <c r="B7" s="329" t="s">
        <v>552</v>
      </c>
      <c r="C7" s="328" t="s">
        <v>553</v>
      </c>
      <c r="D7" s="328" t="s">
        <v>554</v>
      </c>
      <c r="E7" s="330">
        <v>584.94000000000005</v>
      </c>
      <c r="F7" s="329">
        <v>709.54</v>
      </c>
      <c r="G7" s="330" t="s">
        <v>555</v>
      </c>
      <c r="H7" s="330" t="s">
        <v>555</v>
      </c>
      <c r="I7" s="330">
        <v>585</v>
      </c>
      <c r="J7" s="337"/>
      <c r="K7" s="337"/>
      <c r="L7" s="337"/>
      <c r="M7" s="329">
        <v>580.28</v>
      </c>
      <c r="N7" s="329">
        <v>709.54</v>
      </c>
    </row>
    <row r="8" spans="1:14" s="92" customFormat="1" ht="63.75" customHeight="1" x14ac:dyDescent="0.2">
      <c r="A8" s="1238" t="s">
        <v>543</v>
      </c>
      <c r="B8" s="1239" t="s">
        <v>556</v>
      </c>
      <c r="C8" s="1240" t="s">
        <v>557</v>
      </c>
      <c r="D8" s="328" t="s">
        <v>558</v>
      </c>
      <c r="E8" s="334">
        <v>0.25900000000000001</v>
      </c>
      <c r="F8" s="334">
        <v>0.39200000000000002</v>
      </c>
      <c r="G8" s="329" t="s">
        <v>559</v>
      </c>
      <c r="H8" s="329" t="s">
        <v>559</v>
      </c>
      <c r="I8" s="337"/>
      <c r="J8" s="337"/>
      <c r="K8" s="337"/>
      <c r="L8" s="337"/>
      <c r="M8" s="334">
        <v>0.37</v>
      </c>
      <c r="N8" s="334">
        <v>0.39200000000000002</v>
      </c>
    </row>
    <row r="9" spans="1:14" s="92" customFormat="1" ht="119.25" customHeight="1" x14ac:dyDescent="0.2">
      <c r="A9" s="1238"/>
      <c r="B9" s="1239"/>
      <c r="C9" s="1240"/>
      <c r="D9" s="328" t="s">
        <v>560</v>
      </c>
      <c r="E9" s="334">
        <v>0.28999999999999998</v>
      </c>
      <c r="F9" s="334">
        <v>0.41199999999999998</v>
      </c>
      <c r="G9" s="329" t="s">
        <v>559</v>
      </c>
      <c r="H9" s="329" t="s">
        <v>559</v>
      </c>
      <c r="I9" s="337"/>
      <c r="J9" s="337"/>
      <c r="K9" s="337"/>
      <c r="L9" s="337"/>
      <c r="M9" s="334">
        <v>0.39200000000000002</v>
      </c>
      <c r="N9" s="334">
        <v>0.41199999999999998</v>
      </c>
    </row>
    <row r="10" spans="1:14" s="92" customFormat="1" ht="67.5" customHeight="1" x14ac:dyDescent="0.2">
      <c r="A10" s="1238"/>
      <c r="B10" s="1239"/>
      <c r="C10" s="1240"/>
      <c r="D10" s="328" t="s">
        <v>561</v>
      </c>
      <c r="E10" s="334">
        <v>0.12</v>
      </c>
      <c r="F10" s="334">
        <v>0.14000000000000001</v>
      </c>
      <c r="G10" s="329" t="s">
        <v>559</v>
      </c>
      <c r="H10" s="329" t="s">
        <v>559</v>
      </c>
      <c r="I10" s="330">
        <v>12</v>
      </c>
      <c r="J10" s="337"/>
      <c r="K10" s="337"/>
      <c r="L10" s="337"/>
      <c r="M10" s="334">
        <v>0.13</v>
      </c>
      <c r="N10" s="334">
        <v>0.14000000000000001</v>
      </c>
    </row>
    <row r="11" spans="1:14" s="92" customFormat="1" ht="24" x14ac:dyDescent="0.2">
      <c r="A11" s="1238"/>
      <c r="B11" s="1239"/>
      <c r="C11" s="1240"/>
      <c r="D11" s="328" t="s">
        <v>562</v>
      </c>
      <c r="E11" s="330">
        <v>1</v>
      </c>
      <c r="F11" s="330">
        <v>3</v>
      </c>
      <c r="G11" s="329" t="s">
        <v>559</v>
      </c>
      <c r="H11" s="329" t="s">
        <v>559</v>
      </c>
      <c r="I11" s="330">
        <v>1</v>
      </c>
      <c r="J11" s="337"/>
      <c r="K11" s="337"/>
      <c r="L11" s="337"/>
      <c r="M11" s="330">
        <v>4</v>
      </c>
      <c r="N11" s="330">
        <v>3</v>
      </c>
    </row>
    <row r="12" spans="1:14" s="92" customFormat="1" ht="72" x14ac:dyDescent="0.2">
      <c r="A12" s="330" t="s">
        <v>543</v>
      </c>
      <c r="B12" s="329" t="s">
        <v>563</v>
      </c>
      <c r="C12" s="328" t="s">
        <v>564</v>
      </c>
      <c r="D12" s="328" t="s">
        <v>565</v>
      </c>
      <c r="E12" s="335">
        <v>0.16</v>
      </c>
      <c r="F12" s="335">
        <v>0.158</v>
      </c>
      <c r="G12" s="329" t="s">
        <v>566</v>
      </c>
      <c r="H12" s="329" t="s">
        <v>566</v>
      </c>
      <c r="I12" s="335">
        <v>14</v>
      </c>
      <c r="J12" s="337"/>
      <c r="K12" s="337"/>
      <c r="L12" s="337"/>
      <c r="M12" s="335">
        <v>0.14899999999999999</v>
      </c>
      <c r="N12" s="335">
        <v>0.158</v>
      </c>
    </row>
    <row r="13" spans="1:14" s="92" customFormat="1" ht="60" x14ac:dyDescent="0.2">
      <c r="A13" s="330" t="s">
        <v>543</v>
      </c>
      <c r="B13" s="329" t="s">
        <v>567</v>
      </c>
      <c r="C13" s="328" t="s">
        <v>568</v>
      </c>
      <c r="D13" s="328" t="s">
        <v>569</v>
      </c>
      <c r="E13" s="336">
        <v>9294.1200000000008</v>
      </c>
      <c r="F13" s="336">
        <v>124309.25</v>
      </c>
      <c r="G13" s="330" t="s">
        <v>570</v>
      </c>
      <c r="H13" s="330" t="s">
        <v>570</v>
      </c>
      <c r="I13" s="336">
        <v>67679.25</v>
      </c>
      <c r="J13" s="330"/>
      <c r="K13" s="330"/>
      <c r="L13" s="330"/>
      <c r="M13" s="336">
        <v>106849.25</v>
      </c>
      <c r="N13" s="336">
        <v>124309.25</v>
      </c>
    </row>
    <row r="14" spans="1:14" s="92" customFormat="1" ht="24" x14ac:dyDescent="0.2">
      <c r="A14" s="1238" t="s">
        <v>543</v>
      </c>
      <c r="B14" s="1239" t="s">
        <v>571</v>
      </c>
      <c r="C14" s="1240" t="s">
        <v>572</v>
      </c>
      <c r="D14" s="328" t="s">
        <v>573</v>
      </c>
      <c r="E14" s="334">
        <v>0.82220000000000004</v>
      </c>
      <c r="F14" s="334">
        <v>0.83220000000000005</v>
      </c>
      <c r="G14" s="330" t="s">
        <v>574</v>
      </c>
      <c r="H14" s="330" t="s">
        <v>574</v>
      </c>
      <c r="I14" s="337"/>
      <c r="J14" s="337"/>
      <c r="K14" s="337"/>
      <c r="L14" s="337"/>
      <c r="M14" s="334">
        <v>0.82720000000000005</v>
      </c>
      <c r="N14" s="334">
        <v>0.83220000000000005</v>
      </c>
    </row>
    <row r="15" spans="1:14" s="92" customFormat="1" ht="114" customHeight="1" x14ac:dyDescent="0.2">
      <c r="A15" s="1238"/>
      <c r="B15" s="1239"/>
      <c r="C15" s="1240"/>
      <c r="D15" s="328" t="s">
        <v>575</v>
      </c>
      <c r="E15" s="330" t="s">
        <v>576</v>
      </c>
      <c r="F15" s="336">
        <v>1118</v>
      </c>
      <c r="G15" s="330" t="s">
        <v>574</v>
      </c>
      <c r="H15" s="330" t="s">
        <v>574</v>
      </c>
      <c r="I15" s="337"/>
      <c r="J15" s="337"/>
      <c r="K15" s="337"/>
      <c r="L15" s="337"/>
      <c r="M15" s="330">
        <v>518</v>
      </c>
      <c r="N15" s="336">
        <v>1118</v>
      </c>
    </row>
    <row r="16" spans="1:14" s="92" customFormat="1" ht="36" x14ac:dyDescent="0.2">
      <c r="A16" s="1238"/>
      <c r="B16" s="1239"/>
      <c r="C16" s="1240"/>
      <c r="D16" s="328" t="s">
        <v>577</v>
      </c>
      <c r="E16" s="330" t="s">
        <v>576</v>
      </c>
      <c r="F16" s="330">
        <v>80</v>
      </c>
      <c r="G16" s="330" t="s">
        <v>574</v>
      </c>
      <c r="H16" s="330" t="s">
        <v>574</v>
      </c>
      <c r="I16" s="337"/>
      <c r="J16" s="337"/>
      <c r="K16" s="337"/>
      <c r="L16" s="337"/>
      <c r="M16" s="330">
        <v>40</v>
      </c>
      <c r="N16" s="330">
        <v>80</v>
      </c>
    </row>
    <row r="17" spans="1:14" s="92" customFormat="1" ht="72" x14ac:dyDescent="0.2">
      <c r="A17" s="330" t="s">
        <v>543</v>
      </c>
      <c r="B17" s="329" t="s">
        <v>578</v>
      </c>
      <c r="C17" s="328" t="s">
        <v>579</v>
      </c>
      <c r="D17" s="331" t="s">
        <v>580</v>
      </c>
      <c r="E17" s="330" t="s">
        <v>576</v>
      </c>
      <c r="F17" s="330">
        <v>15</v>
      </c>
      <c r="G17" s="330" t="s">
        <v>581</v>
      </c>
      <c r="H17" s="330" t="s">
        <v>581</v>
      </c>
      <c r="I17" s="337"/>
      <c r="J17" s="337"/>
      <c r="K17" s="337"/>
      <c r="L17" s="337"/>
      <c r="M17" s="330">
        <v>5</v>
      </c>
      <c r="N17" s="330">
        <v>15</v>
      </c>
    </row>
    <row r="18" spans="1:14" s="92" customFormat="1" ht="72" x14ac:dyDescent="0.2">
      <c r="A18" s="330" t="s">
        <v>543</v>
      </c>
      <c r="B18" s="329" t="s">
        <v>582</v>
      </c>
      <c r="C18" s="328" t="s">
        <v>583</v>
      </c>
      <c r="D18" s="328" t="s">
        <v>584</v>
      </c>
      <c r="E18" s="330">
        <v>170</v>
      </c>
      <c r="F18" s="330">
        <v>170.88</v>
      </c>
      <c r="G18" s="330" t="s">
        <v>585</v>
      </c>
      <c r="H18" s="330" t="s">
        <v>586</v>
      </c>
      <c r="I18" s="330">
        <v>170</v>
      </c>
      <c r="J18" s="330"/>
      <c r="K18" s="330"/>
      <c r="L18" s="330"/>
      <c r="M18" s="330">
        <v>170.29</v>
      </c>
      <c r="N18" s="330">
        <v>170.88</v>
      </c>
    </row>
    <row r="19" spans="1:14" ht="12" x14ac:dyDescent="0.2">
      <c r="A19" s="1238" t="s">
        <v>543</v>
      </c>
      <c r="B19" s="1239" t="s">
        <v>587</v>
      </c>
      <c r="C19" s="1240" t="s">
        <v>588</v>
      </c>
      <c r="D19" s="328" t="s">
        <v>589</v>
      </c>
      <c r="E19" s="330">
        <v>81.099999999999994</v>
      </c>
      <c r="F19" s="330">
        <v>86.7</v>
      </c>
      <c r="G19" s="330" t="s">
        <v>590</v>
      </c>
      <c r="H19" s="330" t="s">
        <v>591</v>
      </c>
      <c r="I19" s="330"/>
      <c r="J19" s="330"/>
      <c r="K19" s="330"/>
      <c r="L19" s="330"/>
      <c r="M19" s="330">
        <v>85</v>
      </c>
      <c r="N19" s="330">
        <v>86.7</v>
      </c>
    </row>
    <row r="20" spans="1:14" ht="24" x14ac:dyDescent="0.2">
      <c r="A20" s="1238"/>
      <c r="B20" s="1239"/>
      <c r="C20" s="1240"/>
      <c r="D20" s="328" t="s">
        <v>592</v>
      </c>
      <c r="E20" s="330">
        <v>22.08</v>
      </c>
      <c r="F20" s="330">
        <v>24</v>
      </c>
      <c r="G20" s="330" t="s">
        <v>590</v>
      </c>
      <c r="H20" s="330" t="s">
        <v>591</v>
      </c>
      <c r="I20" s="330">
        <v>22.08</v>
      </c>
      <c r="J20" s="330"/>
      <c r="K20" s="330"/>
      <c r="L20" s="330"/>
      <c r="M20" s="330">
        <v>23</v>
      </c>
      <c r="N20" s="330">
        <v>24</v>
      </c>
    </row>
    <row r="21" spans="1:14" ht="24" x14ac:dyDescent="0.2">
      <c r="A21" s="1238"/>
      <c r="B21" s="1239"/>
      <c r="C21" s="1240"/>
      <c r="D21" s="328" t="s">
        <v>593</v>
      </c>
      <c r="E21" s="335">
        <v>2.0000000000000001E-4</v>
      </c>
      <c r="F21" s="335">
        <v>7.1999999999999998E-3</v>
      </c>
      <c r="G21" s="329" t="s">
        <v>590</v>
      </c>
      <c r="H21" s="329" t="s">
        <v>591</v>
      </c>
      <c r="I21" s="335"/>
      <c r="J21" s="337"/>
      <c r="K21" s="337"/>
      <c r="L21" s="337"/>
      <c r="M21" s="335">
        <v>5.0000000000000001E-3</v>
      </c>
      <c r="N21" s="335">
        <v>7.1999999999999998E-3</v>
      </c>
    </row>
    <row r="22" spans="1:14" ht="84" x14ac:dyDescent="0.2">
      <c r="A22" s="330" t="s">
        <v>543</v>
      </c>
      <c r="B22" s="329" t="s">
        <v>594</v>
      </c>
      <c r="C22" s="328" t="s">
        <v>595</v>
      </c>
      <c r="D22" s="328" t="s">
        <v>596</v>
      </c>
      <c r="E22" s="330">
        <v>150</v>
      </c>
      <c r="F22" s="330">
        <v>210</v>
      </c>
      <c r="G22" s="330" t="s">
        <v>597</v>
      </c>
      <c r="H22" s="330" t="s">
        <v>597</v>
      </c>
      <c r="I22" s="330">
        <v>150</v>
      </c>
      <c r="J22" s="330"/>
      <c r="K22" s="330"/>
      <c r="L22" s="330"/>
      <c r="M22" s="330">
        <v>200</v>
      </c>
      <c r="N22" s="330">
        <v>210</v>
      </c>
    </row>
    <row r="23" spans="1:14" ht="72" x14ac:dyDescent="0.2">
      <c r="A23" s="330" t="s">
        <v>543</v>
      </c>
      <c r="B23" s="329" t="s">
        <v>598</v>
      </c>
      <c r="C23" s="328" t="s">
        <v>599</v>
      </c>
      <c r="D23" s="328" t="s">
        <v>600</v>
      </c>
      <c r="E23" s="330">
        <v>2</v>
      </c>
      <c r="F23" s="330">
        <v>7</v>
      </c>
      <c r="G23" s="330" t="s">
        <v>601</v>
      </c>
      <c r="H23" s="330" t="s">
        <v>601</v>
      </c>
      <c r="I23" s="330">
        <v>2</v>
      </c>
      <c r="J23" s="330"/>
      <c r="K23" s="330"/>
      <c r="L23" s="330"/>
      <c r="M23" s="330">
        <v>6</v>
      </c>
      <c r="N23" s="330">
        <v>7</v>
      </c>
    </row>
    <row r="24" spans="1:14" ht="72" x14ac:dyDescent="0.2">
      <c r="A24" s="330" t="s">
        <v>543</v>
      </c>
      <c r="B24" s="329" t="s">
        <v>602</v>
      </c>
      <c r="C24" s="328" t="s">
        <v>603</v>
      </c>
      <c r="D24" s="328" t="s">
        <v>604</v>
      </c>
      <c r="E24" s="334">
        <v>0.188</v>
      </c>
      <c r="F24" s="334">
        <v>0.184</v>
      </c>
      <c r="G24" s="334" t="s">
        <v>605</v>
      </c>
      <c r="H24" s="334" t="s">
        <v>605</v>
      </c>
      <c r="I24" s="334"/>
      <c r="J24" s="334"/>
      <c r="K24" s="334"/>
      <c r="L24" s="334"/>
      <c r="M24" s="334">
        <v>0.185</v>
      </c>
      <c r="N24" s="334">
        <v>0.184</v>
      </c>
    </row>
    <row r="25" spans="1:14" ht="48" x14ac:dyDescent="0.2">
      <c r="A25" s="330" t="s">
        <v>543</v>
      </c>
      <c r="B25" s="329" t="s">
        <v>606</v>
      </c>
      <c r="C25" s="328" t="s">
        <v>607</v>
      </c>
      <c r="D25" s="328" t="s">
        <v>608</v>
      </c>
      <c r="E25" s="334">
        <v>0.23300000000000001</v>
      </c>
      <c r="F25" s="334">
        <v>0.255</v>
      </c>
      <c r="G25" s="334" t="s">
        <v>605</v>
      </c>
      <c r="H25" s="334" t="s">
        <v>605</v>
      </c>
      <c r="I25" s="334"/>
      <c r="J25" s="334"/>
      <c r="K25" s="334"/>
      <c r="L25" s="334"/>
      <c r="M25" s="334">
        <v>0.245</v>
      </c>
      <c r="N25" s="334">
        <v>0.255</v>
      </c>
    </row>
    <row r="26" spans="1:14" ht="114" customHeight="1" x14ac:dyDescent="0.2">
      <c r="A26" s="330" t="s">
        <v>543</v>
      </c>
      <c r="B26" s="329" t="s">
        <v>609</v>
      </c>
      <c r="C26" s="328" t="s">
        <v>610</v>
      </c>
      <c r="D26" s="328" t="s">
        <v>611</v>
      </c>
      <c r="E26" s="334">
        <v>0.15</v>
      </c>
      <c r="F26" s="334">
        <v>0.17</v>
      </c>
      <c r="G26" s="334" t="s">
        <v>612</v>
      </c>
      <c r="H26" s="334" t="s">
        <v>612</v>
      </c>
      <c r="I26" s="334">
        <v>0.15</v>
      </c>
      <c r="J26" s="334"/>
      <c r="K26" s="334"/>
      <c r="L26" s="334"/>
      <c r="M26" s="334">
        <v>0.16</v>
      </c>
      <c r="N26" s="334">
        <v>0.17</v>
      </c>
    </row>
  </sheetData>
  <mergeCells count="22">
    <mergeCell ref="I3:J3"/>
    <mergeCell ref="K3:L3"/>
    <mergeCell ref="C3:C4"/>
    <mergeCell ref="B3:B4"/>
    <mergeCell ref="A3:A4"/>
    <mergeCell ref="D3:D4"/>
    <mergeCell ref="E3:E4"/>
    <mergeCell ref="F3:F4"/>
    <mergeCell ref="G3:G4"/>
    <mergeCell ref="H3:H4"/>
    <mergeCell ref="A5:A6"/>
    <mergeCell ref="B5:B6"/>
    <mergeCell ref="C5:C6"/>
    <mergeCell ref="A19:A21"/>
    <mergeCell ref="B19:B21"/>
    <mergeCell ref="C19:C21"/>
    <mergeCell ref="A8:A11"/>
    <mergeCell ref="B8:B11"/>
    <mergeCell ref="C8:C11"/>
    <mergeCell ref="A14:A16"/>
    <mergeCell ref="B14:B16"/>
    <mergeCell ref="C14:C16"/>
  </mergeCells>
  <printOptions horizontalCentered="1"/>
  <pageMargins left="0.23622047244094491" right="0.23622047244094491" top="0.74803149606299213" bottom="0.74803149606299213" header="0.31496062992125984" footer="0.31496062992125984"/>
  <pageSetup paperSize="9" scale="86" orientation="landscape" r:id="rId1"/>
  <headerFooter alignWithMargins="0">
    <oddHeader>&amp;C&amp;"Arial,Negrita"&amp;18PROYECTO DE PRESUPUESTO 2021</oddHeader>
    <oddFooter>&amp;L&amp;"Arial,Negrita"&amp;8PROYECTO DE PRESUPUESTO PARA EL AÑO FISCAL 2021
INFORMACIÓN PARA LA COMISIÓN DE PRESUPUESTO Y CUENTA GENERAL DE LA REPÚBLICA DEL CONGRESO DE LA REPÚBLICA</oddFooter>
  </headerFooter>
  <legacy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ColWidth="10.7109375" defaultRowHeight="12.75" x14ac:dyDescent="0.2"/>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ColWidth="10.7109375" defaultRowHeight="12.75" x14ac:dyDescent="0.2"/>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F21"/>
  <sheetViews>
    <sheetView view="pageBreakPreview" zoomScale="60" zoomScaleNormal="100" zoomScalePageLayoutView="120" workbookViewId="0">
      <selection activeCell="B19" sqref="B19"/>
    </sheetView>
  </sheetViews>
  <sheetFormatPr baseColWidth="10" defaultRowHeight="12.75" x14ac:dyDescent="0.2"/>
  <cols>
    <col min="1" max="1" width="71.5703125" customWidth="1"/>
    <col min="2" max="2" width="22.85546875" customWidth="1"/>
    <col min="3" max="3" width="22.7109375" customWidth="1"/>
    <col min="4" max="4" width="25.7109375" customWidth="1"/>
    <col min="6" max="6" width="13.85546875" customWidth="1"/>
  </cols>
  <sheetData>
    <row r="1" spans="1:6" x14ac:dyDescent="0.2">
      <c r="A1" s="89" t="s">
        <v>392</v>
      </c>
    </row>
    <row r="2" spans="1:6" ht="13.5" thickBot="1" x14ac:dyDescent="0.25">
      <c r="A2" s="91" t="s">
        <v>453</v>
      </c>
    </row>
    <row r="3" spans="1:6" s="123" customFormat="1" ht="28.35" customHeight="1" x14ac:dyDescent="0.2">
      <c r="A3" s="267" t="s">
        <v>333</v>
      </c>
      <c r="B3" s="268">
        <v>2019</v>
      </c>
      <c r="C3" s="268">
        <v>2020</v>
      </c>
      <c r="D3" s="269">
        <v>2021</v>
      </c>
    </row>
    <row r="4" spans="1:6" s="124" customFormat="1" ht="20.100000000000001" customHeight="1" x14ac:dyDescent="0.2">
      <c r="A4" s="347" t="s">
        <v>330</v>
      </c>
      <c r="B4" s="234">
        <v>203448056</v>
      </c>
      <c r="C4" s="234">
        <v>202628298</v>
      </c>
      <c r="D4" s="352">
        <v>159545897</v>
      </c>
    </row>
    <row r="5" spans="1:6" s="124" customFormat="1" ht="20.100000000000001" customHeight="1" x14ac:dyDescent="0.2">
      <c r="A5" s="347" t="s">
        <v>331</v>
      </c>
      <c r="B5" s="234">
        <v>558720982</v>
      </c>
      <c r="C5" s="234">
        <v>670219091</v>
      </c>
      <c r="D5" s="353">
        <v>639868660</v>
      </c>
    </row>
    <row r="6" spans="1:6" s="124" customFormat="1" ht="20.100000000000001" customHeight="1" thickBot="1" x14ac:dyDescent="0.25">
      <c r="A6" s="354" t="s">
        <v>332</v>
      </c>
      <c r="B6" s="236">
        <f>1997898822-762169038</f>
        <v>1235729784</v>
      </c>
      <c r="C6" s="236">
        <v>1270483882</v>
      </c>
      <c r="D6" s="352">
        <v>1349515300</v>
      </c>
    </row>
    <row r="7" spans="1:6" s="126" customFormat="1" ht="28.35" customHeight="1" thickBot="1" x14ac:dyDescent="0.25">
      <c r="A7" s="237" t="s">
        <v>324</v>
      </c>
      <c r="B7" s="238">
        <f>SUM(B4:B6)</f>
        <v>1997898822</v>
      </c>
      <c r="C7" s="238">
        <f t="shared" ref="C7:D7" si="0">SUM(C4:C6)</f>
        <v>2143331271</v>
      </c>
      <c r="D7" s="239">
        <f t="shared" si="0"/>
        <v>2148929857</v>
      </c>
    </row>
    <row r="8" spans="1:6" ht="13.5" thickBot="1" x14ac:dyDescent="0.25"/>
    <row r="9" spans="1:6" s="123" customFormat="1" ht="28.35" customHeight="1" x14ac:dyDescent="0.2">
      <c r="A9" s="267" t="s">
        <v>334</v>
      </c>
      <c r="B9" s="268">
        <v>2019</v>
      </c>
      <c r="C9" s="268" t="s">
        <v>393</v>
      </c>
      <c r="D9" s="269" t="s">
        <v>394</v>
      </c>
    </row>
    <row r="10" spans="1:6" s="124" customFormat="1" ht="20.100000000000001" customHeight="1" x14ac:dyDescent="0.2">
      <c r="A10" s="347" t="s">
        <v>330</v>
      </c>
      <c r="B10" s="234">
        <v>280751988</v>
      </c>
      <c r="C10" s="345">
        <v>218159525</v>
      </c>
      <c r="D10" s="348"/>
    </row>
    <row r="11" spans="1:6" s="124" customFormat="1" ht="20.100000000000001" customHeight="1" x14ac:dyDescent="0.2">
      <c r="A11" s="347" t="s">
        <v>331</v>
      </c>
      <c r="B11" s="234">
        <v>693292614</v>
      </c>
      <c r="C11" s="345">
        <v>709173059</v>
      </c>
      <c r="D11" s="348"/>
    </row>
    <row r="12" spans="1:6" s="124" customFormat="1" ht="20.100000000000001" customHeight="1" x14ac:dyDescent="0.2">
      <c r="A12" s="347" t="s">
        <v>332</v>
      </c>
      <c r="B12" s="234">
        <f>2452145043-974044602</f>
        <v>1478100441</v>
      </c>
      <c r="C12" s="346">
        <f>1462182634-6000628</f>
        <v>1456182006</v>
      </c>
      <c r="D12" s="348"/>
    </row>
    <row r="13" spans="1:6" s="126" customFormat="1" ht="28.35" customHeight="1" thickBot="1" x14ac:dyDescent="0.25">
      <c r="A13" s="349" t="s">
        <v>325</v>
      </c>
      <c r="B13" s="350">
        <f>SUM(B10:B12)</f>
        <v>2452145043</v>
      </c>
      <c r="C13" s="350">
        <f t="shared" ref="C13:D13" si="1">SUM(C10:C12)</f>
        <v>2383514590</v>
      </c>
      <c r="D13" s="351">
        <f t="shared" si="1"/>
        <v>0</v>
      </c>
      <c r="F13" s="344">
        <f>2383514590-C13</f>
        <v>0</v>
      </c>
    </row>
    <row r="14" spans="1:6" ht="13.5" thickBot="1" x14ac:dyDescent="0.25"/>
    <row r="15" spans="1:6" s="123" customFormat="1" ht="28.35" customHeight="1" x14ac:dyDescent="0.2">
      <c r="A15" s="267" t="s">
        <v>335</v>
      </c>
      <c r="B15" s="268">
        <v>2019</v>
      </c>
      <c r="C15" s="268" t="s">
        <v>393</v>
      </c>
      <c r="D15" s="269" t="s">
        <v>394</v>
      </c>
    </row>
    <row r="16" spans="1:6" s="124" customFormat="1" ht="20.100000000000001" customHeight="1" x14ac:dyDescent="0.2">
      <c r="A16" s="347" t="s">
        <v>330</v>
      </c>
      <c r="B16" s="234">
        <v>222925051</v>
      </c>
      <c r="C16" s="345">
        <f>+C10*0.99</f>
        <v>215977929.75</v>
      </c>
      <c r="D16" s="348"/>
    </row>
    <row r="17" spans="1:6" s="124" customFormat="1" ht="20.100000000000001" customHeight="1" x14ac:dyDescent="0.2">
      <c r="A17" s="347" t="s">
        <v>331</v>
      </c>
      <c r="B17" s="234">
        <v>488764794</v>
      </c>
      <c r="C17" s="345">
        <f t="shared" ref="C17:C18" si="2">+C11*0.99</f>
        <v>702081328.40999997</v>
      </c>
      <c r="D17" s="348"/>
    </row>
    <row r="18" spans="1:6" s="124" customFormat="1" ht="20.100000000000001" customHeight="1" x14ac:dyDescent="0.2">
      <c r="A18" s="347" t="s">
        <v>332</v>
      </c>
      <c r="B18" s="234">
        <f>2088728211-711689845</f>
        <v>1377038366</v>
      </c>
      <c r="C18" s="345">
        <f t="shared" si="2"/>
        <v>1441620185.9400001</v>
      </c>
      <c r="D18" s="348"/>
    </row>
    <row r="19" spans="1:6" s="126" customFormat="1" ht="28.35" customHeight="1" thickBot="1" x14ac:dyDescent="0.25">
      <c r="A19" s="349" t="s">
        <v>326</v>
      </c>
      <c r="B19" s="350">
        <f>SUM(B16:B18)</f>
        <v>2088728211</v>
      </c>
      <c r="C19" s="356">
        <f t="shared" ref="C19:D19" si="3">SUM(C16:C18)</f>
        <v>2359679444.0999999</v>
      </c>
      <c r="D19" s="351">
        <f t="shared" si="3"/>
        <v>0</v>
      </c>
      <c r="F19" s="378" t="s">
        <v>83</v>
      </c>
    </row>
    <row r="20" spans="1:6" x14ac:dyDescent="0.2">
      <c r="A20" s="232" t="s">
        <v>395</v>
      </c>
    </row>
    <row r="21" spans="1:6" x14ac:dyDescent="0.2">
      <c r="A21" s="232" t="s">
        <v>396</v>
      </c>
    </row>
  </sheetData>
  <pageMargins left="0.23622047244094491" right="0.51181102362204722" top="0.74803149606299213" bottom="0.74803149606299213" header="0.31496062992125984" footer="0.31496062992125984"/>
  <pageSetup paperSize="9" scale="96" orientation="landscape" r:id="rId1"/>
  <headerFooter>
    <oddHeader xml:space="preserve">&amp;L&amp;"Arial,Negrita"&amp;14
&amp;C&amp;"Arial,Negrita"&amp;18PROYECTO DE PRESUPUESTO 2021&amp;R&amp;"Arial,Negrita"&amp;14 </oddHeader>
    <oddFooter>&amp;L&amp;"Arial,Negrita"&amp;8PROYECTO DE PRESUPUESTO PARA EL AÑO FISCAL 2020
INFORMACIÓN PARA LA COMISIÓN DE PRESUPUESTO Y CUENTA GENERAL DE LA REPÚBLICA DEL CONGRESO DE LA REPÚBLICA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F369"/>
  <sheetViews>
    <sheetView showWhiteSpace="0" zoomScaleNormal="100" workbookViewId="0">
      <selection activeCell="C36" sqref="C36"/>
    </sheetView>
  </sheetViews>
  <sheetFormatPr baseColWidth="10" defaultColWidth="11.28515625" defaultRowHeight="12.75" x14ac:dyDescent="0.2"/>
  <cols>
    <col min="1" max="1" width="52.140625" customWidth="1"/>
    <col min="2" max="2" width="17.42578125" customWidth="1"/>
    <col min="3" max="3" width="18.5703125" customWidth="1"/>
    <col min="4" max="4" width="19.140625" customWidth="1"/>
    <col min="6" max="6" width="16.5703125" bestFit="1" customWidth="1"/>
  </cols>
  <sheetData>
    <row r="1" spans="1:4" x14ac:dyDescent="0.2">
      <c r="A1" s="89" t="s">
        <v>397</v>
      </c>
    </row>
    <row r="2" spans="1:4" x14ac:dyDescent="0.2">
      <c r="A2" s="91" t="s">
        <v>453</v>
      </c>
    </row>
    <row r="3" spans="1:4" ht="13.5" thickBot="1" x14ac:dyDescent="0.25">
      <c r="A3" s="91" t="s">
        <v>455</v>
      </c>
    </row>
    <row r="4" spans="1:4" s="123" customFormat="1" ht="28.35" customHeight="1" x14ac:dyDescent="0.2">
      <c r="A4" s="267" t="s">
        <v>329</v>
      </c>
      <c r="B4" s="268">
        <v>2019</v>
      </c>
      <c r="C4" s="268">
        <v>2020</v>
      </c>
      <c r="D4" s="269">
        <v>2021</v>
      </c>
    </row>
    <row r="5" spans="1:4" s="125" customFormat="1" x14ac:dyDescent="0.2">
      <c r="A5" s="270" t="s">
        <v>103</v>
      </c>
      <c r="B5" s="235">
        <f>SUM(B6:B11)</f>
        <v>1406261021</v>
      </c>
      <c r="C5" s="235">
        <f>SUM(C6:C11)</f>
        <v>1538216440</v>
      </c>
      <c r="D5" s="271">
        <f>SUM(D6:D11)</f>
        <v>1508233843</v>
      </c>
    </row>
    <row r="6" spans="1:4" s="124" customFormat="1" x14ac:dyDescent="0.2">
      <c r="A6" s="272" t="s">
        <v>92</v>
      </c>
      <c r="B6" s="234">
        <f t="shared" ref="B6:D11" si="0">SUM(B66+B129+B193+B257+B320)</f>
        <v>0</v>
      </c>
      <c r="C6" s="234">
        <f t="shared" si="0"/>
        <v>0</v>
      </c>
      <c r="D6" s="273">
        <f t="shared" si="0"/>
        <v>0</v>
      </c>
    </row>
    <row r="7" spans="1:4" s="124" customFormat="1" x14ac:dyDescent="0.2">
      <c r="A7" s="272" t="s">
        <v>93</v>
      </c>
      <c r="B7" s="234">
        <f t="shared" si="0"/>
        <v>1024387544</v>
      </c>
      <c r="C7" s="234">
        <f t="shared" si="0"/>
        <v>1107259306</v>
      </c>
      <c r="D7" s="273">
        <f t="shared" si="0"/>
        <v>1185457737</v>
      </c>
    </row>
    <row r="8" spans="1:4" s="124" customFormat="1" x14ac:dyDescent="0.2">
      <c r="A8" s="272" t="s">
        <v>94</v>
      </c>
      <c r="B8" s="234">
        <f t="shared" si="0"/>
        <v>130579150</v>
      </c>
      <c r="C8" s="234">
        <f t="shared" si="0"/>
        <v>135947085</v>
      </c>
      <c r="D8" s="273">
        <f t="shared" si="0"/>
        <v>163100339</v>
      </c>
    </row>
    <row r="9" spans="1:4" s="124" customFormat="1" x14ac:dyDescent="0.2">
      <c r="A9" s="272" t="s">
        <v>95</v>
      </c>
      <c r="B9" s="234">
        <f t="shared" si="0"/>
        <v>248024016</v>
      </c>
      <c r="C9" s="234">
        <f t="shared" si="0"/>
        <v>292305980</v>
      </c>
      <c r="D9" s="273">
        <f t="shared" si="0"/>
        <v>156971698</v>
      </c>
    </row>
    <row r="10" spans="1:4" s="124" customFormat="1" x14ac:dyDescent="0.2">
      <c r="A10" s="272" t="s">
        <v>123</v>
      </c>
      <c r="B10" s="234">
        <f t="shared" si="0"/>
        <v>0</v>
      </c>
      <c r="C10" s="234">
        <f t="shared" si="0"/>
        <v>0</v>
      </c>
      <c r="D10" s="273">
        <f t="shared" si="0"/>
        <v>0</v>
      </c>
    </row>
    <row r="11" spans="1:4" s="124" customFormat="1" x14ac:dyDescent="0.2">
      <c r="A11" s="272" t="s">
        <v>124</v>
      </c>
      <c r="B11" s="234">
        <f t="shared" si="0"/>
        <v>3270311</v>
      </c>
      <c r="C11" s="234">
        <f t="shared" si="0"/>
        <v>2704069</v>
      </c>
      <c r="D11" s="273">
        <f t="shared" si="0"/>
        <v>2704069</v>
      </c>
    </row>
    <row r="12" spans="1:4" s="124" customFormat="1" x14ac:dyDescent="0.2">
      <c r="A12" s="270" t="s">
        <v>91</v>
      </c>
      <c r="B12" s="235">
        <f>SUM(B13:B16)</f>
        <v>524333733</v>
      </c>
      <c r="C12" s="235">
        <f>SUM(C13:C16)</f>
        <v>567984471</v>
      </c>
      <c r="D12" s="271">
        <f>SUM(D13:D16)</f>
        <v>598701064</v>
      </c>
    </row>
    <row r="13" spans="1:4" s="124" customFormat="1" x14ac:dyDescent="0.2">
      <c r="A13" s="272" t="s">
        <v>122</v>
      </c>
      <c r="B13" s="234">
        <f t="shared" ref="B13:D16" si="1">SUM(B73+B136+B200+B264+B327)</f>
        <v>0</v>
      </c>
      <c r="C13" s="234">
        <f t="shared" si="1"/>
        <v>0</v>
      </c>
      <c r="D13" s="273">
        <f t="shared" si="1"/>
        <v>0</v>
      </c>
    </row>
    <row r="14" spans="1:4" s="124" customFormat="1" x14ac:dyDescent="0.2">
      <c r="A14" s="272" t="s">
        <v>125</v>
      </c>
      <c r="B14" s="234">
        <f t="shared" si="1"/>
        <v>0</v>
      </c>
      <c r="C14" s="234">
        <f t="shared" si="1"/>
        <v>0</v>
      </c>
      <c r="D14" s="273">
        <f t="shared" si="1"/>
        <v>0</v>
      </c>
    </row>
    <row r="15" spans="1:4" s="124" customFormat="1" x14ac:dyDescent="0.2">
      <c r="A15" s="272" t="s">
        <v>100</v>
      </c>
      <c r="B15" s="234">
        <f t="shared" si="1"/>
        <v>524333733</v>
      </c>
      <c r="C15" s="234">
        <f t="shared" si="1"/>
        <v>567984471</v>
      </c>
      <c r="D15" s="273">
        <f t="shared" si="1"/>
        <v>598701064</v>
      </c>
    </row>
    <row r="16" spans="1:4" s="124" customFormat="1" x14ac:dyDescent="0.2">
      <c r="A16" s="272" t="s">
        <v>101</v>
      </c>
      <c r="B16" s="234">
        <f t="shared" si="1"/>
        <v>0</v>
      </c>
      <c r="C16" s="234">
        <f t="shared" si="1"/>
        <v>0</v>
      </c>
      <c r="D16" s="273">
        <f t="shared" si="1"/>
        <v>0</v>
      </c>
    </row>
    <row r="17" spans="1:4" s="124" customFormat="1" x14ac:dyDescent="0.2">
      <c r="A17" s="270" t="s">
        <v>81</v>
      </c>
      <c r="B17" s="235">
        <f>+B18</f>
        <v>67304068</v>
      </c>
      <c r="C17" s="235">
        <f>+C18</f>
        <v>37130360</v>
      </c>
      <c r="D17" s="271">
        <f>+D18</f>
        <v>41994950</v>
      </c>
    </row>
    <row r="18" spans="1:4" s="124" customFormat="1" ht="13.5" thickBot="1" x14ac:dyDescent="0.25">
      <c r="A18" s="278" t="s">
        <v>102</v>
      </c>
      <c r="B18" s="236">
        <f>SUM(B78+B141+B205+B269+B332)</f>
        <v>67304068</v>
      </c>
      <c r="C18" s="236">
        <f>SUM(C78+C141+C205+C269+C332)</f>
        <v>37130360</v>
      </c>
      <c r="D18" s="279">
        <f>SUM(D78+D141+D205+D269+D332)</f>
        <v>41994950</v>
      </c>
    </row>
    <row r="19" spans="1:4" s="126" customFormat="1" ht="20.25" customHeight="1" thickBot="1" x14ac:dyDescent="0.25">
      <c r="A19" s="277" t="s">
        <v>324</v>
      </c>
      <c r="B19" s="238">
        <f>+B17+B12+B5</f>
        <v>1997898822</v>
      </c>
      <c r="C19" s="238">
        <f>+C17+C12+C5</f>
        <v>2143331271</v>
      </c>
      <c r="D19" s="239">
        <f>+D17+D12+D5</f>
        <v>2148929857</v>
      </c>
    </row>
    <row r="20" spans="1:4" ht="13.5" thickBot="1" x14ac:dyDescent="0.25"/>
    <row r="21" spans="1:4" s="123" customFormat="1" ht="28.35" customHeight="1" x14ac:dyDescent="0.2">
      <c r="A21" s="267" t="s">
        <v>328</v>
      </c>
      <c r="B21" s="268">
        <v>2019</v>
      </c>
      <c r="C21" s="268">
        <v>2020</v>
      </c>
      <c r="D21" s="269">
        <v>2021</v>
      </c>
    </row>
    <row r="22" spans="1:4" s="125" customFormat="1" x14ac:dyDescent="0.2">
      <c r="A22" s="270" t="s">
        <v>103</v>
      </c>
      <c r="B22" s="235">
        <f>SUM(B23:B28)</f>
        <v>1717165375</v>
      </c>
      <c r="C22" s="235">
        <f>SUM(C23:C28)</f>
        <v>1814875937</v>
      </c>
      <c r="D22" s="271">
        <f>SUM(D23:D28)</f>
        <v>0</v>
      </c>
    </row>
    <row r="23" spans="1:4" s="124" customFormat="1" x14ac:dyDescent="0.2">
      <c r="A23" s="272" t="s">
        <v>92</v>
      </c>
      <c r="B23" s="234">
        <f t="shared" ref="B23:D28" si="2">SUM(B83+B146+B210+B274+B337)</f>
        <v>0</v>
      </c>
      <c r="C23" s="234">
        <f t="shared" si="2"/>
        <v>0</v>
      </c>
      <c r="D23" s="273">
        <f t="shared" si="2"/>
        <v>0</v>
      </c>
    </row>
    <row r="24" spans="1:4" s="124" customFormat="1" x14ac:dyDescent="0.2">
      <c r="A24" s="272" t="s">
        <v>93</v>
      </c>
      <c r="B24" s="234">
        <f t="shared" si="2"/>
        <v>1100353849</v>
      </c>
      <c r="C24" s="234">
        <f t="shared" si="2"/>
        <v>1235715697</v>
      </c>
      <c r="D24" s="273">
        <f t="shared" si="2"/>
        <v>0</v>
      </c>
    </row>
    <row r="25" spans="1:4" s="124" customFormat="1" x14ac:dyDescent="0.2">
      <c r="A25" s="272" t="s">
        <v>94</v>
      </c>
      <c r="B25" s="234">
        <f t="shared" si="2"/>
        <v>133308390</v>
      </c>
      <c r="C25" s="234">
        <f t="shared" si="2"/>
        <v>134921902</v>
      </c>
      <c r="D25" s="273">
        <f t="shared" si="2"/>
        <v>0</v>
      </c>
    </row>
    <row r="26" spans="1:4" s="124" customFormat="1" x14ac:dyDescent="0.2">
      <c r="A26" s="272" t="s">
        <v>95</v>
      </c>
      <c r="B26" s="234">
        <f t="shared" si="2"/>
        <v>348597794</v>
      </c>
      <c r="C26" s="234">
        <f t="shared" si="2"/>
        <v>380192993</v>
      </c>
      <c r="D26" s="273">
        <f t="shared" si="2"/>
        <v>0</v>
      </c>
    </row>
    <row r="27" spans="1:4" s="124" customFormat="1" x14ac:dyDescent="0.2">
      <c r="A27" s="272" t="s">
        <v>123</v>
      </c>
      <c r="B27" s="234">
        <f t="shared" si="2"/>
        <v>6052112</v>
      </c>
      <c r="C27" s="234">
        <f t="shared" si="2"/>
        <v>572034</v>
      </c>
      <c r="D27" s="273">
        <f t="shared" si="2"/>
        <v>0</v>
      </c>
    </row>
    <row r="28" spans="1:4" s="124" customFormat="1" x14ac:dyDescent="0.2">
      <c r="A28" s="272" t="s">
        <v>124</v>
      </c>
      <c r="B28" s="234">
        <f t="shared" si="2"/>
        <v>128853230</v>
      </c>
      <c r="C28" s="234">
        <f t="shared" si="2"/>
        <v>63473311</v>
      </c>
      <c r="D28" s="273">
        <f t="shared" si="2"/>
        <v>0</v>
      </c>
    </row>
    <row r="29" spans="1:4" s="124" customFormat="1" x14ac:dyDescent="0.2">
      <c r="A29" s="270" t="s">
        <v>91</v>
      </c>
      <c r="B29" s="235">
        <f>SUM(B30:B33)</f>
        <v>664641514</v>
      </c>
      <c r="C29" s="235">
        <f>SUM(C30:C33)</f>
        <v>533160766</v>
      </c>
      <c r="D29" s="271">
        <f>SUM(D30:D33)</f>
        <v>0</v>
      </c>
    </row>
    <row r="30" spans="1:4" s="124" customFormat="1" x14ac:dyDescent="0.2">
      <c r="A30" s="272" t="s">
        <v>122</v>
      </c>
      <c r="B30" s="234">
        <f t="shared" ref="B30:D33" si="3">SUM(B90+B153+B217+B281+B344)</f>
        <v>0</v>
      </c>
      <c r="C30" s="234">
        <f t="shared" si="3"/>
        <v>16053443</v>
      </c>
      <c r="D30" s="273">
        <f t="shared" si="3"/>
        <v>0</v>
      </c>
    </row>
    <row r="31" spans="1:4" s="124" customFormat="1" x14ac:dyDescent="0.2">
      <c r="A31" s="272" t="s">
        <v>125</v>
      </c>
      <c r="B31" s="234">
        <f t="shared" si="3"/>
        <v>0</v>
      </c>
      <c r="C31" s="234">
        <f t="shared" si="3"/>
        <v>0</v>
      </c>
      <c r="D31" s="273">
        <f t="shared" si="3"/>
        <v>0</v>
      </c>
    </row>
    <row r="32" spans="1:4" s="124" customFormat="1" x14ac:dyDescent="0.2">
      <c r="A32" s="272" t="s">
        <v>100</v>
      </c>
      <c r="B32" s="234">
        <f t="shared" si="3"/>
        <v>664641514</v>
      </c>
      <c r="C32" s="234">
        <f t="shared" si="3"/>
        <v>517107323</v>
      </c>
      <c r="D32" s="273">
        <f t="shared" si="3"/>
        <v>0</v>
      </c>
    </row>
    <row r="33" spans="1:6" s="124" customFormat="1" x14ac:dyDescent="0.2">
      <c r="A33" s="272" t="s">
        <v>101</v>
      </c>
      <c r="B33" s="234">
        <f t="shared" si="3"/>
        <v>0</v>
      </c>
      <c r="C33" s="234">
        <f t="shared" si="3"/>
        <v>0</v>
      </c>
      <c r="D33" s="273">
        <f t="shared" si="3"/>
        <v>0</v>
      </c>
    </row>
    <row r="34" spans="1:6" s="124" customFormat="1" x14ac:dyDescent="0.2">
      <c r="A34" s="270" t="s">
        <v>81</v>
      </c>
      <c r="B34" s="235">
        <f>+B35</f>
        <v>70338154</v>
      </c>
      <c r="C34" s="235">
        <f>+C35</f>
        <v>35477887</v>
      </c>
      <c r="D34" s="271">
        <f>+D35</f>
        <v>0</v>
      </c>
    </row>
    <row r="35" spans="1:6" s="124" customFormat="1" ht="13.5" thickBot="1" x14ac:dyDescent="0.25">
      <c r="A35" s="278" t="s">
        <v>102</v>
      </c>
      <c r="B35" s="236">
        <f>SUM(B95+B158+B222+B286+B349)</f>
        <v>70338154</v>
      </c>
      <c r="C35" s="236">
        <f>SUM(C95+C158+C222+C286+C349)</f>
        <v>35477887</v>
      </c>
      <c r="D35" s="279">
        <f>SUM(D95+D158+D222+D286+D349)</f>
        <v>0</v>
      </c>
    </row>
    <row r="36" spans="1:6" s="126" customFormat="1" ht="21" customHeight="1" thickBot="1" x14ac:dyDescent="0.25">
      <c r="A36" s="277" t="s">
        <v>325</v>
      </c>
      <c r="B36" s="238">
        <f>+B34+B29+B22</f>
        <v>2452145043</v>
      </c>
      <c r="C36" s="238">
        <f>+C34+C29+C22</f>
        <v>2383514590</v>
      </c>
      <c r="D36" s="239">
        <f>+D34+D29+D22</f>
        <v>0</v>
      </c>
      <c r="F36" s="343" t="s">
        <v>83</v>
      </c>
    </row>
    <row r="37" spans="1:6" ht="13.5" thickBot="1" x14ac:dyDescent="0.25"/>
    <row r="38" spans="1:6" s="123" customFormat="1" ht="28.35" customHeight="1" x14ac:dyDescent="0.2">
      <c r="A38" s="267" t="s">
        <v>327</v>
      </c>
      <c r="B38" s="268">
        <v>2019</v>
      </c>
      <c r="C38" s="268">
        <v>2020</v>
      </c>
      <c r="D38" s="269">
        <v>2021</v>
      </c>
    </row>
    <row r="39" spans="1:6" s="125" customFormat="1" x14ac:dyDescent="0.2">
      <c r="A39" s="270" t="s">
        <v>103</v>
      </c>
      <c r="B39" s="235">
        <f>SUM(B40:B45)</f>
        <v>1607529112.46</v>
      </c>
      <c r="C39" s="235">
        <f>SUM(C40:C45)</f>
        <v>1796727179</v>
      </c>
      <c r="D39" s="271">
        <f>SUM(D40:D45)</f>
        <v>0</v>
      </c>
    </row>
    <row r="40" spans="1:6" s="124" customFormat="1" x14ac:dyDescent="0.2">
      <c r="A40" s="272" t="s">
        <v>92</v>
      </c>
      <c r="B40" s="234">
        <f t="shared" ref="B40:D45" si="4">SUM(B100+B163+B227+B291+B354)</f>
        <v>0</v>
      </c>
      <c r="C40" s="234">
        <f t="shared" si="4"/>
        <v>0</v>
      </c>
      <c r="D40" s="273">
        <f t="shared" si="4"/>
        <v>0</v>
      </c>
    </row>
    <row r="41" spans="1:6" s="124" customFormat="1" x14ac:dyDescent="0.2">
      <c r="A41" s="272" t="s">
        <v>93</v>
      </c>
      <c r="B41" s="234">
        <f t="shared" si="4"/>
        <v>1090343100</v>
      </c>
      <c r="C41" s="234">
        <f t="shared" si="4"/>
        <v>1223358541</v>
      </c>
      <c r="D41" s="273">
        <f t="shared" si="4"/>
        <v>0</v>
      </c>
    </row>
    <row r="42" spans="1:6" s="124" customFormat="1" x14ac:dyDescent="0.2">
      <c r="A42" s="272" t="s">
        <v>94</v>
      </c>
      <c r="B42" s="234">
        <f t="shared" si="4"/>
        <v>132616389</v>
      </c>
      <c r="C42" s="234">
        <f t="shared" si="4"/>
        <v>133572683</v>
      </c>
      <c r="D42" s="273">
        <f t="shared" si="4"/>
        <v>0</v>
      </c>
    </row>
    <row r="43" spans="1:6" s="124" customFormat="1" x14ac:dyDescent="0.2">
      <c r="A43" s="272" t="s">
        <v>95</v>
      </c>
      <c r="B43" s="234">
        <f t="shared" si="4"/>
        <v>292088629.31999999</v>
      </c>
      <c r="C43" s="234">
        <f t="shared" si="4"/>
        <v>376391063</v>
      </c>
      <c r="D43" s="273">
        <f t="shared" si="4"/>
        <v>0</v>
      </c>
    </row>
    <row r="44" spans="1:6" s="124" customFormat="1" x14ac:dyDescent="0.2">
      <c r="A44" s="272" t="s">
        <v>123</v>
      </c>
      <c r="B44" s="234">
        <f t="shared" si="4"/>
        <v>6052109</v>
      </c>
      <c r="C44" s="234">
        <f t="shared" si="4"/>
        <v>566314</v>
      </c>
      <c r="D44" s="273">
        <f t="shared" si="4"/>
        <v>0</v>
      </c>
    </row>
    <row r="45" spans="1:6" s="124" customFormat="1" x14ac:dyDescent="0.2">
      <c r="A45" s="272" t="s">
        <v>124</v>
      </c>
      <c r="B45" s="234">
        <f t="shared" si="4"/>
        <v>86428885.140000001</v>
      </c>
      <c r="C45" s="234">
        <f t="shared" si="4"/>
        <v>62838578</v>
      </c>
      <c r="D45" s="273">
        <f t="shared" si="4"/>
        <v>0</v>
      </c>
    </row>
    <row r="46" spans="1:6" s="124" customFormat="1" x14ac:dyDescent="0.2">
      <c r="A46" s="270" t="s">
        <v>91</v>
      </c>
      <c r="B46" s="235">
        <f>SUM(B47:B50)</f>
        <v>412998314.61000001</v>
      </c>
      <c r="C46" s="235">
        <f>SUM(C47:C50)</f>
        <v>527829159</v>
      </c>
      <c r="D46" s="271">
        <f>SUM(D47:D50)</f>
        <v>0</v>
      </c>
    </row>
    <row r="47" spans="1:6" s="124" customFormat="1" x14ac:dyDescent="0.2">
      <c r="A47" s="272" t="s">
        <v>122</v>
      </c>
      <c r="B47" s="234">
        <f t="shared" ref="B47:D50" si="5">SUM(B107+B170+B234+B298+B361)</f>
        <v>0</v>
      </c>
      <c r="C47" s="234">
        <f t="shared" si="5"/>
        <v>15892909</v>
      </c>
      <c r="D47" s="273">
        <f t="shared" si="5"/>
        <v>0</v>
      </c>
    </row>
    <row r="48" spans="1:6" s="124" customFormat="1" x14ac:dyDescent="0.2">
      <c r="A48" s="272" t="s">
        <v>125</v>
      </c>
      <c r="B48" s="234">
        <f t="shared" si="5"/>
        <v>0</v>
      </c>
      <c r="C48" s="234">
        <f t="shared" si="5"/>
        <v>0</v>
      </c>
      <c r="D48" s="273">
        <f t="shared" si="5"/>
        <v>0</v>
      </c>
    </row>
    <row r="49" spans="1:4" s="124" customFormat="1" x14ac:dyDescent="0.2">
      <c r="A49" s="272" t="s">
        <v>100</v>
      </c>
      <c r="B49" s="234">
        <f t="shared" si="5"/>
        <v>412998314.61000001</v>
      </c>
      <c r="C49" s="234">
        <f t="shared" si="5"/>
        <v>511936250</v>
      </c>
      <c r="D49" s="273">
        <f t="shared" si="5"/>
        <v>0</v>
      </c>
    </row>
    <row r="50" spans="1:4" s="124" customFormat="1" x14ac:dyDescent="0.2">
      <c r="A50" s="272" t="s">
        <v>101</v>
      </c>
      <c r="B50" s="234">
        <f t="shared" si="5"/>
        <v>0</v>
      </c>
      <c r="C50" s="234">
        <f t="shared" si="5"/>
        <v>0</v>
      </c>
      <c r="D50" s="273">
        <f t="shared" si="5"/>
        <v>0</v>
      </c>
    </row>
    <row r="51" spans="1:4" s="124" customFormat="1" x14ac:dyDescent="0.2">
      <c r="A51" s="270" t="s">
        <v>81</v>
      </c>
      <c r="B51" s="235">
        <f>+B52</f>
        <v>68639443.290000007</v>
      </c>
      <c r="C51" s="235">
        <f>+C52</f>
        <v>35123108</v>
      </c>
      <c r="D51" s="271">
        <f>+D52</f>
        <v>0</v>
      </c>
    </row>
    <row r="52" spans="1:4" s="124" customFormat="1" ht="13.5" thickBot="1" x14ac:dyDescent="0.25">
      <c r="A52" s="278" t="s">
        <v>102</v>
      </c>
      <c r="B52" s="236">
        <f>SUM(B112+B175+B239+B303+B366)</f>
        <v>68639443.290000007</v>
      </c>
      <c r="C52" s="236">
        <f>SUM(C112+C175+C239+C303+C366)</f>
        <v>35123108</v>
      </c>
      <c r="D52" s="279">
        <f>SUM(D112+D175+D239+D303+D366)</f>
        <v>0</v>
      </c>
    </row>
    <row r="53" spans="1:4" s="126" customFormat="1" ht="21" customHeight="1" thickBot="1" x14ac:dyDescent="0.25">
      <c r="A53" s="277" t="s">
        <v>326</v>
      </c>
      <c r="B53" s="238">
        <f>+B51+B46+B39</f>
        <v>2089166870.3600001</v>
      </c>
      <c r="C53" s="238">
        <f>+C51+C46+C39</f>
        <v>2359679446</v>
      </c>
      <c r="D53" s="239">
        <f>+D51+D46+D39</f>
        <v>0</v>
      </c>
    </row>
    <row r="54" spans="1:4" x14ac:dyDescent="0.2">
      <c r="A54" s="232" t="s">
        <v>395</v>
      </c>
    </row>
    <row r="55" spans="1:4" x14ac:dyDescent="0.2">
      <c r="A55" s="232" t="s">
        <v>396</v>
      </c>
    </row>
    <row r="61" spans="1:4" x14ac:dyDescent="0.2">
      <c r="A61" s="89" t="s">
        <v>397</v>
      </c>
    </row>
    <row r="62" spans="1:4" x14ac:dyDescent="0.2">
      <c r="A62" s="91" t="s">
        <v>453</v>
      </c>
    </row>
    <row r="63" spans="1:4" ht="13.5" thickBot="1" x14ac:dyDescent="0.25">
      <c r="A63" s="91" t="s">
        <v>454</v>
      </c>
    </row>
    <row r="64" spans="1:4" ht="25.5" x14ac:dyDescent="0.2">
      <c r="A64" s="267" t="s">
        <v>329</v>
      </c>
      <c r="B64" s="268">
        <v>2019</v>
      </c>
      <c r="C64" s="268">
        <v>2020</v>
      </c>
      <c r="D64" s="269">
        <v>2021</v>
      </c>
    </row>
    <row r="65" spans="1:4" x14ac:dyDescent="0.2">
      <c r="A65" s="270" t="s">
        <v>103</v>
      </c>
      <c r="B65" s="235">
        <f>SUM(B66:B71)</f>
        <v>1354725358</v>
      </c>
      <c r="C65" s="235">
        <f t="shared" ref="C65:D65" si="6">SUM(C66:C71)</f>
        <v>1464194033</v>
      </c>
      <c r="D65" s="271">
        <f t="shared" si="6"/>
        <v>1457837047</v>
      </c>
    </row>
    <row r="66" spans="1:4" x14ac:dyDescent="0.2">
      <c r="A66" s="272" t="s">
        <v>92</v>
      </c>
      <c r="B66" s="234"/>
      <c r="C66" s="234"/>
      <c r="D66" s="273"/>
    </row>
    <row r="67" spans="1:4" x14ac:dyDescent="0.2">
      <c r="A67" s="272" t="s">
        <v>93</v>
      </c>
      <c r="B67" s="234">
        <v>1024387544</v>
      </c>
      <c r="C67" s="234">
        <v>1107259306</v>
      </c>
      <c r="D67" s="273">
        <v>1185457737</v>
      </c>
    </row>
    <row r="68" spans="1:4" x14ac:dyDescent="0.2">
      <c r="A68" s="272" t="s">
        <v>94</v>
      </c>
      <c r="B68" s="234">
        <v>130579150</v>
      </c>
      <c r="C68" s="234">
        <v>133677918</v>
      </c>
      <c r="D68" s="273">
        <v>131731622</v>
      </c>
    </row>
    <row r="69" spans="1:4" x14ac:dyDescent="0.2">
      <c r="A69" s="272" t="s">
        <v>95</v>
      </c>
      <c r="B69" s="234">
        <v>196488353</v>
      </c>
      <c r="C69" s="234">
        <v>222440859</v>
      </c>
      <c r="D69" s="273">
        <v>139507553</v>
      </c>
    </row>
    <row r="70" spans="1:4" x14ac:dyDescent="0.2">
      <c r="A70" s="272" t="s">
        <v>123</v>
      </c>
      <c r="B70" s="234"/>
      <c r="C70" s="234"/>
      <c r="D70" s="273"/>
    </row>
    <row r="71" spans="1:4" x14ac:dyDescent="0.2">
      <c r="A71" s="272" t="s">
        <v>124</v>
      </c>
      <c r="B71" s="234">
        <v>3270311</v>
      </c>
      <c r="C71" s="234">
        <v>815950</v>
      </c>
      <c r="D71" s="273">
        <v>1140135</v>
      </c>
    </row>
    <row r="72" spans="1:4" x14ac:dyDescent="0.2">
      <c r="A72" s="270" t="s">
        <v>91</v>
      </c>
      <c r="B72" s="235">
        <f>SUM(B73:B76)</f>
        <v>24799719</v>
      </c>
      <c r="C72" s="235">
        <f t="shared" ref="C72:D72" si="7">SUM(C73:C76)</f>
        <v>59063888</v>
      </c>
      <c r="D72" s="271">
        <f t="shared" si="7"/>
        <v>12744390</v>
      </c>
    </row>
    <row r="73" spans="1:4" x14ac:dyDescent="0.2">
      <c r="A73" s="272" t="s">
        <v>122</v>
      </c>
      <c r="B73" s="234"/>
      <c r="C73" s="234"/>
      <c r="D73" s="273"/>
    </row>
    <row r="74" spans="1:4" x14ac:dyDescent="0.2">
      <c r="A74" s="272" t="s">
        <v>125</v>
      </c>
      <c r="B74" s="234"/>
      <c r="C74" s="234"/>
      <c r="D74" s="273"/>
    </row>
    <row r="75" spans="1:4" x14ac:dyDescent="0.2">
      <c r="A75" s="272" t="s">
        <v>100</v>
      </c>
      <c r="B75" s="234">
        <v>24799719</v>
      </c>
      <c r="C75" s="234">
        <v>59063888</v>
      </c>
      <c r="D75" s="273">
        <v>12744390</v>
      </c>
    </row>
    <row r="76" spans="1:4" x14ac:dyDescent="0.2">
      <c r="A76" s="272" t="s">
        <v>101</v>
      </c>
      <c r="B76" s="234"/>
      <c r="C76" s="234"/>
      <c r="D76" s="273"/>
    </row>
    <row r="77" spans="1:4" x14ac:dyDescent="0.2">
      <c r="A77" s="270" t="s">
        <v>81</v>
      </c>
      <c r="B77" s="235">
        <f>+B78</f>
        <v>0</v>
      </c>
      <c r="C77" s="235">
        <f t="shared" ref="C77:D77" si="8">+C78</f>
        <v>0</v>
      </c>
      <c r="D77" s="271">
        <f t="shared" si="8"/>
        <v>0</v>
      </c>
    </row>
    <row r="78" spans="1:4" ht="13.5" thickBot="1" x14ac:dyDescent="0.25">
      <c r="A78" s="278" t="s">
        <v>102</v>
      </c>
      <c r="B78" s="236"/>
      <c r="C78" s="236"/>
      <c r="D78" s="279"/>
    </row>
    <row r="79" spans="1:4" ht="21" customHeight="1" thickBot="1" x14ac:dyDescent="0.25">
      <c r="A79" s="277" t="s">
        <v>324</v>
      </c>
      <c r="B79" s="238">
        <f>+B77+B72+B65</f>
        <v>1379525077</v>
      </c>
      <c r="C79" s="238">
        <f t="shared" ref="C79:D79" si="9">+C77+C72+C65</f>
        <v>1523257921</v>
      </c>
      <c r="D79" s="239">
        <f t="shared" si="9"/>
        <v>1470581437</v>
      </c>
    </row>
    <row r="80" spans="1:4" ht="13.5" thickBot="1" x14ac:dyDescent="0.25"/>
    <row r="81" spans="1:4" ht="25.5" x14ac:dyDescent="0.2">
      <c r="A81" s="267" t="s">
        <v>328</v>
      </c>
      <c r="B81" s="268">
        <v>2019</v>
      </c>
      <c r="C81" s="268">
        <v>2020</v>
      </c>
      <c r="D81" s="269">
        <v>2021</v>
      </c>
    </row>
    <row r="82" spans="1:4" x14ac:dyDescent="0.2">
      <c r="A82" s="270" t="s">
        <v>103</v>
      </c>
      <c r="B82" s="235">
        <f>SUM(B83:B88)</f>
        <v>1575297119</v>
      </c>
      <c r="C82" s="235">
        <f t="shared" ref="C82:D82" si="10">SUM(C83:C88)</f>
        <v>1671817261</v>
      </c>
      <c r="D82" s="271">
        <f t="shared" si="10"/>
        <v>0</v>
      </c>
    </row>
    <row r="83" spans="1:4" x14ac:dyDescent="0.2">
      <c r="A83" s="272" t="s">
        <v>92</v>
      </c>
      <c r="B83" s="234"/>
      <c r="C83" s="234"/>
      <c r="D83" s="273"/>
    </row>
    <row r="84" spans="1:4" x14ac:dyDescent="0.2">
      <c r="A84" s="272" t="s">
        <v>93</v>
      </c>
      <c r="B84" s="234">
        <v>1100353849</v>
      </c>
      <c r="C84" s="234">
        <v>1233119939</v>
      </c>
      <c r="D84" s="273"/>
    </row>
    <row r="85" spans="1:4" x14ac:dyDescent="0.2">
      <c r="A85" s="272" t="s">
        <v>94</v>
      </c>
      <c r="B85" s="234">
        <v>133308390</v>
      </c>
      <c r="C85" s="234">
        <v>134921902</v>
      </c>
      <c r="D85" s="273"/>
    </row>
    <row r="86" spans="1:4" x14ac:dyDescent="0.2">
      <c r="A86" s="272" t="s">
        <v>95</v>
      </c>
      <c r="B86" s="234">
        <v>216121248</v>
      </c>
      <c r="C86" s="234">
        <v>245045550</v>
      </c>
      <c r="D86" s="273"/>
    </row>
    <row r="87" spans="1:4" x14ac:dyDescent="0.2">
      <c r="A87" s="272" t="s">
        <v>123</v>
      </c>
      <c r="B87" s="234">
        <v>223093</v>
      </c>
      <c r="C87" s="234">
        <v>125000</v>
      </c>
      <c r="D87" s="273"/>
    </row>
    <row r="88" spans="1:4" x14ac:dyDescent="0.2">
      <c r="A88" s="272" t="s">
        <v>124</v>
      </c>
      <c r="B88" s="234">
        <v>125290539</v>
      </c>
      <c r="C88" s="234">
        <v>58604870</v>
      </c>
      <c r="D88" s="273"/>
    </row>
    <row r="89" spans="1:4" x14ac:dyDescent="0.2">
      <c r="A89" s="270" t="s">
        <v>91</v>
      </c>
      <c r="B89" s="235">
        <f>SUM(B90:B93)</f>
        <v>34692535</v>
      </c>
      <c r="C89" s="235">
        <f t="shared" ref="C89:D89" si="11">SUM(C90:C93)</f>
        <v>40374099</v>
      </c>
      <c r="D89" s="271">
        <f t="shared" si="11"/>
        <v>0</v>
      </c>
    </row>
    <row r="90" spans="1:4" x14ac:dyDescent="0.2">
      <c r="A90" s="272" t="s">
        <v>122</v>
      </c>
      <c r="B90" s="234"/>
      <c r="C90" s="234"/>
      <c r="D90" s="273"/>
    </row>
    <row r="91" spans="1:4" x14ac:dyDescent="0.2">
      <c r="A91" s="272" t="s">
        <v>125</v>
      </c>
      <c r="B91" s="234"/>
      <c r="C91" s="234"/>
      <c r="D91" s="273"/>
    </row>
    <row r="92" spans="1:4" x14ac:dyDescent="0.2">
      <c r="A92" s="272" t="s">
        <v>100</v>
      </c>
      <c r="B92" s="234">
        <v>34692535</v>
      </c>
      <c r="C92" s="234">
        <v>40374099</v>
      </c>
      <c r="D92" s="273"/>
    </row>
    <row r="93" spans="1:4" x14ac:dyDescent="0.2">
      <c r="A93" s="272" t="s">
        <v>101</v>
      </c>
      <c r="B93" s="234"/>
      <c r="C93" s="234"/>
      <c r="D93" s="273"/>
    </row>
    <row r="94" spans="1:4" x14ac:dyDescent="0.2">
      <c r="A94" s="270" t="s">
        <v>81</v>
      </c>
      <c r="B94" s="235">
        <f>+B95</f>
        <v>0</v>
      </c>
      <c r="C94" s="235">
        <f t="shared" ref="C94:D94" si="12">+C95</f>
        <v>0</v>
      </c>
      <c r="D94" s="271">
        <f t="shared" si="12"/>
        <v>0</v>
      </c>
    </row>
    <row r="95" spans="1:4" ht="13.5" thickBot="1" x14ac:dyDescent="0.25">
      <c r="A95" s="278" t="s">
        <v>102</v>
      </c>
      <c r="B95" s="236"/>
      <c r="C95" s="236"/>
      <c r="D95" s="279"/>
    </row>
    <row r="96" spans="1:4" ht="21" customHeight="1" thickBot="1" x14ac:dyDescent="0.25">
      <c r="A96" s="277" t="s">
        <v>325</v>
      </c>
      <c r="B96" s="238">
        <f>+B94+B89+B82</f>
        <v>1609989654</v>
      </c>
      <c r="C96" s="238">
        <f t="shared" ref="C96:D96" si="13">+C94+C89+C82</f>
        <v>1712191360</v>
      </c>
      <c r="D96" s="239">
        <f t="shared" si="13"/>
        <v>0</v>
      </c>
    </row>
    <row r="97" spans="1:4" ht="13.5" thickBot="1" x14ac:dyDescent="0.25"/>
    <row r="98" spans="1:4" ht="25.5" x14ac:dyDescent="0.2">
      <c r="A98" s="267" t="s">
        <v>327</v>
      </c>
      <c r="B98" s="268">
        <v>2019</v>
      </c>
      <c r="C98" s="268">
        <v>2020</v>
      </c>
      <c r="D98" s="269">
        <v>2021</v>
      </c>
    </row>
    <row r="99" spans="1:4" x14ac:dyDescent="0.2">
      <c r="A99" s="270" t="s">
        <v>103</v>
      </c>
      <c r="B99" s="235">
        <f>SUM(B100:B105)</f>
        <v>1507403722.02</v>
      </c>
      <c r="C99" s="324">
        <f t="shared" ref="C99:D99" si="14">SUM(C100:C105)</f>
        <v>1655099089</v>
      </c>
      <c r="D99" s="271">
        <f t="shared" si="14"/>
        <v>0</v>
      </c>
    </row>
    <row r="100" spans="1:4" x14ac:dyDescent="0.2">
      <c r="A100" s="272" t="s">
        <v>92</v>
      </c>
      <c r="B100" s="234"/>
      <c r="C100" s="338"/>
      <c r="D100" s="273"/>
    </row>
    <row r="101" spans="1:4" x14ac:dyDescent="0.2">
      <c r="A101" s="272" t="s">
        <v>93</v>
      </c>
      <c r="B101" s="234">
        <v>1090343100</v>
      </c>
      <c r="C101" s="338">
        <v>1220788740</v>
      </c>
      <c r="D101" s="273"/>
    </row>
    <row r="102" spans="1:4" x14ac:dyDescent="0.2">
      <c r="A102" s="272" t="s">
        <v>94</v>
      </c>
      <c r="B102" s="234">
        <v>132616389</v>
      </c>
      <c r="C102" s="338">
        <v>133572683</v>
      </c>
      <c r="D102" s="273"/>
    </row>
    <row r="103" spans="1:4" x14ac:dyDescent="0.2">
      <c r="A103" s="272" t="s">
        <v>95</v>
      </c>
      <c r="B103" s="234">
        <v>201338954.75999999</v>
      </c>
      <c r="C103" s="338">
        <v>242595095</v>
      </c>
      <c r="D103" s="273"/>
    </row>
    <row r="104" spans="1:4" x14ac:dyDescent="0.2">
      <c r="A104" s="272" t="s">
        <v>123</v>
      </c>
      <c r="B104" s="234">
        <v>223093</v>
      </c>
      <c r="C104" s="338">
        <v>123750</v>
      </c>
      <c r="D104" s="273"/>
    </row>
    <row r="105" spans="1:4" x14ac:dyDescent="0.2">
      <c r="A105" s="272" t="s">
        <v>124</v>
      </c>
      <c r="B105" s="234">
        <v>82882185.260000005</v>
      </c>
      <c r="C105" s="338">
        <v>58018821</v>
      </c>
      <c r="D105" s="273"/>
    </row>
    <row r="106" spans="1:4" x14ac:dyDescent="0.2">
      <c r="A106" s="270" t="s">
        <v>91</v>
      </c>
      <c r="B106" s="235">
        <f>SUM(B107:B110)</f>
        <v>33051936</v>
      </c>
      <c r="C106" s="324">
        <f t="shared" ref="C106:D106" si="15">SUM(C107:C110)</f>
        <v>39970358</v>
      </c>
      <c r="D106" s="271">
        <f t="shared" si="15"/>
        <v>0</v>
      </c>
    </row>
    <row r="107" spans="1:4" x14ac:dyDescent="0.2">
      <c r="A107" s="272" t="s">
        <v>122</v>
      </c>
      <c r="B107" s="234"/>
      <c r="C107" s="338"/>
      <c r="D107" s="273"/>
    </row>
    <row r="108" spans="1:4" x14ac:dyDescent="0.2">
      <c r="A108" s="272" t="s">
        <v>125</v>
      </c>
      <c r="B108" s="234"/>
      <c r="C108" s="338"/>
      <c r="D108" s="273"/>
    </row>
    <row r="109" spans="1:4" x14ac:dyDescent="0.2">
      <c r="A109" s="272" t="s">
        <v>100</v>
      </c>
      <c r="B109" s="234">
        <v>33051936</v>
      </c>
      <c r="C109" s="338">
        <v>39970358</v>
      </c>
      <c r="D109" s="273"/>
    </row>
    <row r="110" spans="1:4" x14ac:dyDescent="0.2">
      <c r="A110" s="272" t="s">
        <v>101</v>
      </c>
      <c r="B110" s="234"/>
      <c r="C110" s="338"/>
      <c r="D110" s="273"/>
    </row>
    <row r="111" spans="1:4" x14ac:dyDescent="0.2">
      <c r="A111" s="270" t="s">
        <v>81</v>
      </c>
      <c r="B111" s="235">
        <f>+B112</f>
        <v>0</v>
      </c>
      <c r="C111" s="324">
        <f t="shared" ref="C111:D111" si="16">+C112</f>
        <v>0</v>
      </c>
      <c r="D111" s="271">
        <f t="shared" si="16"/>
        <v>0</v>
      </c>
    </row>
    <row r="112" spans="1:4" ht="13.5" thickBot="1" x14ac:dyDescent="0.25">
      <c r="A112" s="274" t="s">
        <v>102</v>
      </c>
      <c r="B112" s="275"/>
      <c r="C112" s="339"/>
      <c r="D112" s="276"/>
    </row>
    <row r="113" spans="1:4" ht="21.75" customHeight="1" thickBot="1" x14ac:dyDescent="0.25">
      <c r="A113" s="277" t="s">
        <v>326</v>
      </c>
      <c r="B113" s="238">
        <f>+B111+B106+B99</f>
        <v>1540455658.02</v>
      </c>
      <c r="C113" s="340">
        <f t="shared" ref="C113:D113" si="17">+C111+C106+C99</f>
        <v>1695069447</v>
      </c>
      <c r="D113" s="239">
        <f t="shared" si="17"/>
        <v>0</v>
      </c>
    </row>
    <row r="114" spans="1:4" x14ac:dyDescent="0.2">
      <c r="A114" s="232" t="s">
        <v>395</v>
      </c>
    </row>
    <row r="115" spans="1:4" x14ac:dyDescent="0.2">
      <c r="A115" s="232" t="s">
        <v>396</v>
      </c>
    </row>
    <row r="124" spans="1:4" x14ac:dyDescent="0.2">
      <c r="A124" s="89" t="s">
        <v>397</v>
      </c>
    </row>
    <row r="125" spans="1:4" x14ac:dyDescent="0.2">
      <c r="A125" s="91" t="s">
        <v>453</v>
      </c>
    </row>
    <row r="126" spans="1:4" ht="13.5" thickBot="1" x14ac:dyDescent="0.25">
      <c r="A126" s="91" t="s">
        <v>456</v>
      </c>
    </row>
    <row r="127" spans="1:4" ht="25.5" x14ac:dyDescent="0.2">
      <c r="A127" s="267" t="s">
        <v>329</v>
      </c>
      <c r="B127" s="268">
        <v>2019</v>
      </c>
      <c r="C127" s="268">
        <v>2020</v>
      </c>
      <c r="D127" s="269">
        <v>2021</v>
      </c>
    </row>
    <row r="128" spans="1:4" x14ac:dyDescent="0.2">
      <c r="A128" s="270" t="s">
        <v>103</v>
      </c>
      <c r="B128" s="235">
        <f>SUM(B129:B134)</f>
        <v>45083067</v>
      </c>
      <c r="C128" s="235">
        <f t="shared" ref="C128:D128" si="18">SUM(C129:C134)</f>
        <v>44451083</v>
      </c>
      <c r="D128" s="271">
        <f t="shared" si="18"/>
        <v>31295086</v>
      </c>
    </row>
    <row r="129" spans="1:4" x14ac:dyDescent="0.2">
      <c r="A129" s="272" t="s">
        <v>92</v>
      </c>
      <c r="B129" s="234"/>
      <c r="C129" s="234"/>
      <c r="D129" s="273"/>
    </row>
    <row r="130" spans="1:4" x14ac:dyDescent="0.2">
      <c r="A130" s="272" t="s">
        <v>93</v>
      </c>
      <c r="B130" s="234">
        <v>0</v>
      </c>
      <c r="C130" s="234"/>
      <c r="D130" s="273"/>
    </row>
    <row r="131" spans="1:4" x14ac:dyDescent="0.2">
      <c r="A131" s="272" t="s">
        <v>94</v>
      </c>
      <c r="B131" s="234">
        <v>0</v>
      </c>
      <c r="C131" s="234"/>
      <c r="D131" s="273">
        <v>29731152</v>
      </c>
    </row>
    <row r="132" spans="1:4" x14ac:dyDescent="0.2">
      <c r="A132" s="272" t="s">
        <v>95</v>
      </c>
      <c r="B132" s="234">
        <v>45083067</v>
      </c>
      <c r="C132" s="234">
        <v>42562964</v>
      </c>
      <c r="D132" s="273"/>
    </row>
    <row r="133" spans="1:4" x14ac:dyDescent="0.2">
      <c r="A133" s="272" t="s">
        <v>123</v>
      </c>
      <c r="B133" s="234"/>
      <c r="C133" s="234"/>
      <c r="D133" s="273"/>
    </row>
    <row r="134" spans="1:4" x14ac:dyDescent="0.2">
      <c r="A134" s="272" t="s">
        <v>124</v>
      </c>
      <c r="B134" s="234">
        <v>0</v>
      </c>
      <c r="C134" s="234">
        <v>1888119</v>
      </c>
      <c r="D134" s="273">
        <v>1563934</v>
      </c>
    </row>
    <row r="135" spans="1:4" x14ac:dyDescent="0.2">
      <c r="A135" s="270" t="s">
        <v>91</v>
      </c>
      <c r="B135" s="235">
        <f>SUM(B136:B139)</f>
        <v>37969312</v>
      </c>
      <c r="C135" s="235">
        <f t="shared" ref="C135:D135" si="19">SUM(C136:C139)</f>
        <v>2085491</v>
      </c>
      <c r="D135" s="271">
        <f t="shared" si="19"/>
        <v>0</v>
      </c>
    </row>
    <row r="136" spans="1:4" x14ac:dyDescent="0.2">
      <c r="A136" s="272" t="s">
        <v>122</v>
      </c>
      <c r="B136" s="234"/>
      <c r="C136" s="234"/>
      <c r="D136" s="273"/>
    </row>
    <row r="137" spans="1:4" x14ac:dyDescent="0.2">
      <c r="A137" s="272" t="s">
        <v>125</v>
      </c>
      <c r="B137" s="234"/>
      <c r="C137" s="234"/>
      <c r="D137" s="273"/>
    </row>
    <row r="138" spans="1:4" x14ac:dyDescent="0.2">
      <c r="A138" s="272" t="s">
        <v>100</v>
      </c>
      <c r="B138" s="234">
        <v>37969312</v>
      </c>
      <c r="C138" s="234">
        <v>2085491</v>
      </c>
      <c r="D138" s="273"/>
    </row>
    <row r="139" spans="1:4" x14ac:dyDescent="0.2">
      <c r="A139" s="272" t="s">
        <v>101</v>
      </c>
      <c r="B139" s="234"/>
      <c r="C139" s="234"/>
      <c r="D139" s="273"/>
    </row>
    <row r="140" spans="1:4" x14ac:dyDescent="0.2">
      <c r="A140" s="270" t="s">
        <v>81</v>
      </c>
      <c r="B140" s="235">
        <f>+B141</f>
        <v>0</v>
      </c>
      <c r="C140" s="235">
        <f t="shared" ref="C140:D140" si="20">+C141</f>
        <v>0</v>
      </c>
      <c r="D140" s="271">
        <f t="shared" si="20"/>
        <v>0</v>
      </c>
    </row>
    <row r="141" spans="1:4" ht="13.5" thickBot="1" x14ac:dyDescent="0.25">
      <c r="A141" s="278" t="s">
        <v>102</v>
      </c>
      <c r="B141" s="236"/>
      <c r="C141" s="236"/>
      <c r="D141" s="279"/>
    </row>
    <row r="142" spans="1:4" ht="21.75" customHeight="1" thickBot="1" x14ac:dyDescent="0.25">
      <c r="A142" s="277" t="s">
        <v>324</v>
      </c>
      <c r="B142" s="238">
        <f>+B140+B135+B128</f>
        <v>83052379</v>
      </c>
      <c r="C142" s="238">
        <f t="shared" ref="C142:D142" si="21">+C140+C135+C128</f>
        <v>46536574</v>
      </c>
      <c r="D142" s="239">
        <f t="shared" si="21"/>
        <v>31295086</v>
      </c>
    </row>
    <row r="143" spans="1:4" ht="13.5" thickBot="1" x14ac:dyDescent="0.25"/>
    <row r="144" spans="1:4" ht="25.5" x14ac:dyDescent="0.2">
      <c r="A144" s="267" t="s">
        <v>328</v>
      </c>
      <c r="B144" s="268">
        <v>2019</v>
      </c>
      <c r="C144" s="268">
        <v>2020</v>
      </c>
      <c r="D144" s="269">
        <v>2021</v>
      </c>
    </row>
    <row r="145" spans="1:4" x14ac:dyDescent="0.2">
      <c r="A145" s="270" t="s">
        <v>103</v>
      </c>
      <c r="B145" s="235">
        <f>SUM(B146:B151)</f>
        <v>51258711</v>
      </c>
      <c r="C145" s="235">
        <f t="shared" ref="C145:D145" si="22">SUM(C146:C151)</f>
        <v>48504499</v>
      </c>
      <c r="D145" s="271">
        <f t="shared" si="22"/>
        <v>0</v>
      </c>
    </row>
    <row r="146" spans="1:4" x14ac:dyDescent="0.2">
      <c r="A146" s="272" t="s">
        <v>92</v>
      </c>
      <c r="B146" s="234"/>
      <c r="C146" s="234"/>
      <c r="D146" s="273"/>
    </row>
    <row r="147" spans="1:4" x14ac:dyDescent="0.2">
      <c r="A147" s="272" t="s">
        <v>93</v>
      </c>
      <c r="B147" s="234">
        <v>0</v>
      </c>
      <c r="C147" s="234"/>
      <c r="D147" s="273"/>
    </row>
    <row r="148" spans="1:4" x14ac:dyDescent="0.2">
      <c r="A148" s="272" t="s">
        <v>94</v>
      </c>
      <c r="B148" s="234">
        <v>0</v>
      </c>
      <c r="C148" s="234"/>
      <c r="D148" s="273"/>
    </row>
    <row r="149" spans="1:4" x14ac:dyDescent="0.2">
      <c r="A149" s="272" t="s">
        <v>95</v>
      </c>
      <c r="B149" s="234">
        <v>50983560</v>
      </c>
      <c r="C149" s="234">
        <v>46519752</v>
      </c>
      <c r="D149" s="273"/>
    </row>
    <row r="150" spans="1:4" x14ac:dyDescent="0.2">
      <c r="A150" s="272" t="s">
        <v>123</v>
      </c>
      <c r="B150" s="234">
        <v>200516</v>
      </c>
      <c r="C150" s="234">
        <v>295434</v>
      </c>
      <c r="D150" s="273"/>
    </row>
    <row r="151" spans="1:4" x14ac:dyDescent="0.2">
      <c r="A151" s="272" t="s">
        <v>124</v>
      </c>
      <c r="B151" s="234">
        <v>74635</v>
      </c>
      <c r="C151" s="234">
        <v>1689313</v>
      </c>
      <c r="D151" s="273"/>
    </row>
    <row r="152" spans="1:4" x14ac:dyDescent="0.2">
      <c r="A152" s="270" t="s">
        <v>91</v>
      </c>
      <c r="B152" s="235">
        <f>SUM(B153:B156)</f>
        <v>7008142</v>
      </c>
      <c r="C152" s="235">
        <f t="shared" ref="C152:D152" si="23">SUM(C153:C156)</f>
        <v>5263820</v>
      </c>
      <c r="D152" s="271">
        <f t="shared" si="23"/>
        <v>0</v>
      </c>
    </row>
    <row r="153" spans="1:4" x14ac:dyDescent="0.2">
      <c r="A153" s="272" t="s">
        <v>122</v>
      </c>
      <c r="B153" s="234"/>
      <c r="C153" s="234"/>
      <c r="D153" s="273"/>
    </row>
    <row r="154" spans="1:4" x14ac:dyDescent="0.2">
      <c r="A154" s="272" t="s">
        <v>125</v>
      </c>
      <c r="B154" s="234"/>
      <c r="C154" s="234"/>
      <c r="D154" s="273"/>
    </row>
    <row r="155" spans="1:4" x14ac:dyDescent="0.2">
      <c r="A155" s="272" t="s">
        <v>100</v>
      </c>
      <c r="B155" s="234">
        <v>7008142</v>
      </c>
      <c r="C155" s="234">
        <v>5263820</v>
      </c>
      <c r="D155" s="273"/>
    </row>
    <row r="156" spans="1:4" x14ac:dyDescent="0.2">
      <c r="A156" s="272" t="s">
        <v>101</v>
      </c>
      <c r="B156" s="234"/>
      <c r="C156" s="234"/>
      <c r="D156" s="273"/>
    </row>
    <row r="157" spans="1:4" x14ac:dyDescent="0.2">
      <c r="A157" s="270" t="s">
        <v>81</v>
      </c>
      <c r="B157" s="235">
        <f>+B158</f>
        <v>0</v>
      </c>
      <c r="C157" s="235">
        <f t="shared" ref="C157:D157" si="24">+C158</f>
        <v>0</v>
      </c>
      <c r="D157" s="271">
        <f t="shared" si="24"/>
        <v>0</v>
      </c>
    </row>
    <row r="158" spans="1:4" ht="13.5" thickBot="1" x14ac:dyDescent="0.25">
      <c r="A158" s="278" t="s">
        <v>102</v>
      </c>
      <c r="B158" s="236"/>
      <c r="C158" s="236"/>
      <c r="D158" s="279"/>
    </row>
    <row r="159" spans="1:4" ht="21" customHeight="1" thickBot="1" x14ac:dyDescent="0.25">
      <c r="A159" s="277" t="s">
        <v>325</v>
      </c>
      <c r="B159" s="238">
        <f>+B157+B152+B145</f>
        <v>58266853</v>
      </c>
      <c r="C159" s="238">
        <f t="shared" ref="C159:D159" si="25">+C157+C152+C145</f>
        <v>53768319</v>
      </c>
      <c r="D159" s="239">
        <f t="shared" si="25"/>
        <v>0</v>
      </c>
    </row>
    <row r="160" spans="1:4" ht="13.5" thickBot="1" x14ac:dyDescent="0.25"/>
    <row r="161" spans="1:4" ht="25.5" x14ac:dyDescent="0.2">
      <c r="A161" s="267" t="s">
        <v>327</v>
      </c>
      <c r="B161" s="268">
        <v>2019</v>
      </c>
      <c r="C161" s="268">
        <v>2020</v>
      </c>
      <c r="D161" s="269">
        <v>2021</v>
      </c>
    </row>
    <row r="162" spans="1:4" x14ac:dyDescent="0.2">
      <c r="A162" s="270" t="s">
        <v>103</v>
      </c>
      <c r="B162" s="235">
        <f>SUM(B163:B168)</f>
        <v>27445202.989999998</v>
      </c>
      <c r="C162" s="325">
        <f t="shared" ref="C162:D162" si="26">SUM(C163:C168)</f>
        <v>48019454</v>
      </c>
      <c r="D162" s="271">
        <f t="shared" si="26"/>
        <v>0</v>
      </c>
    </row>
    <row r="163" spans="1:4" x14ac:dyDescent="0.2">
      <c r="A163" s="272" t="s">
        <v>92</v>
      </c>
      <c r="B163" s="234"/>
      <c r="C163" s="323"/>
      <c r="D163" s="273"/>
    </row>
    <row r="164" spans="1:4" x14ac:dyDescent="0.2">
      <c r="A164" s="272" t="s">
        <v>93</v>
      </c>
      <c r="B164" s="234">
        <v>0</v>
      </c>
      <c r="C164" s="323"/>
      <c r="D164" s="273"/>
    </row>
    <row r="165" spans="1:4" x14ac:dyDescent="0.2">
      <c r="A165" s="272" t="s">
        <v>94</v>
      </c>
      <c r="B165" s="234">
        <v>0</v>
      </c>
      <c r="C165" s="323"/>
      <c r="D165" s="273"/>
    </row>
    <row r="166" spans="1:4" x14ac:dyDescent="0.2">
      <c r="A166" s="272" t="s">
        <v>95</v>
      </c>
      <c r="B166" s="234">
        <v>27186046.109999999</v>
      </c>
      <c r="C166" s="323">
        <v>46054554</v>
      </c>
      <c r="D166" s="273"/>
    </row>
    <row r="167" spans="1:4" x14ac:dyDescent="0.2">
      <c r="A167" s="272" t="s">
        <v>123</v>
      </c>
      <c r="B167" s="234">
        <v>200513</v>
      </c>
      <c r="C167" s="323">
        <v>292480</v>
      </c>
      <c r="D167" s="273"/>
    </row>
    <row r="168" spans="1:4" x14ac:dyDescent="0.2">
      <c r="A168" s="272" t="s">
        <v>124</v>
      </c>
      <c r="B168" s="234">
        <v>58643.88</v>
      </c>
      <c r="C168" s="323">
        <v>1672420</v>
      </c>
      <c r="D168" s="273"/>
    </row>
    <row r="169" spans="1:4" x14ac:dyDescent="0.2">
      <c r="A169" s="270" t="s">
        <v>91</v>
      </c>
      <c r="B169" s="235">
        <f>SUM(B170:B173)</f>
        <v>2651692.58</v>
      </c>
      <c r="C169" s="325">
        <f t="shared" ref="C169:D169" si="27">SUM(C170:C173)</f>
        <v>5211182</v>
      </c>
      <c r="D169" s="271">
        <f t="shared" si="27"/>
        <v>0</v>
      </c>
    </row>
    <row r="170" spans="1:4" x14ac:dyDescent="0.2">
      <c r="A170" s="272" t="s">
        <v>122</v>
      </c>
      <c r="B170" s="234"/>
      <c r="C170" s="323"/>
      <c r="D170" s="273"/>
    </row>
    <row r="171" spans="1:4" x14ac:dyDescent="0.2">
      <c r="A171" s="272" t="s">
        <v>125</v>
      </c>
      <c r="B171" s="234"/>
      <c r="C171" s="323"/>
      <c r="D171" s="273"/>
    </row>
    <row r="172" spans="1:4" x14ac:dyDescent="0.2">
      <c r="A172" s="272" t="s">
        <v>100</v>
      </c>
      <c r="B172" s="234">
        <v>2651692.58</v>
      </c>
      <c r="C172" s="323">
        <v>5211182</v>
      </c>
      <c r="D172" s="273"/>
    </row>
    <row r="173" spans="1:4" x14ac:dyDescent="0.2">
      <c r="A173" s="272" t="s">
        <v>101</v>
      </c>
      <c r="B173" s="234"/>
      <c r="C173" s="323"/>
      <c r="D173" s="273"/>
    </row>
    <row r="174" spans="1:4" x14ac:dyDescent="0.2">
      <c r="A174" s="270" t="s">
        <v>81</v>
      </c>
      <c r="B174" s="235">
        <f>+B175</f>
        <v>0</v>
      </c>
      <c r="C174" s="325">
        <f t="shared" ref="C174:D174" si="28">+C175</f>
        <v>0</v>
      </c>
      <c r="D174" s="271">
        <f t="shared" si="28"/>
        <v>0</v>
      </c>
    </row>
    <row r="175" spans="1:4" ht="13.5" thickBot="1" x14ac:dyDescent="0.25">
      <c r="A175" s="278" t="s">
        <v>102</v>
      </c>
      <c r="B175" s="236"/>
      <c r="C175" s="341"/>
      <c r="D175" s="279"/>
    </row>
    <row r="176" spans="1:4" ht="21.75" customHeight="1" thickBot="1" x14ac:dyDescent="0.25">
      <c r="A176" s="277" t="s">
        <v>326</v>
      </c>
      <c r="B176" s="238">
        <f>+B174+B169+B162</f>
        <v>30096895.57</v>
      </c>
      <c r="C176" s="326">
        <f t="shared" ref="C176:D176" si="29">+C174+C169+C162</f>
        <v>53230636</v>
      </c>
      <c r="D176" s="239">
        <f t="shared" si="29"/>
        <v>0</v>
      </c>
    </row>
    <row r="177" spans="1:4" x14ac:dyDescent="0.2">
      <c r="A177" s="232" t="s">
        <v>395</v>
      </c>
    </row>
    <row r="178" spans="1:4" x14ac:dyDescent="0.2">
      <c r="A178" s="232" t="s">
        <v>396</v>
      </c>
    </row>
    <row r="188" spans="1:4" x14ac:dyDescent="0.2">
      <c r="A188" s="89" t="s">
        <v>397</v>
      </c>
    </row>
    <row r="189" spans="1:4" x14ac:dyDescent="0.2">
      <c r="A189" s="91" t="s">
        <v>453</v>
      </c>
    </row>
    <row r="190" spans="1:4" ht="13.5" thickBot="1" x14ac:dyDescent="0.25">
      <c r="A190" s="91" t="s">
        <v>457</v>
      </c>
    </row>
    <row r="191" spans="1:4" ht="25.5" x14ac:dyDescent="0.2">
      <c r="A191" s="267" t="s">
        <v>329</v>
      </c>
      <c r="B191" s="268">
        <v>2019</v>
      </c>
      <c r="C191" s="268">
        <v>2020</v>
      </c>
      <c r="D191" s="269">
        <v>2021</v>
      </c>
    </row>
    <row r="192" spans="1:4" x14ac:dyDescent="0.2">
      <c r="A192" s="270" t="s">
        <v>103</v>
      </c>
      <c r="B192" s="235">
        <f>SUM(B193:B198)</f>
        <v>0</v>
      </c>
      <c r="C192" s="235">
        <f t="shared" ref="C192:D192" si="30">SUM(C193:C198)</f>
        <v>0</v>
      </c>
      <c r="D192" s="271">
        <f t="shared" si="30"/>
        <v>0</v>
      </c>
    </row>
    <row r="193" spans="1:4" x14ac:dyDescent="0.2">
      <c r="A193" s="272" t="s">
        <v>92</v>
      </c>
      <c r="B193" s="234"/>
      <c r="C193" s="234"/>
      <c r="D193" s="273"/>
    </row>
    <row r="194" spans="1:4" x14ac:dyDescent="0.2">
      <c r="A194" s="272" t="s">
        <v>93</v>
      </c>
      <c r="B194" s="234">
        <v>0</v>
      </c>
      <c r="C194" s="234"/>
      <c r="D194" s="273"/>
    </row>
    <row r="195" spans="1:4" x14ac:dyDescent="0.2">
      <c r="A195" s="272" t="s">
        <v>94</v>
      </c>
      <c r="B195" s="234">
        <v>0</v>
      </c>
      <c r="C195" s="234"/>
      <c r="D195" s="273"/>
    </row>
    <row r="196" spans="1:4" x14ac:dyDescent="0.2">
      <c r="A196" s="272" t="s">
        <v>95</v>
      </c>
      <c r="B196" s="234">
        <v>0</v>
      </c>
      <c r="C196" s="234"/>
      <c r="D196" s="273"/>
    </row>
    <row r="197" spans="1:4" x14ac:dyDescent="0.2">
      <c r="A197" s="272" t="s">
        <v>123</v>
      </c>
      <c r="B197" s="234"/>
      <c r="C197" s="234"/>
      <c r="D197" s="273"/>
    </row>
    <row r="198" spans="1:4" x14ac:dyDescent="0.2">
      <c r="A198" s="272" t="s">
        <v>124</v>
      </c>
      <c r="B198" s="234">
        <v>0</v>
      </c>
      <c r="C198" s="234"/>
      <c r="D198" s="273"/>
    </row>
    <row r="199" spans="1:4" x14ac:dyDescent="0.2">
      <c r="A199" s="270" t="s">
        <v>91</v>
      </c>
      <c r="B199" s="235">
        <f>SUM(B200:B203)</f>
        <v>86585726</v>
      </c>
      <c r="C199" s="235">
        <f t="shared" ref="C199:D199" si="31">SUM(C200:C203)</f>
        <v>190450000</v>
      </c>
      <c r="D199" s="271">
        <f t="shared" si="31"/>
        <v>399732427</v>
      </c>
    </row>
    <row r="200" spans="1:4" x14ac:dyDescent="0.2">
      <c r="A200" s="272" t="s">
        <v>122</v>
      </c>
      <c r="B200" s="234"/>
      <c r="C200" s="234"/>
      <c r="D200" s="273"/>
    </row>
    <row r="201" spans="1:4" x14ac:dyDescent="0.2">
      <c r="A201" s="272" t="s">
        <v>125</v>
      </c>
      <c r="B201" s="234"/>
      <c r="C201" s="234"/>
      <c r="D201" s="273"/>
    </row>
    <row r="202" spans="1:4" x14ac:dyDescent="0.2">
      <c r="A202" s="272" t="s">
        <v>100</v>
      </c>
      <c r="B202" s="234">
        <v>86585726</v>
      </c>
      <c r="C202" s="234">
        <v>190450000</v>
      </c>
      <c r="D202" s="273">
        <v>399732427</v>
      </c>
    </row>
    <row r="203" spans="1:4" x14ac:dyDescent="0.2">
      <c r="A203" s="272" t="s">
        <v>101</v>
      </c>
      <c r="B203" s="234"/>
      <c r="C203" s="234"/>
      <c r="D203" s="273"/>
    </row>
    <row r="204" spans="1:4" x14ac:dyDescent="0.2">
      <c r="A204" s="270" t="s">
        <v>81</v>
      </c>
      <c r="B204" s="235">
        <f>+B205</f>
        <v>0</v>
      </c>
      <c r="C204" s="235">
        <f t="shared" ref="C204:D204" si="32">+C205</f>
        <v>0</v>
      </c>
      <c r="D204" s="271">
        <f t="shared" si="32"/>
        <v>0</v>
      </c>
    </row>
    <row r="205" spans="1:4" ht="13.5" thickBot="1" x14ac:dyDescent="0.25">
      <c r="A205" s="278" t="s">
        <v>102</v>
      </c>
      <c r="B205" s="236"/>
      <c r="C205" s="236"/>
      <c r="D205" s="279"/>
    </row>
    <row r="206" spans="1:4" ht="21.75" customHeight="1" thickBot="1" x14ac:dyDescent="0.25">
      <c r="A206" s="277" t="s">
        <v>324</v>
      </c>
      <c r="B206" s="238">
        <f>+B204+B199+B192</f>
        <v>86585726</v>
      </c>
      <c r="C206" s="238">
        <f t="shared" ref="C206:D206" si="33">+C204+C199+C192</f>
        <v>190450000</v>
      </c>
      <c r="D206" s="239">
        <f t="shared" si="33"/>
        <v>399732427</v>
      </c>
    </row>
    <row r="207" spans="1:4" ht="13.5" thickBot="1" x14ac:dyDescent="0.25"/>
    <row r="208" spans="1:4" ht="25.5" x14ac:dyDescent="0.2">
      <c r="A208" s="267" t="s">
        <v>328</v>
      </c>
      <c r="B208" s="268">
        <v>2019</v>
      </c>
      <c r="C208" s="268">
        <v>2020</v>
      </c>
      <c r="D208" s="269">
        <v>2021</v>
      </c>
    </row>
    <row r="209" spans="1:4" x14ac:dyDescent="0.2">
      <c r="A209" s="270" t="s">
        <v>103</v>
      </c>
      <c r="B209" s="235">
        <f>SUM(B210:B215)</f>
        <v>0</v>
      </c>
      <c r="C209" s="235">
        <f t="shared" ref="C209:D209" si="34">SUM(C210:C215)</f>
        <v>5482545</v>
      </c>
      <c r="D209" s="271">
        <f t="shared" si="34"/>
        <v>0</v>
      </c>
    </row>
    <row r="210" spans="1:4" x14ac:dyDescent="0.2">
      <c r="A210" s="272" t="s">
        <v>92</v>
      </c>
      <c r="B210" s="234"/>
      <c r="C210" s="234"/>
      <c r="D210" s="273"/>
    </row>
    <row r="211" spans="1:4" x14ac:dyDescent="0.2">
      <c r="A211" s="272" t="s">
        <v>93</v>
      </c>
      <c r="B211" s="234">
        <v>0</v>
      </c>
      <c r="C211" s="234">
        <v>2582546</v>
      </c>
      <c r="D211" s="273"/>
    </row>
    <row r="212" spans="1:4" x14ac:dyDescent="0.2">
      <c r="A212" s="272" t="s">
        <v>94</v>
      </c>
      <c r="B212" s="234">
        <v>0</v>
      </c>
      <c r="C212" s="234"/>
      <c r="D212" s="273"/>
    </row>
    <row r="213" spans="1:4" x14ac:dyDescent="0.2">
      <c r="A213" s="272" t="s">
        <v>95</v>
      </c>
      <c r="B213" s="234">
        <v>0</v>
      </c>
      <c r="C213" s="234">
        <v>2899999</v>
      </c>
      <c r="D213" s="273"/>
    </row>
    <row r="214" spans="1:4" x14ac:dyDescent="0.2">
      <c r="A214" s="272" t="s">
        <v>123</v>
      </c>
      <c r="B214" s="234">
        <v>0</v>
      </c>
      <c r="C214" s="234"/>
      <c r="D214" s="273"/>
    </row>
    <row r="215" spans="1:4" x14ac:dyDescent="0.2">
      <c r="A215" s="272" t="s">
        <v>124</v>
      </c>
      <c r="B215" s="234">
        <v>0</v>
      </c>
      <c r="C215" s="234"/>
      <c r="D215" s="273"/>
    </row>
    <row r="216" spans="1:4" x14ac:dyDescent="0.2">
      <c r="A216" s="270" t="s">
        <v>91</v>
      </c>
      <c r="B216" s="235">
        <f>SUM(B217:B220)</f>
        <v>181855345</v>
      </c>
      <c r="C216" s="235">
        <f t="shared" ref="C216:D216" si="35">SUM(C217:C220)</f>
        <v>113294076</v>
      </c>
      <c r="D216" s="271">
        <f t="shared" si="35"/>
        <v>0</v>
      </c>
    </row>
    <row r="217" spans="1:4" x14ac:dyDescent="0.2">
      <c r="A217" s="272" t="s">
        <v>122</v>
      </c>
      <c r="B217" s="234"/>
      <c r="C217" s="234"/>
      <c r="D217" s="273"/>
    </row>
    <row r="218" spans="1:4" x14ac:dyDescent="0.2">
      <c r="A218" s="272" t="s">
        <v>125</v>
      </c>
      <c r="B218" s="234"/>
      <c r="C218" s="234"/>
      <c r="D218" s="273"/>
    </row>
    <row r="219" spans="1:4" x14ac:dyDescent="0.2">
      <c r="A219" s="272" t="s">
        <v>100</v>
      </c>
      <c r="B219" s="234">
        <v>181855345</v>
      </c>
      <c r="C219" s="234">
        <v>113294076</v>
      </c>
      <c r="D219" s="273"/>
    </row>
    <row r="220" spans="1:4" x14ac:dyDescent="0.2">
      <c r="A220" s="272" t="s">
        <v>101</v>
      </c>
      <c r="B220" s="234"/>
      <c r="C220" s="234"/>
      <c r="D220" s="273"/>
    </row>
    <row r="221" spans="1:4" x14ac:dyDescent="0.2">
      <c r="A221" s="270" t="s">
        <v>81</v>
      </c>
      <c r="B221" s="235">
        <f>+B222</f>
        <v>0</v>
      </c>
      <c r="C221" s="235">
        <f t="shared" ref="C221:D221" si="36">+C222</f>
        <v>0</v>
      </c>
      <c r="D221" s="271">
        <f t="shared" si="36"/>
        <v>0</v>
      </c>
    </row>
    <row r="222" spans="1:4" ht="13.5" thickBot="1" x14ac:dyDescent="0.25">
      <c r="A222" s="278" t="s">
        <v>102</v>
      </c>
      <c r="B222" s="236"/>
      <c r="C222" s="236"/>
      <c r="D222" s="279"/>
    </row>
    <row r="223" spans="1:4" ht="21.75" customHeight="1" thickBot="1" x14ac:dyDescent="0.25">
      <c r="A223" s="277" t="s">
        <v>325</v>
      </c>
      <c r="B223" s="238">
        <f>+B221+B216+B209</f>
        <v>181855345</v>
      </c>
      <c r="C223" s="238">
        <f t="shared" ref="C223:D223" si="37">+C221+C216+C209</f>
        <v>118776621</v>
      </c>
      <c r="D223" s="239">
        <f t="shared" si="37"/>
        <v>0</v>
      </c>
    </row>
    <row r="224" spans="1:4" ht="13.5" thickBot="1" x14ac:dyDescent="0.25"/>
    <row r="225" spans="1:4" ht="25.5" x14ac:dyDescent="0.2">
      <c r="A225" s="267" t="s">
        <v>327</v>
      </c>
      <c r="B225" s="268">
        <v>2019</v>
      </c>
      <c r="C225" s="268">
        <v>2020</v>
      </c>
      <c r="D225" s="269">
        <v>2021</v>
      </c>
    </row>
    <row r="226" spans="1:4" x14ac:dyDescent="0.2">
      <c r="A226" s="270" t="s">
        <v>103</v>
      </c>
      <c r="B226" s="235">
        <f>SUM(B227:B232)</f>
        <v>0</v>
      </c>
      <c r="C226" s="235">
        <f t="shared" ref="C226:D226" si="38">SUM(C227:C232)</f>
        <v>5427720</v>
      </c>
      <c r="D226" s="271">
        <f t="shared" si="38"/>
        <v>0</v>
      </c>
    </row>
    <row r="227" spans="1:4" x14ac:dyDescent="0.2">
      <c r="A227" s="272" t="s">
        <v>92</v>
      </c>
      <c r="B227" s="234"/>
      <c r="C227" s="234"/>
      <c r="D227" s="273"/>
    </row>
    <row r="228" spans="1:4" x14ac:dyDescent="0.2">
      <c r="A228" s="272" t="s">
        <v>93</v>
      </c>
      <c r="B228" s="234">
        <v>0</v>
      </c>
      <c r="C228" s="234">
        <v>2556721</v>
      </c>
      <c r="D228" s="273"/>
    </row>
    <row r="229" spans="1:4" x14ac:dyDescent="0.2">
      <c r="A229" s="272" t="s">
        <v>94</v>
      </c>
      <c r="B229" s="234">
        <v>0</v>
      </c>
      <c r="C229" s="234"/>
      <c r="D229" s="273"/>
    </row>
    <row r="230" spans="1:4" x14ac:dyDescent="0.2">
      <c r="A230" s="272" t="s">
        <v>95</v>
      </c>
      <c r="B230" s="234">
        <v>0</v>
      </c>
      <c r="C230" s="234">
        <v>2870999</v>
      </c>
      <c r="D230" s="273"/>
    </row>
    <row r="231" spans="1:4" x14ac:dyDescent="0.2">
      <c r="A231" s="272" t="s">
        <v>123</v>
      </c>
      <c r="B231" s="234">
        <v>0</v>
      </c>
      <c r="C231" s="234"/>
      <c r="D231" s="273"/>
    </row>
    <row r="232" spans="1:4" x14ac:dyDescent="0.2">
      <c r="A232" s="272" t="s">
        <v>124</v>
      </c>
      <c r="B232" s="234">
        <v>0</v>
      </c>
      <c r="C232" s="234"/>
      <c r="D232" s="273"/>
    </row>
    <row r="233" spans="1:4" x14ac:dyDescent="0.2">
      <c r="A233" s="270" t="s">
        <v>91</v>
      </c>
      <c r="B233" s="235">
        <f>SUM(B234:B237)</f>
        <v>32388369.059999999</v>
      </c>
      <c r="C233" s="235">
        <f t="shared" ref="C233:D233" si="39">SUM(C234:C237)</f>
        <v>112161135</v>
      </c>
      <c r="D233" s="271">
        <f t="shared" si="39"/>
        <v>0</v>
      </c>
    </row>
    <row r="234" spans="1:4" x14ac:dyDescent="0.2">
      <c r="A234" s="272" t="s">
        <v>122</v>
      </c>
      <c r="B234" s="234"/>
      <c r="C234" s="234"/>
      <c r="D234" s="273"/>
    </row>
    <row r="235" spans="1:4" x14ac:dyDescent="0.2">
      <c r="A235" s="272" t="s">
        <v>125</v>
      </c>
      <c r="B235" s="234"/>
      <c r="C235" s="234"/>
      <c r="D235" s="273"/>
    </row>
    <row r="236" spans="1:4" x14ac:dyDescent="0.2">
      <c r="A236" s="272" t="s">
        <v>100</v>
      </c>
      <c r="B236" s="234">
        <v>32388369.059999999</v>
      </c>
      <c r="C236" s="234">
        <v>112161135</v>
      </c>
      <c r="D236" s="273"/>
    </row>
    <row r="237" spans="1:4" x14ac:dyDescent="0.2">
      <c r="A237" s="272" t="s">
        <v>101</v>
      </c>
      <c r="B237" s="234"/>
      <c r="C237" s="234"/>
      <c r="D237" s="273"/>
    </row>
    <row r="238" spans="1:4" x14ac:dyDescent="0.2">
      <c r="A238" s="270" t="s">
        <v>81</v>
      </c>
      <c r="B238" s="235">
        <f>+B239</f>
        <v>0</v>
      </c>
      <c r="C238" s="235">
        <f t="shared" ref="C238:D238" si="40">+C239</f>
        <v>0</v>
      </c>
      <c r="D238" s="271">
        <f t="shared" si="40"/>
        <v>0</v>
      </c>
    </row>
    <row r="239" spans="1:4" ht="13.5" thickBot="1" x14ac:dyDescent="0.25">
      <c r="A239" s="278" t="s">
        <v>102</v>
      </c>
      <c r="B239" s="236"/>
      <c r="C239" s="236"/>
      <c r="D239" s="279"/>
    </row>
    <row r="240" spans="1:4" ht="21.75" customHeight="1" thickBot="1" x14ac:dyDescent="0.25">
      <c r="A240" s="277" t="s">
        <v>326</v>
      </c>
      <c r="B240" s="238">
        <f>+B238+B233+B226</f>
        <v>32388369.059999999</v>
      </c>
      <c r="C240" s="238">
        <f t="shared" ref="C240:D240" si="41">+C238+C233+C226</f>
        <v>117588855</v>
      </c>
      <c r="D240" s="239">
        <f t="shared" si="41"/>
        <v>0</v>
      </c>
    </row>
    <row r="241" spans="1:4" x14ac:dyDescent="0.2">
      <c r="A241" s="232" t="s">
        <v>395</v>
      </c>
    </row>
    <row r="242" spans="1:4" x14ac:dyDescent="0.2">
      <c r="A242" s="232" t="s">
        <v>396</v>
      </c>
    </row>
    <row r="252" spans="1:4" x14ac:dyDescent="0.2">
      <c r="A252" s="89" t="s">
        <v>397</v>
      </c>
    </row>
    <row r="253" spans="1:4" x14ac:dyDescent="0.2">
      <c r="A253" s="91" t="s">
        <v>453</v>
      </c>
    </row>
    <row r="254" spans="1:4" ht="13.5" thickBot="1" x14ac:dyDescent="0.25">
      <c r="A254" s="91" t="s">
        <v>458</v>
      </c>
    </row>
    <row r="255" spans="1:4" ht="25.5" x14ac:dyDescent="0.2">
      <c r="A255" s="267" t="s">
        <v>329</v>
      </c>
      <c r="B255" s="268">
        <v>2019</v>
      </c>
      <c r="C255" s="268">
        <v>2020</v>
      </c>
      <c r="D255" s="269">
        <v>2021</v>
      </c>
    </row>
    <row r="256" spans="1:4" x14ac:dyDescent="0.2">
      <c r="A256" s="270" t="s">
        <v>103</v>
      </c>
      <c r="B256" s="235">
        <f>SUM(B257:B262)</f>
        <v>0</v>
      </c>
      <c r="C256" s="235">
        <f t="shared" ref="C256:D256" si="42">SUM(C257:C262)</f>
        <v>2269167</v>
      </c>
      <c r="D256" s="271">
        <f t="shared" si="42"/>
        <v>1637565</v>
      </c>
    </row>
    <row r="257" spans="1:4" x14ac:dyDescent="0.2">
      <c r="A257" s="272" t="s">
        <v>92</v>
      </c>
      <c r="B257" s="234"/>
      <c r="C257" s="234"/>
      <c r="D257" s="273"/>
    </row>
    <row r="258" spans="1:4" x14ac:dyDescent="0.2">
      <c r="A258" s="272" t="s">
        <v>93</v>
      </c>
      <c r="B258" s="234">
        <v>0</v>
      </c>
      <c r="C258" s="234"/>
      <c r="D258" s="273"/>
    </row>
    <row r="259" spans="1:4" x14ac:dyDescent="0.2">
      <c r="A259" s="272" t="s">
        <v>94</v>
      </c>
      <c r="B259" s="234">
        <v>0</v>
      </c>
      <c r="C259" s="234">
        <v>2269167</v>
      </c>
      <c r="D259" s="273">
        <v>1637565</v>
      </c>
    </row>
    <row r="260" spans="1:4" x14ac:dyDescent="0.2">
      <c r="A260" s="272" t="s">
        <v>95</v>
      </c>
      <c r="B260" s="234">
        <v>0</v>
      </c>
      <c r="C260" s="234"/>
      <c r="D260" s="273"/>
    </row>
    <row r="261" spans="1:4" x14ac:dyDescent="0.2">
      <c r="A261" s="272" t="s">
        <v>123</v>
      </c>
      <c r="B261" s="234"/>
      <c r="C261" s="234"/>
      <c r="D261" s="273"/>
    </row>
    <row r="262" spans="1:4" x14ac:dyDescent="0.2">
      <c r="A262" s="272" t="s">
        <v>124</v>
      </c>
      <c r="B262" s="234">
        <v>0</v>
      </c>
      <c r="C262" s="234"/>
      <c r="D262" s="273"/>
    </row>
    <row r="263" spans="1:4" x14ac:dyDescent="0.2">
      <c r="A263" s="270" t="s">
        <v>91</v>
      </c>
      <c r="B263" s="235">
        <f>SUM(B264:B267)</f>
        <v>0</v>
      </c>
      <c r="C263" s="235">
        <f t="shared" ref="C263:D263" si="43">SUM(C264:C267)</f>
        <v>0</v>
      </c>
      <c r="D263" s="271">
        <f t="shared" si="43"/>
        <v>0</v>
      </c>
    </row>
    <row r="264" spans="1:4" x14ac:dyDescent="0.2">
      <c r="A264" s="272" t="s">
        <v>122</v>
      </c>
      <c r="B264" s="234"/>
      <c r="C264" s="234"/>
      <c r="D264" s="273"/>
    </row>
    <row r="265" spans="1:4" x14ac:dyDescent="0.2">
      <c r="A265" s="272" t="s">
        <v>125</v>
      </c>
      <c r="B265" s="234"/>
      <c r="C265" s="234"/>
      <c r="D265" s="273"/>
    </row>
    <row r="266" spans="1:4" x14ac:dyDescent="0.2">
      <c r="A266" s="272" t="s">
        <v>100</v>
      </c>
      <c r="B266" s="234">
        <v>0</v>
      </c>
      <c r="C266" s="234"/>
      <c r="D266" s="273"/>
    </row>
    <row r="267" spans="1:4" x14ac:dyDescent="0.2">
      <c r="A267" s="272" t="s">
        <v>101</v>
      </c>
      <c r="B267" s="234"/>
      <c r="C267" s="234"/>
      <c r="D267" s="273"/>
    </row>
    <row r="268" spans="1:4" x14ac:dyDescent="0.2">
      <c r="A268" s="270" t="s">
        <v>81</v>
      </c>
      <c r="B268" s="235">
        <f>+B269</f>
        <v>0</v>
      </c>
      <c r="C268" s="235">
        <f t="shared" ref="C268:D268" si="44">+C269</f>
        <v>0</v>
      </c>
      <c r="D268" s="271">
        <f t="shared" si="44"/>
        <v>0</v>
      </c>
    </row>
    <row r="269" spans="1:4" ht="13.5" thickBot="1" x14ac:dyDescent="0.25">
      <c r="A269" s="278" t="s">
        <v>102</v>
      </c>
      <c r="B269" s="236"/>
      <c r="C269" s="236"/>
      <c r="D269" s="279"/>
    </row>
    <row r="270" spans="1:4" ht="21.75" customHeight="1" thickBot="1" x14ac:dyDescent="0.25">
      <c r="A270" s="277" t="s">
        <v>324</v>
      </c>
      <c r="B270" s="238">
        <f>+B268+B263+B256</f>
        <v>0</v>
      </c>
      <c r="C270" s="238">
        <f t="shared" ref="C270:D270" si="45">+C268+C263+C256</f>
        <v>2269167</v>
      </c>
      <c r="D270" s="239">
        <f t="shared" si="45"/>
        <v>1637565</v>
      </c>
    </row>
    <row r="271" spans="1:4" ht="13.5" thickBot="1" x14ac:dyDescent="0.25"/>
    <row r="272" spans="1:4" ht="25.5" x14ac:dyDescent="0.2">
      <c r="A272" s="267" t="s">
        <v>328</v>
      </c>
      <c r="B272" s="268">
        <v>2019</v>
      </c>
      <c r="C272" s="268">
        <v>2020</v>
      </c>
      <c r="D272" s="269">
        <v>2021</v>
      </c>
    </row>
    <row r="273" spans="1:4" x14ac:dyDescent="0.2">
      <c r="A273" s="270" t="s">
        <v>103</v>
      </c>
      <c r="B273" s="235">
        <f>SUM(B274:B279)</f>
        <v>64676362</v>
      </c>
      <c r="C273" s="235">
        <f t="shared" ref="C273:D273" si="46">SUM(C274:C279)</f>
        <v>60451137</v>
      </c>
      <c r="D273" s="271">
        <f t="shared" si="46"/>
        <v>0</v>
      </c>
    </row>
    <row r="274" spans="1:4" x14ac:dyDescent="0.2">
      <c r="A274" s="272" t="s">
        <v>92</v>
      </c>
      <c r="B274" s="234"/>
      <c r="C274" s="234"/>
      <c r="D274" s="273"/>
    </row>
    <row r="275" spans="1:4" x14ac:dyDescent="0.2">
      <c r="A275" s="272" t="s">
        <v>93</v>
      </c>
      <c r="B275" s="234">
        <v>0</v>
      </c>
      <c r="C275" s="234">
        <v>13212</v>
      </c>
      <c r="D275" s="273"/>
    </row>
    <row r="276" spans="1:4" x14ac:dyDescent="0.2">
      <c r="A276" s="272" t="s">
        <v>94</v>
      </c>
      <c r="B276" s="234">
        <v>0</v>
      </c>
      <c r="C276" s="234"/>
      <c r="D276" s="273"/>
    </row>
    <row r="277" spans="1:4" x14ac:dyDescent="0.2">
      <c r="A277" s="272" t="s">
        <v>95</v>
      </c>
      <c r="B277" s="234">
        <v>61188306</v>
      </c>
      <c r="C277" s="234">
        <v>57258797</v>
      </c>
      <c r="D277" s="273"/>
    </row>
    <row r="278" spans="1:4" x14ac:dyDescent="0.2">
      <c r="A278" s="272" t="s">
        <v>123</v>
      </c>
      <c r="B278" s="234">
        <v>0</v>
      </c>
      <c r="C278" s="234"/>
      <c r="D278" s="273"/>
    </row>
    <row r="279" spans="1:4" x14ac:dyDescent="0.2">
      <c r="A279" s="272" t="s">
        <v>124</v>
      </c>
      <c r="B279" s="234">
        <v>3488056</v>
      </c>
      <c r="C279" s="234">
        <v>3179128</v>
      </c>
      <c r="D279" s="273"/>
    </row>
    <row r="280" spans="1:4" x14ac:dyDescent="0.2">
      <c r="A280" s="270" t="s">
        <v>91</v>
      </c>
      <c r="B280" s="235">
        <f>SUM(B281:B284)</f>
        <v>10922908</v>
      </c>
      <c r="C280" s="235">
        <f t="shared" ref="C280:D280" si="47">SUM(C281:C284)</f>
        <v>6277593</v>
      </c>
      <c r="D280" s="271">
        <f t="shared" si="47"/>
        <v>0</v>
      </c>
    </row>
    <row r="281" spans="1:4" x14ac:dyDescent="0.2">
      <c r="A281" s="272" t="s">
        <v>122</v>
      </c>
      <c r="B281" s="234"/>
      <c r="C281" s="234"/>
      <c r="D281" s="273"/>
    </row>
    <row r="282" spans="1:4" x14ac:dyDescent="0.2">
      <c r="A282" s="272" t="s">
        <v>125</v>
      </c>
      <c r="B282" s="234"/>
      <c r="C282" s="234"/>
      <c r="D282" s="273"/>
    </row>
    <row r="283" spans="1:4" x14ac:dyDescent="0.2">
      <c r="A283" s="272" t="s">
        <v>100</v>
      </c>
      <c r="B283" s="234">
        <v>10922908</v>
      </c>
      <c r="C283" s="234">
        <v>6277593</v>
      </c>
      <c r="D283" s="273"/>
    </row>
    <row r="284" spans="1:4" x14ac:dyDescent="0.2">
      <c r="A284" s="272" t="s">
        <v>101</v>
      </c>
      <c r="B284" s="234"/>
      <c r="C284" s="234"/>
      <c r="D284" s="273"/>
    </row>
    <row r="285" spans="1:4" x14ac:dyDescent="0.2">
      <c r="A285" s="270" t="s">
        <v>81</v>
      </c>
      <c r="B285" s="235">
        <f>+B286</f>
        <v>0</v>
      </c>
      <c r="C285" s="235">
        <f t="shared" ref="C285:D285" si="48">+C286</f>
        <v>0</v>
      </c>
      <c r="D285" s="271">
        <f t="shared" si="48"/>
        <v>0</v>
      </c>
    </row>
    <row r="286" spans="1:4" ht="13.5" thickBot="1" x14ac:dyDescent="0.25">
      <c r="A286" s="278" t="s">
        <v>102</v>
      </c>
      <c r="B286" s="236"/>
      <c r="C286" s="236"/>
      <c r="D286" s="279"/>
    </row>
    <row r="287" spans="1:4" ht="21.75" customHeight="1" thickBot="1" x14ac:dyDescent="0.25">
      <c r="A287" s="277" t="s">
        <v>325</v>
      </c>
      <c r="B287" s="238">
        <f>+B285+B280+B273</f>
        <v>75599270</v>
      </c>
      <c r="C287" s="238">
        <f t="shared" ref="C287:D287" si="49">+C285+C280+C273</f>
        <v>66728730</v>
      </c>
      <c r="D287" s="239">
        <f t="shared" si="49"/>
        <v>0</v>
      </c>
    </row>
    <row r="288" spans="1:4" ht="13.5" thickBot="1" x14ac:dyDescent="0.25"/>
    <row r="289" spans="1:4" ht="25.5" x14ac:dyDescent="0.2">
      <c r="A289" s="267" t="s">
        <v>327</v>
      </c>
      <c r="B289" s="268">
        <v>2019</v>
      </c>
      <c r="C289" s="268">
        <v>2020</v>
      </c>
      <c r="D289" s="269">
        <v>2021</v>
      </c>
    </row>
    <row r="290" spans="1:4" x14ac:dyDescent="0.2">
      <c r="A290" s="270" t="s">
        <v>103</v>
      </c>
      <c r="B290" s="235">
        <f>SUM(B291:B296)</f>
        <v>52325626.780000001</v>
      </c>
      <c r="C290" s="235">
        <f t="shared" ref="C290:D290" si="50">SUM(C291:C296)</f>
        <v>59846626</v>
      </c>
      <c r="D290" s="271">
        <f t="shared" si="50"/>
        <v>0</v>
      </c>
    </row>
    <row r="291" spans="1:4" x14ac:dyDescent="0.2">
      <c r="A291" s="272" t="s">
        <v>92</v>
      </c>
      <c r="B291" s="234"/>
      <c r="C291" s="234"/>
      <c r="D291" s="273"/>
    </row>
    <row r="292" spans="1:4" x14ac:dyDescent="0.2">
      <c r="A292" s="272" t="s">
        <v>93</v>
      </c>
      <c r="B292" s="234">
        <v>0</v>
      </c>
      <c r="C292" s="234">
        <v>13080</v>
      </c>
      <c r="D292" s="273"/>
    </row>
    <row r="293" spans="1:4" x14ac:dyDescent="0.2">
      <c r="A293" s="272" t="s">
        <v>94</v>
      </c>
      <c r="B293" s="234">
        <v>0</v>
      </c>
      <c r="C293" s="234"/>
      <c r="D293" s="273"/>
    </row>
    <row r="294" spans="1:4" x14ac:dyDescent="0.2">
      <c r="A294" s="272" t="s">
        <v>95</v>
      </c>
      <c r="B294" s="234">
        <v>48837570.780000001</v>
      </c>
      <c r="C294" s="234">
        <v>56686209</v>
      </c>
      <c r="D294" s="273"/>
    </row>
    <row r="295" spans="1:4" x14ac:dyDescent="0.2">
      <c r="A295" s="272" t="s">
        <v>123</v>
      </c>
      <c r="B295" s="234">
        <v>0</v>
      </c>
      <c r="C295" s="234"/>
      <c r="D295" s="273"/>
    </row>
    <row r="296" spans="1:4" x14ac:dyDescent="0.2">
      <c r="A296" s="272" t="s">
        <v>124</v>
      </c>
      <c r="B296" s="234">
        <v>3488056</v>
      </c>
      <c r="C296" s="234">
        <v>3147337</v>
      </c>
      <c r="D296" s="273"/>
    </row>
    <row r="297" spans="1:4" x14ac:dyDescent="0.2">
      <c r="A297" s="270" t="s">
        <v>91</v>
      </c>
      <c r="B297" s="235">
        <f>SUM(B298:B301)</f>
        <v>8137668.5099999998</v>
      </c>
      <c r="C297" s="235">
        <f t="shared" ref="C297:D297" si="51">SUM(C298:C301)</f>
        <v>6214817</v>
      </c>
      <c r="D297" s="271">
        <f t="shared" si="51"/>
        <v>0</v>
      </c>
    </row>
    <row r="298" spans="1:4" x14ac:dyDescent="0.2">
      <c r="A298" s="272" t="s">
        <v>122</v>
      </c>
      <c r="B298" s="234"/>
      <c r="C298" s="234"/>
      <c r="D298" s="273"/>
    </row>
    <row r="299" spans="1:4" x14ac:dyDescent="0.2">
      <c r="A299" s="272" t="s">
        <v>125</v>
      </c>
      <c r="B299" s="234"/>
      <c r="C299" s="234"/>
      <c r="D299" s="273"/>
    </row>
    <row r="300" spans="1:4" x14ac:dyDescent="0.2">
      <c r="A300" s="272" t="s">
        <v>100</v>
      </c>
      <c r="B300" s="234">
        <v>8137668.5099999998</v>
      </c>
      <c r="C300" s="234">
        <v>6214817</v>
      </c>
      <c r="D300" s="273"/>
    </row>
    <row r="301" spans="1:4" x14ac:dyDescent="0.2">
      <c r="A301" s="272" t="s">
        <v>101</v>
      </c>
      <c r="B301" s="234"/>
      <c r="C301" s="234"/>
      <c r="D301" s="273"/>
    </row>
    <row r="302" spans="1:4" x14ac:dyDescent="0.2">
      <c r="A302" s="270" t="s">
        <v>81</v>
      </c>
      <c r="B302" s="235">
        <f>+B303</f>
        <v>0</v>
      </c>
      <c r="C302" s="235">
        <f t="shared" ref="C302:D302" si="52">+C303</f>
        <v>0</v>
      </c>
      <c r="D302" s="271">
        <f t="shared" si="52"/>
        <v>0</v>
      </c>
    </row>
    <row r="303" spans="1:4" ht="13.5" thickBot="1" x14ac:dyDescent="0.25">
      <c r="A303" s="278" t="s">
        <v>102</v>
      </c>
      <c r="B303" s="236"/>
      <c r="C303" s="236"/>
      <c r="D303" s="279"/>
    </row>
    <row r="304" spans="1:4" ht="21" customHeight="1" thickBot="1" x14ac:dyDescent="0.25">
      <c r="A304" s="277" t="s">
        <v>326</v>
      </c>
      <c r="B304" s="238">
        <f>+B302+B297+B290</f>
        <v>60463295.289999999</v>
      </c>
      <c r="C304" s="238">
        <f t="shared" ref="C304:D304" si="53">+C302+C297+C290</f>
        <v>66061443</v>
      </c>
      <c r="D304" s="239">
        <f t="shared" si="53"/>
        <v>0</v>
      </c>
    </row>
    <row r="305" spans="1:4" x14ac:dyDescent="0.2">
      <c r="A305" s="232" t="s">
        <v>395</v>
      </c>
    </row>
    <row r="306" spans="1:4" x14ac:dyDescent="0.2">
      <c r="A306" s="232" t="s">
        <v>396</v>
      </c>
    </row>
    <row r="315" spans="1:4" x14ac:dyDescent="0.2">
      <c r="A315" s="89" t="s">
        <v>397</v>
      </c>
    </row>
    <row r="316" spans="1:4" x14ac:dyDescent="0.2">
      <c r="A316" s="91" t="s">
        <v>453</v>
      </c>
    </row>
    <row r="317" spans="1:4" ht="13.5" thickBot="1" x14ac:dyDescent="0.25">
      <c r="A317" s="91" t="s">
        <v>459</v>
      </c>
    </row>
    <row r="318" spans="1:4" ht="25.5" x14ac:dyDescent="0.2">
      <c r="A318" s="267" t="s">
        <v>329</v>
      </c>
      <c r="B318" s="268">
        <v>2019</v>
      </c>
      <c r="C318" s="268">
        <v>2020</v>
      </c>
      <c r="D318" s="269">
        <v>2021</v>
      </c>
    </row>
    <row r="319" spans="1:4" x14ac:dyDescent="0.2">
      <c r="A319" s="270" t="s">
        <v>103</v>
      </c>
      <c r="B319" s="235">
        <f>SUM(B320:B325)</f>
        <v>6452596</v>
      </c>
      <c r="C319" s="235">
        <f t="shared" ref="C319:D319" si="54">SUM(C320:C325)</f>
        <v>27302157</v>
      </c>
      <c r="D319" s="271">
        <f t="shared" si="54"/>
        <v>17464145</v>
      </c>
    </row>
    <row r="320" spans="1:4" x14ac:dyDescent="0.2">
      <c r="A320" s="272" t="s">
        <v>92</v>
      </c>
      <c r="B320" s="234"/>
      <c r="C320" s="234"/>
      <c r="D320" s="273"/>
    </row>
    <row r="321" spans="1:4" x14ac:dyDescent="0.2">
      <c r="A321" s="272" t="s">
        <v>93</v>
      </c>
      <c r="B321" s="234">
        <v>0</v>
      </c>
      <c r="C321" s="234"/>
      <c r="D321" s="273"/>
    </row>
    <row r="322" spans="1:4" x14ac:dyDescent="0.2">
      <c r="A322" s="272" t="s">
        <v>94</v>
      </c>
      <c r="B322" s="234">
        <v>0</v>
      </c>
      <c r="C322" s="234"/>
      <c r="D322" s="273"/>
    </row>
    <row r="323" spans="1:4" x14ac:dyDescent="0.2">
      <c r="A323" s="272" t="s">
        <v>95</v>
      </c>
      <c r="B323" s="234">
        <v>6452596</v>
      </c>
      <c r="C323" s="234">
        <v>27302157</v>
      </c>
      <c r="D323" s="273">
        <v>17464145</v>
      </c>
    </row>
    <row r="324" spans="1:4" x14ac:dyDescent="0.2">
      <c r="A324" s="272" t="s">
        <v>123</v>
      </c>
      <c r="B324" s="234"/>
      <c r="C324" s="234"/>
      <c r="D324" s="273"/>
    </row>
    <row r="325" spans="1:4" x14ac:dyDescent="0.2">
      <c r="A325" s="272" t="s">
        <v>124</v>
      </c>
      <c r="B325" s="234">
        <v>0</v>
      </c>
      <c r="C325" s="234"/>
      <c r="D325" s="273"/>
    </row>
    <row r="326" spans="1:4" x14ac:dyDescent="0.2">
      <c r="A326" s="270" t="s">
        <v>91</v>
      </c>
      <c r="B326" s="235">
        <f>SUM(B327:B330)</f>
        <v>374978976</v>
      </c>
      <c r="C326" s="235">
        <f t="shared" ref="C326:D326" si="55">SUM(C327:C330)</f>
        <v>316385092</v>
      </c>
      <c r="D326" s="271">
        <f t="shared" si="55"/>
        <v>186224247</v>
      </c>
    </row>
    <row r="327" spans="1:4" x14ac:dyDescent="0.2">
      <c r="A327" s="272" t="s">
        <v>122</v>
      </c>
      <c r="B327" s="234"/>
      <c r="C327" s="234"/>
      <c r="D327" s="273"/>
    </row>
    <row r="328" spans="1:4" x14ac:dyDescent="0.2">
      <c r="A328" s="272" t="s">
        <v>125</v>
      </c>
      <c r="B328" s="234"/>
      <c r="C328" s="234"/>
      <c r="D328" s="273"/>
    </row>
    <row r="329" spans="1:4" x14ac:dyDescent="0.2">
      <c r="A329" s="272" t="s">
        <v>100</v>
      </c>
      <c r="B329" s="234">
        <v>374978976</v>
      </c>
      <c r="C329" s="234">
        <v>316385092</v>
      </c>
      <c r="D329" s="273">
        <v>186224247</v>
      </c>
    </row>
    <row r="330" spans="1:4" x14ac:dyDescent="0.2">
      <c r="A330" s="272" t="s">
        <v>101</v>
      </c>
      <c r="B330" s="234"/>
      <c r="C330" s="234"/>
      <c r="D330" s="273"/>
    </row>
    <row r="331" spans="1:4" x14ac:dyDescent="0.2">
      <c r="A331" s="270" t="s">
        <v>81</v>
      </c>
      <c r="B331" s="235">
        <f>+B332</f>
        <v>67304068</v>
      </c>
      <c r="C331" s="235">
        <f t="shared" ref="C331:D331" si="56">+C332</f>
        <v>37130360</v>
      </c>
      <c r="D331" s="271">
        <f t="shared" si="56"/>
        <v>41994950</v>
      </c>
    </row>
    <row r="332" spans="1:4" ht="13.5" thickBot="1" x14ac:dyDescent="0.25">
      <c r="A332" s="278" t="s">
        <v>102</v>
      </c>
      <c r="B332" s="236">
        <v>67304068</v>
      </c>
      <c r="C332" s="236">
        <v>37130360</v>
      </c>
      <c r="D332" s="279">
        <v>41994950</v>
      </c>
    </row>
    <row r="333" spans="1:4" ht="21.75" customHeight="1" thickBot="1" x14ac:dyDescent="0.25">
      <c r="A333" s="277" t="s">
        <v>324</v>
      </c>
      <c r="B333" s="238">
        <f>+B331+B326+B319</f>
        <v>448735640</v>
      </c>
      <c r="C333" s="238">
        <f t="shared" ref="C333:D333" si="57">+C331+C326+C319</f>
        <v>380817609</v>
      </c>
      <c r="D333" s="239">
        <f t="shared" si="57"/>
        <v>245683342</v>
      </c>
    </row>
    <row r="334" spans="1:4" ht="13.5" thickBot="1" x14ac:dyDescent="0.25"/>
    <row r="335" spans="1:4" ht="25.5" x14ac:dyDescent="0.2">
      <c r="A335" s="267" t="s">
        <v>328</v>
      </c>
      <c r="B335" s="268">
        <v>2019</v>
      </c>
      <c r="C335" s="268">
        <v>2020</v>
      </c>
      <c r="D335" s="269">
        <v>2021</v>
      </c>
    </row>
    <row r="336" spans="1:4" x14ac:dyDescent="0.2">
      <c r="A336" s="270" t="s">
        <v>103</v>
      </c>
      <c r="B336" s="235">
        <f>SUM(B337:B342)</f>
        <v>25933183</v>
      </c>
      <c r="C336" s="235">
        <f t="shared" ref="C336:D336" si="58">SUM(C337:C342)</f>
        <v>28620495</v>
      </c>
      <c r="D336" s="271">
        <f t="shared" si="58"/>
        <v>0</v>
      </c>
    </row>
    <row r="337" spans="1:4" x14ac:dyDescent="0.2">
      <c r="A337" s="272" t="s">
        <v>92</v>
      </c>
      <c r="B337" s="234"/>
      <c r="C337" s="234"/>
      <c r="D337" s="273"/>
    </row>
    <row r="338" spans="1:4" x14ac:dyDescent="0.2">
      <c r="A338" s="272" t="s">
        <v>93</v>
      </c>
      <c r="B338" s="234">
        <v>0</v>
      </c>
      <c r="C338" s="234"/>
      <c r="D338" s="273"/>
    </row>
    <row r="339" spans="1:4" x14ac:dyDescent="0.2">
      <c r="A339" s="272" t="s">
        <v>94</v>
      </c>
      <c r="B339" s="234">
        <v>0</v>
      </c>
      <c r="C339" s="234"/>
      <c r="D339" s="273"/>
    </row>
    <row r="340" spans="1:4" x14ac:dyDescent="0.2">
      <c r="A340" s="272" t="s">
        <v>95</v>
      </c>
      <c r="B340" s="234">
        <v>20304680</v>
      </c>
      <c r="C340" s="234">
        <v>28468895</v>
      </c>
      <c r="D340" s="273"/>
    </row>
    <row r="341" spans="1:4" x14ac:dyDescent="0.2">
      <c r="A341" s="272" t="s">
        <v>123</v>
      </c>
      <c r="B341" s="234">
        <v>5628503</v>
      </c>
      <c r="C341" s="234">
        <v>151600</v>
      </c>
      <c r="D341" s="273"/>
    </row>
    <row r="342" spans="1:4" x14ac:dyDescent="0.2">
      <c r="A342" s="272" t="s">
        <v>124</v>
      </c>
      <c r="B342" s="234">
        <v>0</v>
      </c>
      <c r="C342" s="234"/>
      <c r="D342" s="273"/>
    </row>
    <row r="343" spans="1:4" x14ac:dyDescent="0.2">
      <c r="A343" s="270" t="s">
        <v>91</v>
      </c>
      <c r="B343" s="235">
        <f>SUM(B344:B347)</f>
        <v>430162584</v>
      </c>
      <c r="C343" s="235">
        <f t="shared" ref="C343:D343" si="59">SUM(C344:C347)</f>
        <v>367951178</v>
      </c>
      <c r="D343" s="271">
        <f t="shared" si="59"/>
        <v>0</v>
      </c>
    </row>
    <row r="344" spans="1:4" x14ac:dyDescent="0.2">
      <c r="A344" s="272" t="s">
        <v>122</v>
      </c>
      <c r="B344" s="234"/>
      <c r="C344" s="234">
        <v>16053443</v>
      </c>
      <c r="D344" s="273"/>
    </row>
    <row r="345" spans="1:4" x14ac:dyDescent="0.2">
      <c r="A345" s="272" t="s">
        <v>125</v>
      </c>
      <c r="B345" s="234"/>
      <c r="C345" s="234"/>
      <c r="D345" s="273"/>
    </row>
    <row r="346" spans="1:4" x14ac:dyDescent="0.2">
      <c r="A346" s="272" t="s">
        <v>100</v>
      </c>
      <c r="B346" s="234">
        <v>430162584</v>
      </c>
      <c r="C346" s="234">
        <v>351897735</v>
      </c>
      <c r="D346" s="273"/>
    </row>
    <row r="347" spans="1:4" x14ac:dyDescent="0.2">
      <c r="A347" s="272" t="s">
        <v>101</v>
      </c>
      <c r="B347" s="234"/>
      <c r="C347" s="234"/>
      <c r="D347" s="273"/>
    </row>
    <row r="348" spans="1:4" x14ac:dyDescent="0.2">
      <c r="A348" s="270" t="s">
        <v>81</v>
      </c>
      <c r="B348" s="235">
        <f>+B349</f>
        <v>70338154</v>
      </c>
      <c r="C348" s="235">
        <f t="shared" ref="C348:D348" si="60">+C349</f>
        <v>35477887</v>
      </c>
      <c r="D348" s="271">
        <f t="shared" si="60"/>
        <v>0</v>
      </c>
    </row>
    <row r="349" spans="1:4" ht="13.5" thickBot="1" x14ac:dyDescent="0.25">
      <c r="A349" s="278" t="s">
        <v>102</v>
      </c>
      <c r="B349" s="236">
        <v>70338154</v>
      </c>
      <c r="C349" s="236">
        <v>35477887</v>
      </c>
      <c r="D349" s="279"/>
    </row>
    <row r="350" spans="1:4" ht="21.75" customHeight="1" thickBot="1" x14ac:dyDescent="0.25">
      <c r="A350" s="277" t="s">
        <v>325</v>
      </c>
      <c r="B350" s="238">
        <f>+B348+B343+B336</f>
        <v>526433921</v>
      </c>
      <c r="C350" s="238">
        <f t="shared" ref="C350:D350" si="61">+C348+C343+C336</f>
        <v>432049560</v>
      </c>
      <c r="D350" s="239">
        <f t="shared" si="61"/>
        <v>0</v>
      </c>
    </row>
    <row r="351" spans="1:4" ht="13.5" thickBot="1" x14ac:dyDescent="0.25"/>
    <row r="352" spans="1:4" ht="25.5" x14ac:dyDescent="0.2">
      <c r="A352" s="267" t="s">
        <v>327</v>
      </c>
      <c r="B352" s="268">
        <v>2019</v>
      </c>
      <c r="C352" s="268">
        <v>2020</v>
      </c>
      <c r="D352" s="269">
        <v>2021</v>
      </c>
    </row>
    <row r="353" spans="1:4" x14ac:dyDescent="0.2">
      <c r="A353" s="270" t="s">
        <v>103</v>
      </c>
      <c r="B353" s="235">
        <f>SUM(B354:B359)</f>
        <v>20354560.670000002</v>
      </c>
      <c r="C353" s="235">
        <f t="shared" ref="C353:D353" si="62">SUM(C354:C359)</f>
        <v>28334290</v>
      </c>
      <c r="D353" s="271">
        <f t="shared" si="62"/>
        <v>0</v>
      </c>
    </row>
    <row r="354" spans="1:4" x14ac:dyDescent="0.2">
      <c r="A354" s="272" t="s">
        <v>92</v>
      </c>
      <c r="B354" s="234"/>
      <c r="C354" s="234"/>
      <c r="D354" s="273"/>
    </row>
    <row r="355" spans="1:4" x14ac:dyDescent="0.2">
      <c r="A355" s="272" t="s">
        <v>93</v>
      </c>
      <c r="B355" s="234">
        <v>0</v>
      </c>
      <c r="C355" s="234"/>
      <c r="D355" s="273"/>
    </row>
    <row r="356" spans="1:4" x14ac:dyDescent="0.2">
      <c r="A356" s="272" t="s">
        <v>94</v>
      </c>
      <c r="B356" s="234">
        <v>0</v>
      </c>
      <c r="C356" s="234"/>
      <c r="D356" s="273"/>
    </row>
    <row r="357" spans="1:4" x14ac:dyDescent="0.2">
      <c r="A357" s="272" t="s">
        <v>95</v>
      </c>
      <c r="B357" s="234">
        <v>14726057.67</v>
      </c>
      <c r="C357" s="234">
        <v>28184206</v>
      </c>
      <c r="D357" s="273"/>
    </row>
    <row r="358" spans="1:4" x14ac:dyDescent="0.2">
      <c r="A358" s="272" t="s">
        <v>123</v>
      </c>
      <c r="B358" s="234">
        <v>5628503</v>
      </c>
      <c r="C358" s="234">
        <v>150084</v>
      </c>
      <c r="D358" s="273"/>
    </row>
    <row r="359" spans="1:4" x14ac:dyDescent="0.2">
      <c r="A359" s="272" t="s">
        <v>124</v>
      </c>
      <c r="B359" s="234">
        <v>0</v>
      </c>
      <c r="C359" s="234"/>
      <c r="D359" s="273"/>
    </row>
    <row r="360" spans="1:4" x14ac:dyDescent="0.2">
      <c r="A360" s="270" t="s">
        <v>91</v>
      </c>
      <c r="B360" s="235">
        <f>SUM(B361:B364)</f>
        <v>336768648.45999998</v>
      </c>
      <c r="C360" s="235">
        <f t="shared" ref="C360:D360" si="63">SUM(C361:C364)</f>
        <v>364271667</v>
      </c>
      <c r="D360" s="271">
        <f t="shared" si="63"/>
        <v>0</v>
      </c>
    </row>
    <row r="361" spans="1:4" x14ac:dyDescent="0.2">
      <c r="A361" s="272" t="s">
        <v>122</v>
      </c>
      <c r="B361" s="234"/>
      <c r="C361" s="234">
        <v>15892909</v>
      </c>
      <c r="D361" s="273"/>
    </row>
    <row r="362" spans="1:4" x14ac:dyDescent="0.2">
      <c r="A362" s="272" t="s">
        <v>125</v>
      </c>
      <c r="B362" s="234"/>
      <c r="C362" s="234"/>
      <c r="D362" s="273"/>
    </row>
    <row r="363" spans="1:4" x14ac:dyDescent="0.2">
      <c r="A363" s="272" t="s">
        <v>100</v>
      </c>
      <c r="B363" s="234">
        <v>336768648.45999998</v>
      </c>
      <c r="C363" s="234">
        <v>348378758</v>
      </c>
      <c r="D363" s="273"/>
    </row>
    <row r="364" spans="1:4" x14ac:dyDescent="0.2">
      <c r="A364" s="272" t="s">
        <v>101</v>
      </c>
      <c r="B364" s="234"/>
      <c r="C364" s="234"/>
      <c r="D364" s="273"/>
    </row>
    <row r="365" spans="1:4" x14ac:dyDescent="0.2">
      <c r="A365" s="270" t="s">
        <v>81</v>
      </c>
      <c r="B365" s="235">
        <f>+B366</f>
        <v>68639443.290000007</v>
      </c>
      <c r="C365" s="235">
        <f t="shared" ref="C365:D365" si="64">+C366</f>
        <v>35123108</v>
      </c>
      <c r="D365" s="271">
        <f t="shared" si="64"/>
        <v>0</v>
      </c>
    </row>
    <row r="366" spans="1:4" ht="13.5" thickBot="1" x14ac:dyDescent="0.25">
      <c r="A366" s="278" t="s">
        <v>102</v>
      </c>
      <c r="B366" s="236">
        <v>68639443.290000007</v>
      </c>
      <c r="C366" s="236">
        <v>35123108</v>
      </c>
      <c r="D366" s="279"/>
    </row>
    <row r="367" spans="1:4" ht="21.75" customHeight="1" thickBot="1" x14ac:dyDescent="0.25">
      <c r="A367" s="277" t="s">
        <v>326</v>
      </c>
      <c r="B367" s="238">
        <f>+B365+B360+B353</f>
        <v>425762652.42000002</v>
      </c>
      <c r="C367" s="238">
        <f t="shared" ref="C367:D367" si="65">+C365+C360+C353</f>
        <v>427729065</v>
      </c>
      <c r="D367" s="239">
        <f t="shared" si="65"/>
        <v>0</v>
      </c>
    </row>
    <row r="368" spans="1:4" x14ac:dyDescent="0.2">
      <c r="A368" s="232" t="s">
        <v>395</v>
      </c>
    </row>
    <row r="369" spans="1:1" x14ac:dyDescent="0.2">
      <c r="A369" s="232" t="s">
        <v>396</v>
      </c>
    </row>
  </sheetData>
  <pageMargins left="0.70866141732283472" right="0.51181102362204722" top="0.74803149606299213" bottom="0.74803149606299213" header="0.31496062992125984" footer="0.31496062992125984"/>
  <pageSetup paperSize="9" scale="85" orientation="portrait" r:id="rId1"/>
  <headerFooter>
    <oddHeader>&amp;C&amp;"Arial,Negrita"&amp;18PROYECTO DE PRESUPUESTO 2021</oddHeader>
    <oddFooter>&amp;L&amp;"Arial,Negrita"&amp;8PROYECTO DE PRESUPUESTO PARA EL AÑO FISCAL 2021
INFORMACIÓN PARA LA COMISIÓN DE PRESUPUESTO Y CUENTA GENERAL DE LA REPÚBLICA DEL CONGRESO DE LA REPÚBLICA</oddFooter>
  </headerFooter>
  <rowBreaks count="1" manualBreakCount="1">
    <brk id="56"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theme="9" tint="-0.249977111117893"/>
  </sheetPr>
  <dimension ref="A1:W240"/>
  <sheetViews>
    <sheetView view="pageBreakPreview" topLeftCell="A142" zoomScaleNormal="140" zoomScaleSheetLayoutView="100" zoomScalePageLayoutView="110" workbookViewId="0">
      <selection activeCell="C210" sqref="C210"/>
    </sheetView>
  </sheetViews>
  <sheetFormatPr baseColWidth="10" defaultColWidth="11.28515625" defaultRowHeight="11.25" x14ac:dyDescent="0.2"/>
  <cols>
    <col min="1" max="1" width="25.5703125" style="97" customWidth="1"/>
    <col min="2" max="2" width="36.85546875" style="97" customWidth="1"/>
    <col min="3" max="3" width="5" style="97" customWidth="1"/>
    <col min="4" max="4" width="12.5703125" style="97" customWidth="1"/>
    <col min="5" max="5" width="12.7109375" style="97" customWidth="1"/>
    <col min="6" max="6" width="11" style="97" customWidth="1"/>
    <col min="7" max="7" width="7" style="97" customWidth="1"/>
    <col min="8" max="8" width="9.140625" style="97" customWidth="1"/>
    <col min="9" max="9" width="11.42578125" style="97" customWidth="1"/>
    <col min="10" max="11" width="5" style="97" customWidth="1"/>
    <col min="12" max="12" width="11" style="97" customWidth="1"/>
    <col min="13" max="13" width="5" style="97" customWidth="1"/>
    <col min="14" max="14" width="10.140625" style="97" customWidth="1"/>
    <col min="15" max="15" width="9.7109375" style="97" customWidth="1"/>
    <col min="16" max="16" width="10.140625" style="97" customWidth="1"/>
    <col min="17" max="17" width="11.5703125" style="97" customWidth="1"/>
    <col min="18" max="18" width="6" style="97" customWidth="1"/>
    <col min="19" max="16384" width="11.28515625" style="97"/>
  </cols>
  <sheetData>
    <row r="1" spans="1:23" s="96" customFormat="1" x14ac:dyDescent="0.2">
      <c r="A1" s="89" t="s">
        <v>398</v>
      </c>
      <c r="B1" s="89"/>
      <c r="C1" s="172"/>
      <c r="D1" s="172"/>
      <c r="E1" s="172"/>
      <c r="F1" s="172"/>
      <c r="G1" s="172"/>
      <c r="H1" s="173"/>
      <c r="I1" s="173"/>
      <c r="J1" s="173"/>
      <c r="K1" s="173"/>
      <c r="L1" s="173"/>
      <c r="M1" s="173"/>
      <c r="N1" s="173"/>
      <c r="O1" s="173"/>
      <c r="P1" s="173"/>
      <c r="Q1" s="173"/>
      <c r="R1" s="173"/>
    </row>
    <row r="2" spans="1:23" s="96" customFormat="1" x14ac:dyDescent="0.2">
      <c r="A2" s="89" t="s">
        <v>495</v>
      </c>
      <c r="B2" s="89"/>
      <c r="C2" s="172"/>
      <c r="D2" s="172"/>
      <c r="E2" s="172"/>
      <c r="F2" s="172"/>
      <c r="G2" s="172"/>
      <c r="H2" s="173"/>
      <c r="I2" s="173"/>
      <c r="J2" s="173"/>
      <c r="K2" s="173"/>
      <c r="L2" s="173"/>
      <c r="M2" s="173"/>
      <c r="N2" s="173"/>
      <c r="O2" s="173"/>
      <c r="P2" s="173"/>
      <c r="Q2" s="173"/>
      <c r="R2" s="173"/>
    </row>
    <row r="3" spans="1:23" s="96" customFormat="1" ht="12" thickBot="1" x14ac:dyDescent="0.25">
      <c r="A3" s="89" t="s">
        <v>496</v>
      </c>
      <c r="B3" s="91"/>
      <c r="C3" s="91"/>
      <c r="D3" s="91"/>
      <c r="E3" s="91"/>
      <c r="F3" s="91"/>
      <c r="G3" s="91"/>
      <c r="H3" s="91"/>
      <c r="I3" s="91"/>
      <c r="J3" s="91"/>
      <c r="K3" s="91"/>
      <c r="L3" s="91"/>
      <c r="M3" s="91"/>
      <c r="N3" s="91"/>
      <c r="O3" s="91"/>
      <c r="P3" s="91"/>
      <c r="Q3" s="91"/>
      <c r="R3" s="91"/>
      <c r="S3" s="95"/>
      <c r="T3" s="95"/>
      <c r="U3" s="95"/>
      <c r="V3" s="95"/>
      <c r="W3" s="95"/>
    </row>
    <row r="4" spans="1:23" s="100" customFormat="1" ht="24" customHeight="1" thickBot="1" x14ac:dyDescent="0.25">
      <c r="A4" s="1249" t="s">
        <v>293</v>
      </c>
      <c r="B4" s="1249" t="s">
        <v>278</v>
      </c>
      <c r="C4" s="1247" t="s">
        <v>103</v>
      </c>
      <c r="D4" s="1251"/>
      <c r="E4" s="1251"/>
      <c r="F4" s="1251"/>
      <c r="G4" s="1251"/>
      <c r="H4" s="1251"/>
      <c r="I4" s="1248"/>
      <c r="J4" s="1247" t="s">
        <v>91</v>
      </c>
      <c r="K4" s="1251"/>
      <c r="L4" s="1251"/>
      <c r="M4" s="1251"/>
      <c r="N4" s="1248"/>
      <c r="O4" s="1247" t="s">
        <v>81</v>
      </c>
      <c r="P4" s="1248"/>
      <c r="Q4" s="1247" t="s">
        <v>0</v>
      </c>
      <c r="R4" s="1248"/>
    </row>
    <row r="5" spans="1:23" s="101" customFormat="1" ht="118.5" customHeight="1" thickBot="1" x14ac:dyDescent="0.25">
      <c r="A5" s="1250"/>
      <c r="B5" s="1250"/>
      <c r="C5" s="174" t="s">
        <v>92</v>
      </c>
      <c r="D5" s="175" t="s">
        <v>93</v>
      </c>
      <c r="E5" s="175" t="s">
        <v>94</v>
      </c>
      <c r="F5" s="175" t="s">
        <v>95</v>
      </c>
      <c r="G5" s="175" t="s">
        <v>96</v>
      </c>
      <c r="H5" s="175" t="s">
        <v>97</v>
      </c>
      <c r="I5" s="176" t="s">
        <v>88</v>
      </c>
      <c r="J5" s="174" t="s">
        <v>98</v>
      </c>
      <c r="K5" s="175" t="s">
        <v>99</v>
      </c>
      <c r="L5" s="175" t="s">
        <v>100</v>
      </c>
      <c r="M5" s="175" t="s">
        <v>101</v>
      </c>
      <c r="N5" s="176" t="s">
        <v>89</v>
      </c>
      <c r="O5" s="174" t="s">
        <v>102</v>
      </c>
      <c r="P5" s="176" t="s">
        <v>90</v>
      </c>
      <c r="Q5" s="177" t="s">
        <v>126</v>
      </c>
      <c r="R5" s="178" t="s">
        <v>79</v>
      </c>
    </row>
    <row r="6" spans="1:23" ht="14.1" customHeight="1" x14ac:dyDescent="0.2">
      <c r="A6" s="179" t="s">
        <v>461</v>
      </c>
      <c r="B6" s="179" t="s">
        <v>462</v>
      </c>
      <c r="C6" s="265">
        <f>SUM(C47+C87+C127+C167+C207)</f>
        <v>0</v>
      </c>
      <c r="D6" s="262">
        <f t="shared" ref="D6:H7" si="0">SUM(D47+D87+D127+D167+D207)</f>
        <v>16284264</v>
      </c>
      <c r="E6" s="261">
        <f t="shared" si="0"/>
        <v>7544969</v>
      </c>
      <c r="F6" s="262">
        <f t="shared" si="0"/>
        <v>43289001</v>
      </c>
      <c r="G6" s="262">
        <f t="shared" si="0"/>
        <v>0</v>
      </c>
      <c r="H6" s="261">
        <f t="shared" si="0"/>
        <v>949957</v>
      </c>
      <c r="I6" s="262">
        <f>SUM(C6:H6)</f>
        <v>68068191</v>
      </c>
      <c r="J6" s="265">
        <f>SUM(J47+J87+J127+J167+J207)</f>
        <v>0</v>
      </c>
      <c r="K6" s="262">
        <f t="shared" ref="K6:M6" si="1">SUM(K47+K87+K127+K167+K207)</f>
        <v>0</v>
      </c>
      <c r="L6" s="261">
        <f t="shared" si="1"/>
        <v>170835690</v>
      </c>
      <c r="M6" s="262">
        <f t="shared" si="1"/>
        <v>0</v>
      </c>
      <c r="N6" s="262">
        <f>SUM(J6:M6)</f>
        <v>170835690</v>
      </c>
      <c r="O6" s="261">
        <f t="shared" ref="O6" si="2">SUM(O47+O87+O127+O167+O207)</f>
        <v>41994950</v>
      </c>
      <c r="P6" s="262">
        <f>+O6</f>
        <v>41994950</v>
      </c>
      <c r="Q6" s="263">
        <f>+I6+N6+P6</f>
        <v>280898831</v>
      </c>
      <c r="R6" s="264">
        <f>+Q6/Q39*100</f>
        <v>13.071568161473035</v>
      </c>
    </row>
    <row r="7" spans="1:23" s="127" customFormat="1" ht="14.1" customHeight="1" x14ac:dyDescent="0.2">
      <c r="A7" s="180" t="s">
        <v>83</v>
      </c>
      <c r="B7" s="180" t="s">
        <v>463</v>
      </c>
      <c r="C7" s="266">
        <f>SUM(C48+C88+C128+C168+C208)</f>
        <v>0</v>
      </c>
      <c r="D7" s="256">
        <f t="shared" si="0"/>
        <v>0</v>
      </c>
      <c r="E7" s="255">
        <f t="shared" si="0"/>
        <v>0</v>
      </c>
      <c r="F7" s="256">
        <f t="shared" si="0"/>
        <v>0</v>
      </c>
      <c r="G7" s="256">
        <f t="shared" si="0"/>
        <v>0</v>
      </c>
      <c r="H7" s="255">
        <f t="shared" si="0"/>
        <v>0</v>
      </c>
      <c r="I7" s="257">
        <f>SUM(C7:H7)</f>
        <v>0</v>
      </c>
      <c r="J7" s="266">
        <f>SUM(J48+J88+J128+J168+J208)</f>
        <v>0</v>
      </c>
      <c r="K7" s="256">
        <f t="shared" ref="K7:M7" si="3">SUM(K48+K88+K128+K168+K208)</f>
        <v>0</v>
      </c>
      <c r="L7" s="255">
        <f t="shared" si="3"/>
        <v>248178412</v>
      </c>
      <c r="M7" s="256">
        <f t="shared" si="3"/>
        <v>0</v>
      </c>
      <c r="N7" s="257">
        <f>SUM(J7:M7)</f>
        <v>248178412</v>
      </c>
      <c r="O7" s="255">
        <f t="shared" ref="O7" si="4">SUM(O48+O88+O128+O168+O208)</f>
        <v>0</v>
      </c>
      <c r="P7" s="257">
        <f>+O7</f>
        <v>0</v>
      </c>
      <c r="Q7" s="248">
        <f>+P7+N7+I7</f>
        <v>248178412</v>
      </c>
      <c r="R7" s="181">
        <f>+Q7/Q39*100</f>
        <v>11.548930328813427</v>
      </c>
    </row>
    <row r="8" spans="1:23" s="127" customFormat="1" ht="14.1" customHeight="1" x14ac:dyDescent="0.2">
      <c r="A8" s="180"/>
      <c r="B8" s="180" t="s">
        <v>464</v>
      </c>
      <c r="C8" s="266">
        <f t="shared" ref="C8:H8" si="5">SUM(C49+C89+C129+C169+C209)</f>
        <v>0</v>
      </c>
      <c r="D8" s="256">
        <f t="shared" si="5"/>
        <v>0</v>
      </c>
      <c r="E8" s="255">
        <f t="shared" si="5"/>
        <v>0</v>
      </c>
      <c r="F8" s="256">
        <f t="shared" si="5"/>
        <v>0</v>
      </c>
      <c r="G8" s="256">
        <f t="shared" si="5"/>
        <v>0</v>
      </c>
      <c r="H8" s="255">
        <f t="shared" si="5"/>
        <v>0</v>
      </c>
      <c r="I8" s="257">
        <f t="shared" ref="I8:I38" si="6">SUM(C8:H8)</f>
        <v>0</v>
      </c>
      <c r="J8" s="266">
        <f t="shared" ref="J8:M8" si="7">SUM(J49+J89+J129+J169+J209)</f>
        <v>0</v>
      </c>
      <c r="K8" s="256">
        <f t="shared" si="7"/>
        <v>0</v>
      </c>
      <c r="L8" s="255">
        <f t="shared" si="7"/>
        <v>90876015</v>
      </c>
      <c r="M8" s="256">
        <f t="shared" si="7"/>
        <v>0</v>
      </c>
      <c r="N8" s="257">
        <f t="shared" ref="N8:N38" si="8">SUM(J8:M8)</f>
        <v>90876015</v>
      </c>
      <c r="O8" s="255">
        <f t="shared" ref="O8" si="9">SUM(O49+O89+O129+O169+O209)</f>
        <v>0</v>
      </c>
      <c r="P8" s="257">
        <f t="shared" ref="P8:P38" si="10">+O8</f>
        <v>0</v>
      </c>
      <c r="Q8" s="248">
        <f t="shared" ref="Q8:Q38" si="11">+P8+N8+I8</f>
        <v>90876015</v>
      </c>
      <c r="R8" s="181">
        <f>+Q8/Q39*100</f>
        <v>4.2288962901221394</v>
      </c>
    </row>
    <row r="9" spans="1:23" s="127" customFormat="1" ht="14.1" customHeight="1" x14ac:dyDescent="0.2">
      <c r="A9" s="180"/>
      <c r="B9" s="180" t="s">
        <v>465</v>
      </c>
      <c r="C9" s="266">
        <f t="shared" ref="C9:H9" si="12">SUM(C50+C90+C130+C170+C210)</f>
        <v>0</v>
      </c>
      <c r="D9" s="256">
        <f t="shared" si="12"/>
        <v>0</v>
      </c>
      <c r="E9" s="255">
        <f t="shared" si="12"/>
        <v>0</v>
      </c>
      <c r="F9" s="256">
        <f t="shared" si="12"/>
        <v>0</v>
      </c>
      <c r="G9" s="256">
        <f t="shared" si="12"/>
        <v>0</v>
      </c>
      <c r="H9" s="255">
        <f t="shared" si="12"/>
        <v>0</v>
      </c>
      <c r="I9" s="257">
        <f t="shared" si="6"/>
        <v>0</v>
      </c>
      <c r="J9" s="266">
        <f t="shared" ref="J9:M9" si="13">SUM(J50+J90+J130+J170+J210)</f>
        <v>0</v>
      </c>
      <c r="K9" s="256">
        <f t="shared" si="13"/>
        <v>0</v>
      </c>
      <c r="L9" s="255">
        <f t="shared" si="13"/>
        <v>46293666</v>
      </c>
      <c r="M9" s="256">
        <f t="shared" si="13"/>
        <v>0</v>
      </c>
      <c r="N9" s="257">
        <f t="shared" si="8"/>
        <v>46293666</v>
      </c>
      <c r="O9" s="255">
        <f t="shared" ref="O9" si="14">SUM(O50+O90+O130+O170+O210)</f>
        <v>0</v>
      </c>
      <c r="P9" s="257">
        <f t="shared" si="10"/>
        <v>0</v>
      </c>
      <c r="Q9" s="248">
        <f t="shared" si="11"/>
        <v>46293666</v>
      </c>
      <c r="R9" s="181">
        <f>+Q9/Q39*100</f>
        <v>2.1542660338215032</v>
      </c>
    </row>
    <row r="10" spans="1:23" s="127" customFormat="1" ht="14.1" customHeight="1" x14ac:dyDescent="0.2">
      <c r="A10" s="180"/>
      <c r="B10" s="180" t="s">
        <v>466</v>
      </c>
      <c r="C10" s="266">
        <f t="shared" ref="C10:H10" si="15">SUM(C51+C91+C131+C171+C211)</f>
        <v>0</v>
      </c>
      <c r="D10" s="256">
        <f t="shared" si="15"/>
        <v>3808214</v>
      </c>
      <c r="E10" s="255">
        <f t="shared" si="15"/>
        <v>7699350</v>
      </c>
      <c r="F10" s="256">
        <f t="shared" si="15"/>
        <v>4114897</v>
      </c>
      <c r="G10" s="256">
        <f t="shared" si="15"/>
        <v>0</v>
      </c>
      <c r="H10" s="255">
        <f t="shared" si="15"/>
        <v>118752</v>
      </c>
      <c r="I10" s="257">
        <f t="shared" si="6"/>
        <v>15741213</v>
      </c>
      <c r="J10" s="266">
        <f t="shared" ref="J10:M10" si="16">SUM(J51+J91+J131+J171+J211)</f>
        <v>0</v>
      </c>
      <c r="K10" s="256">
        <f t="shared" si="16"/>
        <v>0</v>
      </c>
      <c r="L10" s="255">
        <f t="shared" si="16"/>
        <v>19172577</v>
      </c>
      <c r="M10" s="256">
        <f t="shared" si="16"/>
        <v>0</v>
      </c>
      <c r="N10" s="257">
        <f t="shared" si="8"/>
        <v>19172577</v>
      </c>
      <c r="O10" s="255">
        <f t="shared" ref="O10" si="17">SUM(O51+O91+O131+O171+O211)</f>
        <v>0</v>
      </c>
      <c r="P10" s="257">
        <f t="shared" si="10"/>
        <v>0</v>
      </c>
      <c r="Q10" s="248">
        <f t="shared" si="11"/>
        <v>34913790</v>
      </c>
      <c r="R10" s="181">
        <f>+Q10/Q39*100</f>
        <v>1.6247058919243262</v>
      </c>
    </row>
    <row r="11" spans="1:23" s="127" customFormat="1" ht="14.1" customHeight="1" x14ac:dyDescent="0.2">
      <c r="A11" s="180"/>
      <c r="B11" s="180" t="s">
        <v>467</v>
      </c>
      <c r="C11" s="266">
        <f t="shared" ref="C11:H11" si="18">SUM(C52+C92+C132+C172+C212)</f>
        <v>0</v>
      </c>
      <c r="D11" s="256">
        <f t="shared" si="18"/>
        <v>4571904</v>
      </c>
      <c r="E11" s="255">
        <f t="shared" si="18"/>
        <v>1846945</v>
      </c>
      <c r="F11" s="256">
        <f t="shared" si="18"/>
        <v>4976249</v>
      </c>
      <c r="G11" s="256">
        <f t="shared" si="18"/>
        <v>0</v>
      </c>
      <c r="H11" s="255">
        <f t="shared" si="18"/>
        <v>290646</v>
      </c>
      <c r="I11" s="257">
        <f t="shared" si="6"/>
        <v>11685744</v>
      </c>
      <c r="J11" s="266">
        <f t="shared" ref="J11:M11" si="19">SUM(J52+J92+J132+J172+J212)</f>
        <v>0</v>
      </c>
      <c r="K11" s="256">
        <f t="shared" si="19"/>
        <v>0</v>
      </c>
      <c r="L11" s="255">
        <f t="shared" si="19"/>
        <v>23191674</v>
      </c>
      <c r="M11" s="256">
        <f t="shared" si="19"/>
        <v>0</v>
      </c>
      <c r="N11" s="257">
        <f t="shared" si="8"/>
        <v>23191674</v>
      </c>
      <c r="O11" s="255">
        <f t="shared" ref="O11" si="20">SUM(O52+O92+O132+O172+O212)</f>
        <v>0</v>
      </c>
      <c r="P11" s="257">
        <f t="shared" si="10"/>
        <v>0</v>
      </c>
      <c r="Q11" s="248">
        <f t="shared" si="11"/>
        <v>34877418</v>
      </c>
      <c r="R11" s="181">
        <f>+Q11/Q39*100</f>
        <v>1.6230133285360184</v>
      </c>
    </row>
    <row r="12" spans="1:23" s="127" customFormat="1" ht="14.1" customHeight="1" x14ac:dyDescent="0.2">
      <c r="A12" s="180"/>
      <c r="B12" s="180" t="s">
        <v>468</v>
      </c>
      <c r="C12" s="266">
        <f t="shared" ref="C12:H12" si="21">SUM(C53+C93+C133+C173+C213)</f>
        <v>0</v>
      </c>
      <c r="D12" s="256">
        <f t="shared" si="21"/>
        <v>33057075</v>
      </c>
      <c r="E12" s="255">
        <f t="shared" si="21"/>
        <v>71427013</v>
      </c>
      <c r="F12" s="256">
        <f t="shared" si="21"/>
        <v>4151377</v>
      </c>
      <c r="G12" s="256">
        <f t="shared" si="21"/>
        <v>0</v>
      </c>
      <c r="H12" s="255">
        <f t="shared" si="21"/>
        <v>0</v>
      </c>
      <c r="I12" s="257">
        <f t="shared" si="6"/>
        <v>108635465</v>
      </c>
      <c r="J12" s="266">
        <f t="shared" ref="J12:M12" si="22">SUM(J53+J93+J133+J173+J213)</f>
        <v>0</v>
      </c>
      <c r="K12" s="256">
        <f t="shared" si="22"/>
        <v>0</v>
      </c>
      <c r="L12" s="255">
        <f t="shared" si="22"/>
        <v>0</v>
      </c>
      <c r="M12" s="256">
        <f t="shared" si="22"/>
        <v>0</v>
      </c>
      <c r="N12" s="257">
        <f t="shared" si="8"/>
        <v>0</v>
      </c>
      <c r="O12" s="255">
        <f t="shared" ref="O12" si="23">SUM(O53+O93+O133+O173+O213)</f>
        <v>0</v>
      </c>
      <c r="P12" s="257">
        <f t="shared" si="10"/>
        <v>0</v>
      </c>
      <c r="Q12" s="248">
        <f t="shared" si="11"/>
        <v>108635465</v>
      </c>
      <c r="R12" s="181">
        <f>+Q12/Q39*100</f>
        <v>5.0553285695262229</v>
      </c>
    </row>
    <row r="13" spans="1:23" s="127" customFormat="1" ht="14.1" customHeight="1" x14ac:dyDescent="0.2">
      <c r="A13" s="180"/>
      <c r="B13" s="180" t="s">
        <v>469</v>
      </c>
      <c r="C13" s="266">
        <f t="shared" ref="C13:H13" si="24">SUM(C54+C94+C134+C174+C214)</f>
        <v>0</v>
      </c>
      <c r="D13" s="256">
        <f t="shared" si="24"/>
        <v>102272894</v>
      </c>
      <c r="E13" s="255">
        <f t="shared" si="24"/>
        <v>8798884</v>
      </c>
      <c r="F13" s="256">
        <f t="shared" si="24"/>
        <v>2833462</v>
      </c>
      <c r="G13" s="256">
        <f t="shared" si="24"/>
        <v>0</v>
      </c>
      <c r="H13" s="255">
        <f t="shared" si="24"/>
        <v>0</v>
      </c>
      <c r="I13" s="257">
        <f t="shared" si="6"/>
        <v>113905240</v>
      </c>
      <c r="J13" s="266">
        <f t="shared" ref="J13:M13" si="25">SUM(J54+J94+J134+J174+J214)</f>
        <v>0</v>
      </c>
      <c r="K13" s="256">
        <f t="shared" si="25"/>
        <v>0</v>
      </c>
      <c r="L13" s="255">
        <f t="shared" si="25"/>
        <v>0</v>
      </c>
      <c r="M13" s="256">
        <f t="shared" si="25"/>
        <v>0</v>
      </c>
      <c r="N13" s="257">
        <f t="shared" si="8"/>
        <v>0</v>
      </c>
      <c r="O13" s="255">
        <f t="shared" ref="O13" si="26">SUM(O54+O94+O134+O174+O214)</f>
        <v>0</v>
      </c>
      <c r="P13" s="257">
        <f t="shared" si="10"/>
        <v>0</v>
      </c>
      <c r="Q13" s="248">
        <f t="shared" si="11"/>
        <v>113905240</v>
      </c>
      <c r="R13" s="181">
        <f>+Q13/Q39*100</f>
        <v>5.3005564434297865</v>
      </c>
    </row>
    <row r="14" spans="1:23" s="127" customFormat="1" ht="14.1" customHeight="1" x14ac:dyDescent="0.2">
      <c r="A14" s="180"/>
      <c r="B14" s="180" t="s">
        <v>470</v>
      </c>
      <c r="C14" s="266">
        <f t="shared" ref="C14:H14" si="27">SUM(C55+C95+C135+C175+C215)</f>
        <v>0</v>
      </c>
      <c r="D14" s="256">
        <f t="shared" si="27"/>
        <v>71058252</v>
      </c>
      <c r="E14" s="255">
        <f t="shared" si="27"/>
        <v>1969208</v>
      </c>
      <c r="F14" s="256">
        <f t="shared" si="27"/>
        <v>2982001</v>
      </c>
      <c r="G14" s="256">
        <f t="shared" si="27"/>
        <v>0</v>
      </c>
      <c r="H14" s="255">
        <f t="shared" si="27"/>
        <v>0</v>
      </c>
      <c r="I14" s="257">
        <f t="shared" si="6"/>
        <v>76009461</v>
      </c>
      <c r="J14" s="266">
        <f t="shared" ref="J14:M14" si="28">SUM(J55+J95+J135+J175+J215)</f>
        <v>0</v>
      </c>
      <c r="K14" s="256">
        <f t="shared" si="28"/>
        <v>0</v>
      </c>
      <c r="L14" s="255">
        <f t="shared" si="28"/>
        <v>0</v>
      </c>
      <c r="M14" s="256">
        <f t="shared" si="28"/>
        <v>0</v>
      </c>
      <c r="N14" s="257">
        <f t="shared" si="8"/>
        <v>0</v>
      </c>
      <c r="O14" s="255">
        <f t="shared" ref="O14" si="29">SUM(O55+O95+O135+O175+O215)</f>
        <v>0</v>
      </c>
      <c r="P14" s="257">
        <f t="shared" si="10"/>
        <v>0</v>
      </c>
      <c r="Q14" s="248">
        <f t="shared" si="11"/>
        <v>76009461</v>
      </c>
      <c r="R14" s="181">
        <f>+Q14/Q39*100</f>
        <v>3.537084319081151</v>
      </c>
    </row>
    <row r="15" spans="1:23" s="127" customFormat="1" ht="14.1" customHeight="1" x14ac:dyDescent="0.2">
      <c r="A15" s="180"/>
      <c r="B15" s="180" t="s">
        <v>471</v>
      </c>
      <c r="C15" s="266">
        <f t="shared" ref="C15:H15" si="30">SUM(C56+C96+C136+C176+C216)</f>
        <v>0</v>
      </c>
      <c r="D15" s="256">
        <f t="shared" si="30"/>
        <v>104748766</v>
      </c>
      <c r="E15" s="255">
        <f t="shared" si="30"/>
        <v>2870944</v>
      </c>
      <c r="F15" s="256">
        <f t="shared" si="30"/>
        <v>2331390</v>
      </c>
      <c r="G15" s="256">
        <f t="shared" si="30"/>
        <v>0</v>
      </c>
      <c r="H15" s="255">
        <f t="shared" si="30"/>
        <v>0</v>
      </c>
      <c r="I15" s="257">
        <f t="shared" si="6"/>
        <v>109951100</v>
      </c>
      <c r="J15" s="266">
        <f t="shared" ref="J15:M15" si="31">SUM(J56+J96+J136+J176+J216)</f>
        <v>0</v>
      </c>
      <c r="K15" s="256">
        <f t="shared" si="31"/>
        <v>0</v>
      </c>
      <c r="L15" s="255">
        <f t="shared" si="31"/>
        <v>0</v>
      </c>
      <c r="M15" s="256">
        <f t="shared" si="31"/>
        <v>0</v>
      </c>
      <c r="N15" s="257">
        <f t="shared" si="8"/>
        <v>0</v>
      </c>
      <c r="O15" s="255">
        <f t="shared" ref="O15" si="32">SUM(O56+O96+O136+O176+O216)</f>
        <v>0</v>
      </c>
      <c r="P15" s="257">
        <f t="shared" si="10"/>
        <v>0</v>
      </c>
      <c r="Q15" s="248">
        <f t="shared" si="11"/>
        <v>109951100</v>
      </c>
      <c r="R15" s="181">
        <f>+Q15/Q39*100</f>
        <v>5.1165513682003816</v>
      </c>
    </row>
    <row r="16" spans="1:23" s="127" customFormat="1" ht="14.1" customHeight="1" x14ac:dyDescent="0.2">
      <c r="A16" s="180"/>
      <c r="B16" s="180" t="s">
        <v>472</v>
      </c>
      <c r="C16" s="266">
        <f t="shared" ref="C16:H16" si="33">SUM(C57+C97+C137+C177+C217)</f>
        <v>0</v>
      </c>
      <c r="D16" s="256">
        <f t="shared" si="33"/>
        <v>60695987</v>
      </c>
      <c r="E16" s="255">
        <f t="shared" si="33"/>
        <v>1384730</v>
      </c>
      <c r="F16" s="256">
        <f t="shared" si="33"/>
        <v>1392594</v>
      </c>
      <c r="G16" s="256">
        <f t="shared" si="33"/>
        <v>0</v>
      </c>
      <c r="H16" s="255">
        <f t="shared" si="33"/>
        <v>0</v>
      </c>
      <c r="I16" s="257">
        <f t="shared" si="6"/>
        <v>63473311</v>
      </c>
      <c r="J16" s="266">
        <f t="shared" ref="J16:M16" si="34">SUM(J57+J97+J137+J177+J217)</f>
        <v>0</v>
      </c>
      <c r="K16" s="256">
        <f t="shared" si="34"/>
        <v>0</v>
      </c>
      <c r="L16" s="255">
        <f t="shared" si="34"/>
        <v>0</v>
      </c>
      <c r="M16" s="256">
        <f t="shared" si="34"/>
        <v>0</v>
      </c>
      <c r="N16" s="257">
        <f t="shared" si="8"/>
        <v>0</v>
      </c>
      <c r="O16" s="255">
        <f t="shared" ref="O16" si="35">SUM(O57+O97+O137+O177+O217)</f>
        <v>0</v>
      </c>
      <c r="P16" s="257">
        <f t="shared" si="10"/>
        <v>0</v>
      </c>
      <c r="Q16" s="248">
        <f t="shared" si="11"/>
        <v>63473311</v>
      </c>
      <c r="R16" s="181">
        <f>+Q16/Q39*100</f>
        <v>2.9537172092071686</v>
      </c>
    </row>
    <row r="17" spans="1:18" s="127" customFormat="1" ht="14.1" customHeight="1" x14ac:dyDescent="0.2">
      <c r="A17" s="180"/>
      <c r="B17" s="180" t="s">
        <v>473</v>
      </c>
      <c r="C17" s="266">
        <f t="shared" ref="C17:H17" si="36">SUM(C58+C98+C138+C178+C218)</f>
        <v>0</v>
      </c>
      <c r="D17" s="256">
        <f t="shared" si="36"/>
        <v>29199379</v>
      </c>
      <c r="E17" s="255">
        <f t="shared" si="36"/>
        <v>634051</v>
      </c>
      <c r="F17" s="256">
        <f t="shared" si="36"/>
        <v>1190131</v>
      </c>
      <c r="G17" s="256">
        <f t="shared" si="36"/>
        <v>0</v>
      </c>
      <c r="H17" s="255">
        <f t="shared" si="36"/>
        <v>0</v>
      </c>
      <c r="I17" s="257">
        <f t="shared" si="6"/>
        <v>31023561</v>
      </c>
      <c r="J17" s="266">
        <f t="shared" ref="J17:M17" si="37">SUM(J58+J98+J138+J178+J218)</f>
        <v>0</v>
      </c>
      <c r="K17" s="256">
        <f t="shared" si="37"/>
        <v>0</v>
      </c>
      <c r="L17" s="255">
        <f t="shared" si="37"/>
        <v>0</v>
      </c>
      <c r="M17" s="256">
        <f t="shared" si="37"/>
        <v>0</v>
      </c>
      <c r="N17" s="257">
        <f t="shared" si="8"/>
        <v>0</v>
      </c>
      <c r="O17" s="255">
        <f t="shared" ref="O17" si="38">SUM(O58+O98+O138+O178+O218)</f>
        <v>0</v>
      </c>
      <c r="P17" s="257">
        <f t="shared" si="10"/>
        <v>0</v>
      </c>
      <c r="Q17" s="248">
        <f t="shared" si="11"/>
        <v>31023561</v>
      </c>
      <c r="R17" s="181">
        <f>+Q17/Q39*100</f>
        <v>1.443674901669906</v>
      </c>
    </row>
    <row r="18" spans="1:18" s="127" customFormat="1" ht="14.1" customHeight="1" x14ac:dyDescent="0.2">
      <c r="A18" s="180"/>
      <c r="B18" s="180" t="s">
        <v>474</v>
      </c>
      <c r="C18" s="266">
        <f t="shared" ref="C18:H18" si="39">SUM(C59+C99+C139+C179+C219)</f>
        <v>0</v>
      </c>
      <c r="D18" s="256">
        <f t="shared" si="39"/>
        <v>41562985</v>
      </c>
      <c r="E18" s="255">
        <f t="shared" si="39"/>
        <v>3327474</v>
      </c>
      <c r="F18" s="256">
        <f t="shared" si="39"/>
        <v>1237595</v>
      </c>
      <c r="G18" s="256">
        <f t="shared" si="39"/>
        <v>0</v>
      </c>
      <c r="H18" s="255">
        <f t="shared" si="39"/>
        <v>0</v>
      </c>
      <c r="I18" s="257">
        <f t="shared" si="6"/>
        <v>46128054</v>
      </c>
      <c r="J18" s="266">
        <f t="shared" ref="J18:M18" si="40">SUM(J59+J99+J139+J179+J219)</f>
        <v>0</v>
      </c>
      <c r="K18" s="256">
        <f t="shared" si="40"/>
        <v>0</v>
      </c>
      <c r="L18" s="255">
        <f t="shared" si="40"/>
        <v>0</v>
      </c>
      <c r="M18" s="256">
        <f t="shared" si="40"/>
        <v>0</v>
      </c>
      <c r="N18" s="257">
        <f t="shared" si="8"/>
        <v>0</v>
      </c>
      <c r="O18" s="255">
        <f t="shared" ref="O18" si="41">SUM(O59+O99+O139+O179+O219)</f>
        <v>0</v>
      </c>
      <c r="P18" s="257">
        <f t="shared" si="10"/>
        <v>0</v>
      </c>
      <c r="Q18" s="248">
        <f t="shared" si="11"/>
        <v>46128054</v>
      </c>
      <c r="R18" s="181">
        <f>+Q18/Q39*100</f>
        <v>2.1465593141507551</v>
      </c>
    </row>
    <row r="19" spans="1:18" s="127" customFormat="1" ht="14.1" customHeight="1" x14ac:dyDescent="0.2">
      <c r="A19" s="180"/>
      <c r="B19" s="180" t="s">
        <v>475</v>
      </c>
      <c r="C19" s="266">
        <f t="shared" ref="C19:H19" si="42">SUM(C60+C100+C140+C180+C220)</f>
        <v>0</v>
      </c>
      <c r="D19" s="256">
        <f t="shared" si="42"/>
        <v>40097581</v>
      </c>
      <c r="E19" s="255">
        <f t="shared" si="42"/>
        <v>386006</v>
      </c>
      <c r="F19" s="256">
        <f t="shared" si="42"/>
        <v>1444202</v>
      </c>
      <c r="G19" s="256">
        <f t="shared" si="42"/>
        <v>0</v>
      </c>
      <c r="H19" s="255">
        <f t="shared" si="42"/>
        <v>0</v>
      </c>
      <c r="I19" s="257">
        <f t="shared" si="6"/>
        <v>41927789</v>
      </c>
      <c r="J19" s="266">
        <f t="shared" ref="J19:M19" si="43">SUM(J60+J100+J140+J180+J220)</f>
        <v>0</v>
      </c>
      <c r="K19" s="256">
        <f t="shared" si="43"/>
        <v>0</v>
      </c>
      <c r="L19" s="255">
        <f t="shared" si="43"/>
        <v>0</v>
      </c>
      <c r="M19" s="256">
        <f t="shared" si="43"/>
        <v>0</v>
      </c>
      <c r="N19" s="257">
        <f t="shared" si="8"/>
        <v>0</v>
      </c>
      <c r="O19" s="255">
        <f t="shared" ref="O19" si="44">SUM(O60+O100+O140+O180+O220)</f>
        <v>0</v>
      </c>
      <c r="P19" s="257">
        <f t="shared" si="10"/>
        <v>0</v>
      </c>
      <c r="Q19" s="248">
        <f t="shared" si="11"/>
        <v>41927789</v>
      </c>
      <c r="R19" s="181">
        <f>+Q19/Q39*100</f>
        <v>1.9511008636891025</v>
      </c>
    </row>
    <row r="20" spans="1:18" s="127" customFormat="1" ht="14.1" customHeight="1" x14ac:dyDescent="0.2">
      <c r="A20" s="180"/>
      <c r="B20" s="180" t="s">
        <v>476</v>
      </c>
      <c r="C20" s="266">
        <f t="shared" ref="C20:H20" si="45">SUM(C61+C101+C141+C181+C221)</f>
        <v>0</v>
      </c>
      <c r="D20" s="256">
        <f t="shared" si="45"/>
        <v>47631336</v>
      </c>
      <c r="E20" s="255">
        <f t="shared" si="45"/>
        <v>1651118</v>
      </c>
      <c r="F20" s="256">
        <f t="shared" si="45"/>
        <v>1607741</v>
      </c>
      <c r="G20" s="256">
        <f t="shared" si="45"/>
        <v>0</v>
      </c>
      <c r="H20" s="255">
        <f t="shared" si="45"/>
        <v>0</v>
      </c>
      <c r="I20" s="257">
        <f t="shared" si="6"/>
        <v>50890195</v>
      </c>
      <c r="J20" s="266">
        <f t="shared" ref="J20:M20" si="46">SUM(J61+J101+J141+J181+J221)</f>
        <v>0</v>
      </c>
      <c r="K20" s="256">
        <f t="shared" si="46"/>
        <v>0</v>
      </c>
      <c r="L20" s="255">
        <f t="shared" si="46"/>
        <v>0</v>
      </c>
      <c r="M20" s="256">
        <f t="shared" si="46"/>
        <v>0</v>
      </c>
      <c r="N20" s="257">
        <f t="shared" si="8"/>
        <v>0</v>
      </c>
      <c r="O20" s="255">
        <f t="shared" ref="O20" si="47">SUM(O61+O101+O141+O181+O221)</f>
        <v>0</v>
      </c>
      <c r="P20" s="257">
        <f t="shared" si="10"/>
        <v>0</v>
      </c>
      <c r="Q20" s="248">
        <f t="shared" si="11"/>
        <v>50890195</v>
      </c>
      <c r="R20" s="181">
        <f>+Q20/Q39*100</f>
        <v>2.3681645463777463</v>
      </c>
    </row>
    <row r="21" spans="1:18" s="127" customFormat="1" ht="14.1" customHeight="1" x14ac:dyDescent="0.2">
      <c r="A21" s="180"/>
      <c r="B21" s="180" t="s">
        <v>477</v>
      </c>
      <c r="C21" s="266">
        <f t="shared" ref="C21:H21" si="48">SUM(C62+C102+C142+C182+C222)</f>
        <v>0</v>
      </c>
      <c r="D21" s="256">
        <f t="shared" si="48"/>
        <v>56449566</v>
      </c>
      <c r="E21" s="255">
        <f t="shared" si="48"/>
        <v>2911486</v>
      </c>
      <c r="F21" s="256">
        <f t="shared" si="48"/>
        <v>1138354</v>
      </c>
      <c r="G21" s="256">
        <f t="shared" si="48"/>
        <v>0</v>
      </c>
      <c r="H21" s="255">
        <f t="shared" si="48"/>
        <v>0</v>
      </c>
      <c r="I21" s="257">
        <f t="shared" si="6"/>
        <v>60499406</v>
      </c>
      <c r="J21" s="266">
        <f t="shared" ref="J21:M21" si="49">SUM(J62+J102+J142+J182+J222)</f>
        <v>0</v>
      </c>
      <c r="K21" s="256">
        <f t="shared" si="49"/>
        <v>0</v>
      </c>
      <c r="L21" s="255">
        <f t="shared" si="49"/>
        <v>0</v>
      </c>
      <c r="M21" s="256">
        <f t="shared" si="49"/>
        <v>0</v>
      </c>
      <c r="N21" s="257">
        <f t="shared" si="8"/>
        <v>0</v>
      </c>
      <c r="O21" s="255">
        <f t="shared" ref="O21" si="50">SUM(O62+O102+O142+O182+O222)</f>
        <v>0</v>
      </c>
      <c r="P21" s="257">
        <f t="shared" si="10"/>
        <v>0</v>
      </c>
      <c r="Q21" s="248">
        <f t="shared" si="11"/>
        <v>60499406</v>
      </c>
      <c r="R21" s="181">
        <f>+Q21/Q39*100</f>
        <v>2.8153271640266477</v>
      </c>
    </row>
    <row r="22" spans="1:18" s="127" customFormat="1" ht="14.1" customHeight="1" x14ac:dyDescent="0.2">
      <c r="A22" s="180"/>
      <c r="B22" s="180" t="s">
        <v>478</v>
      </c>
      <c r="C22" s="266">
        <f t="shared" ref="C22:H22" si="51">SUM(C63+C103+C143+C183+C223)</f>
        <v>0</v>
      </c>
      <c r="D22" s="256">
        <f t="shared" si="51"/>
        <v>163861316</v>
      </c>
      <c r="E22" s="255">
        <f t="shared" si="51"/>
        <v>4065001</v>
      </c>
      <c r="F22" s="256">
        <f t="shared" si="51"/>
        <v>5796255</v>
      </c>
      <c r="G22" s="256">
        <f t="shared" si="51"/>
        <v>0</v>
      </c>
      <c r="H22" s="255">
        <f t="shared" si="51"/>
        <v>0</v>
      </c>
      <c r="I22" s="257">
        <f t="shared" si="6"/>
        <v>173722572</v>
      </c>
      <c r="J22" s="266">
        <f t="shared" ref="J22:M22" si="52">SUM(J63+J103+J143+J183+J223)</f>
        <v>0</v>
      </c>
      <c r="K22" s="256">
        <f t="shared" si="52"/>
        <v>0</v>
      </c>
      <c r="L22" s="255">
        <f t="shared" si="52"/>
        <v>0</v>
      </c>
      <c r="M22" s="256">
        <f t="shared" si="52"/>
        <v>0</v>
      </c>
      <c r="N22" s="257">
        <f t="shared" si="8"/>
        <v>0</v>
      </c>
      <c r="O22" s="255">
        <f t="shared" ref="O22" si="53">SUM(O63+O103+O143+O183+O223)</f>
        <v>0</v>
      </c>
      <c r="P22" s="257">
        <f t="shared" si="10"/>
        <v>0</v>
      </c>
      <c r="Q22" s="248">
        <f t="shared" si="11"/>
        <v>173722572</v>
      </c>
      <c r="R22" s="181">
        <f>+Q22/Q39*100</f>
        <v>8.0841434369814333</v>
      </c>
    </row>
    <row r="23" spans="1:18" s="127" customFormat="1" ht="14.1" customHeight="1" x14ac:dyDescent="0.2">
      <c r="A23" s="180"/>
      <c r="B23" s="180" t="s">
        <v>479</v>
      </c>
      <c r="C23" s="266">
        <f t="shared" ref="C23:H23" si="54">SUM(C64+C104+C144+C184+C224)</f>
        <v>0</v>
      </c>
      <c r="D23" s="256">
        <f t="shared" si="54"/>
        <v>23163163</v>
      </c>
      <c r="E23" s="255">
        <f t="shared" si="54"/>
        <v>691513</v>
      </c>
      <c r="F23" s="256">
        <f t="shared" si="54"/>
        <v>596111</v>
      </c>
      <c r="G23" s="256">
        <f t="shared" si="54"/>
        <v>0</v>
      </c>
      <c r="H23" s="255">
        <f t="shared" si="54"/>
        <v>0</v>
      </c>
      <c r="I23" s="257">
        <f t="shared" si="6"/>
        <v>24450787</v>
      </c>
      <c r="J23" s="266">
        <f t="shared" ref="J23:M23" si="55">SUM(J64+J104+J144+J184+J224)</f>
        <v>0</v>
      </c>
      <c r="K23" s="256">
        <f t="shared" si="55"/>
        <v>0</v>
      </c>
      <c r="L23" s="255">
        <f t="shared" si="55"/>
        <v>0</v>
      </c>
      <c r="M23" s="256">
        <f t="shared" si="55"/>
        <v>0</v>
      </c>
      <c r="N23" s="257">
        <f t="shared" si="8"/>
        <v>0</v>
      </c>
      <c r="O23" s="255">
        <f t="shared" ref="O23" si="56">SUM(O64+O104+O144+O184+O224)</f>
        <v>0</v>
      </c>
      <c r="P23" s="257">
        <f t="shared" si="10"/>
        <v>0</v>
      </c>
      <c r="Q23" s="248">
        <f t="shared" si="11"/>
        <v>24450787</v>
      </c>
      <c r="R23" s="181">
        <f>+Q23/Q39*100</f>
        <v>1.1378122427008561</v>
      </c>
    </row>
    <row r="24" spans="1:18" s="127" customFormat="1" ht="14.1" customHeight="1" x14ac:dyDescent="0.2">
      <c r="A24" s="180"/>
      <c r="B24" s="180" t="s">
        <v>480</v>
      </c>
      <c r="C24" s="266">
        <f t="shared" ref="C24:H24" si="57">SUM(C65+C105+C145+C185+C225)</f>
        <v>0</v>
      </c>
      <c r="D24" s="256">
        <f t="shared" si="57"/>
        <v>21465891</v>
      </c>
      <c r="E24" s="255">
        <f t="shared" si="57"/>
        <v>924763</v>
      </c>
      <c r="F24" s="256">
        <f t="shared" si="57"/>
        <v>694936</v>
      </c>
      <c r="G24" s="256">
        <f t="shared" si="57"/>
        <v>0</v>
      </c>
      <c r="H24" s="255">
        <f t="shared" si="57"/>
        <v>0</v>
      </c>
      <c r="I24" s="257">
        <f t="shared" si="6"/>
        <v>23085590</v>
      </c>
      <c r="J24" s="266">
        <f t="shared" ref="J24:M24" si="58">SUM(J65+J105+J145+J185+J225)</f>
        <v>0</v>
      </c>
      <c r="K24" s="256">
        <f t="shared" si="58"/>
        <v>0</v>
      </c>
      <c r="L24" s="255">
        <f t="shared" si="58"/>
        <v>0</v>
      </c>
      <c r="M24" s="256">
        <f t="shared" si="58"/>
        <v>0</v>
      </c>
      <c r="N24" s="257">
        <f t="shared" si="8"/>
        <v>0</v>
      </c>
      <c r="O24" s="255">
        <f t="shared" ref="O24" si="59">SUM(O65+O105+O145+O185+O225)</f>
        <v>0</v>
      </c>
      <c r="P24" s="257">
        <f t="shared" si="10"/>
        <v>0</v>
      </c>
      <c r="Q24" s="248">
        <f t="shared" si="11"/>
        <v>23085590</v>
      </c>
      <c r="R24" s="181">
        <f>+Q24/Q39*100</f>
        <v>1.0742830867559583</v>
      </c>
    </row>
    <row r="25" spans="1:18" s="127" customFormat="1" ht="14.1" customHeight="1" x14ac:dyDescent="0.2">
      <c r="A25" s="180"/>
      <c r="B25" s="180" t="s">
        <v>481</v>
      </c>
      <c r="C25" s="266">
        <f t="shared" ref="C25:H25" si="60">SUM(C66+C106+C146+C186+C226)</f>
        <v>0</v>
      </c>
      <c r="D25" s="256">
        <f t="shared" si="60"/>
        <v>42135150</v>
      </c>
      <c r="E25" s="255">
        <f t="shared" si="60"/>
        <v>1249498</v>
      </c>
      <c r="F25" s="256">
        <f t="shared" si="60"/>
        <v>963828</v>
      </c>
      <c r="G25" s="256">
        <f t="shared" si="60"/>
        <v>0</v>
      </c>
      <c r="H25" s="255">
        <f t="shared" si="60"/>
        <v>0</v>
      </c>
      <c r="I25" s="257">
        <f t="shared" si="6"/>
        <v>44348476</v>
      </c>
      <c r="J25" s="266">
        <f t="shared" ref="J25:M25" si="61">SUM(J66+J106+J146+J186+J226)</f>
        <v>0</v>
      </c>
      <c r="K25" s="256">
        <f t="shared" si="61"/>
        <v>0</v>
      </c>
      <c r="L25" s="255">
        <f t="shared" si="61"/>
        <v>0</v>
      </c>
      <c r="M25" s="256">
        <f t="shared" si="61"/>
        <v>0</v>
      </c>
      <c r="N25" s="257">
        <f t="shared" si="8"/>
        <v>0</v>
      </c>
      <c r="O25" s="255">
        <f t="shared" ref="O25" si="62">SUM(O66+O106+O146+O186+O226)</f>
        <v>0</v>
      </c>
      <c r="P25" s="257">
        <f t="shared" si="10"/>
        <v>0</v>
      </c>
      <c r="Q25" s="248">
        <f t="shared" si="11"/>
        <v>44348476</v>
      </c>
      <c r="R25" s="181">
        <f>+Q25/Q39*100</f>
        <v>2.0637470253176344</v>
      </c>
    </row>
    <row r="26" spans="1:18" s="127" customFormat="1" ht="14.1" customHeight="1" x14ac:dyDescent="0.2">
      <c r="A26" s="180"/>
      <c r="B26" s="180" t="s">
        <v>482</v>
      </c>
      <c r="C26" s="266">
        <f t="shared" ref="C26:H26" si="63">SUM(C67+C107+C147+C187+C227)</f>
        <v>0</v>
      </c>
      <c r="D26" s="256">
        <f t="shared" si="63"/>
        <v>35772087</v>
      </c>
      <c r="E26" s="255">
        <f t="shared" si="63"/>
        <v>18000</v>
      </c>
      <c r="F26" s="256">
        <f t="shared" si="63"/>
        <v>1220399</v>
      </c>
      <c r="G26" s="256">
        <f t="shared" si="63"/>
        <v>0</v>
      </c>
      <c r="H26" s="255">
        <f t="shared" si="63"/>
        <v>0</v>
      </c>
      <c r="I26" s="257">
        <f t="shared" si="6"/>
        <v>37010486</v>
      </c>
      <c r="J26" s="266">
        <f t="shared" ref="J26:M26" si="64">SUM(J67+J107+J147+J187+J227)</f>
        <v>0</v>
      </c>
      <c r="K26" s="256">
        <f t="shared" si="64"/>
        <v>0</v>
      </c>
      <c r="L26" s="255">
        <f t="shared" si="64"/>
        <v>0</v>
      </c>
      <c r="M26" s="256">
        <f t="shared" si="64"/>
        <v>0</v>
      </c>
      <c r="N26" s="257">
        <f t="shared" si="8"/>
        <v>0</v>
      </c>
      <c r="O26" s="255">
        <f t="shared" ref="O26" si="65">SUM(O67+O107+O147+O187+O227)</f>
        <v>0</v>
      </c>
      <c r="P26" s="257">
        <f t="shared" si="10"/>
        <v>0</v>
      </c>
      <c r="Q26" s="248">
        <f t="shared" si="11"/>
        <v>37010486</v>
      </c>
      <c r="R26" s="181">
        <f>+Q26/Q39*100</f>
        <v>1.7222752003487101</v>
      </c>
    </row>
    <row r="27" spans="1:18" s="127" customFormat="1" ht="14.1" customHeight="1" x14ac:dyDescent="0.2">
      <c r="A27" s="180"/>
      <c r="B27" s="180" t="s">
        <v>483</v>
      </c>
      <c r="C27" s="266">
        <f t="shared" ref="C27:H27" si="66">SUM(C68+C108+C148+C188+C228)</f>
        <v>0</v>
      </c>
      <c r="D27" s="256">
        <f t="shared" si="66"/>
        <v>15162290</v>
      </c>
      <c r="E27" s="255">
        <f t="shared" si="66"/>
        <v>12251785</v>
      </c>
      <c r="F27" s="256">
        <f t="shared" si="66"/>
        <v>10705556</v>
      </c>
      <c r="G27" s="256">
        <f t="shared" si="66"/>
        <v>0</v>
      </c>
      <c r="H27" s="255">
        <f t="shared" si="66"/>
        <v>215249</v>
      </c>
      <c r="I27" s="257">
        <f t="shared" si="6"/>
        <v>38334880</v>
      </c>
      <c r="J27" s="266">
        <f t="shared" ref="J27:M27" si="67">SUM(J68+J108+J148+J188+J228)</f>
        <v>0</v>
      </c>
      <c r="K27" s="256">
        <f t="shared" si="67"/>
        <v>0</v>
      </c>
      <c r="L27" s="255">
        <f t="shared" si="67"/>
        <v>0</v>
      </c>
      <c r="M27" s="256">
        <f t="shared" si="67"/>
        <v>0</v>
      </c>
      <c r="N27" s="257">
        <f t="shared" si="8"/>
        <v>0</v>
      </c>
      <c r="O27" s="255">
        <f t="shared" ref="O27" si="68">SUM(O68+O108+O148+O188+O228)</f>
        <v>0</v>
      </c>
      <c r="P27" s="257">
        <f t="shared" si="10"/>
        <v>0</v>
      </c>
      <c r="Q27" s="248">
        <f t="shared" si="11"/>
        <v>38334880</v>
      </c>
      <c r="R27" s="181">
        <f>+Q27/Q39*100</f>
        <v>1.7839055972500271</v>
      </c>
    </row>
    <row r="28" spans="1:18" s="127" customFormat="1" ht="14.1" customHeight="1" x14ac:dyDescent="0.2">
      <c r="A28" s="180"/>
      <c r="B28" s="180" t="s">
        <v>484</v>
      </c>
      <c r="C28" s="266">
        <f t="shared" ref="C28:H28" si="69">SUM(C69+C109+C149+C189+C229)</f>
        <v>0</v>
      </c>
      <c r="D28" s="256">
        <f t="shared" si="69"/>
        <v>29222389</v>
      </c>
      <c r="E28" s="255">
        <f t="shared" si="69"/>
        <v>10000</v>
      </c>
      <c r="F28" s="256">
        <f t="shared" si="69"/>
        <v>7306676</v>
      </c>
      <c r="G28" s="256">
        <f t="shared" si="69"/>
        <v>0</v>
      </c>
      <c r="H28" s="255">
        <f t="shared" si="69"/>
        <v>495085</v>
      </c>
      <c r="I28" s="257">
        <f t="shared" si="6"/>
        <v>37034150</v>
      </c>
      <c r="J28" s="266">
        <f t="shared" ref="J28:M28" si="70">SUM(J69+J109+J149+J189+J229)</f>
        <v>0</v>
      </c>
      <c r="K28" s="256">
        <f t="shared" si="70"/>
        <v>0</v>
      </c>
      <c r="L28" s="255">
        <f t="shared" si="70"/>
        <v>22400</v>
      </c>
      <c r="M28" s="256">
        <f t="shared" si="70"/>
        <v>0</v>
      </c>
      <c r="N28" s="257">
        <f t="shared" si="8"/>
        <v>22400</v>
      </c>
      <c r="O28" s="255">
        <f t="shared" ref="O28" si="71">SUM(O69+O109+O149+O189+O229)</f>
        <v>0</v>
      </c>
      <c r="P28" s="257">
        <f t="shared" si="10"/>
        <v>0</v>
      </c>
      <c r="Q28" s="248">
        <f t="shared" si="11"/>
        <v>37056550</v>
      </c>
      <c r="R28" s="181">
        <f>+Q28/Q39*100</f>
        <v>1.7244187789234109</v>
      </c>
    </row>
    <row r="29" spans="1:18" s="127" customFormat="1" ht="14.1" customHeight="1" x14ac:dyDescent="0.2">
      <c r="A29" s="180"/>
      <c r="B29" s="180" t="s">
        <v>485</v>
      </c>
      <c r="C29" s="266">
        <f t="shared" ref="C29:H29" si="72">SUM(C70+C110+C150+C190+C230)</f>
        <v>0</v>
      </c>
      <c r="D29" s="256">
        <f t="shared" si="72"/>
        <v>39328658</v>
      </c>
      <c r="E29" s="255">
        <f t="shared" si="72"/>
        <v>10000</v>
      </c>
      <c r="F29" s="256">
        <f t="shared" si="72"/>
        <v>15629038</v>
      </c>
      <c r="G29" s="256">
        <f t="shared" si="72"/>
        <v>0</v>
      </c>
      <c r="H29" s="255">
        <f t="shared" si="72"/>
        <v>250377</v>
      </c>
      <c r="I29" s="257">
        <f t="shared" si="6"/>
        <v>55218073</v>
      </c>
      <c r="J29" s="266">
        <f t="shared" ref="J29:M29" si="73">SUM(J70+J110+J150+J190+J230)</f>
        <v>0</v>
      </c>
      <c r="K29" s="256">
        <f t="shared" si="73"/>
        <v>0</v>
      </c>
      <c r="L29" s="255">
        <f t="shared" si="73"/>
        <v>18630</v>
      </c>
      <c r="M29" s="256">
        <f t="shared" si="73"/>
        <v>0</v>
      </c>
      <c r="N29" s="257">
        <f t="shared" si="8"/>
        <v>18630</v>
      </c>
      <c r="O29" s="255">
        <f t="shared" ref="O29" si="74">SUM(O70+O110+O150+O190+O230)</f>
        <v>0</v>
      </c>
      <c r="P29" s="257">
        <f t="shared" si="10"/>
        <v>0</v>
      </c>
      <c r="Q29" s="248">
        <f t="shared" si="11"/>
        <v>55236703</v>
      </c>
      <c r="R29" s="181">
        <f>+Q29/Q39*100</f>
        <v>2.5704283841592139</v>
      </c>
    </row>
    <row r="30" spans="1:18" s="127" customFormat="1" ht="14.1" customHeight="1" x14ac:dyDescent="0.2">
      <c r="A30" s="180"/>
      <c r="B30" s="180" t="s">
        <v>486</v>
      </c>
      <c r="C30" s="266">
        <f t="shared" ref="C30:H30" si="75">SUM(C71+C111+C151+C191+C231)</f>
        <v>0</v>
      </c>
      <c r="D30" s="256">
        <f t="shared" si="75"/>
        <v>34597764</v>
      </c>
      <c r="E30" s="255">
        <f t="shared" si="75"/>
        <v>29000</v>
      </c>
      <c r="F30" s="256">
        <f t="shared" si="75"/>
        <v>11064174</v>
      </c>
      <c r="G30" s="256">
        <f t="shared" si="75"/>
        <v>0</v>
      </c>
      <c r="H30" s="255">
        <f t="shared" si="75"/>
        <v>0</v>
      </c>
      <c r="I30" s="257">
        <f t="shared" si="6"/>
        <v>45690938</v>
      </c>
      <c r="J30" s="266">
        <f t="shared" ref="J30:M30" si="76">SUM(J71+J111+J151+J191+J231)</f>
        <v>0</v>
      </c>
      <c r="K30" s="256">
        <f t="shared" si="76"/>
        <v>0</v>
      </c>
      <c r="L30" s="255">
        <f t="shared" si="76"/>
        <v>0</v>
      </c>
      <c r="M30" s="256">
        <f t="shared" si="76"/>
        <v>0</v>
      </c>
      <c r="N30" s="257">
        <f t="shared" si="8"/>
        <v>0</v>
      </c>
      <c r="O30" s="255">
        <f t="shared" ref="O30" si="77">SUM(O71+O111+O151+O191+O231)</f>
        <v>0</v>
      </c>
      <c r="P30" s="257">
        <f t="shared" si="10"/>
        <v>0</v>
      </c>
      <c r="Q30" s="248">
        <f t="shared" si="11"/>
        <v>45690938</v>
      </c>
      <c r="R30" s="181">
        <f>+Q30/Q39*100</f>
        <v>2.1262182128078644</v>
      </c>
    </row>
    <row r="31" spans="1:18" s="127" customFormat="1" ht="14.1" customHeight="1" x14ac:dyDescent="0.2">
      <c r="A31" s="180"/>
      <c r="B31" s="180" t="s">
        <v>487</v>
      </c>
      <c r="C31" s="266">
        <f t="shared" ref="C31:H31" si="78">SUM(C72+C112+C152+C192+C232)</f>
        <v>0</v>
      </c>
      <c r="D31" s="256">
        <f t="shared" si="78"/>
        <v>18939022</v>
      </c>
      <c r="E31" s="255">
        <f t="shared" si="78"/>
        <v>10000</v>
      </c>
      <c r="F31" s="256">
        <f t="shared" si="78"/>
        <v>10049532</v>
      </c>
      <c r="G31" s="256">
        <f t="shared" si="78"/>
        <v>0</v>
      </c>
      <c r="H31" s="255">
        <f t="shared" si="78"/>
        <v>0</v>
      </c>
      <c r="I31" s="257">
        <f t="shared" si="6"/>
        <v>28998554</v>
      </c>
      <c r="J31" s="266">
        <f t="shared" ref="J31:M31" si="79">SUM(J72+J112+J152+J192+J232)</f>
        <v>0</v>
      </c>
      <c r="K31" s="256">
        <f t="shared" si="79"/>
        <v>0</v>
      </c>
      <c r="L31" s="255">
        <f t="shared" si="79"/>
        <v>22400</v>
      </c>
      <c r="M31" s="256">
        <f t="shared" si="79"/>
        <v>0</v>
      </c>
      <c r="N31" s="257">
        <f t="shared" si="8"/>
        <v>22400</v>
      </c>
      <c r="O31" s="255">
        <f t="shared" ref="O31" si="80">SUM(O72+O112+O152+O192+O232)</f>
        <v>0</v>
      </c>
      <c r="P31" s="257">
        <f t="shared" si="10"/>
        <v>0</v>
      </c>
      <c r="Q31" s="248">
        <f t="shared" si="11"/>
        <v>29020954</v>
      </c>
      <c r="R31" s="181">
        <f>+Q31/Q39*100</f>
        <v>1.3504840051184601</v>
      </c>
    </row>
    <row r="32" spans="1:18" s="127" customFormat="1" ht="14.1" customHeight="1" x14ac:dyDescent="0.2">
      <c r="A32" s="180" t="s">
        <v>83</v>
      </c>
      <c r="B32" s="180" t="s">
        <v>488</v>
      </c>
      <c r="C32" s="266">
        <f t="shared" ref="C32:H32" si="81">SUM(C73+C113+C153+C193+C233)</f>
        <v>0</v>
      </c>
      <c r="D32" s="256">
        <f t="shared" si="81"/>
        <v>39125825</v>
      </c>
      <c r="E32" s="255">
        <f t="shared" si="81"/>
        <v>10000</v>
      </c>
      <c r="F32" s="256">
        <f t="shared" si="81"/>
        <v>15372445</v>
      </c>
      <c r="G32" s="256">
        <f t="shared" si="81"/>
        <v>0</v>
      </c>
      <c r="H32" s="255">
        <f t="shared" si="81"/>
        <v>44445</v>
      </c>
      <c r="I32" s="257">
        <f t="shared" si="6"/>
        <v>54552715</v>
      </c>
      <c r="J32" s="266">
        <f t="shared" ref="J32:M32" si="82">SUM(J73+J113+J153+J193+J233)</f>
        <v>0</v>
      </c>
      <c r="K32" s="256">
        <f t="shared" si="82"/>
        <v>0</v>
      </c>
      <c r="L32" s="255">
        <f t="shared" si="82"/>
        <v>22400</v>
      </c>
      <c r="M32" s="256">
        <f t="shared" si="82"/>
        <v>0</v>
      </c>
      <c r="N32" s="257">
        <f t="shared" si="8"/>
        <v>22400</v>
      </c>
      <c r="O32" s="255">
        <f t="shared" ref="O32" si="83">SUM(O73+O113+O153+O193+O233)</f>
        <v>0</v>
      </c>
      <c r="P32" s="257">
        <f t="shared" si="10"/>
        <v>0</v>
      </c>
      <c r="Q32" s="248">
        <f t="shared" si="11"/>
        <v>54575115</v>
      </c>
      <c r="R32" s="181">
        <f>+Q32/Q39*100</f>
        <v>2.5396415253957727</v>
      </c>
    </row>
    <row r="33" spans="1:18" s="127" customFormat="1" ht="14.1" customHeight="1" x14ac:dyDescent="0.2">
      <c r="A33" s="180" t="s">
        <v>83</v>
      </c>
      <c r="B33" s="180" t="s">
        <v>489</v>
      </c>
      <c r="C33" s="266">
        <f t="shared" ref="C33:H33" si="84">SUM(C74+C114+C154+C194+C234)</f>
        <v>0</v>
      </c>
      <c r="D33" s="256">
        <f t="shared" si="84"/>
        <v>9998495</v>
      </c>
      <c r="E33" s="255">
        <f t="shared" si="84"/>
        <v>4884</v>
      </c>
      <c r="F33" s="256">
        <f t="shared" si="84"/>
        <v>7396343</v>
      </c>
      <c r="G33" s="256">
        <f t="shared" si="84"/>
        <v>0</v>
      </c>
      <c r="H33" s="255">
        <f t="shared" si="84"/>
        <v>0</v>
      </c>
      <c r="I33" s="257">
        <f t="shared" si="6"/>
        <v>17399722</v>
      </c>
      <c r="J33" s="266">
        <f t="shared" ref="J33:M33" si="85">SUM(J74+J114+J154+J194+J234)</f>
        <v>0</v>
      </c>
      <c r="K33" s="256">
        <f t="shared" si="85"/>
        <v>0</v>
      </c>
      <c r="L33" s="255">
        <f t="shared" si="85"/>
        <v>0</v>
      </c>
      <c r="M33" s="256">
        <f t="shared" si="85"/>
        <v>0</v>
      </c>
      <c r="N33" s="257">
        <f t="shared" si="8"/>
        <v>0</v>
      </c>
      <c r="O33" s="255">
        <f t="shared" ref="O33" si="86">SUM(O74+O114+O154+O194+O234)</f>
        <v>0</v>
      </c>
      <c r="P33" s="257">
        <f t="shared" si="10"/>
        <v>0</v>
      </c>
      <c r="Q33" s="248">
        <f t="shared" si="11"/>
        <v>17399722</v>
      </c>
      <c r="R33" s="181">
        <f>+Q33/Q39*100</f>
        <v>0.80969241240338907</v>
      </c>
    </row>
    <row r="34" spans="1:18" s="127" customFormat="1" ht="14.1" customHeight="1" x14ac:dyDescent="0.2">
      <c r="A34" s="180" t="s">
        <v>83</v>
      </c>
      <c r="B34" s="180" t="s">
        <v>490</v>
      </c>
      <c r="C34" s="266">
        <f t="shared" ref="C34:H34" si="87">SUM(C75+C115+C155+C195+C235)</f>
        <v>0</v>
      </c>
      <c r="D34" s="256">
        <f t="shared" si="87"/>
        <v>51799271</v>
      </c>
      <c r="E34" s="255">
        <f t="shared" si="87"/>
        <v>5000</v>
      </c>
      <c r="F34" s="256">
        <f t="shared" si="87"/>
        <v>14080777</v>
      </c>
      <c r="G34" s="256">
        <f t="shared" si="87"/>
        <v>0</v>
      </c>
      <c r="H34" s="255">
        <f t="shared" si="87"/>
        <v>339558</v>
      </c>
      <c r="I34" s="257">
        <f t="shared" si="6"/>
        <v>66224606</v>
      </c>
      <c r="J34" s="266">
        <f t="shared" ref="J34:M34" si="88">SUM(J75+J115+J155+J195+J235)</f>
        <v>0</v>
      </c>
      <c r="K34" s="256">
        <f t="shared" si="88"/>
        <v>0</v>
      </c>
      <c r="L34" s="255">
        <f t="shared" si="88"/>
        <v>67200</v>
      </c>
      <c r="M34" s="256">
        <f t="shared" si="88"/>
        <v>0</v>
      </c>
      <c r="N34" s="257">
        <f t="shared" si="8"/>
        <v>67200</v>
      </c>
      <c r="O34" s="255">
        <f t="shared" ref="O34" si="89">SUM(O75+O115+O155+O195+O235)</f>
        <v>0</v>
      </c>
      <c r="P34" s="257">
        <f t="shared" si="10"/>
        <v>0</v>
      </c>
      <c r="Q34" s="248">
        <f t="shared" si="11"/>
        <v>66291806</v>
      </c>
      <c r="R34" s="181">
        <f>+Q34/Q39*100</f>
        <v>3.0848752826463244</v>
      </c>
    </row>
    <row r="35" spans="1:18" s="127" customFormat="1" ht="14.1" customHeight="1" x14ac:dyDescent="0.2">
      <c r="A35" s="180" t="s">
        <v>83</v>
      </c>
      <c r="B35" s="180" t="s">
        <v>491</v>
      </c>
      <c r="C35" s="266">
        <f t="shared" ref="C35:H35" si="90">SUM(C76+C116+C156+C196+C236)</f>
        <v>0</v>
      </c>
      <c r="D35" s="256">
        <f t="shared" si="90"/>
        <v>8155194</v>
      </c>
      <c r="E35" s="255">
        <f t="shared" si="90"/>
        <v>0</v>
      </c>
      <c r="F35" s="256">
        <f t="shared" si="90"/>
        <v>1732160</v>
      </c>
      <c r="G35" s="256">
        <f t="shared" si="90"/>
        <v>0</v>
      </c>
      <c r="H35" s="255">
        <f t="shared" si="90"/>
        <v>0</v>
      </c>
      <c r="I35" s="257">
        <f t="shared" si="6"/>
        <v>9887354</v>
      </c>
      <c r="J35" s="266">
        <f t="shared" ref="J35:M35" si="91">SUM(J76+J116+J156+J196+J236)</f>
        <v>0</v>
      </c>
      <c r="K35" s="256">
        <f t="shared" si="91"/>
        <v>0</v>
      </c>
      <c r="L35" s="255">
        <f t="shared" si="91"/>
        <v>0</v>
      </c>
      <c r="M35" s="256">
        <f t="shared" si="91"/>
        <v>0</v>
      </c>
      <c r="N35" s="257">
        <f t="shared" si="8"/>
        <v>0</v>
      </c>
      <c r="O35" s="255">
        <f t="shared" ref="O35" si="92">SUM(O76+O116+O156+O196+O236)</f>
        <v>0</v>
      </c>
      <c r="P35" s="257">
        <f t="shared" si="10"/>
        <v>0</v>
      </c>
      <c r="Q35" s="248">
        <f t="shared" si="11"/>
        <v>9887354</v>
      </c>
      <c r="R35" s="181">
        <f>+Q35/Q39*100</f>
        <v>0.46010594379302722</v>
      </c>
    </row>
    <row r="36" spans="1:18" s="127" customFormat="1" ht="14.1" customHeight="1" x14ac:dyDescent="0.2">
      <c r="A36" s="180"/>
      <c r="B36" s="180" t="s">
        <v>492</v>
      </c>
      <c r="C36" s="266">
        <f t="shared" ref="C36:H36" si="93">SUM(C77+C117+C157+C197+C237)</f>
        <v>0</v>
      </c>
      <c r="D36" s="256">
        <f t="shared" si="93"/>
        <v>12696622</v>
      </c>
      <c r="E36" s="255">
        <f t="shared" si="93"/>
        <v>0</v>
      </c>
      <c r="F36" s="256">
        <f t="shared" si="93"/>
        <v>3155514</v>
      </c>
      <c r="G36" s="256">
        <f t="shared" si="93"/>
        <v>0</v>
      </c>
      <c r="H36" s="255">
        <f t="shared" si="93"/>
        <v>0</v>
      </c>
      <c r="I36" s="257">
        <f t="shared" si="6"/>
        <v>15852136</v>
      </c>
      <c r="J36" s="266">
        <f t="shared" ref="J36:M36" si="94">SUM(J77+J117+J157+J197+J237)</f>
        <v>0</v>
      </c>
      <c r="K36" s="256">
        <f t="shared" si="94"/>
        <v>0</v>
      </c>
      <c r="L36" s="255">
        <f t="shared" si="94"/>
        <v>0</v>
      </c>
      <c r="M36" s="256">
        <f t="shared" si="94"/>
        <v>0</v>
      </c>
      <c r="N36" s="257">
        <f t="shared" si="8"/>
        <v>0</v>
      </c>
      <c r="O36" s="255">
        <f t="shared" ref="O36" si="95">SUM(O77+O117+O157+O197+O237)</f>
        <v>0</v>
      </c>
      <c r="P36" s="257">
        <f t="shared" si="10"/>
        <v>0</v>
      </c>
      <c r="Q36" s="248">
        <f t="shared" si="11"/>
        <v>15852136</v>
      </c>
      <c r="R36" s="181">
        <f>+Q36/Q39*100</f>
        <v>0.73767582261294817</v>
      </c>
    </row>
    <row r="37" spans="1:18" s="127" customFormat="1" ht="14.1" customHeight="1" x14ac:dyDescent="0.2">
      <c r="A37" s="180" t="s">
        <v>83</v>
      </c>
      <c r="B37" s="180" t="s">
        <v>493</v>
      </c>
      <c r="C37" s="266">
        <f t="shared" ref="C37:H37" si="96">SUM(C78+C118+C158+C198+C238)</f>
        <v>0</v>
      </c>
      <c r="D37" s="256">
        <f t="shared" si="96"/>
        <v>14447286</v>
      </c>
      <c r="E37" s="255">
        <f t="shared" si="96"/>
        <v>0</v>
      </c>
      <c r="F37" s="256">
        <f t="shared" si="96"/>
        <v>4062254</v>
      </c>
      <c r="G37" s="256">
        <f t="shared" si="96"/>
        <v>0</v>
      </c>
      <c r="H37" s="255">
        <f t="shared" si="96"/>
        <v>0</v>
      </c>
      <c r="I37" s="257">
        <f t="shared" si="6"/>
        <v>18509540</v>
      </c>
      <c r="J37" s="266">
        <f t="shared" ref="J37:M37" si="97">SUM(J78+J118+J158+J198+J238)</f>
        <v>0</v>
      </c>
      <c r="K37" s="256">
        <f t="shared" si="97"/>
        <v>0</v>
      </c>
      <c r="L37" s="255">
        <f t="shared" si="97"/>
        <v>0</v>
      </c>
      <c r="M37" s="256">
        <f t="shared" si="97"/>
        <v>0</v>
      </c>
      <c r="N37" s="257">
        <f t="shared" si="8"/>
        <v>0</v>
      </c>
      <c r="O37" s="255">
        <f t="shared" ref="O37" si="98">SUM(O78+O118+O158+O198+O238)</f>
        <v>0</v>
      </c>
      <c r="P37" s="257">
        <f t="shared" si="10"/>
        <v>0</v>
      </c>
      <c r="Q37" s="248">
        <f t="shared" si="11"/>
        <v>18509540</v>
      </c>
      <c r="R37" s="181">
        <f>+Q37/Q39*100</f>
        <v>0.86133756016774454</v>
      </c>
    </row>
    <row r="38" spans="1:18" s="127" customFormat="1" ht="14.1" customHeight="1" thickBot="1" x14ac:dyDescent="0.25">
      <c r="A38" s="182" t="s">
        <v>11</v>
      </c>
      <c r="B38" s="182" t="s">
        <v>494</v>
      </c>
      <c r="C38" s="266">
        <f t="shared" ref="C38:H38" si="99">SUM(C79+C119+C159+C199+C239)</f>
        <v>0</v>
      </c>
      <c r="D38" s="256">
        <f t="shared" si="99"/>
        <v>14149111</v>
      </c>
      <c r="E38" s="255">
        <f t="shared" si="99"/>
        <v>0</v>
      </c>
      <c r="F38" s="256">
        <f t="shared" si="99"/>
        <v>5825423</v>
      </c>
      <c r="G38" s="256">
        <f t="shared" si="99"/>
        <v>0</v>
      </c>
      <c r="H38" s="255">
        <f t="shared" si="99"/>
        <v>0</v>
      </c>
      <c r="I38" s="257">
        <f t="shared" si="6"/>
        <v>19974534</v>
      </c>
      <c r="J38" s="266">
        <f t="shared" ref="J38:M38" si="100">SUM(J79+J119+J159+J199+J239)</f>
        <v>0</v>
      </c>
      <c r="K38" s="256">
        <f t="shared" si="100"/>
        <v>0</v>
      </c>
      <c r="L38" s="255">
        <f t="shared" si="100"/>
        <v>0</v>
      </c>
      <c r="M38" s="256">
        <f t="shared" si="100"/>
        <v>0</v>
      </c>
      <c r="N38" s="257">
        <f t="shared" si="8"/>
        <v>0</v>
      </c>
      <c r="O38" s="255">
        <f t="shared" ref="O38" si="101">SUM(O79+O119+O159+O199+O239)</f>
        <v>0</v>
      </c>
      <c r="P38" s="257">
        <f t="shared" si="10"/>
        <v>0</v>
      </c>
      <c r="Q38" s="248">
        <f t="shared" si="11"/>
        <v>19974534</v>
      </c>
      <c r="R38" s="181">
        <f>+Q38/Q39*100</f>
        <v>0.92951074856790905</v>
      </c>
    </row>
    <row r="39" spans="1:18" s="127" customFormat="1" ht="22.5" customHeight="1" thickBot="1" x14ac:dyDescent="0.25">
      <c r="A39" s="183" t="s">
        <v>72</v>
      </c>
      <c r="B39" s="183" t="s">
        <v>72</v>
      </c>
      <c r="C39" s="251"/>
      <c r="D39" s="252">
        <f>SUM(D6:D38)</f>
        <v>1185457737</v>
      </c>
      <c r="E39" s="252">
        <f t="shared" ref="E39:Q39" si="102">SUM(E6:E38)</f>
        <v>131731622</v>
      </c>
      <c r="F39" s="252">
        <f t="shared" si="102"/>
        <v>188340415</v>
      </c>
      <c r="G39" s="252">
        <f t="shared" si="102"/>
        <v>0</v>
      </c>
      <c r="H39" s="252">
        <f t="shared" si="102"/>
        <v>2704069</v>
      </c>
      <c r="I39" s="252">
        <f t="shared" si="102"/>
        <v>1508233843</v>
      </c>
      <c r="J39" s="252">
        <f t="shared" si="102"/>
        <v>0</v>
      </c>
      <c r="K39" s="252">
        <f t="shared" si="102"/>
        <v>0</v>
      </c>
      <c r="L39" s="252">
        <f t="shared" si="102"/>
        <v>598701064</v>
      </c>
      <c r="M39" s="252">
        <f t="shared" si="102"/>
        <v>0</v>
      </c>
      <c r="N39" s="252">
        <f t="shared" si="102"/>
        <v>598701064</v>
      </c>
      <c r="O39" s="252">
        <f t="shared" si="102"/>
        <v>41994950</v>
      </c>
      <c r="P39" s="252">
        <f t="shared" si="102"/>
        <v>41994950</v>
      </c>
      <c r="Q39" s="252">
        <f t="shared" si="102"/>
        <v>2148929857</v>
      </c>
      <c r="R39" s="184">
        <f>SUM(R6:R38)</f>
        <v>99.999999999999986</v>
      </c>
    </row>
    <row r="40" spans="1:18" x14ac:dyDescent="0.2">
      <c r="A40" s="102"/>
      <c r="B40" s="102"/>
      <c r="C40" s="103"/>
      <c r="D40" s="104"/>
      <c r="E40" s="105"/>
      <c r="F40" s="105"/>
      <c r="G40" s="105"/>
      <c r="H40" s="105"/>
      <c r="I40" s="105"/>
      <c r="J40" s="105"/>
      <c r="K40" s="105"/>
      <c r="L40" s="105"/>
      <c r="M40" s="105"/>
      <c r="N40" s="105"/>
      <c r="O40" s="105"/>
      <c r="P40" s="105"/>
      <c r="Q40" s="105"/>
      <c r="R40" s="105"/>
    </row>
    <row r="41" spans="1:18" s="127" customFormat="1" x14ac:dyDescent="0.2">
      <c r="A41" s="102"/>
      <c r="B41" s="102"/>
      <c r="C41" s="103"/>
      <c r="D41" s="104"/>
      <c r="E41" s="105"/>
      <c r="F41" s="105"/>
      <c r="G41" s="105"/>
      <c r="H41" s="105"/>
      <c r="I41" s="105"/>
      <c r="J41" s="105"/>
      <c r="K41" s="105"/>
      <c r="L41" s="105"/>
      <c r="M41" s="105"/>
      <c r="N41" s="105"/>
      <c r="O41" s="105"/>
      <c r="P41" s="105"/>
      <c r="Q41" s="105"/>
      <c r="R41" s="105"/>
    </row>
    <row r="42" spans="1:18" x14ac:dyDescent="0.2">
      <c r="A42" s="89" t="s">
        <v>398</v>
      </c>
      <c r="B42" s="89"/>
      <c r="C42" s="172"/>
      <c r="D42" s="172"/>
      <c r="E42" s="172"/>
      <c r="F42" s="172"/>
      <c r="G42" s="172"/>
      <c r="H42" s="173"/>
      <c r="I42" s="173"/>
      <c r="J42" s="173"/>
      <c r="K42" s="173"/>
      <c r="L42" s="173"/>
      <c r="M42" s="173"/>
      <c r="N42" s="173"/>
      <c r="O42" s="173"/>
      <c r="P42" s="173"/>
      <c r="Q42" s="173"/>
      <c r="R42" s="173"/>
    </row>
    <row r="43" spans="1:18" x14ac:dyDescent="0.2">
      <c r="A43" s="89" t="s">
        <v>495</v>
      </c>
      <c r="B43" s="89"/>
      <c r="C43" s="172"/>
      <c r="D43" s="172"/>
      <c r="E43" s="172"/>
      <c r="F43" s="172"/>
      <c r="G43" s="172"/>
      <c r="H43" s="173"/>
      <c r="I43" s="173"/>
      <c r="J43" s="173"/>
      <c r="K43" s="173"/>
      <c r="L43" s="173"/>
      <c r="M43" s="173"/>
      <c r="N43" s="173"/>
      <c r="O43" s="173"/>
      <c r="P43" s="173"/>
      <c r="Q43" s="173"/>
      <c r="R43" s="173"/>
    </row>
    <row r="44" spans="1:18" ht="12" thickBot="1" x14ac:dyDescent="0.25">
      <c r="A44" s="89" t="s">
        <v>497</v>
      </c>
      <c r="B44" s="91"/>
      <c r="C44" s="91"/>
      <c r="D44" s="91"/>
      <c r="E44" s="91"/>
      <c r="F44" s="91"/>
      <c r="G44" s="91"/>
      <c r="H44" s="91"/>
      <c r="I44" s="91"/>
      <c r="J44" s="91"/>
      <c r="K44" s="91"/>
      <c r="L44" s="91"/>
      <c r="M44" s="91"/>
      <c r="N44" s="91"/>
      <c r="O44" s="91"/>
      <c r="P44" s="91"/>
      <c r="Q44" s="91"/>
      <c r="R44" s="91"/>
    </row>
    <row r="45" spans="1:18" ht="33" customHeight="1" thickBot="1" x14ac:dyDescent="0.25">
      <c r="A45" s="1249" t="s">
        <v>293</v>
      </c>
      <c r="B45" s="1249" t="s">
        <v>278</v>
      </c>
      <c r="C45" s="1247" t="s">
        <v>103</v>
      </c>
      <c r="D45" s="1251"/>
      <c r="E45" s="1251"/>
      <c r="F45" s="1251"/>
      <c r="G45" s="1251"/>
      <c r="H45" s="1251"/>
      <c r="I45" s="1248"/>
      <c r="J45" s="1247" t="s">
        <v>91</v>
      </c>
      <c r="K45" s="1251"/>
      <c r="L45" s="1251"/>
      <c r="M45" s="1251"/>
      <c r="N45" s="1248"/>
      <c r="O45" s="1247" t="s">
        <v>81</v>
      </c>
      <c r="P45" s="1248"/>
      <c r="Q45" s="1247" t="s">
        <v>0</v>
      </c>
      <c r="R45" s="1248"/>
    </row>
    <row r="46" spans="1:18" ht="137.25" thickBot="1" x14ac:dyDescent="0.25">
      <c r="A46" s="1250"/>
      <c r="B46" s="1250"/>
      <c r="C46" s="174" t="s">
        <v>92</v>
      </c>
      <c r="D46" s="175" t="s">
        <v>93</v>
      </c>
      <c r="E46" s="175" t="s">
        <v>94</v>
      </c>
      <c r="F46" s="175" t="s">
        <v>95</v>
      </c>
      <c r="G46" s="175" t="s">
        <v>96</v>
      </c>
      <c r="H46" s="175" t="s">
        <v>97</v>
      </c>
      <c r="I46" s="176" t="s">
        <v>88</v>
      </c>
      <c r="J46" s="174" t="s">
        <v>98</v>
      </c>
      <c r="K46" s="175" t="s">
        <v>99</v>
      </c>
      <c r="L46" s="175" t="s">
        <v>100</v>
      </c>
      <c r="M46" s="175" t="s">
        <v>101</v>
      </c>
      <c r="N46" s="176" t="s">
        <v>89</v>
      </c>
      <c r="O46" s="174" t="s">
        <v>102</v>
      </c>
      <c r="P46" s="176" t="s">
        <v>90</v>
      </c>
      <c r="Q46" s="177" t="s">
        <v>126</v>
      </c>
      <c r="R46" s="178" t="s">
        <v>79</v>
      </c>
    </row>
    <row r="47" spans="1:18" ht="14.1" customHeight="1" x14ac:dyDescent="0.2">
      <c r="A47" s="179" t="s">
        <v>461</v>
      </c>
      <c r="B47" s="179" t="s">
        <v>462</v>
      </c>
      <c r="C47" s="263"/>
      <c r="D47" s="261">
        <v>16284264</v>
      </c>
      <c r="E47" s="261">
        <v>7544969</v>
      </c>
      <c r="F47" s="261">
        <v>15736748</v>
      </c>
      <c r="G47" s="261">
        <v>0</v>
      </c>
      <c r="H47" s="261">
        <v>324185</v>
      </c>
      <c r="I47" s="262">
        <f>SUM(C47:H47)</f>
        <v>39890166</v>
      </c>
      <c r="J47" s="263"/>
      <c r="K47" s="261"/>
      <c r="L47" s="261">
        <v>6676396</v>
      </c>
      <c r="M47" s="261"/>
      <c r="N47" s="262">
        <f>SUM(J47:M47)</f>
        <v>6676396</v>
      </c>
      <c r="O47" s="261"/>
      <c r="P47" s="262">
        <f>+O47</f>
        <v>0</v>
      </c>
      <c r="Q47" s="263">
        <f>+I47+N47+P47</f>
        <v>46566562</v>
      </c>
      <c r="R47" s="264">
        <f>+Q47/Q80*100</f>
        <v>3.1665408544117235</v>
      </c>
    </row>
    <row r="48" spans="1:18" ht="14.1" customHeight="1" x14ac:dyDescent="0.2">
      <c r="A48" s="180" t="s">
        <v>83</v>
      </c>
      <c r="B48" s="180" t="s">
        <v>463</v>
      </c>
      <c r="C48" s="248"/>
      <c r="D48" s="255"/>
      <c r="E48" s="255"/>
      <c r="F48" s="255"/>
      <c r="G48" s="255"/>
      <c r="H48" s="255"/>
      <c r="I48" s="257">
        <f>SUM(C48:H48)</f>
        <v>0</v>
      </c>
      <c r="J48" s="248"/>
      <c r="K48" s="255"/>
      <c r="L48" s="255">
        <v>2471000</v>
      </c>
      <c r="M48" s="249"/>
      <c r="N48" s="257">
        <f>SUM(J48:M48)</f>
        <v>2471000</v>
      </c>
      <c r="O48" s="255"/>
      <c r="P48" s="257">
        <f>+O48</f>
        <v>0</v>
      </c>
      <c r="Q48" s="248">
        <f>+P48+N48+I48</f>
        <v>2471000</v>
      </c>
      <c r="R48" s="181">
        <f>+Q48/Q80*100</f>
        <v>0.16802877677015041</v>
      </c>
    </row>
    <row r="49" spans="1:18" ht="14.1" customHeight="1" x14ac:dyDescent="0.2">
      <c r="A49" s="180"/>
      <c r="B49" s="180" t="s">
        <v>464</v>
      </c>
      <c r="C49" s="248"/>
      <c r="D49" s="255"/>
      <c r="E49" s="255"/>
      <c r="F49" s="255"/>
      <c r="G49" s="255"/>
      <c r="H49" s="255"/>
      <c r="I49" s="257">
        <f t="shared" ref="I49:I79" si="103">SUM(C49:H49)</f>
        <v>0</v>
      </c>
      <c r="J49" s="248"/>
      <c r="K49" s="255"/>
      <c r="L49" s="255">
        <v>2340464</v>
      </c>
      <c r="M49" s="249"/>
      <c r="N49" s="257">
        <f t="shared" ref="N49:N79" si="104">SUM(J49:M49)</f>
        <v>2340464</v>
      </c>
      <c r="O49" s="255"/>
      <c r="P49" s="257">
        <f t="shared" ref="P49:P79" si="105">+O49</f>
        <v>0</v>
      </c>
      <c r="Q49" s="248">
        <f t="shared" ref="Q49:Q79" si="106">+P49+N49+I49</f>
        <v>2340464</v>
      </c>
      <c r="R49" s="181">
        <f>+Q49/Q80*100</f>
        <v>0.15915228773556184</v>
      </c>
    </row>
    <row r="50" spans="1:18" ht="14.1" customHeight="1" x14ac:dyDescent="0.2">
      <c r="A50" s="180"/>
      <c r="B50" s="180" t="s">
        <v>465</v>
      </c>
      <c r="C50" s="248">
        <v>0</v>
      </c>
      <c r="D50" s="255"/>
      <c r="E50" s="255"/>
      <c r="F50" s="255"/>
      <c r="G50" s="255"/>
      <c r="H50" s="255"/>
      <c r="I50" s="257">
        <f t="shared" si="103"/>
        <v>0</v>
      </c>
      <c r="J50" s="248"/>
      <c r="K50" s="255"/>
      <c r="L50" s="255">
        <v>1103500</v>
      </c>
      <c r="M50" s="249"/>
      <c r="N50" s="257">
        <f t="shared" si="104"/>
        <v>1103500</v>
      </c>
      <c r="O50" s="255"/>
      <c r="P50" s="257">
        <f t="shared" si="105"/>
        <v>0</v>
      </c>
      <c r="Q50" s="248">
        <f t="shared" si="106"/>
        <v>1103500</v>
      </c>
      <c r="R50" s="181">
        <f>+Q50/Q80*100</f>
        <v>7.5038346890271529E-2</v>
      </c>
    </row>
    <row r="51" spans="1:18" ht="14.1" customHeight="1" x14ac:dyDescent="0.2">
      <c r="A51" s="180"/>
      <c r="B51" s="180" t="s">
        <v>466</v>
      </c>
      <c r="C51" s="248"/>
      <c r="D51" s="255">
        <v>3808214</v>
      </c>
      <c r="E51" s="255">
        <v>7699350</v>
      </c>
      <c r="F51" s="255">
        <v>3114897</v>
      </c>
      <c r="G51" s="255"/>
      <c r="H51" s="255"/>
      <c r="I51" s="257">
        <f t="shared" si="103"/>
        <v>14622461</v>
      </c>
      <c r="J51" s="248"/>
      <c r="K51" s="255"/>
      <c r="L51" s="255"/>
      <c r="M51" s="249"/>
      <c r="N51" s="257">
        <f t="shared" si="104"/>
        <v>0</v>
      </c>
      <c r="O51" s="255"/>
      <c r="P51" s="257">
        <f t="shared" si="105"/>
        <v>0</v>
      </c>
      <c r="Q51" s="248">
        <f t="shared" si="106"/>
        <v>14622461</v>
      </c>
      <c r="R51" s="181">
        <f>+Q51/Q80*100</f>
        <v>0.99433194463748698</v>
      </c>
    </row>
    <row r="52" spans="1:18" ht="14.1" customHeight="1" x14ac:dyDescent="0.2">
      <c r="A52" s="180"/>
      <c r="B52" s="180" t="s">
        <v>467</v>
      </c>
      <c r="C52" s="248"/>
      <c r="D52" s="255">
        <v>4571904</v>
      </c>
      <c r="E52" s="255">
        <v>1846945</v>
      </c>
      <c r="F52" s="255">
        <v>1336249</v>
      </c>
      <c r="G52" s="255"/>
      <c r="H52" s="255"/>
      <c r="I52" s="257">
        <f t="shared" si="103"/>
        <v>7755098</v>
      </c>
      <c r="J52" s="248"/>
      <c r="K52" s="255"/>
      <c r="L52" s="255"/>
      <c r="M52" s="249"/>
      <c r="N52" s="257">
        <f t="shared" si="104"/>
        <v>0</v>
      </c>
      <c r="O52" s="255"/>
      <c r="P52" s="257">
        <f t="shared" si="105"/>
        <v>0</v>
      </c>
      <c r="Q52" s="248">
        <f t="shared" si="106"/>
        <v>7755098</v>
      </c>
      <c r="R52" s="181">
        <f>+Q52/Q80*100</f>
        <v>0.52734910185052197</v>
      </c>
    </row>
    <row r="53" spans="1:18" ht="14.1" customHeight="1" x14ac:dyDescent="0.2">
      <c r="A53" s="180"/>
      <c r="B53" s="180" t="s">
        <v>468</v>
      </c>
      <c r="C53" s="248"/>
      <c r="D53" s="255">
        <v>33057075</v>
      </c>
      <c r="E53" s="255">
        <v>71427013</v>
      </c>
      <c r="F53" s="255">
        <v>3867898</v>
      </c>
      <c r="G53" s="255"/>
      <c r="H53" s="255"/>
      <c r="I53" s="257">
        <f t="shared" si="103"/>
        <v>108351986</v>
      </c>
      <c r="J53" s="248"/>
      <c r="K53" s="255"/>
      <c r="L53" s="255"/>
      <c r="M53" s="249"/>
      <c r="N53" s="257">
        <f t="shared" si="104"/>
        <v>0</v>
      </c>
      <c r="O53" s="255"/>
      <c r="P53" s="257">
        <f t="shared" si="105"/>
        <v>0</v>
      </c>
      <c r="Q53" s="248">
        <f t="shared" si="106"/>
        <v>108351986</v>
      </c>
      <c r="R53" s="181">
        <f>+Q53/Q80*100</f>
        <v>7.3679691089423152</v>
      </c>
    </row>
    <row r="54" spans="1:18" ht="14.1" customHeight="1" x14ac:dyDescent="0.2">
      <c r="A54" s="180"/>
      <c r="B54" s="180" t="s">
        <v>469</v>
      </c>
      <c r="C54" s="248"/>
      <c r="D54" s="255">
        <v>102272894</v>
      </c>
      <c r="E54" s="255">
        <v>8798884</v>
      </c>
      <c r="F54" s="255">
        <v>2663535</v>
      </c>
      <c r="G54" s="255"/>
      <c r="H54" s="255"/>
      <c r="I54" s="257">
        <f t="shared" si="103"/>
        <v>113735313</v>
      </c>
      <c r="J54" s="248"/>
      <c r="K54" s="255"/>
      <c r="L54" s="255"/>
      <c r="M54" s="249"/>
      <c r="N54" s="257">
        <f t="shared" si="104"/>
        <v>0</v>
      </c>
      <c r="O54" s="255"/>
      <c r="P54" s="257">
        <f t="shared" si="105"/>
        <v>0</v>
      </c>
      <c r="Q54" s="248">
        <f t="shared" si="106"/>
        <v>113735313</v>
      </c>
      <c r="R54" s="181">
        <f>+Q54/Q80*100</f>
        <v>7.734037037215777</v>
      </c>
    </row>
    <row r="55" spans="1:18" ht="14.1" customHeight="1" x14ac:dyDescent="0.2">
      <c r="A55" s="180"/>
      <c r="B55" s="180" t="s">
        <v>470</v>
      </c>
      <c r="C55" s="248"/>
      <c r="D55" s="255">
        <v>71058252</v>
      </c>
      <c r="E55" s="255">
        <v>1969208</v>
      </c>
      <c r="F55" s="255">
        <v>2916001</v>
      </c>
      <c r="G55" s="255"/>
      <c r="H55" s="255"/>
      <c r="I55" s="257">
        <f t="shared" si="103"/>
        <v>75943461</v>
      </c>
      <c r="J55" s="248"/>
      <c r="K55" s="255"/>
      <c r="L55" s="255"/>
      <c r="M55" s="249"/>
      <c r="N55" s="257">
        <f t="shared" si="104"/>
        <v>0</v>
      </c>
      <c r="O55" s="255"/>
      <c r="P55" s="257">
        <f t="shared" si="105"/>
        <v>0</v>
      </c>
      <c r="Q55" s="248">
        <f t="shared" si="106"/>
        <v>75943461</v>
      </c>
      <c r="R55" s="181">
        <f>+Q55/Q80*100</f>
        <v>5.1641792211742708</v>
      </c>
    </row>
    <row r="56" spans="1:18" ht="14.1" customHeight="1" x14ac:dyDescent="0.2">
      <c r="A56" s="180"/>
      <c r="B56" s="180" t="s">
        <v>471</v>
      </c>
      <c r="C56" s="248"/>
      <c r="D56" s="255">
        <v>104748766</v>
      </c>
      <c r="E56" s="255">
        <v>2870944</v>
      </c>
      <c r="F56" s="255">
        <v>2157143</v>
      </c>
      <c r="G56" s="255"/>
      <c r="H56" s="255"/>
      <c r="I56" s="257">
        <f t="shared" si="103"/>
        <v>109776853</v>
      </c>
      <c r="J56" s="248"/>
      <c r="K56" s="255"/>
      <c r="L56" s="255"/>
      <c r="M56" s="249"/>
      <c r="N56" s="257">
        <f t="shared" si="104"/>
        <v>0</v>
      </c>
      <c r="O56" s="255"/>
      <c r="P56" s="257">
        <f t="shared" si="105"/>
        <v>0</v>
      </c>
      <c r="Q56" s="248">
        <f t="shared" si="106"/>
        <v>109776853</v>
      </c>
      <c r="R56" s="181">
        <f>+Q56/Q80*100</f>
        <v>7.4648605128557728</v>
      </c>
    </row>
    <row r="57" spans="1:18" ht="14.1" customHeight="1" x14ac:dyDescent="0.2">
      <c r="A57" s="180"/>
      <c r="B57" s="180" t="s">
        <v>472</v>
      </c>
      <c r="C57" s="248"/>
      <c r="D57" s="255">
        <v>60695987</v>
      </c>
      <c r="E57" s="255">
        <v>1384730</v>
      </c>
      <c r="F57" s="255">
        <v>1286408</v>
      </c>
      <c r="G57" s="255"/>
      <c r="H57" s="255"/>
      <c r="I57" s="257">
        <f t="shared" si="103"/>
        <v>63367125</v>
      </c>
      <c r="J57" s="248"/>
      <c r="K57" s="255"/>
      <c r="L57" s="255"/>
      <c r="M57" s="249"/>
      <c r="N57" s="257">
        <f t="shared" si="104"/>
        <v>0</v>
      </c>
      <c r="O57" s="255"/>
      <c r="P57" s="257">
        <f t="shared" si="105"/>
        <v>0</v>
      </c>
      <c r="Q57" s="248">
        <f t="shared" si="106"/>
        <v>63367125</v>
      </c>
      <c r="R57" s="181">
        <f>+Q57/Q80*100</f>
        <v>4.3089844197455349</v>
      </c>
    </row>
    <row r="58" spans="1:18" ht="14.1" customHeight="1" x14ac:dyDescent="0.2">
      <c r="A58" s="180"/>
      <c r="B58" s="180" t="s">
        <v>473</v>
      </c>
      <c r="C58" s="248"/>
      <c r="D58" s="255">
        <v>29199379</v>
      </c>
      <c r="E58" s="255">
        <v>634051</v>
      </c>
      <c r="F58" s="255">
        <v>1146913</v>
      </c>
      <c r="G58" s="255"/>
      <c r="H58" s="255"/>
      <c r="I58" s="257">
        <f t="shared" si="103"/>
        <v>30980343</v>
      </c>
      <c r="J58" s="248"/>
      <c r="K58" s="255"/>
      <c r="L58" s="255"/>
      <c r="M58" s="249"/>
      <c r="N58" s="257">
        <f t="shared" si="104"/>
        <v>0</v>
      </c>
      <c r="O58" s="255"/>
      <c r="P58" s="257">
        <f t="shared" si="105"/>
        <v>0</v>
      </c>
      <c r="Q58" s="248">
        <f t="shared" si="106"/>
        <v>30980343</v>
      </c>
      <c r="R58" s="181">
        <f>+Q58/Q80*100</f>
        <v>2.1066730628125017</v>
      </c>
    </row>
    <row r="59" spans="1:18" ht="14.1" customHeight="1" x14ac:dyDescent="0.2">
      <c r="A59" s="180"/>
      <c r="B59" s="180" t="s">
        <v>474</v>
      </c>
      <c r="C59" s="248"/>
      <c r="D59" s="255">
        <v>41562985</v>
      </c>
      <c r="E59" s="255">
        <v>3327474</v>
      </c>
      <c r="F59" s="255">
        <v>1166650</v>
      </c>
      <c r="G59" s="255"/>
      <c r="H59" s="255"/>
      <c r="I59" s="257">
        <f t="shared" si="103"/>
        <v>46057109</v>
      </c>
      <c r="J59" s="248"/>
      <c r="K59" s="255"/>
      <c r="L59" s="255"/>
      <c r="M59" s="249"/>
      <c r="N59" s="257">
        <f t="shared" si="104"/>
        <v>0</v>
      </c>
      <c r="O59" s="255"/>
      <c r="P59" s="257">
        <f t="shared" si="105"/>
        <v>0</v>
      </c>
      <c r="Q59" s="248">
        <f t="shared" si="106"/>
        <v>46057109</v>
      </c>
      <c r="R59" s="181">
        <f>+Q59/Q80*100</f>
        <v>3.1318978902628429</v>
      </c>
    </row>
    <row r="60" spans="1:18" ht="14.1" customHeight="1" x14ac:dyDescent="0.2">
      <c r="A60" s="180"/>
      <c r="B60" s="180" t="s">
        <v>475</v>
      </c>
      <c r="C60" s="248"/>
      <c r="D60" s="255">
        <v>40097581</v>
      </c>
      <c r="E60" s="255">
        <v>386006</v>
      </c>
      <c r="F60" s="255">
        <v>1373765</v>
      </c>
      <c r="G60" s="255"/>
      <c r="H60" s="255"/>
      <c r="I60" s="257">
        <f t="shared" si="103"/>
        <v>41857352</v>
      </c>
      <c r="J60" s="248"/>
      <c r="K60" s="255"/>
      <c r="L60" s="255"/>
      <c r="M60" s="249"/>
      <c r="N60" s="257">
        <f t="shared" si="104"/>
        <v>0</v>
      </c>
      <c r="O60" s="255"/>
      <c r="P60" s="257">
        <f t="shared" si="105"/>
        <v>0</v>
      </c>
      <c r="Q60" s="248">
        <f t="shared" si="106"/>
        <v>41857352</v>
      </c>
      <c r="R60" s="181">
        <f>+Q60/Q80*100</f>
        <v>2.8463130940500236</v>
      </c>
    </row>
    <row r="61" spans="1:18" ht="14.1" customHeight="1" x14ac:dyDescent="0.2">
      <c r="A61" s="180"/>
      <c r="B61" s="180" t="s">
        <v>476</v>
      </c>
      <c r="C61" s="248"/>
      <c r="D61" s="255">
        <v>47631336</v>
      </c>
      <c r="E61" s="255">
        <v>1651118</v>
      </c>
      <c r="F61" s="255">
        <v>1391419</v>
      </c>
      <c r="G61" s="255"/>
      <c r="H61" s="255"/>
      <c r="I61" s="257">
        <f t="shared" si="103"/>
        <v>50673873</v>
      </c>
      <c r="J61" s="248"/>
      <c r="K61" s="255"/>
      <c r="L61" s="255"/>
      <c r="M61" s="249"/>
      <c r="N61" s="257">
        <f t="shared" si="104"/>
        <v>0</v>
      </c>
      <c r="O61" s="255"/>
      <c r="P61" s="257">
        <f t="shared" si="105"/>
        <v>0</v>
      </c>
      <c r="Q61" s="248">
        <f t="shared" si="106"/>
        <v>50673873</v>
      </c>
      <c r="R61" s="181">
        <f>+Q61/Q80*100</f>
        <v>3.4458392935637199</v>
      </c>
    </row>
    <row r="62" spans="1:18" ht="14.1" customHeight="1" x14ac:dyDescent="0.2">
      <c r="A62" s="180"/>
      <c r="B62" s="180" t="s">
        <v>477</v>
      </c>
      <c r="C62" s="248"/>
      <c r="D62" s="255">
        <v>56449566</v>
      </c>
      <c r="E62" s="255">
        <v>2911486</v>
      </c>
      <c r="F62" s="255">
        <v>1005695</v>
      </c>
      <c r="G62" s="255"/>
      <c r="H62" s="255"/>
      <c r="I62" s="257">
        <f t="shared" si="103"/>
        <v>60366747</v>
      </c>
      <c r="J62" s="248"/>
      <c r="K62" s="255"/>
      <c r="L62" s="255"/>
      <c r="M62" s="249"/>
      <c r="N62" s="257">
        <f t="shared" si="104"/>
        <v>0</v>
      </c>
      <c r="O62" s="255"/>
      <c r="P62" s="257">
        <f t="shared" si="105"/>
        <v>0</v>
      </c>
      <c r="Q62" s="248">
        <f t="shared" si="106"/>
        <v>60366747</v>
      </c>
      <c r="R62" s="181">
        <f>+Q62/Q80*100</f>
        <v>4.1049577725629893</v>
      </c>
    </row>
    <row r="63" spans="1:18" ht="14.1" customHeight="1" x14ac:dyDescent="0.2">
      <c r="A63" s="180"/>
      <c r="B63" s="180" t="s">
        <v>478</v>
      </c>
      <c r="C63" s="248"/>
      <c r="D63" s="255">
        <v>163861316</v>
      </c>
      <c r="E63" s="255">
        <v>4065001</v>
      </c>
      <c r="F63" s="255">
        <v>5430502</v>
      </c>
      <c r="G63" s="255"/>
      <c r="H63" s="255"/>
      <c r="I63" s="257">
        <f t="shared" si="103"/>
        <v>173356819</v>
      </c>
      <c r="J63" s="248"/>
      <c r="K63" s="255"/>
      <c r="L63" s="255"/>
      <c r="M63" s="249"/>
      <c r="N63" s="257">
        <f t="shared" si="104"/>
        <v>0</v>
      </c>
      <c r="O63" s="255"/>
      <c r="P63" s="257">
        <f t="shared" si="105"/>
        <v>0</v>
      </c>
      <c r="Q63" s="248">
        <f t="shared" si="106"/>
        <v>173356819</v>
      </c>
      <c r="R63" s="181">
        <f>+Q63/Q80*100</f>
        <v>11.78831818750885</v>
      </c>
    </row>
    <row r="64" spans="1:18" ht="14.1" customHeight="1" x14ac:dyDescent="0.2">
      <c r="A64" s="180"/>
      <c r="B64" s="180" t="s">
        <v>479</v>
      </c>
      <c r="C64" s="248"/>
      <c r="D64" s="255">
        <v>23163163</v>
      </c>
      <c r="E64" s="255">
        <v>691513</v>
      </c>
      <c r="F64" s="255">
        <v>544568</v>
      </c>
      <c r="G64" s="255"/>
      <c r="H64" s="255"/>
      <c r="I64" s="257">
        <f t="shared" si="103"/>
        <v>24399244</v>
      </c>
      <c r="J64" s="248"/>
      <c r="K64" s="255"/>
      <c r="L64" s="255"/>
      <c r="M64" s="249"/>
      <c r="N64" s="257">
        <f t="shared" si="104"/>
        <v>0</v>
      </c>
      <c r="O64" s="255"/>
      <c r="P64" s="257">
        <f t="shared" si="105"/>
        <v>0</v>
      </c>
      <c r="Q64" s="248">
        <f t="shared" si="106"/>
        <v>24399244</v>
      </c>
      <c r="R64" s="181">
        <f>+Q64/Q80*100</f>
        <v>1.6591562620139344</v>
      </c>
    </row>
    <row r="65" spans="1:18" ht="14.1" customHeight="1" x14ac:dyDescent="0.2">
      <c r="A65" s="180"/>
      <c r="B65" s="180" t="s">
        <v>480</v>
      </c>
      <c r="C65" s="248"/>
      <c r="D65" s="255">
        <v>21465891</v>
      </c>
      <c r="E65" s="255">
        <v>924763</v>
      </c>
      <c r="F65" s="255">
        <v>679159</v>
      </c>
      <c r="G65" s="255"/>
      <c r="H65" s="255"/>
      <c r="I65" s="257">
        <f t="shared" si="103"/>
        <v>23069813</v>
      </c>
      <c r="J65" s="248"/>
      <c r="K65" s="255"/>
      <c r="L65" s="255"/>
      <c r="M65" s="249"/>
      <c r="N65" s="257">
        <f t="shared" si="104"/>
        <v>0</v>
      </c>
      <c r="O65" s="255"/>
      <c r="P65" s="257">
        <f t="shared" si="105"/>
        <v>0</v>
      </c>
      <c r="Q65" s="248">
        <f t="shared" si="106"/>
        <v>23069813</v>
      </c>
      <c r="R65" s="181">
        <f>+Q65/Q80*100</f>
        <v>1.5687545361012196</v>
      </c>
    </row>
    <row r="66" spans="1:18" ht="14.1" customHeight="1" x14ac:dyDescent="0.2">
      <c r="A66" s="180"/>
      <c r="B66" s="180" t="s">
        <v>481</v>
      </c>
      <c r="C66" s="248"/>
      <c r="D66" s="255">
        <v>42135150</v>
      </c>
      <c r="E66" s="255">
        <v>1249498</v>
      </c>
      <c r="F66" s="255">
        <v>943375</v>
      </c>
      <c r="G66" s="255"/>
      <c r="H66" s="255"/>
      <c r="I66" s="257">
        <f t="shared" si="103"/>
        <v>44328023</v>
      </c>
      <c r="J66" s="248"/>
      <c r="K66" s="255"/>
      <c r="L66" s="255"/>
      <c r="M66" s="249"/>
      <c r="N66" s="257">
        <f t="shared" si="104"/>
        <v>0</v>
      </c>
      <c r="O66" s="255"/>
      <c r="P66" s="257">
        <f t="shared" si="105"/>
        <v>0</v>
      </c>
      <c r="Q66" s="248">
        <f t="shared" si="106"/>
        <v>44328023</v>
      </c>
      <c r="R66" s="181">
        <f>+Q66/Q80*100</f>
        <v>3.0143194987167514</v>
      </c>
    </row>
    <row r="67" spans="1:18" ht="14.1" customHeight="1" x14ac:dyDescent="0.2">
      <c r="A67" s="180"/>
      <c r="B67" s="180" t="s">
        <v>482</v>
      </c>
      <c r="C67" s="248"/>
      <c r="D67" s="255">
        <v>35772087</v>
      </c>
      <c r="E67" s="255">
        <v>18000</v>
      </c>
      <c r="F67" s="255">
        <v>1184481</v>
      </c>
      <c r="G67" s="255"/>
      <c r="H67" s="255"/>
      <c r="I67" s="257">
        <f t="shared" si="103"/>
        <v>36974568</v>
      </c>
      <c r="J67" s="248"/>
      <c r="K67" s="255"/>
      <c r="L67" s="255"/>
      <c r="M67" s="249"/>
      <c r="N67" s="257">
        <f t="shared" si="104"/>
        <v>0</v>
      </c>
      <c r="O67" s="255"/>
      <c r="P67" s="257">
        <f t="shared" si="105"/>
        <v>0</v>
      </c>
      <c r="Q67" s="248">
        <f t="shared" si="106"/>
        <v>36974568</v>
      </c>
      <c r="R67" s="181">
        <f>+Q67/Q80*100</f>
        <v>2.5142822471245432</v>
      </c>
    </row>
    <row r="68" spans="1:18" ht="14.1" customHeight="1" x14ac:dyDescent="0.2">
      <c r="A68" s="180"/>
      <c r="B68" s="180" t="s">
        <v>483</v>
      </c>
      <c r="C68" s="248"/>
      <c r="D68" s="255">
        <v>15162290</v>
      </c>
      <c r="E68" s="255">
        <v>12251785</v>
      </c>
      <c r="F68" s="255">
        <v>8307943</v>
      </c>
      <c r="G68" s="255"/>
      <c r="H68" s="255"/>
      <c r="I68" s="257">
        <f t="shared" si="103"/>
        <v>35722018</v>
      </c>
      <c r="J68" s="248"/>
      <c r="K68" s="255"/>
      <c r="L68" s="255"/>
      <c r="M68" s="249"/>
      <c r="N68" s="257">
        <f t="shared" si="104"/>
        <v>0</v>
      </c>
      <c r="O68" s="255"/>
      <c r="P68" s="257">
        <f t="shared" si="105"/>
        <v>0</v>
      </c>
      <c r="Q68" s="248">
        <f t="shared" si="106"/>
        <v>35722018</v>
      </c>
      <c r="R68" s="181">
        <f>+Q68/Q80*100</f>
        <v>2.4291084533797225</v>
      </c>
    </row>
    <row r="69" spans="1:18" ht="14.1" customHeight="1" x14ac:dyDescent="0.2">
      <c r="A69" s="180"/>
      <c r="B69" s="180" t="s">
        <v>484</v>
      </c>
      <c r="C69" s="248"/>
      <c r="D69" s="255">
        <v>29222389</v>
      </c>
      <c r="E69" s="255">
        <v>10000</v>
      </c>
      <c r="F69" s="255">
        <v>7091676</v>
      </c>
      <c r="G69" s="255"/>
      <c r="H69" s="255">
        <v>476392</v>
      </c>
      <c r="I69" s="257">
        <f t="shared" si="103"/>
        <v>36800457</v>
      </c>
      <c r="J69" s="248"/>
      <c r="K69" s="255"/>
      <c r="L69" s="255">
        <v>22400</v>
      </c>
      <c r="M69" s="249"/>
      <c r="N69" s="257">
        <f t="shared" si="104"/>
        <v>22400</v>
      </c>
      <c r="O69" s="255"/>
      <c r="P69" s="257">
        <f t="shared" si="105"/>
        <v>0</v>
      </c>
      <c r="Q69" s="248">
        <f t="shared" si="106"/>
        <v>36822857</v>
      </c>
      <c r="R69" s="181">
        <f>+Q69/Q80*100</f>
        <v>2.5039658514334966</v>
      </c>
    </row>
    <row r="70" spans="1:18" ht="14.1" customHeight="1" x14ac:dyDescent="0.2">
      <c r="A70" s="180"/>
      <c r="B70" s="180" t="s">
        <v>485</v>
      </c>
      <c r="C70" s="248">
        <v>0</v>
      </c>
      <c r="D70" s="255">
        <v>39328658</v>
      </c>
      <c r="E70" s="255">
        <v>10000</v>
      </c>
      <c r="F70" s="255">
        <v>11561281</v>
      </c>
      <c r="G70" s="255"/>
      <c r="H70" s="255"/>
      <c r="I70" s="257">
        <f t="shared" si="103"/>
        <v>50899939</v>
      </c>
      <c r="J70" s="248"/>
      <c r="K70" s="255"/>
      <c r="L70" s="255">
        <v>18630</v>
      </c>
      <c r="M70" s="249"/>
      <c r="N70" s="257">
        <f t="shared" si="104"/>
        <v>18630</v>
      </c>
      <c r="O70" s="255"/>
      <c r="P70" s="257">
        <f t="shared" si="105"/>
        <v>0</v>
      </c>
      <c r="Q70" s="248">
        <f t="shared" si="106"/>
        <v>50918569</v>
      </c>
      <c r="R70" s="181">
        <f>+Q70/Q80*100</f>
        <v>3.4624786984850267</v>
      </c>
    </row>
    <row r="71" spans="1:18" ht="14.1" customHeight="1" x14ac:dyDescent="0.2">
      <c r="A71" s="180"/>
      <c r="B71" s="180" t="s">
        <v>486</v>
      </c>
      <c r="C71" s="248"/>
      <c r="D71" s="255">
        <v>34597764</v>
      </c>
      <c r="E71" s="255">
        <v>29000</v>
      </c>
      <c r="F71" s="255">
        <v>8094739</v>
      </c>
      <c r="G71" s="255"/>
      <c r="H71" s="255"/>
      <c r="I71" s="257">
        <f t="shared" si="103"/>
        <v>42721503</v>
      </c>
      <c r="J71" s="248"/>
      <c r="K71" s="255"/>
      <c r="L71" s="255"/>
      <c r="M71" s="249"/>
      <c r="N71" s="257">
        <f t="shared" si="104"/>
        <v>0</v>
      </c>
      <c r="O71" s="255"/>
      <c r="P71" s="257">
        <f t="shared" si="105"/>
        <v>0</v>
      </c>
      <c r="Q71" s="248">
        <f t="shared" si="106"/>
        <v>42721503</v>
      </c>
      <c r="R71" s="181">
        <f>+Q71/Q80*100</f>
        <v>2.9050756336998425</v>
      </c>
    </row>
    <row r="72" spans="1:18" ht="14.1" customHeight="1" x14ac:dyDescent="0.2">
      <c r="A72" s="180"/>
      <c r="B72" s="180" t="s">
        <v>487</v>
      </c>
      <c r="C72" s="248"/>
      <c r="D72" s="255">
        <v>18939022</v>
      </c>
      <c r="E72" s="255">
        <v>10000</v>
      </c>
      <c r="F72" s="255">
        <v>9865988</v>
      </c>
      <c r="G72" s="255"/>
      <c r="H72" s="255"/>
      <c r="I72" s="257">
        <f t="shared" si="103"/>
        <v>28815010</v>
      </c>
      <c r="J72" s="248"/>
      <c r="K72" s="255"/>
      <c r="L72" s="255">
        <v>22400</v>
      </c>
      <c r="M72" s="249"/>
      <c r="N72" s="257">
        <f t="shared" si="104"/>
        <v>22400</v>
      </c>
      <c r="O72" s="255"/>
      <c r="P72" s="257">
        <f t="shared" si="105"/>
        <v>0</v>
      </c>
      <c r="Q72" s="248">
        <f t="shared" si="106"/>
        <v>28837410</v>
      </c>
      <c r="R72" s="181">
        <f>+Q72/Q80*100</f>
        <v>1.9609529451717129</v>
      </c>
    </row>
    <row r="73" spans="1:18" ht="14.1" customHeight="1" x14ac:dyDescent="0.2">
      <c r="A73" s="180" t="s">
        <v>83</v>
      </c>
      <c r="B73" s="180" t="s">
        <v>488</v>
      </c>
      <c r="C73" s="246"/>
      <c r="D73" s="255">
        <v>39125825</v>
      </c>
      <c r="E73" s="255">
        <v>10000</v>
      </c>
      <c r="F73" s="255">
        <v>14498463</v>
      </c>
      <c r="G73" s="255"/>
      <c r="H73" s="255"/>
      <c r="I73" s="257">
        <f t="shared" si="103"/>
        <v>53634288</v>
      </c>
      <c r="J73" s="246"/>
      <c r="K73" s="255"/>
      <c r="L73" s="255">
        <v>22400</v>
      </c>
      <c r="M73" s="247"/>
      <c r="N73" s="257">
        <f t="shared" si="104"/>
        <v>22400</v>
      </c>
      <c r="O73" s="255"/>
      <c r="P73" s="257">
        <f t="shared" si="105"/>
        <v>0</v>
      </c>
      <c r="Q73" s="248">
        <f t="shared" si="106"/>
        <v>53656688</v>
      </c>
      <c r="R73" s="181">
        <f>+Q73/Q80*100</f>
        <v>3.6486716512252562</v>
      </c>
    </row>
    <row r="74" spans="1:18" ht="14.1" customHeight="1" x14ac:dyDescent="0.2">
      <c r="A74" s="180" t="s">
        <v>83</v>
      </c>
      <c r="B74" s="180" t="s">
        <v>489</v>
      </c>
      <c r="C74" s="246"/>
      <c r="D74" s="255">
        <v>9998495</v>
      </c>
      <c r="E74" s="255">
        <v>4884</v>
      </c>
      <c r="F74" s="255">
        <v>7278547</v>
      </c>
      <c r="G74" s="255"/>
      <c r="H74" s="255"/>
      <c r="I74" s="257">
        <f t="shared" si="103"/>
        <v>17281926</v>
      </c>
      <c r="J74" s="246"/>
      <c r="K74" s="255"/>
      <c r="L74" s="255"/>
      <c r="M74" s="247"/>
      <c r="N74" s="257">
        <f t="shared" si="104"/>
        <v>0</v>
      </c>
      <c r="O74" s="255"/>
      <c r="P74" s="257">
        <f t="shared" si="105"/>
        <v>0</v>
      </c>
      <c r="Q74" s="248">
        <f t="shared" si="106"/>
        <v>17281926</v>
      </c>
      <c r="R74" s="181">
        <f>+Q74/Q80*100</f>
        <v>1.1751764006524719</v>
      </c>
    </row>
    <row r="75" spans="1:18" ht="14.1" customHeight="1" x14ac:dyDescent="0.2">
      <c r="A75" s="180" t="s">
        <v>83</v>
      </c>
      <c r="B75" s="180" t="s">
        <v>490</v>
      </c>
      <c r="C75" s="248"/>
      <c r="D75" s="255">
        <v>51799271</v>
      </c>
      <c r="E75" s="255">
        <v>5000</v>
      </c>
      <c r="F75" s="255">
        <v>12388555</v>
      </c>
      <c r="G75" s="255"/>
      <c r="H75" s="255">
        <v>339558</v>
      </c>
      <c r="I75" s="257">
        <f t="shared" si="103"/>
        <v>64532384</v>
      </c>
      <c r="J75" s="248"/>
      <c r="K75" s="255"/>
      <c r="L75" s="255">
        <v>67200</v>
      </c>
      <c r="M75" s="249"/>
      <c r="N75" s="257">
        <f t="shared" si="104"/>
        <v>67200</v>
      </c>
      <c r="O75" s="255"/>
      <c r="P75" s="257">
        <f t="shared" si="105"/>
        <v>0</v>
      </c>
      <c r="Q75" s="248">
        <f t="shared" si="106"/>
        <v>64599584</v>
      </c>
      <c r="R75" s="181">
        <f>+Q75/Q80*100</f>
        <v>4.3927920191746583</v>
      </c>
    </row>
    <row r="76" spans="1:18" ht="14.1" customHeight="1" x14ac:dyDescent="0.2">
      <c r="A76" s="180" t="s">
        <v>83</v>
      </c>
      <c r="B76" s="180" t="s">
        <v>491</v>
      </c>
      <c r="C76" s="248"/>
      <c r="D76" s="255">
        <v>8155194</v>
      </c>
      <c r="E76" s="255"/>
      <c r="F76" s="255">
        <v>1330565</v>
      </c>
      <c r="G76" s="255"/>
      <c r="H76" s="255"/>
      <c r="I76" s="257">
        <f t="shared" si="103"/>
        <v>9485759</v>
      </c>
      <c r="J76" s="248"/>
      <c r="K76" s="255"/>
      <c r="L76" s="255"/>
      <c r="M76" s="249"/>
      <c r="N76" s="257">
        <f t="shared" si="104"/>
        <v>0</v>
      </c>
      <c r="O76" s="255"/>
      <c r="P76" s="257">
        <f t="shared" si="105"/>
        <v>0</v>
      </c>
      <c r="Q76" s="248">
        <f t="shared" si="106"/>
        <v>9485759</v>
      </c>
      <c r="R76" s="181">
        <f>+Q76/Q80*100</f>
        <v>0.64503459389172202</v>
      </c>
    </row>
    <row r="77" spans="1:18" ht="14.1" customHeight="1" x14ac:dyDescent="0.2">
      <c r="A77" s="180"/>
      <c r="B77" s="180" t="s">
        <v>492</v>
      </c>
      <c r="C77" s="248"/>
      <c r="D77" s="255">
        <v>12696622</v>
      </c>
      <c r="E77" s="255"/>
      <c r="F77" s="255">
        <v>2460356</v>
      </c>
      <c r="G77" s="255"/>
      <c r="H77" s="255"/>
      <c r="I77" s="257">
        <f t="shared" si="103"/>
        <v>15156978</v>
      </c>
      <c r="J77" s="248"/>
      <c r="K77" s="255"/>
      <c r="L77" s="255"/>
      <c r="M77" s="249"/>
      <c r="N77" s="257">
        <f t="shared" si="104"/>
        <v>0</v>
      </c>
      <c r="O77" s="255"/>
      <c r="P77" s="257">
        <f t="shared" si="105"/>
        <v>0</v>
      </c>
      <c r="Q77" s="248">
        <f t="shared" si="106"/>
        <v>15156978</v>
      </c>
      <c r="R77" s="181">
        <f>+Q77/Q80*100</f>
        <v>1.0306792686653503</v>
      </c>
    </row>
    <row r="78" spans="1:18" ht="14.1" customHeight="1" x14ac:dyDescent="0.2">
      <c r="A78" s="180" t="s">
        <v>83</v>
      </c>
      <c r="B78" s="180" t="s">
        <v>493</v>
      </c>
      <c r="C78" s="248"/>
      <c r="D78" s="255">
        <v>14447286</v>
      </c>
      <c r="E78" s="255"/>
      <c r="F78" s="255">
        <v>2974858</v>
      </c>
      <c r="G78" s="255"/>
      <c r="H78" s="255"/>
      <c r="I78" s="257">
        <f t="shared" si="103"/>
        <v>17422144</v>
      </c>
      <c r="J78" s="248"/>
      <c r="K78" s="255"/>
      <c r="L78" s="255"/>
      <c r="M78" s="249"/>
      <c r="N78" s="257">
        <f t="shared" si="104"/>
        <v>0</v>
      </c>
      <c r="O78" s="255"/>
      <c r="P78" s="257">
        <f t="shared" si="105"/>
        <v>0</v>
      </c>
      <c r="Q78" s="248">
        <f t="shared" si="106"/>
        <v>17422144</v>
      </c>
      <c r="R78" s="181">
        <f>+Q78/Q80*100</f>
        <v>1.1847112687306416</v>
      </c>
    </row>
    <row r="79" spans="1:18" ht="14.1" customHeight="1" thickBot="1" x14ac:dyDescent="0.25">
      <c r="A79" s="182" t="s">
        <v>11</v>
      </c>
      <c r="B79" s="182" t="s">
        <v>494</v>
      </c>
      <c r="C79" s="258"/>
      <c r="D79" s="255">
        <v>14149111</v>
      </c>
      <c r="E79" s="255"/>
      <c r="F79" s="255">
        <v>5709176</v>
      </c>
      <c r="G79" s="255"/>
      <c r="H79" s="255"/>
      <c r="I79" s="257">
        <f t="shared" si="103"/>
        <v>19858287</v>
      </c>
      <c r="J79" s="258"/>
      <c r="K79" s="255"/>
      <c r="L79" s="255"/>
      <c r="M79" s="259"/>
      <c r="N79" s="257">
        <f t="shared" si="104"/>
        <v>0</v>
      </c>
      <c r="O79" s="255"/>
      <c r="P79" s="257">
        <f t="shared" si="105"/>
        <v>0</v>
      </c>
      <c r="Q79" s="248">
        <f t="shared" si="106"/>
        <v>19858287</v>
      </c>
      <c r="R79" s="181">
        <f>+Q79/Q80*100</f>
        <v>1.3503697585433345</v>
      </c>
    </row>
    <row r="80" spans="1:18" ht="24.75" customHeight="1" thickBot="1" x14ac:dyDescent="0.25">
      <c r="A80" s="183" t="s">
        <v>72</v>
      </c>
      <c r="B80" s="183" t="s">
        <v>72</v>
      </c>
      <c r="C80" s="251"/>
      <c r="D80" s="252">
        <f>SUM(D47:D79)</f>
        <v>1185457737</v>
      </c>
      <c r="E80" s="252">
        <f t="shared" ref="E80:Q80" si="107">SUM(E47:E79)</f>
        <v>131731622</v>
      </c>
      <c r="F80" s="252">
        <f t="shared" si="107"/>
        <v>139507553</v>
      </c>
      <c r="G80" s="252">
        <f t="shared" si="107"/>
        <v>0</v>
      </c>
      <c r="H80" s="252">
        <f t="shared" si="107"/>
        <v>1140135</v>
      </c>
      <c r="I80" s="252">
        <f t="shared" si="107"/>
        <v>1457837047</v>
      </c>
      <c r="J80" s="252">
        <f t="shared" si="107"/>
        <v>0</v>
      </c>
      <c r="K80" s="252">
        <f t="shared" si="107"/>
        <v>0</v>
      </c>
      <c r="L80" s="252">
        <f t="shared" si="107"/>
        <v>12744390</v>
      </c>
      <c r="M80" s="252">
        <f t="shared" si="107"/>
        <v>0</v>
      </c>
      <c r="N80" s="252">
        <f t="shared" si="107"/>
        <v>12744390</v>
      </c>
      <c r="O80" s="252">
        <f t="shared" si="107"/>
        <v>0</v>
      </c>
      <c r="P80" s="252">
        <f t="shared" si="107"/>
        <v>0</v>
      </c>
      <c r="Q80" s="252">
        <f t="shared" si="107"/>
        <v>1470581437</v>
      </c>
      <c r="R80" s="184">
        <f>SUM(R47:R79)</f>
        <v>100.00000000000001</v>
      </c>
    </row>
    <row r="82" spans="1:18" x14ac:dyDescent="0.2">
      <c r="A82" s="89" t="s">
        <v>398</v>
      </c>
      <c r="B82" s="89"/>
      <c r="C82" s="172"/>
      <c r="D82" s="172"/>
      <c r="E82" s="172"/>
      <c r="F82" s="172"/>
      <c r="G82" s="172"/>
      <c r="H82" s="173"/>
      <c r="I82" s="173"/>
      <c r="J82" s="173"/>
      <c r="K82" s="173"/>
      <c r="L82" s="173"/>
      <c r="M82" s="173"/>
      <c r="N82" s="173"/>
      <c r="O82" s="173"/>
      <c r="P82" s="173"/>
      <c r="Q82" s="173"/>
      <c r="R82" s="173"/>
    </row>
    <row r="83" spans="1:18" x14ac:dyDescent="0.2">
      <c r="A83" s="89" t="s">
        <v>495</v>
      </c>
      <c r="B83" s="89"/>
      <c r="C83" s="172"/>
      <c r="D83" s="172"/>
      <c r="E83" s="172"/>
      <c r="F83" s="172"/>
      <c r="G83" s="172"/>
      <c r="H83" s="173"/>
      <c r="I83" s="173"/>
      <c r="J83" s="173"/>
      <c r="K83" s="173"/>
      <c r="L83" s="173"/>
      <c r="M83" s="173"/>
      <c r="N83" s="173"/>
      <c r="O83" s="173"/>
      <c r="P83" s="173"/>
      <c r="Q83" s="173"/>
      <c r="R83" s="173"/>
    </row>
    <row r="84" spans="1:18" ht="12" thickBot="1" x14ac:dyDescent="0.25">
      <c r="A84" s="89" t="s">
        <v>498</v>
      </c>
      <c r="B84" s="91"/>
      <c r="C84" s="91"/>
      <c r="D84" s="91"/>
      <c r="E84" s="91"/>
      <c r="F84" s="91"/>
      <c r="G84" s="91"/>
      <c r="H84" s="91"/>
      <c r="I84" s="91"/>
      <c r="J84" s="91"/>
      <c r="K84" s="91"/>
      <c r="L84" s="91"/>
      <c r="M84" s="91"/>
      <c r="N84" s="91"/>
      <c r="O84" s="91"/>
      <c r="P84" s="91"/>
      <c r="Q84" s="91"/>
      <c r="R84" s="91"/>
    </row>
    <row r="85" spans="1:18" ht="26.25" customHeight="1" thickBot="1" x14ac:dyDescent="0.25">
      <c r="A85" s="1249" t="s">
        <v>293</v>
      </c>
      <c r="B85" s="1249" t="s">
        <v>278</v>
      </c>
      <c r="C85" s="1247" t="s">
        <v>103</v>
      </c>
      <c r="D85" s="1251"/>
      <c r="E85" s="1251"/>
      <c r="F85" s="1251"/>
      <c r="G85" s="1251"/>
      <c r="H85" s="1251"/>
      <c r="I85" s="1248"/>
      <c r="J85" s="1247" t="s">
        <v>91</v>
      </c>
      <c r="K85" s="1251"/>
      <c r="L85" s="1251"/>
      <c r="M85" s="1251"/>
      <c r="N85" s="1248"/>
      <c r="O85" s="1247" t="s">
        <v>81</v>
      </c>
      <c r="P85" s="1248"/>
      <c r="Q85" s="1247" t="s">
        <v>0</v>
      </c>
      <c r="R85" s="1248"/>
    </row>
    <row r="86" spans="1:18" ht="137.25" thickBot="1" x14ac:dyDescent="0.25">
      <c r="A86" s="1250"/>
      <c r="B86" s="1250"/>
      <c r="C86" s="174" t="s">
        <v>92</v>
      </c>
      <c r="D86" s="175" t="s">
        <v>93</v>
      </c>
      <c r="E86" s="175" t="s">
        <v>94</v>
      </c>
      <c r="F86" s="175" t="s">
        <v>95</v>
      </c>
      <c r="G86" s="175" t="s">
        <v>96</v>
      </c>
      <c r="H86" s="175" t="s">
        <v>97</v>
      </c>
      <c r="I86" s="176" t="s">
        <v>88</v>
      </c>
      <c r="J86" s="174" t="s">
        <v>98</v>
      </c>
      <c r="K86" s="175" t="s">
        <v>99</v>
      </c>
      <c r="L86" s="175" t="s">
        <v>100</v>
      </c>
      <c r="M86" s="175" t="s">
        <v>101</v>
      </c>
      <c r="N86" s="176" t="s">
        <v>89</v>
      </c>
      <c r="O86" s="174" t="s">
        <v>102</v>
      </c>
      <c r="P86" s="176" t="s">
        <v>90</v>
      </c>
      <c r="Q86" s="177" t="s">
        <v>126</v>
      </c>
      <c r="R86" s="178" t="s">
        <v>79</v>
      </c>
    </row>
    <row r="87" spans="1:18" ht="14.1" customHeight="1" x14ac:dyDescent="0.2">
      <c r="A87" s="179" t="s">
        <v>461</v>
      </c>
      <c r="B87" s="179" t="s">
        <v>462</v>
      </c>
      <c r="C87" s="263"/>
      <c r="D87" s="261"/>
      <c r="E87" s="261"/>
      <c r="F87" s="261">
        <v>10088108</v>
      </c>
      <c r="G87" s="261"/>
      <c r="H87" s="261">
        <v>625772</v>
      </c>
      <c r="I87" s="262">
        <f>SUM(C87:H87)</f>
        <v>10713880</v>
      </c>
      <c r="J87" s="263"/>
      <c r="K87" s="261"/>
      <c r="L87" s="261"/>
      <c r="M87" s="261"/>
      <c r="N87" s="262">
        <f>SUM(J87:M87)</f>
        <v>0</v>
      </c>
      <c r="O87" s="261"/>
      <c r="P87" s="262">
        <f>+O87</f>
        <v>0</v>
      </c>
      <c r="Q87" s="263">
        <f>+I87+N87+P87</f>
        <v>10713880</v>
      </c>
      <c r="R87" s="264">
        <f>+Q87/Q120*100</f>
        <v>34.235023351589447</v>
      </c>
    </row>
    <row r="88" spans="1:18" ht="14.1" customHeight="1" x14ac:dyDescent="0.2">
      <c r="A88" s="180" t="s">
        <v>83</v>
      </c>
      <c r="B88" s="180" t="s">
        <v>463</v>
      </c>
      <c r="C88" s="248"/>
      <c r="D88" s="255"/>
      <c r="E88" s="255"/>
      <c r="F88" s="255"/>
      <c r="G88" s="255"/>
      <c r="H88" s="255"/>
      <c r="I88" s="257">
        <f>SUM(C88:H88)</f>
        <v>0</v>
      </c>
      <c r="J88" s="248"/>
      <c r="K88" s="255"/>
      <c r="L88" s="255"/>
      <c r="M88" s="249"/>
      <c r="N88" s="257">
        <f>SUM(J88:M88)</f>
        <v>0</v>
      </c>
      <c r="O88" s="255"/>
      <c r="P88" s="257">
        <f>+O88</f>
        <v>0</v>
      </c>
      <c r="Q88" s="248">
        <f>+P88+N88+I88</f>
        <v>0</v>
      </c>
      <c r="R88" s="181">
        <f>+Q88/Q120*100</f>
        <v>0</v>
      </c>
    </row>
    <row r="89" spans="1:18" ht="14.1" customHeight="1" x14ac:dyDescent="0.2">
      <c r="A89" s="180"/>
      <c r="B89" s="180" t="s">
        <v>464</v>
      </c>
      <c r="C89" s="248"/>
      <c r="D89" s="255"/>
      <c r="E89" s="255"/>
      <c r="F89" s="255"/>
      <c r="G89" s="255"/>
      <c r="H89" s="255"/>
      <c r="I89" s="257">
        <f t="shared" ref="I89:I119" si="108">SUM(C89:H89)</f>
        <v>0</v>
      </c>
      <c r="J89" s="248"/>
      <c r="K89" s="255"/>
      <c r="L89" s="255"/>
      <c r="M89" s="249"/>
      <c r="N89" s="257">
        <f t="shared" ref="N89:N119" si="109">SUM(J89:M89)</f>
        <v>0</v>
      </c>
      <c r="O89" s="255"/>
      <c r="P89" s="257">
        <f t="shared" ref="P89:P119" si="110">+O89</f>
        <v>0</v>
      </c>
      <c r="Q89" s="248">
        <f t="shared" ref="Q89:Q119" si="111">+P89+N89+I89</f>
        <v>0</v>
      </c>
      <c r="R89" s="181">
        <f>+Q89/Q120*100</f>
        <v>0</v>
      </c>
    </row>
    <row r="90" spans="1:18" ht="14.1" customHeight="1" x14ac:dyDescent="0.2">
      <c r="A90" s="180"/>
      <c r="B90" s="180" t="s">
        <v>465</v>
      </c>
      <c r="C90" s="248"/>
      <c r="D90" s="255"/>
      <c r="E90" s="255"/>
      <c r="F90" s="255"/>
      <c r="G90" s="255"/>
      <c r="H90" s="255"/>
      <c r="I90" s="257">
        <f t="shared" si="108"/>
        <v>0</v>
      </c>
      <c r="J90" s="248"/>
      <c r="K90" s="255"/>
      <c r="L90" s="255"/>
      <c r="M90" s="249"/>
      <c r="N90" s="257">
        <f t="shared" si="109"/>
        <v>0</v>
      </c>
      <c r="O90" s="255"/>
      <c r="P90" s="257">
        <f t="shared" si="110"/>
        <v>0</v>
      </c>
      <c r="Q90" s="248">
        <f t="shared" si="111"/>
        <v>0</v>
      </c>
      <c r="R90" s="181">
        <f>+Q90/Q120*100</f>
        <v>0</v>
      </c>
    </row>
    <row r="91" spans="1:18" ht="14.1" customHeight="1" x14ac:dyDescent="0.2">
      <c r="A91" s="180"/>
      <c r="B91" s="180" t="s">
        <v>466</v>
      </c>
      <c r="C91" s="248"/>
      <c r="D91" s="255"/>
      <c r="E91" s="255"/>
      <c r="F91" s="255">
        <v>1000000</v>
      </c>
      <c r="G91" s="255"/>
      <c r="H91" s="255">
        <v>118752</v>
      </c>
      <c r="I91" s="257">
        <f t="shared" si="108"/>
        <v>1118752</v>
      </c>
      <c r="J91" s="248"/>
      <c r="K91" s="255"/>
      <c r="L91" s="255"/>
      <c r="M91" s="249"/>
      <c r="N91" s="257">
        <f t="shared" si="109"/>
        <v>0</v>
      </c>
      <c r="O91" s="255"/>
      <c r="P91" s="257">
        <f t="shared" si="110"/>
        <v>0</v>
      </c>
      <c r="Q91" s="248">
        <f t="shared" si="111"/>
        <v>1118752</v>
      </c>
      <c r="R91" s="181">
        <f>+Q91/Q120*100</f>
        <v>3.5748487797732849</v>
      </c>
    </row>
    <row r="92" spans="1:18" ht="14.1" customHeight="1" x14ac:dyDescent="0.2">
      <c r="A92" s="180"/>
      <c r="B92" s="180" t="s">
        <v>467</v>
      </c>
      <c r="C92" s="248"/>
      <c r="D92" s="255"/>
      <c r="E92" s="255"/>
      <c r="F92" s="255">
        <v>3640000</v>
      </c>
      <c r="G92" s="255"/>
      <c r="H92" s="255">
        <v>290646</v>
      </c>
      <c r="I92" s="257">
        <f t="shared" si="108"/>
        <v>3930646</v>
      </c>
      <c r="J92" s="248"/>
      <c r="K92" s="255"/>
      <c r="L92" s="255"/>
      <c r="M92" s="249"/>
      <c r="N92" s="257">
        <f t="shared" si="109"/>
        <v>0</v>
      </c>
      <c r="O92" s="255"/>
      <c r="P92" s="257">
        <f t="shared" si="110"/>
        <v>0</v>
      </c>
      <c r="Q92" s="248">
        <f t="shared" si="111"/>
        <v>3930646</v>
      </c>
      <c r="R92" s="181">
        <f>+Q92/Q120*100</f>
        <v>12.559946312337983</v>
      </c>
    </row>
    <row r="93" spans="1:18" ht="14.1" customHeight="1" x14ac:dyDescent="0.2">
      <c r="A93" s="180"/>
      <c r="B93" s="180" t="s">
        <v>468</v>
      </c>
      <c r="C93" s="248"/>
      <c r="D93" s="255"/>
      <c r="E93" s="255"/>
      <c r="F93" s="255">
        <v>283479</v>
      </c>
      <c r="G93" s="255"/>
      <c r="H93" s="255"/>
      <c r="I93" s="257">
        <f t="shared" si="108"/>
        <v>283479</v>
      </c>
      <c r="J93" s="248"/>
      <c r="K93" s="255"/>
      <c r="L93" s="255"/>
      <c r="M93" s="249"/>
      <c r="N93" s="257">
        <f t="shared" si="109"/>
        <v>0</v>
      </c>
      <c r="O93" s="255"/>
      <c r="P93" s="257">
        <f t="shared" si="110"/>
        <v>0</v>
      </c>
      <c r="Q93" s="248">
        <f t="shared" si="111"/>
        <v>283479</v>
      </c>
      <c r="R93" s="181">
        <f>+Q93/Q120*100</f>
        <v>0.9058259178453768</v>
      </c>
    </row>
    <row r="94" spans="1:18" ht="14.1" customHeight="1" x14ac:dyDescent="0.2">
      <c r="A94" s="180"/>
      <c r="B94" s="180" t="s">
        <v>469</v>
      </c>
      <c r="C94" s="248"/>
      <c r="D94" s="255"/>
      <c r="E94" s="255"/>
      <c r="F94" s="255">
        <v>169927</v>
      </c>
      <c r="G94" s="255"/>
      <c r="H94" s="255"/>
      <c r="I94" s="257">
        <f t="shared" si="108"/>
        <v>169927</v>
      </c>
      <c r="J94" s="248"/>
      <c r="K94" s="255"/>
      <c r="L94" s="255"/>
      <c r="M94" s="249"/>
      <c r="N94" s="257">
        <f t="shared" si="109"/>
        <v>0</v>
      </c>
      <c r="O94" s="255"/>
      <c r="P94" s="257">
        <f t="shared" si="110"/>
        <v>0</v>
      </c>
      <c r="Q94" s="248">
        <f t="shared" si="111"/>
        <v>169927</v>
      </c>
      <c r="R94" s="181">
        <f>+Q94/Q120*100</f>
        <v>0.5429830101761024</v>
      </c>
    </row>
    <row r="95" spans="1:18" ht="14.1" customHeight="1" x14ac:dyDescent="0.2">
      <c r="A95" s="180"/>
      <c r="B95" s="180" t="s">
        <v>470</v>
      </c>
      <c r="C95" s="248"/>
      <c r="D95" s="255"/>
      <c r="E95" s="255"/>
      <c r="F95" s="255">
        <v>66000</v>
      </c>
      <c r="G95" s="255"/>
      <c r="H95" s="255"/>
      <c r="I95" s="257">
        <f t="shared" si="108"/>
        <v>66000</v>
      </c>
      <c r="J95" s="248"/>
      <c r="K95" s="255"/>
      <c r="L95" s="255"/>
      <c r="M95" s="249"/>
      <c r="N95" s="257">
        <f t="shared" si="109"/>
        <v>0</v>
      </c>
      <c r="O95" s="255"/>
      <c r="P95" s="257">
        <f t="shared" si="110"/>
        <v>0</v>
      </c>
      <c r="Q95" s="248">
        <f t="shared" si="111"/>
        <v>66000</v>
      </c>
      <c r="R95" s="181">
        <f>+Q95/Q120*100</f>
        <v>0.21089572976409141</v>
      </c>
    </row>
    <row r="96" spans="1:18" ht="14.1" customHeight="1" x14ac:dyDescent="0.2">
      <c r="A96" s="180"/>
      <c r="B96" s="180" t="s">
        <v>471</v>
      </c>
      <c r="C96" s="248"/>
      <c r="D96" s="255"/>
      <c r="E96" s="255"/>
      <c r="F96" s="255">
        <v>174247</v>
      </c>
      <c r="G96" s="255"/>
      <c r="H96" s="255"/>
      <c r="I96" s="257">
        <f t="shared" si="108"/>
        <v>174247</v>
      </c>
      <c r="J96" s="248"/>
      <c r="K96" s="255"/>
      <c r="L96" s="255"/>
      <c r="M96" s="249"/>
      <c r="N96" s="257">
        <f t="shared" si="109"/>
        <v>0</v>
      </c>
      <c r="O96" s="255"/>
      <c r="P96" s="257">
        <f t="shared" si="110"/>
        <v>0</v>
      </c>
      <c r="Q96" s="248">
        <f t="shared" si="111"/>
        <v>174247</v>
      </c>
      <c r="R96" s="181">
        <f>+Q96/Q120*100</f>
        <v>0.55678709430611573</v>
      </c>
    </row>
    <row r="97" spans="1:18" ht="14.1" customHeight="1" x14ac:dyDescent="0.2">
      <c r="A97" s="180"/>
      <c r="B97" s="180" t="s">
        <v>472</v>
      </c>
      <c r="C97" s="248"/>
      <c r="D97" s="255"/>
      <c r="E97" s="255"/>
      <c r="F97" s="255">
        <v>106186</v>
      </c>
      <c r="G97" s="255"/>
      <c r="H97" s="255"/>
      <c r="I97" s="257">
        <f t="shared" si="108"/>
        <v>106186</v>
      </c>
      <c r="J97" s="248"/>
      <c r="K97" s="255"/>
      <c r="L97" s="255"/>
      <c r="M97" s="249"/>
      <c r="N97" s="257">
        <f t="shared" si="109"/>
        <v>0</v>
      </c>
      <c r="O97" s="255"/>
      <c r="P97" s="257">
        <f t="shared" si="110"/>
        <v>0</v>
      </c>
      <c r="Q97" s="248">
        <f t="shared" si="111"/>
        <v>106186</v>
      </c>
      <c r="R97" s="181">
        <f>+Q97/Q120*100</f>
        <v>0.33930566607166379</v>
      </c>
    </row>
    <row r="98" spans="1:18" ht="14.1" customHeight="1" x14ac:dyDescent="0.2">
      <c r="A98" s="180"/>
      <c r="B98" s="180" t="s">
        <v>473</v>
      </c>
      <c r="C98" s="248"/>
      <c r="D98" s="255"/>
      <c r="E98" s="255"/>
      <c r="F98" s="255">
        <v>43218</v>
      </c>
      <c r="G98" s="255"/>
      <c r="H98" s="255"/>
      <c r="I98" s="257">
        <f t="shared" si="108"/>
        <v>43218</v>
      </c>
      <c r="J98" s="248"/>
      <c r="K98" s="255"/>
      <c r="L98" s="255"/>
      <c r="M98" s="249"/>
      <c r="N98" s="257">
        <f t="shared" si="109"/>
        <v>0</v>
      </c>
      <c r="O98" s="255"/>
      <c r="P98" s="257">
        <f t="shared" si="110"/>
        <v>0</v>
      </c>
      <c r="Q98" s="248">
        <f t="shared" si="111"/>
        <v>43218</v>
      </c>
      <c r="R98" s="181">
        <f>+Q98/Q120*100</f>
        <v>0.13809835831734094</v>
      </c>
    </row>
    <row r="99" spans="1:18" ht="14.1" customHeight="1" x14ac:dyDescent="0.2">
      <c r="A99" s="180"/>
      <c r="B99" s="180" t="s">
        <v>474</v>
      </c>
      <c r="C99" s="248"/>
      <c r="D99" s="255"/>
      <c r="E99" s="255"/>
      <c r="F99" s="255">
        <v>70945</v>
      </c>
      <c r="G99" s="255"/>
      <c r="H99" s="255"/>
      <c r="I99" s="257">
        <f t="shared" si="108"/>
        <v>70945</v>
      </c>
      <c r="J99" s="248"/>
      <c r="K99" s="255"/>
      <c r="L99" s="255"/>
      <c r="M99" s="249"/>
      <c r="N99" s="257">
        <f t="shared" si="109"/>
        <v>0</v>
      </c>
      <c r="O99" s="255"/>
      <c r="P99" s="257">
        <f t="shared" si="110"/>
        <v>0</v>
      </c>
      <c r="Q99" s="248">
        <f t="shared" si="111"/>
        <v>70945</v>
      </c>
      <c r="R99" s="181">
        <f>+Q99/Q120*100</f>
        <v>0.22669693254717371</v>
      </c>
    </row>
    <row r="100" spans="1:18" ht="14.1" customHeight="1" x14ac:dyDescent="0.2">
      <c r="A100" s="180"/>
      <c r="B100" s="180" t="s">
        <v>475</v>
      </c>
      <c r="C100" s="248"/>
      <c r="D100" s="255"/>
      <c r="E100" s="255"/>
      <c r="F100" s="255">
        <v>70437</v>
      </c>
      <c r="G100" s="255"/>
      <c r="H100" s="255"/>
      <c r="I100" s="257">
        <f t="shared" si="108"/>
        <v>70437</v>
      </c>
      <c r="J100" s="248"/>
      <c r="K100" s="255"/>
      <c r="L100" s="255"/>
      <c r="M100" s="249"/>
      <c r="N100" s="257">
        <f t="shared" si="109"/>
        <v>0</v>
      </c>
      <c r="O100" s="255"/>
      <c r="P100" s="257">
        <f t="shared" si="110"/>
        <v>0</v>
      </c>
      <c r="Q100" s="248">
        <f t="shared" si="111"/>
        <v>70437</v>
      </c>
      <c r="R100" s="181">
        <f>+Q100/Q120*100</f>
        <v>0.22507367450595919</v>
      </c>
    </row>
    <row r="101" spans="1:18" ht="14.1" customHeight="1" x14ac:dyDescent="0.2">
      <c r="A101" s="180"/>
      <c r="B101" s="180" t="s">
        <v>476</v>
      </c>
      <c r="C101" s="248"/>
      <c r="D101" s="255"/>
      <c r="E101" s="255"/>
      <c r="F101" s="255">
        <v>216322</v>
      </c>
      <c r="G101" s="255"/>
      <c r="H101" s="255"/>
      <c r="I101" s="257">
        <f t="shared" si="108"/>
        <v>216322</v>
      </c>
      <c r="J101" s="248"/>
      <c r="K101" s="255"/>
      <c r="L101" s="255"/>
      <c r="M101" s="249"/>
      <c r="N101" s="257">
        <f t="shared" si="109"/>
        <v>0</v>
      </c>
      <c r="O101" s="255"/>
      <c r="P101" s="257">
        <f t="shared" si="110"/>
        <v>0</v>
      </c>
      <c r="Q101" s="248">
        <f t="shared" si="111"/>
        <v>216322</v>
      </c>
      <c r="R101" s="181">
        <f>+Q101/Q120*100</f>
        <v>0.69123312203072396</v>
      </c>
    </row>
    <row r="102" spans="1:18" ht="14.1" customHeight="1" x14ac:dyDescent="0.2">
      <c r="A102" s="180"/>
      <c r="B102" s="180" t="s">
        <v>477</v>
      </c>
      <c r="C102" s="248"/>
      <c r="D102" s="255"/>
      <c r="E102" s="255"/>
      <c r="F102" s="255">
        <v>132659</v>
      </c>
      <c r="G102" s="255"/>
      <c r="H102" s="255"/>
      <c r="I102" s="257">
        <f t="shared" si="108"/>
        <v>132659</v>
      </c>
      <c r="J102" s="248"/>
      <c r="K102" s="255"/>
      <c r="L102" s="255"/>
      <c r="M102" s="249"/>
      <c r="N102" s="257">
        <f t="shared" si="109"/>
        <v>0</v>
      </c>
      <c r="O102" s="255"/>
      <c r="P102" s="257">
        <f t="shared" si="110"/>
        <v>0</v>
      </c>
      <c r="Q102" s="248">
        <f t="shared" si="111"/>
        <v>132659</v>
      </c>
      <c r="R102" s="181">
        <f>+Q102/Q120*100</f>
        <v>0.42389722143597885</v>
      </c>
    </row>
    <row r="103" spans="1:18" ht="14.1" customHeight="1" x14ac:dyDescent="0.2">
      <c r="A103" s="180"/>
      <c r="B103" s="180" t="s">
        <v>478</v>
      </c>
      <c r="C103" s="248"/>
      <c r="D103" s="255"/>
      <c r="E103" s="255"/>
      <c r="F103" s="255">
        <v>365753</v>
      </c>
      <c r="G103" s="255"/>
      <c r="H103" s="255"/>
      <c r="I103" s="257">
        <f t="shared" si="108"/>
        <v>365753</v>
      </c>
      <c r="J103" s="248"/>
      <c r="K103" s="255"/>
      <c r="L103" s="255"/>
      <c r="M103" s="249"/>
      <c r="N103" s="257">
        <f t="shared" si="109"/>
        <v>0</v>
      </c>
      <c r="O103" s="255"/>
      <c r="P103" s="257">
        <f t="shared" si="110"/>
        <v>0</v>
      </c>
      <c r="Q103" s="248">
        <f t="shared" si="111"/>
        <v>365753</v>
      </c>
      <c r="R103" s="181">
        <f>+Q103/Q120*100</f>
        <v>1.1687234219455411</v>
      </c>
    </row>
    <row r="104" spans="1:18" ht="14.1" customHeight="1" x14ac:dyDescent="0.2">
      <c r="A104" s="180"/>
      <c r="B104" s="180" t="s">
        <v>479</v>
      </c>
      <c r="C104" s="248"/>
      <c r="D104" s="255"/>
      <c r="E104" s="255"/>
      <c r="F104" s="255">
        <v>51543</v>
      </c>
      <c r="G104" s="255"/>
      <c r="H104" s="255"/>
      <c r="I104" s="257">
        <f t="shared" si="108"/>
        <v>51543</v>
      </c>
      <c r="J104" s="248"/>
      <c r="K104" s="255"/>
      <c r="L104" s="255"/>
      <c r="M104" s="249"/>
      <c r="N104" s="257">
        <f t="shared" si="109"/>
        <v>0</v>
      </c>
      <c r="O104" s="255"/>
      <c r="P104" s="257">
        <f t="shared" si="110"/>
        <v>0</v>
      </c>
      <c r="Q104" s="248">
        <f t="shared" si="111"/>
        <v>51543</v>
      </c>
      <c r="R104" s="181">
        <f>+Q104/Q120*100</f>
        <v>0.16469997877622064</v>
      </c>
    </row>
    <row r="105" spans="1:18" ht="14.1" customHeight="1" x14ac:dyDescent="0.2">
      <c r="A105" s="180"/>
      <c r="B105" s="180" t="s">
        <v>480</v>
      </c>
      <c r="C105" s="248"/>
      <c r="D105" s="255"/>
      <c r="E105" s="255"/>
      <c r="F105" s="255">
        <v>15777</v>
      </c>
      <c r="G105" s="255"/>
      <c r="H105" s="255"/>
      <c r="I105" s="257">
        <f t="shared" si="108"/>
        <v>15777</v>
      </c>
      <c r="J105" s="248"/>
      <c r="K105" s="255"/>
      <c r="L105" s="255"/>
      <c r="M105" s="249"/>
      <c r="N105" s="257">
        <f t="shared" si="109"/>
        <v>0</v>
      </c>
      <c r="O105" s="255"/>
      <c r="P105" s="257">
        <f t="shared" si="110"/>
        <v>0</v>
      </c>
      <c r="Q105" s="248">
        <f t="shared" si="111"/>
        <v>15777</v>
      </c>
      <c r="R105" s="181">
        <f>+Q105/Q120*100</f>
        <v>5.0413665583152578E-2</v>
      </c>
    </row>
    <row r="106" spans="1:18" ht="14.1" customHeight="1" x14ac:dyDescent="0.2">
      <c r="A106" s="180"/>
      <c r="B106" s="180" t="s">
        <v>481</v>
      </c>
      <c r="C106" s="248"/>
      <c r="D106" s="255"/>
      <c r="E106" s="255"/>
      <c r="F106" s="255">
        <v>20453</v>
      </c>
      <c r="G106" s="255"/>
      <c r="H106" s="255"/>
      <c r="I106" s="257">
        <f t="shared" si="108"/>
        <v>20453</v>
      </c>
      <c r="J106" s="248"/>
      <c r="K106" s="255"/>
      <c r="L106" s="255"/>
      <c r="M106" s="249"/>
      <c r="N106" s="257">
        <f t="shared" si="109"/>
        <v>0</v>
      </c>
      <c r="O106" s="255"/>
      <c r="P106" s="257">
        <f t="shared" si="110"/>
        <v>0</v>
      </c>
      <c r="Q106" s="248">
        <f t="shared" si="111"/>
        <v>20453</v>
      </c>
      <c r="R106" s="181">
        <f>+Q106/Q120*100</f>
        <v>6.5355308497953971E-2</v>
      </c>
    </row>
    <row r="107" spans="1:18" ht="14.1" customHeight="1" x14ac:dyDescent="0.2">
      <c r="A107" s="180"/>
      <c r="B107" s="180" t="s">
        <v>482</v>
      </c>
      <c r="C107" s="248"/>
      <c r="D107" s="255"/>
      <c r="E107" s="255"/>
      <c r="F107" s="255">
        <v>35918</v>
      </c>
      <c r="G107" s="255"/>
      <c r="H107" s="255"/>
      <c r="I107" s="257">
        <f t="shared" si="108"/>
        <v>35918</v>
      </c>
      <c r="J107" s="248"/>
      <c r="K107" s="255"/>
      <c r="L107" s="255"/>
      <c r="M107" s="249"/>
      <c r="N107" s="257">
        <f t="shared" si="109"/>
        <v>0</v>
      </c>
      <c r="O107" s="255"/>
      <c r="P107" s="257">
        <f t="shared" si="110"/>
        <v>0</v>
      </c>
      <c r="Q107" s="248">
        <f t="shared" si="111"/>
        <v>35918</v>
      </c>
      <c r="R107" s="181">
        <f>+Q107/Q120*100</f>
        <v>0.11477201244949446</v>
      </c>
    </row>
    <row r="108" spans="1:18" ht="14.1" customHeight="1" x14ac:dyDescent="0.2">
      <c r="A108" s="180"/>
      <c r="B108" s="180" t="s">
        <v>483</v>
      </c>
      <c r="C108" s="248"/>
      <c r="D108" s="255"/>
      <c r="E108" s="255"/>
      <c r="F108" s="255">
        <v>1360048</v>
      </c>
      <c r="G108" s="255"/>
      <c r="H108" s="255">
        <v>215249</v>
      </c>
      <c r="I108" s="257">
        <f t="shared" si="108"/>
        <v>1575297</v>
      </c>
      <c r="J108" s="248"/>
      <c r="K108" s="255"/>
      <c r="L108" s="255"/>
      <c r="M108" s="249"/>
      <c r="N108" s="257">
        <f t="shared" si="109"/>
        <v>0</v>
      </c>
      <c r="O108" s="255"/>
      <c r="P108" s="257">
        <f t="shared" si="110"/>
        <v>0</v>
      </c>
      <c r="Q108" s="248">
        <f t="shared" si="111"/>
        <v>1575297</v>
      </c>
      <c r="R108" s="181">
        <f>+Q108/Q120*100</f>
        <v>5.0336880365179377</v>
      </c>
    </row>
    <row r="109" spans="1:18" ht="14.1" customHeight="1" x14ac:dyDescent="0.2">
      <c r="A109" s="180"/>
      <c r="B109" s="180" t="s">
        <v>484</v>
      </c>
      <c r="C109" s="248"/>
      <c r="D109" s="255"/>
      <c r="E109" s="255"/>
      <c r="F109" s="255">
        <v>215000</v>
      </c>
      <c r="G109" s="255"/>
      <c r="H109" s="255">
        <v>18693</v>
      </c>
      <c r="I109" s="257">
        <f t="shared" si="108"/>
        <v>233693</v>
      </c>
      <c r="J109" s="248"/>
      <c r="K109" s="255"/>
      <c r="L109" s="255"/>
      <c r="M109" s="249"/>
      <c r="N109" s="257">
        <f t="shared" si="109"/>
        <v>0</v>
      </c>
      <c r="O109" s="255"/>
      <c r="P109" s="257">
        <f t="shared" si="110"/>
        <v>0</v>
      </c>
      <c r="Q109" s="248">
        <f t="shared" si="111"/>
        <v>233693</v>
      </c>
      <c r="R109" s="181">
        <f>+Q109/Q120*100</f>
        <v>0.74674023902666387</v>
      </c>
    </row>
    <row r="110" spans="1:18" ht="14.1" customHeight="1" x14ac:dyDescent="0.2">
      <c r="A110" s="180"/>
      <c r="B110" s="180" t="s">
        <v>485</v>
      </c>
      <c r="C110" s="248"/>
      <c r="D110" s="255"/>
      <c r="E110" s="255"/>
      <c r="F110" s="255">
        <v>3767757</v>
      </c>
      <c r="G110" s="255"/>
      <c r="H110" s="255">
        <v>250377</v>
      </c>
      <c r="I110" s="257">
        <f t="shared" si="108"/>
        <v>4018134</v>
      </c>
      <c r="J110" s="248"/>
      <c r="K110" s="255"/>
      <c r="L110" s="255"/>
      <c r="M110" s="249"/>
      <c r="N110" s="257">
        <f t="shared" si="109"/>
        <v>0</v>
      </c>
      <c r="O110" s="255"/>
      <c r="P110" s="257">
        <f t="shared" si="110"/>
        <v>0</v>
      </c>
      <c r="Q110" s="248">
        <f t="shared" si="111"/>
        <v>4018134</v>
      </c>
      <c r="R110" s="181">
        <f>+Q110/Q120*100</f>
        <v>12.839504579089509</v>
      </c>
    </row>
    <row r="111" spans="1:18" ht="14.1" customHeight="1" x14ac:dyDescent="0.2">
      <c r="A111" s="180"/>
      <c r="B111" s="180" t="s">
        <v>486</v>
      </c>
      <c r="C111" s="248"/>
      <c r="D111" s="255"/>
      <c r="E111" s="255"/>
      <c r="F111" s="255">
        <v>2669435</v>
      </c>
      <c r="G111" s="255"/>
      <c r="H111" s="255"/>
      <c r="I111" s="257">
        <f t="shared" si="108"/>
        <v>2669435</v>
      </c>
      <c r="J111" s="248"/>
      <c r="K111" s="255"/>
      <c r="L111" s="255"/>
      <c r="M111" s="249"/>
      <c r="N111" s="257">
        <f t="shared" si="109"/>
        <v>0</v>
      </c>
      <c r="O111" s="255"/>
      <c r="P111" s="257">
        <f t="shared" si="110"/>
        <v>0</v>
      </c>
      <c r="Q111" s="248">
        <f t="shared" si="111"/>
        <v>2669435</v>
      </c>
      <c r="R111" s="181">
        <f>+Q111/Q120*100</f>
        <v>8.5298854906485957</v>
      </c>
    </row>
    <row r="112" spans="1:18" ht="14.1" customHeight="1" x14ac:dyDescent="0.2">
      <c r="A112" s="180"/>
      <c r="B112" s="180" t="s">
        <v>487</v>
      </c>
      <c r="C112" s="248"/>
      <c r="D112" s="255"/>
      <c r="E112" s="255"/>
      <c r="F112" s="255">
        <v>183544</v>
      </c>
      <c r="G112" s="255"/>
      <c r="H112" s="255"/>
      <c r="I112" s="257">
        <f t="shared" si="108"/>
        <v>183544</v>
      </c>
      <c r="J112" s="248"/>
      <c r="K112" s="255"/>
      <c r="L112" s="255"/>
      <c r="M112" s="249"/>
      <c r="N112" s="257">
        <f t="shared" si="109"/>
        <v>0</v>
      </c>
      <c r="O112" s="255"/>
      <c r="P112" s="257">
        <f t="shared" si="110"/>
        <v>0</v>
      </c>
      <c r="Q112" s="248">
        <f t="shared" si="111"/>
        <v>183544</v>
      </c>
      <c r="R112" s="181">
        <f>+Q112/Q120*100</f>
        <v>0.58649463369424837</v>
      </c>
    </row>
    <row r="113" spans="1:18" ht="14.1" customHeight="1" x14ac:dyDescent="0.2">
      <c r="A113" s="180" t="s">
        <v>83</v>
      </c>
      <c r="B113" s="180" t="s">
        <v>488</v>
      </c>
      <c r="C113" s="246"/>
      <c r="D113" s="255"/>
      <c r="E113" s="255"/>
      <c r="F113" s="255">
        <v>873982</v>
      </c>
      <c r="G113" s="255"/>
      <c r="H113" s="255">
        <v>44445</v>
      </c>
      <c r="I113" s="257">
        <f t="shared" si="108"/>
        <v>918427</v>
      </c>
      <c r="J113" s="246"/>
      <c r="K113" s="255"/>
      <c r="L113" s="255"/>
      <c r="M113" s="247"/>
      <c r="N113" s="257">
        <f t="shared" si="109"/>
        <v>0</v>
      </c>
      <c r="O113" s="255"/>
      <c r="P113" s="257">
        <f t="shared" si="110"/>
        <v>0</v>
      </c>
      <c r="Q113" s="248">
        <f t="shared" si="111"/>
        <v>918427</v>
      </c>
      <c r="R113" s="181">
        <f>+Q113/Q120*100</f>
        <v>2.9347323090915935</v>
      </c>
    </row>
    <row r="114" spans="1:18" ht="14.1" customHeight="1" x14ac:dyDescent="0.2">
      <c r="A114" s="180" t="s">
        <v>83</v>
      </c>
      <c r="B114" s="180" t="s">
        <v>489</v>
      </c>
      <c r="C114" s="246"/>
      <c r="D114" s="255"/>
      <c r="E114" s="255"/>
      <c r="F114" s="255">
        <v>117796</v>
      </c>
      <c r="G114" s="255"/>
      <c r="H114" s="255"/>
      <c r="I114" s="257">
        <f t="shared" si="108"/>
        <v>117796</v>
      </c>
      <c r="J114" s="246"/>
      <c r="K114" s="255"/>
      <c r="L114" s="255"/>
      <c r="M114" s="247"/>
      <c r="N114" s="257">
        <f t="shared" si="109"/>
        <v>0</v>
      </c>
      <c r="O114" s="255"/>
      <c r="P114" s="257">
        <f t="shared" si="110"/>
        <v>0</v>
      </c>
      <c r="Q114" s="248">
        <f t="shared" si="111"/>
        <v>117796</v>
      </c>
      <c r="R114" s="181">
        <f>+Q114/Q120*100</f>
        <v>0.37640414217107443</v>
      </c>
    </row>
    <row r="115" spans="1:18" ht="14.1" customHeight="1" x14ac:dyDescent="0.2">
      <c r="A115" s="180" t="s">
        <v>83</v>
      </c>
      <c r="B115" s="180" t="s">
        <v>490</v>
      </c>
      <c r="C115" s="248"/>
      <c r="D115" s="255"/>
      <c r="E115" s="255"/>
      <c r="F115" s="255">
        <v>1692222</v>
      </c>
      <c r="G115" s="255"/>
      <c r="H115" s="255"/>
      <c r="I115" s="257">
        <f t="shared" si="108"/>
        <v>1692222</v>
      </c>
      <c r="J115" s="248"/>
      <c r="K115" s="255"/>
      <c r="L115" s="255"/>
      <c r="M115" s="249"/>
      <c r="N115" s="257">
        <f t="shared" si="109"/>
        <v>0</v>
      </c>
      <c r="O115" s="255"/>
      <c r="P115" s="257">
        <f t="shared" si="110"/>
        <v>0</v>
      </c>
      <c r="Q115" s="248">
        <f t="shared" si="111"/>
        <v>1692222</v>
      </c>
      <c r="R115" s="181">
        <f>+Q115/Q120*100</f>
        <v>5.4073089941340946</v>
      </c>
    </row>
    <row r="116" spans="1:18" ht="14.1" customHeight="1" x14ac:dyDescent="0.2">
      <c r="A116" s="180" t="s">
        <v>83</v>
      </c>
      <c r="B116" s="180" t="s">
        <v>491</v>
      </c>
      <c r="C116" s="248"/>
      <c r="D116" s="255"/>
      <c r="E116" s="255"/>
      <c r="F116" s="255">
        <v>401595</v>
      </c>
      <c r="G116" s="255"/>
      <c r="H116" s="255"/>
      <c r="I116" s="257">
        <f t="shared" si="108"/>
        <v>401595</v>
      </c>
      <c r="J116" s="248"/>
      <c r="K116" s="255"/>
      <c r="L116" s="255"/>
      <c r="M116" s="249"/>
      <c r="N116" s="257">
        <f t="shared" si="109"/>
        <v>0</v>
      </c>
      <c r="O116" s="255"/>
      <c r="P116" s="257">
        <f t="shared" si="110"/>
        <v>0</v>
      </c>
      <c r="Q116" s="248">
        <f t="shared" si="111"/>
        <v>401595</v>
      </c>
      <c r="R116" s="181">
        <f>+Q116/Q120*100</f>
        <v>1.2832525847668226</v>
      </c>
    </row>
    <row r="117" spans="1:18" ht="14.1" customHeight="1" x14ac:dyDescent="0.2">
      <c r="A117" s="180"/>
      <c r="B117" s="180" t="s">
        <v>492</v>
      </c>
      <c r="C117" s="248"/>
      <c r="D117" s="255"/>
      <c r="E117" s="255"/>
      <c r="F117" s="255">
        <v>695158</v>
      </c>
      <c r="G117" s="255"/>
      <c r="H117" s="255"/>
      <c r="I117" s="257">
        <f t="shared" si="108"/>
        <v>695158</v>
      </c>
      <c r="J117" s="248"/>
      <c r="K117" s="255"/>
      <c r="L117" s="255"/>
      <c r="M117" s="249"/>
      <c r="N117" s="257">
        <f t="shared" si="109"/>
        <v>0</v>
      </c>
      <c r="O117" s="255"/>
      <c r="P117" s="257">
        <f t="shared" si="110"/>
        <v>0</v>
      </c>
      <c r="Q117" s="248">
        <f t="shared" si="111"/>
        <v>695158</v>
      </c>
      <c r="R117" s="181">
        <f>+Q117/Q120*100</f>
        <v>2.2213008138082762</v>
      </c>
    </row>
    <row r="118" spans="1:18" ht="14.1" customHeight="1" x14ac:dyDescent="0.2">
      <c r="A118" s="180" t="s">
        <v>83</v>
      </c>
      <c r="B118" s="180" t="s">
        <v>493</v>
      </c>
      <c r="C118" s="248"/>
      <c r="D118" s="255"/>
      <c r="E118" s="255"/>
      <c r="F118" s="255">
        <v>1087396</v>
      </c>
      <c r="G118" s="255"/>
      <c r="H118" s="255"/>
      <c r="I118" s="257">
        <f t="shared" si="108"/>
        <v>1087396</v>
      </c>
      <c r="J118" s="248"/>
      <c r="K118" s="255"/>
      <c r="L118" s="255"/>
      <c r="M118" s="249"/>
      <c r="N118" s="257">
        <f t="shared" si="109"/>
        <v>0</v>
      </c>
      <c r="O118" s="255"/>
      <c r="P118" s="257">
        <f t="shared" si="110"/>
        <v>0</v>
      </c>
      <c r="Q118" s="248">
        <f t="shared" si="111"/>
        <v>1087396</v>
      </c>
      <c r="R118" s="181">
        <f>+Q118/Q120*100</f>
        <v>3.4746541357962712</v>
      </c>
    </row>
    <row r="119" spans="1:18" ht="14.1" customHeight="1" thickBot="1" x14ac:dyDescent="0.25">
      <c r="A119" s="182" t="s">
        <v>11</v>
      </c>
      <c r="B119" s="182" t="s">
        <v>494</v>
      </c>
      <c r="C119" s="258"/>
      <c r="D119" s="255"/>
      <c r="E119" s="255"/>
      <c r="F119" s="255">
        <v>116247</v>
      </c>
      <c r="G119" s="255"/>
      <c r="H119" s="255"/>
      <c r="I119" s="257">
        <f t="shared" si="108"/>
        <v>116247</v>
      </c>
      <c r="J119" s="258"/>
      <c r="K119" s="255"/>
      <c r="L119" s="255"/>
      <c r="M119" s="259"/>
      <c r="N119" s="257">
        <f t="shared" si="109"/>
        <v>0</v>
      </c>
      <c r="O119" s="255"/>
      <c r="P119" s="257">
        <f t="shared" si="110"/>
        <v>0</v>
      </c>
      <c r="Q119" s="248">
        <f t="shared" si="111"/>
        <v>116247</v>
      </c>
      <c r="R119" s="181">
        <f>+Q119/Q120*100</f>
        <v>0.37145448330130804</v>
      </c>
    </row>
    <row r="120" spans="1:18" ht="21.75" customHeight="1" thickBot="1" x14ac:dyDescent="0.25">
      <c r="A120" s="183" t="s">
        <v>72</v>
      </c>
      <c r="B120" s="183" t="s">
        <v>72</v>
      </c>
      <c r="C120" s="251"/>
      <c r="D120" s="252">
        <f>SUM(D87:D119)</f>
        <v>0</v>
      </c>
      <c r="E120" s="252">
        <f t="shared" ref="E120:Q120" si="112">SUM(E87:E119)</f>
        <v>0</v>
      </c>
      <c r="F120" s="252">
        <f t="shared" si="112"/>
        <v>29731152</v>
      </c>
      <c r="G120" s="252">
        <f t="shared" si="112"/>
        <v>0</v>
      </c>
      <c r="H120" s="252">
        <f t="shared" si="112"/>
        <v>1563934</v>
      </c>
      <c r="I120" s="252">
        <f t="shared" si="112"/>
        <v>31295086</v>
      </c>
      <c r="J120" s="252">
        <f t="shared" si="112"/>
        <v>0</v>
      </c>
      <c r="K120" s="252">
        <f t="shared" si="112"/>
        <v>0</v>
      </c>
      <c r="L120" s="252">
        <f t="shared" si="112"/>
        <v>0</v>
      </c>
      <c r="M120" s="252">
        <f t="shared" si="112"/>
        <v>0</v>
      </c>
      <c r="N120" s="252">
        <f t="shared" si="112"/>
        <v>0</v>
      </c>
      <c r="O120" s="252">
        <f t="shared" si="112"/>
        <v>0</v>
      </c>
      <c r="P120" s="252">
        <f t="shared" si="112"/>
        <v>0</v>
      </c>
      <c r="Q120" s="252">
        <f t="shared" si="112"/>
        <v>31295086</v>
      </c>
      <c r="R120" s="184">
        <f>SUM(R87:R119)</f>
        <v>99.999999999999986</v>
      </c>
    </row>
    <row r="122" spans="1:18" x14ac:dyDescent="0.2">
      <c r="A122" s="89" t="s">
        <v>398</v>
      </c>
      <c r="B122" s="89"/>
      <c r="C122" s="172"/>
      <c r="D122" s="172"/>
      <c r="E122" s="172"/>
      <c r="F122" s="172"/>
      <c r="G122" s="172"/>
      <c r="H122" s="173"/>
      <c r="I122" s="173"/>
      <c r="J122" s="173"/>
      <c r="K122" s="173"/>
      <c r="L122" s="173"/>
      <c r="M122" s="173"/>
      <c r="N122" s="173"/>
      <c r="O122" s="173"/>
      <c r="P122" s="173"/>
      <c r="Q122" s="173"/>
      <c r="R122" s="173"/>
    </row>
    <row r="123" spans="1:18" x14ac:dyDescent="0.2">
      <c r="A123" s="89" t="s">
        <v>495</v>
      </c>
      <c r="B123" s="89"/>
      <c r="C123" s="172"/>
      <c r="D123" s="172"/>
      <c r="E123" s="172"/>
      <c r="F123" s="172"/>
      <c r="G123" s="172"/>
      <c r="H123" s="173"/>
      <c r="I123" s="173"/>
      <c r="J123" s="173"/>
      <c r="K123" s="173"/>
      <c r="L123" s="173"/>
      <c r="M123" s="173"/>
      <c r="N123" s="173"/>
      <c r="O123" s="173"/>
      <c r="P123" s="173"/>
      <c r="Q123" s="173"/>
      <c r="R123" s="173"/>
    </row>
    <row r="124" spans="1:18" ht="12" thickBot="1" x14ac:dyDescent="0.25">
      <c r="A124" s="89" t="s">
        <v>499</v>
      </c>
      <c r="B124" s="91"/>
      <c r="C124" s="91"/>
      <c r="D124" s="91"/>
      <c r="E124" s="91"/>
      <c r="F124" s="91"/>
      <c r="G124" s="91"/>
      <c r="H124" s="91"/>
      <c r="I124" s="91"/>
      <c r="J124" s="91"/>
      <c r="K124" s="91"/>
      <c r="L124" s="91"/>
      <c r="M124" s="91"/>
      <c r="N124" s="91"/>
      <c r="O124" s="91"/>
      <c r="P124" s="91"/>
      <c r="Q124" s="91"/>
      <c r="R124" s="91"/>
    </row>
    <row r="125" spans="1:18" ht="30" customHeight="1" thickBot="1" x14ac:dyDescent="0.25">
      <c r="A125" s="1249" t="s">
        <v>293</v>
      </c>
      <c r="B125" s="1249" t="s">
        <v>278</v>
      </c>
      <c r="C125" s="1247" t="s">
        <v>103</v>
      </c>
      <c r="D125" s="1251"/>
      <c r="E125" s="1251"/>
      <c r="F125" s="1251"/>
      <c r="G125" s="1251"/>
      <c r="H125" s="1251"/>
      <c r="I125" s="1248"/>
      <c r="J125" s="1247" t="s">
        <v>91</v>
      </c>
      <c r="K125" s="1251"/>
      <c r="L125" s="1251"/>
      <c r="M125" s="1251"/>
      <c r="N125" s="1248"/>
      <c r="O125" s="1247" t="s">
        <v>81</v>
      </c>
      <c r="P125" s="1248"/>
      <c r="Q125" s="1247" t="s">
        <v>0</v>
      </c>
      <c r="R125" s="1248"/>
    </row>
    <row r="126" spans="1:18" ht="137.25" thickBot="1" x14ac:dyDescent="0.25">
      <c r="A126" s="1250"/>
      <c r="B126" s="1250"/>
      <c r="C126" s="174" t="s">
        <v>92</v>
      </c>
      <c r="D126" s="175" t="s">
        <v>93</v>
      </c>
      <c r="E126" s="175" t="s">
        <v>94</v>
      </c>
      <c r="F126" s="175" t="s">
        <v>95</v>
      </c>
      <c r="G126" s="175" t="s">
        <v>96</v>
      </c>
      <c r="H126" s="175" t="s">
        <v>97</v>
      </c>
      <c r="I126" s="176" t="s">
        <v>88</v>
      </c>
      <c r="J126" s="174" t="s">
        <v>98</v>
      </c>
      <c r="K126" s="175" t="s">
        <v>99</v>
      </c>
      <c r="L126" s="175" t="s">
        <v>100</v>
      </c>
      <c r="M126" s="175" t="s">
        <v>101</v>
      </c>
      <c r="N126" s="176" t="s">
        <v>89</v>
      </c>
      <c r="O126" s="174" t="s">
        <v>102</v>
      </c>
      <c r="P126" s="176" t="s">
        <v>90</v>
      </c>
      <c r="Q126" s="177" t="s">
        <v>126</v>
      </c>
      <c r="R126" s="178" t="s">
        <v>79</v>
      </c>
    </row>
    <row r="127" spans="1:18" ht="14.1" customHeight="1" x14ac:dyDescent="0.2">
      <c r="A127" s="179" t="s">
        <v>461</v>
      </c>
      <c r="B127" s="179" t="s">
        <v>462</v>
      </c>
      <c r="C127" s="260"/>
      <c r="D127" s="254"/>
      <c r="E127" s="254"/>
      <c r="F127" s="254"/>
      <c r="G127" s="254"/>
      <c r="H127" s="254"/>
      <c r="I127" s="253">
        <f>SUM(C127:H127)</f>
        <v>0</v>
      </c>
      <c r="J127" s="260"/>
      <c r="K127" s="261"/>
      <c r="L127" s="261">
        <v>67353827</v>
      </c>
      <c r="M127" s="261"/>
      <c r="N127" s="262">
        <f>SUM(J127:M127)</f>
        <v>67353827</v>
      </c>
      <c r="O127" s="261"/>
      <c r="P127" s="262">
        <f>+O127</f>
        <v>0</v>
      </c>
      <c r="Q127" s="263">
        <f>+I127+N127+P127</f>
        <v>67353827</v>
      </c>
      <c r="R127" s="264">
        <f>+Q127/Q160*100</f>
        <v>16.849728080729363</v>
      </c>
    </row>
    <row r="128" spans="1:18" ht="14.1" customHeight="1" x14ac:dyDescent="0.2">
      <c r="A128" s="180" t="s">
        <v>83</v>
      </c>
      <c r="B128" s="180" t="s">
        <v>463</v>
      </c>
      <c r="C128" s="244"/>
      <c r="D128" s="243"/>
      <c r="E128" s="243"/>
      <c r="F128" s="243"/>
      <c r="G128" s="243"/>
      <c r="H128" s="243"/>
      <c r="I128" s="245">
        <f>SUM(C128:H128)</f>
        <v>0</v>
      </c>
      <c r="J128" s="244"/>
      <c r="K128" s="243"/>
      <c r="L128" s="255">
        <v>223853578</v>
      </c>
      <c r="M128" s="249"/>
      <c r="N128" s="257">
        <f>SUM(J128:M128)</f>
        <v>223853578</v>
      </c>
      <c r="O128" s="255"/>
      <c r="P128" s="257">
        <f>+O128</f>
        <v>0</v>
      </c>
      <c r="Q128" s="248">
        <f>+P128+N128+I128</f>
        <v>223853578</v>
      </c>
      <c r="R128" s="181">
        <f>+Q128/Q160*100</f>
        <v>56.000855292132698</v>
      </c>
    </row>
    <row r="129" spans="1:18" ht="14.1" customHeight="1" x14ac:dyDescent="0.2">
      <c r="A129" s="180"/>
      <c r="B129" s="180" t="s">
        <v>464</v>
      </c>
      <c r="C129" s="244"/>
      <c r="D129" s="243"/>
      <c r="E129" s="243"/>
      <c r="F129" s="243"/>
      <c r="G129" s="243"/>
      <c r="H129" s="243"/>
      <c r="I129" s="245">
        <f t="shared" ref="I129:I159" si="113">SUM(C129:H129)</f>
        <v>0</v>
      </c>
      <c r="J129" s="244"/>
      <c r="K129" s="243"/>
      <c r="L129" s="255">
        <v>63719243</v>
      </c>
      <c r="M129" s="249"/>
      <c r="N129" s="257">
        <f t="shared" ref="N129:N159" si="114">SUM(J129:M129)</f>
        <v>63719243</v>
      </c>
      <c r="O129" s="255"/>
      <c r="P129" s="257">
        <f t="shared" ref="P129:P159" si="115">+O129</f>
        <v>0</v>
      </c>
      <c r="Q129" s="248">
        <f t="shared" ref="Q129:Q159" si="116">+P129+N129+I129</f>
        <v>63719243</v>
      </c>
      <c r="R129" s="181">
        <f>+Q129/Q160*100</f>
        <v>15.94047385102435</v>
      </c>
    </row>
    <row r="130" spans="1:18" ht="14.1" customHeight="1" x14ac:dyDescent="0.2">
      <c r="A130" s="180"/>
      <c r="B130" s="180" t="s">
        <v>465</v>
      </c>
      <c r="C130" s="244"/>
      <c r="D130" s="243"/>
      <c r="E130" s="243"/>
      <c r="F130" s="243"/>
      <c r="G130" s="243"/>
      <c r="H130" s="243"/>
      <c r="I130" s="245">
        <f t="shared" si="113"/>
        <v>0</v>
      </c>
      <c r="J130" s="244"/>
      <c r="K130" s="243"/>
      <c r="L130" s="255">
        <v>23532496</v>
      </c>
      <c r="M130" s="249"/>
      <c r="N130" s="257">
        <f t="shared" si="114"/>
        <v>23532496</v>
      </c>
      <c r="O130" s="255"/>
      <c r="P130" s="257">
        <f t="shared" si="115"/>
        <v>0</v>
      </c>
      <c r="Q130" s="248">
        <f t="shared" si="116"/>
        <v>23532496</v>
      </c>
      <c r="R130" s="181">
        <f>+Q130/Q160*100</f>
        <v>5.8870620471328436</v>
      </c>
    </row>
    <row r="131" spans="1:18" ht="14.1" customHeight="1" x14ac:dyDescent="0.2">
      <c r="A131" s="180"/>
      <c r="B131" s="180" t="s">
        <v>466</v>
      </c>
      <c r="C131" s="244"/>
      <c r="D131" s="243"/>
      <c r="E131" s="243"/>
      <c r="F131" s="243"/>
      <c r="G131" s="243"/>
      <c r="H131" s="243"/>
      <c r="I131" s="245">
        <f t="shared" si="113"/>
        <v>0</v>
      </c>
      <c r="J131" s="244"/>
      <c r="K131" s="243"/>
      <c r="L131" s="255">
        <v>11961045</v>
      </c>
      <c r="M131" s="249"/>
      <c r="N131" s="257">
        <f t="shared" si="114"/>
        <v>11961045</v>
      </c>
      <c r="O131" s="255"/>
      <c r="P131" s="257">
        <f t="shared" si="115"/>
        <v>0</v>
      </c>
      <c r="Q131" s="248">
        <f t="shared" si="116"/>
        <v>11961045</v>
      </c>
      <c r="R131" s="181">
        <f>+Q131/Q160*100</f>
        <v>2.9922628718835464</v>
      </c>
    </row>
    <row r="132" spans="1:18" ht="14.1" customHeight="1" x14ac:dyDescent="0.2">
      <c r="A132" s="180"/>
      <c r="B132" s="180" t="s">
        <v>467</v>
      </c>
      <c r="C132" s="244"/>
      <c r="D132" s="243"/>
      <c r="E132" s="243"/>
      <c r="F132" s="243"/>
      <c r="G132" s="243"/>
      <c r="H132" s="243"/>
      <c r="I132" s="245">
        <f t="shared" si="113"/>
        <v>0</v>
      </c>
      <c r="J132" s="244"/>
      <c r="K132" s="243"/>
      <c r="L132" s="255">
        <v>9312238</v>
      </c>
      <c r="M132" s="249"/>
      <c r="N132" s="257">
        <f t="shared" si="114"/>
        <v>9312238</v>
      </c>
      <c r="O132" s="255"/>
      <c r="P132" s="257">
        <f t="shared" si="115"/>
        <v>0</v>
      </c>
      <c r="Q132" s="248">
        <f t="shared" si="116"/>
        <v>9312238</v>
      </c>
      <c r="R132" s="181">
        <f>+Q132/Q160*100</f>
        <v>2.3296178570971926</v>
      </c>
    </row>
    <row r="133" spans="1:18" ht="14.1" customHeight="1" x14ac:dyDescent="0.2">
      <c r="A133" s="180"/>
      <c r="B133" s="180" t="s">
        <v>468</v>
      </c>
      <c r="C133" s="244"/>
      <c r="D133" s="243"/>
      <c r="E133" s="243"/>
      <c r="F133" s="243"/>
      <c r="G133" s="243"/>
      <c r="H133" s="243"/>
      <c r="I133" s="245">
        <f t="shared" si="113"/>
        <v>0</v>
      </c>
      <c r="J133" s="244"/>
      <c r="K133" s="243"/>
      <c r="L133" s="255"/>
      <c r="M133" s="249"/>
      <c r="N133" s="257">
        <f t="shared" si="114"/>
        <v>0</v>
      </c>
      <c r="O133" s="255"/>
      <c r="P133" s="257">
        <f t="shared" si="115"/>
        <v>0</v>
      </c>
      <c r="Q133" s="248">
        <f t="shared" si="116"/>
        <v>0</v>
      </c>
      <c r="R133" s="181">
        <f>+Q133/Q160*100</f>
        <v>0</v>
      </c>
    </row>
    <row r="134" spans="1:18" ht="14.1" customHeight="1" x14ac:dyDescent="0.2">
      <c r="A134" s="180"/>
      <c r="B134" s="180" t="s">
        <v>469</v>
      </c>
      <c r="C134" s="244"/>
      <c r="D134" s="243"/>
      <c r="E134" s="243"/>
      <c r="F134" s="243"/>
      <c r="G134" s="243"/>
      <c r="H134" s="243"/>
      <c r="I134" s="245">
        <f t="shared" si="113"/>
        <v>0</v>
      </c>
      <c r="J134" s="244"/>
      <c r="K134" s="243"/>
      <c r="L134" s="255"/>
      <c r="M134" s="249"/>
      <c r="N134" s="257">
        <f t="shared" si="114"/>
        <v>0</v>
      </c>
      <c r="O134" s="255"/>
      <c r="P134" s="257">
        <f t="shared" si="115"/>
        <v>0</v>
      </c>
      <c r="Q134" s="248">
        <f t="shared" si="116"/>
        <v>0</v>
      </c>
      <c r="R134" s="181">
        <f>+Q134/Q160*100</f>
        <v>0</v>
      </c>
    </row>
    <row r="135" spans="1:18" ht="14.1" customHeight="1" x14ac:dyDescent="0.2">
      <c r="A135" s="180"/>
      <c r="B135" s="180" t="s">
        <v>470</v>
      </c>
      <c r="C135" s="244"/>
      <c r="D135" s="243"/>
      <c r="E135" s="243"/>
      <c r="F135" s="243"/>
      <c r="G135" s="243"/>
      <c r="H135" s="243"/>
      <c r="I135" s="245">
        <f t="shared" si="113"/>
        <v>0</v>
      </c>
      <c r="J135" s="244"/>
      <c r="K135" s="243"/>
      <c r="L135" s="255"/>
      <c r="M135" s="249"/>
      <c r="N135" s="257">
        <f t="shared" si="114"/>
        <v>0</v>
      </c>
      <c r="O135" s="255"/>
      <c r="P135" s="257">
        <f t="shared" si="115"/>
        <v>0</v>
      </c>
      <c r="Q135" s="248">
        <f t="shared" si="116"/>
        <v>0</v>
      </c>
      <c r="R135" s="181">
        <f>+Q135/Q160*100</f>
        <v>0</v>
      </c>
    </row>
    <row r="136" spans="1:18" ht="14.1" customHeight="1" x14ac:dyDescent="0.2">
      <c r="A136" s="180"/>
      <c r="B136" s="180" t="s">
        <v>471</v>
      </c>
      <c r="C136" s="244"/>
      <c r="D136" s="243"/>
      <c r="E136" s="243"/>
      <c r="F136" s="243"/>
      <c r="G136" s="243"/>
      <c r="H136" s="243"/>
      <c r="I136" s="245">
        <f t="shared" si="113"/>
        <v>0</v>
      </c>
      <c r="J136" s="244"/>
      <c r="K136" s="243"/>
      <c r="L136" s="255"/>
      <c r="M136" s="249"/>
      <c r="N136" s="257">
        <f t="shared" si="114"/>
        <v>0</v>
      </c>
      <c r="O136" s="255"/>
      <c r="P136" s="257">
        <f t="shared" si="115"/>
        <v>0</v>
      </c>
      <c r="Q136" s="248">
        <f t="shared" si="116"/>
        <v>0</v>
      </c>
      <c r="R136" s="181">
        <f>+Q136/Q160*100</f>
        <v>0</v>
      </c>
    </row>
    <row r="137" spans="1:18" ht="14.1" customHeight="1" x14ac:dyDescent="0.2">
      <c r="A137" s="180"/>
      <c r="B137" s="180" t="s">
        <v>472</v>
      </c>
      <c r="C137" s="244"/>
      <c r="D137" s="243"/>
      <c r="E137" s="243"/>
      <c r="F137" s="243"/>
      <c r="G137" s="243"/>
      <c r="H137" s="243"/>
      <c r="I137" s="245">
        <f t="shared" si="113"/>
        <v>0</v>
      </c>
      <c r="J137" s="244"/>
      <c r="K137" s="243"/>
      <c r="L137" s="255"/>
      <c r="M137" s="249"/>
      <c r="N137" s="257">
        <f t="shared" si="114"/>
        <v>0</v>
      </c>
      <c r="O137" s="255"/>
      <c r="P137" s="257">
        <f t="shared" si="115"/>
        <v>0</v>
      </c>
      <c r="Q137" s="248">
        <f t="shared" si="116"/>
        <v>0</v>
      </c>
      <c r="R137" s="181">
        <f>+Q137/Q160*100</f>
        <v>0</v>
      </c>
    </row>
    <row r="138" spans="1:18" ht="14.1" customHeight="1" x14ac:dyDescent="0.2">
      <c r="A138" s="180"/>
      <c r="B138" s="180" t="s">
        <v>473</v>
      </c>
      <c r="C138" s="244"/>
      <c r="D138" s="243"/>
      <c r="E138" s="243"/>
      <c r="F138" s="243"/>
      <c r="G138" s="243"/>
      <c r="H138" s="243"/>
      <c r="I138" s="245">
        <f t="shared" si="113"/>
        <v>0</v>
      </c>
      <c r="J138" s="244"/>
      <c r="K138" s="243"/>
      <c r="L138" s="255"/>
      <c r="M138" s="249"/>
      <c r="N138" s="257">
        <f t="shared" si="114"/>
        <v>0</v>
      </c>
      <c r="O138" s="255"/>
      <c r="P138" s="257">
        <f t="shared" si="115"/>
        <v>0</v>
      </c>
      <c r="Q138" s="248">
        <f t="shared" si="116"/>
        <v>0</v>
      </c>
      <c r="R138" s="181">
        <f>+Q138/Q160*100</f>
        <v>0</v>
      </c>
    </row>
    <row r="139" spans="1:18" ht="14.1" customHeight="1" x14ac:dyDescent="0.2">
      <c r="A139" s="180"/>
      <c r="B139" s="180" t="s">
        <v>474</v>
      </c>
      <c r="C139" s="244"/>
      <c r="D139" s="243"/>
      <c r="E139" s="243"/>
      <c r="F139" s="243"/>
      <c r="G139" s="243"/>
      <c r="H139" s="243"/>
      <c r="I139" s="245">
        <f t="shared" si="113"/>
        <v>0</v>
      </c>
      <c r="J139" s="244"/>
      <c r="K139" s="243"/>
      <c r="L139" s="255"/>
      <c r="M139" s="249"/>
      <c r="N139" s="257">
        <f t="shared" si="114"/>
        <v>0</v>
      </c>
      <c r="O139" s="255"/>
      <c r="P139" s="257">
        <f t="shared" si="115"/>
        <v>0</v>
      </c>
      <c r="Q139" s="248">
        <f t="shared" si="116"/>
        <v>0</v>
      </c>
      <c r="R139" s="181">
        <f>+Q139/Q160*100</f>
        <v>0</v>
      </c>
    </row>
    <row r="140" spans="1:18" ht="14.1" customHeight="1" x14ac:dyDescent="0.2">
      <c r="A140" s="180"/>
      <c r="B140" s="180" t="s">
        <v>475</v>
      </c>
      <c r="C140" s="244"/>
      <c r="D140" s="243"/>
      <c r="E140" s="243"/>
      <c r="F140" s="243"/>
      <c r="G140" s="243"/>
      <c r="H140" s="243"/>
      <c r="I140" s="245">
        <f t="shared" si="113"/>
        <v>0</v>
      </c>
      <c r="J140" s="244"/>
      <c r="K140" s="243"/>
      <c r="L140" s="255"/>
      <c r="M140" s="249"/>
      <c r="N140" s="257">
        <f t="shared" si="114"/>
        <v>0</v>
      </c>
      <c r="O140" s="255"/>
      <c r="P140" s="257">
        <f t="shared" si="115"/>
        <v>0</v>
      </c>
      <c r="Q140" s="248">
        <f t="shared" si="116"/>
        <v>0</v>
      </c>
      <c r="R140" s="181">
        <f>+Q140/Q160*100</f>
        <v>0</v>
      </c>
    </row>
    <row r="141" spans="1:18" ht="14.1" customHeight="1" x14ac:dyDescent="0.2">
      <c r="A141" s="180"/>
      <c r="B141" s="180" t="s">
        <v>476</v>
      </c>
      <c r="C141" s="244"/>
      <c r="D141" s="243"/>
      <c r="E141" s="243"/>
      <c r="F141" s="243"/>
      <c r="G141" s="243"/>
      <c r="H141" s="243"/>
      <c r="I141" s="245">
        <f t="shared" si="113"/>
        <v>0</v>
      </c>
      <c r="J141" s="244"/>
      <c r="K141" s="243"/>
      <c r="L141" s="255"/>
      <c r="M141" s="249"/>
      <c r="N141" s="257">
        <f t="shared" si="114"/>
        <v>0</v>
      </c>
      <c r="O141" s="255"/>
      <c r="P141" s="257">
        <f t="shared" si="115"/>
        <v>0</v>
      </c>
      <c r="Q141" s="248">
        <f t="shared" si="116"/>
        <v>0</v>
      </c>
      <c r="R141" s="181">
        <f>+Q141/Q160*100</f>
        <v>0</v>
      </c>
    </row>
    <row r="142" spans="1:18" ht="14.1" customHeight="1" x14ac:dyDescent="0.2">
      <c r="A142" s="180"/>
      <c r="B142" s="180" t="s">
        <v>477</v>
      </c>
      <c r="C142" s="244"/>
      <c r="D142" s="243"/>
      <c r="E142" s="243"/>
      <c r="F142" s="243"/>
      <c r="G142" s="243"/>
      <c r="H142" s="243"/>
      <c r="I142" s="245">
        <f t="shared" si="113"/>
        <v>0</v>
      </c>
      <c r="J142" s="244"/>
      <c r="K142" s="243"/>
      <c r="L142" s="255"/>
      <c r="M142" s="249"/>
      <c r="N142" s="257">
        <f t="shared" si="114"/>
        <v>0</v>
      </c>
      <c r="O142" s="255"/>
      <c r="P142" s="257">
        <f t="shared" si="115"/>
        <v>0</v>
      </c>
      <c r="Q142" s="248">
        <f t="shared" si="116"/>
        <v>0</v>
      </c>
      <c r="R142" s="181">
        <f>+Q142/Q160*100</f>
        <v>0</v>
      </c>
    </row>
    <row r="143" spans="1:18" ht="14.1" customHeight="1" x14ac:dyDescent="0.2">
      <c r="A143" s="180"/>
      <c r="B143" s="180" t="s">
        <v>478</v>
      </c>
      <c r="C143" s="244"/>
      <c r="D143" s="243"/>
      <c r="E143" s="243"/>
      <c r="F143" s="243"/>
      <c r="G143" s="243"/>
      <c r="H143" s="243"/>
      <c r="I143" s="245">
        <f t="shared" si="113"/>
        <v>0</v>
      </c>
      <c r="J143" s="244"/>
      <c r="K143" s="243"/>
      <c r="L143" s="255"/>
      <c r="M143" s="249"/>
      <c r="N143" s="257">
        <f t="shared" si="114"/>
        <v>0</v>
      </c>
      <c r="O143" s="255"/>
      <c r="P143" s="257">
        <f t="shared" si="115"/>
        <v>0</v>
      </c>
      <c r="Q143" s="248">
        <f t="shared" si="116"/>
        <v>0</v>
      </c>
      <c r="R143" s="181">
        <f>+Q143/Q160*100</f>
        <v>0</v>
      </c>
    </row>
    <row r="144" spans="1:18" ht="14.1" customHeight="1" x14ac:dyDescent="0.2">
      <c r="A144" s="180"/>
      <c r="B144" s="180" t="s">
        <v>479</v>
      </c>
      <c r="C144" s="244"/>
      <c r="D144" s="243"/>
      <c r="E144" s="243"/>
      <c r="F144" s="243"/>
      <c r="G144" s="243"/>
      <c r="H144" s="243"/>
      <c r="I144" s="245">
        <f t="shared" si="113"/>
        <v>0</v>
      </c>
      <c r="J144" s="244"/>
      <c r="K144" s="243"/>
      <c r="L144" s="255"/>
      <c r="M144" s="249"/>
      <c r="N144" s="257">
        <f t="shared" si="114"/>
        <v>0</v>
      </c>
      <c r="O144" s="255"/>
      <c r="P144" s="257">
        <f t="shared" si="115"/>
        <v>0</v>
      </c>
      <c r="Q144" s="248">
        <f t="shared" si="116"/>
        <v>0</v>
      </c>
      <c r="R144" s="181">
        <f>+Q144/Q160*100</f>
        <v>0</v>
      </c>
    </row>
    <row r="145" spans="1:18" ht="14.1" customHeight="1" x14ac:dyDescent="0.2">
      <c r="A145" s="180"/>
      <c r="B145" s="180" t="s">
        <v>480</v>
      </c>
      <c r="C145" s="244"/>
      <c r="D145" s="243"/>
      <c r="E145" s="243"/>
      <c r="F145" s="243"/>
      <c r="G145" s="243"/>
      <c r="H145" s="243"/>
      <c r="I145" s="245">
        <f t="shared" si="113"/>
        <v>0</v>
      </c>
      <c r="J145" s="244"/>
      <c r="K145" s="243"/>
      <c r="L145" s="255"/>
      <c r="M145" s="249"/>
      <c r="N145" s="257">
        <f t="shared" si="114"/>
        <v>0</v>
      </c>
      <c r="O145" s="255"/>
      <c r="P145" s="257">
        <f t="shared" si="115"/>
        <v>0</v>
      </c>
      <c r="Q145" s="248">
        <f t="shared" si="116"/>
        <v>0</v>
      </c>
      <c r="R145" s="181">
        <f>+Q145/Q160*100</f>
        <v>0</v>
      </c>
    </row>
    <row r="146" spans="1:18" ht="14.1" customHeight="1" x14ac:dyDescent="0.2">
      <c r="A146" s="180"/>
      <c r="B146" s="180" t="s">
        <v>481</v>
      </c>
      <c r="C146" s="244"/>
      <c r="D146" s="243"/>
      <c r="E146" s="243"/>
      <c r="F146" s="243"/>
      <c r="G146" s="243"/>
      <c r="H146" s="243"/>
      <c r="I146" s="245">
        <f t="shared" si="113"/>
        <v>0</v>
      </c>
      <c r="J146" s="244"/>
      <c r="K146" s="243"/>
      <c r="L146" s="255"/>
      <c r="M146" s="249"/>
      <c r="N146" s="257">
        <f t="shared" si="114"/>
        <v>0</v>
      </c>
      <c r="O146" s="255"/>
      <c r="P146" s="257">
        <f t="shared" si="115"/>
        <v>0</v>
      </c>
      <c r="Q146" s="248">
        <f t="shared" si="116"/>
        <v>0</v>
      </c>
      <c r="R146" s="181">
        <f>+Q146/Q160*100</f>
        <v>0</v>
      </c>
    </row>
    <row r="147" spans="1:18" ht="14.1" customHeight="1" x14ac:dyDescent="0.2">
      <c r="A147" s="180"/>
      <c r="B147" s="180" t="s">
        <v>482</v>
      </c>
      <c r="C147" s="244"/>
      <c r="D147" s="243"/>
      <c r="E147" s="243"/>
      <c r="F147" s="243"/>
      <c r="G147" s="243"/>
      <c r="H147" s="243"/>
      <c r="I147" s="245">
        <f t="shared" si="113"/>
        <v>0</v>
      </c>
      <c r="J147" s="244"/>
      <c r="K147" s="243"/>
      <c r="L147" s="255"/>
      <c r="M147" s="249"/>
      <c r="N147" s="257">
        <f t="shared" si="114"/>
        <v>0</v>
      </c>
      <c r="O147" s="255"/>
      <c r="P147" s="257">
        <f t="shared" si="115"/>
        <v>0</v>
      </c>
      <c r="Q147" s="248">
        <f t="shared" si="116"/>
        <v>0</v>
      </c>
      <c r="R147" s="181">
        <f>+Q147/Q160*100</f>
        <v>0</v>
      </c>
    </row>
    <row r="148" spans="1:18" ht="14.1" customHeight="1" x14ac:dyDescent="0.2">
      <c r="A148" s="180"/>
      <c r="B148" s="180" t="s">
        <v>483</v>
      </c>
      <c r="C148" s="244"/>
      <c r="D148" s="243"/>
      <c r="E148" s="243"/>
      <c r="F148" s="243"/>
      <c r="G148" s="243"/>
      <c r="H148" s="243"/>
      <c r="I148" s="245">
        <f t="shared" si="113"/>
        <v>0</v>
      </c>
      <c r="J148" s="244"/>
      <c r="K148" s="243"/>
      <c r="L148" s="255"/>
      <c r="M148" s="249"/>
      <c r="N148" s="257">
        <f t="shared" si="114"/>
        <v>0</v>
      </c>
      <c r="O148" s="255"/>
      <c r="P148" s="257">
        <f t="shared" si="115"/>
        <v>0</v>
      </c>
      <c r="Q148" s="248">
        <f t="shared" si="116"/>
        <v>0</v>
      </c>
      <c r="R148" s="181">
        <f>+Q148/Q160*100</f>
        <v>0</v>
      </c>
    </row>
    <row r="149" spans="1:18" ht="14.1" customHeight="1" x14ac:dyDescent="0.2">
      <c r="A149" s="180"/>
      <c r="B149" s="180" t="s">
        <v>484</v>
      </c>
      <c r="C149" s="244"/>
      <c r="D149" s="243"/>
      <c r="E149" s="243"/>
      <c r="F149" s="243"/>
      <c r="G149" s="243"/>
      <c r="H149" s="243"/>
      <c r="I149" s="245">
        <f t="shared" si="113"/>
        <v>0</v>
      </c>
      <c r="J149" s="244"/>
      <c r="K149" s="243"/>
      <c r="L149" s="255"/>
      <c r="M149" s="249"/>
      <c r="N149" s="257">
        <f t="shared" si="114"/>
        <v>0</v>
      </c>
      <c r="O149" s="255"/>
      <c r="P149" s="257">
        <f t="shared" si="115"/>
        <v>0</v>
      </c>
      <c r="Q149" s="248">
        <f t="shared" si="116"/>
        <v>0</v>
      </c>
      <c r="R149" s="181">
        <f>+Q149/Q160*100</f>
        <v>0</v>
      </c>
    </row>
    <row r="150" spans="1:18" ht="14.1" customHeight="1" x14ac:dyDescent="0.2">
      <c r="A150" s="180"/>
      <c r="B150" s="180" t="s">
        <v>485</v>
      </c>
      <c r="C150" s="244"/>
      <c r="D150" s="243"/>
      <c r="E150" s="243"/>
      <c r="F150" s="243"/>
      <c r="G150" s="243"/>
      <c r="H150" s="243"/>
      <c r="I150" s="245">
        <f t="shared" si="113"/>
        <v>0</v>
      </c>
      <c r="J150" s="244"/>
      <c r="K150" s="243"/>
      <c r="L150" s="255"/>
      <c r="M150" s="249"/>
      <c r="N150" s="257">
        <f t="shared" si="114"/>
        <v>0</v>
      </c>
      <c r="O150" s="255"/>
      <c r="P150" s="257">
        <f t="shared" si="115"/>
        <v>0</v>
      </c>
      <c r="Q150" s="248">
        <f t="shared" si="116"/>
        <v>0</v>
      </c>
      <c r="R150" s="181">
        <f>+Q150/Q160*100</f>
        <v>0</v>
      </c>
    </row>
    <row r="151" spans="1:18" ht="14.1" customHeight="1" x14ac:dyDescent="0.2">
      <c r="A151" s="180"/>
      <c r="B151" s="180" t="s">
        <v>486</v>
      </c>
      <c r="C151" s="244"/>
      <c r="D151" s="243"/>
      <c r="E151" s="243"/>
      <c r="F151" s="243"/>
      <c r="G151" s="243"/>
      <c r="H151" s="243"/>
      <c r="I151" s="245">
        <f t="shared" si="113"/>
        <v>0</v>
      </c>
      <c r="J151" s="244"/>
      <c r="K151" s="243"/>
      <c r="L151" s="255"/>
      <c r="M151" s="249"/>
      <c r="N151" s="257">
        <f t="shared" si="114"/>
        <v>0</v>
      </c>
      <c r="O151" s="255"/>
      <c r="P151" s="257">
        <f t="shared" si="115"/>
        <v>0</v>
      </c>
      <c r="Q151" s="248">
        <f t="shared" si="116"/>
        <v>0</v>
      </c>
      <c r="R151" s="181">
        <f>+Q151/Q160*100</f>
        <v>0</v>
      </c>
    </row>
    <row r="152" spans="1:18" ht="14.1" customHeight="1" x14ac:dyDescent="0.2">
      <c r="A152" s="180"/>
      <c r="B152" s="180" t="s">
        <v>487</v>
      </c>
      <c r="C152" s="244"/>
      <c r="D152" s="243"/>
      <c r="E152" s="243"/>
      <c r="F152" s="243"/>
      <c r="G152" s="243"/>
      <c r="H152" s="243"/>
      <c r="I152" s="245">
        <f t="shared" si="113"/>
        <v>0</v>
      </c>
      <c r="J152" s="244"/>
      <c r="K152" s="243"/>
      <c r="L152" s="255"/>
      <c r="M152" s="249"/>
      <c r="N152" s="257">
        <f t="shared" si="114"/>
        <v>0</v>
      </c>
      <c r="O152" s="255"/>
      <c r="P152" s="257">
        <f t="shared" si="115"/>
        <v>0</v>
      </c>
      <c r="Q152" s="248">
        <f t="shared" si="116"/>
        <v>0</v>
      </c>
      <c r="R152" s="181">
        <f>+Q152/Q160*100</f>
        <v>0</v>
      </c>
    </row>
    <row r="153" spans="1:18" ht="14.1" customHeight="1" x14ac:dyDescent="0.2">
      <c r="A153" s="180" t="s">
        <v>83</v>
      </c>
      <c r="B153" s="180" t="s">
        <v>488</v>
      </c>
      <c r="C153" s="246"/>
      <c r="D153" s="243"/>
      <c r="E153" s="243"/>
      <c r="F153" s="243"/>
      <c r="G153" s="243"/>
      <c r="H153" s="243"/>
      <c r="I153" s="245">
        <f t="shared" si="113"/>
        <v>0</v>
      </c>
      <c r="J153" s="246"/>
      <c r="K153" s="243"/>
      <c r="L153" s="255"/>
      <c r="M153" s="247"/>
      <c r="N153" s="257">
        <f t="shared" si="114"/>
        <v>0</v>
      </c>
      <c r="O153" s="255"/>
      <c r="P153" s="257">
        <f t="shared" si="115"/>
        <v>0</v>
      </c>
      <c r="Q153" s="248">
        <f t="shared" si="116"/>
        <v>0</v>
      </c>
      <c r="R153" s="181">
        <f>+Q153/Q160*100</f>
        <v>0</v>
      </c>
    </row>
    <row r="154" spans="1:18" ht="14.1" customHeight="1" x14ac:dyDescent="0.2">
      <c r="A154" s="180" t="s">
        <v>83</v>
      </c>
      <c r="B154" s="180" t="s">
        <v>489</v>
      </c>
      <c r="C154" s="246"/>
      <c r="D154" s="243"/>
      <c r="E154" s="243"/>
      <c r="F154" s="243"/>
      <c r="G154" s="243"/>
      <c r="H154" s="243"/>
      <c r="I154" s="245">
        <f t="shared" si="113"/>
        <v>0</v>
      </c>
      <c r="J154" s="246"/>
      <c r="K154" s="243"/>
      <c r="L154" s="255"/>
      <c r="M154" s="247"/>
      <c r="N154" s="257">
        <f t="shared" si="114"/>
        <v>0</v>
      </c>
      <c r="O154" s="255"/>
      <c r="P154" s="257">
        <f t="shared" si="115"/>
        <v>0</v>
      </c>
      <c r="Q154" s="248">
        <f t="shared" si="116"/>
        <v>0</v>
      </c>
      <c r="R154" s="181">
        <f>+Q154/Q160*100</f>
        <v>0</v>
      </c>
    </row>
    <row r="155" spans="1:18" ht="14.1" customHeight="1" x14ac:dyDescent="0.2">
      <c r="A155" s="180" t="s">
        <v>83</v>
      </c>
      <c r="B155" s="180" t="s">
        <v>490</v>
      </c>
      <c r="C155" s="244"/>
      <c r="D155" s="243"/>
      <c r="E155" s="243"/>
      <c r="F155" s="243"/>
      <c r="G155" s="243"/>
      <c r="H155" s="243"/>
      <c r="I155" s="245">
        <f t="shared" si="113"/>
        <v>0</v>
      </c>
      <c r="J155" s="244"/>
      <c r="K155" s="243"/>
      <c r="L155" s="255"/>
      <c r="M155" s="249"/>
      <c r="N155" s="257">
        <f t="shared" si="114"/>
        <v>0</v>
      </c>
      <c r="O155" s="255"/>
      <c r="P155" s="257">
        <f t="shared" si="115"/>
        <v>0</v>
      </c>
      <c r="Q155" s="248">
        <f t="shared" si="116"/>
        <v>0</v>
      </c>
      <c r="R155" s="181">
        <f>+Q155/Q160*100</f>
        <v>0</v>
      </c>
    </row>
    <row r="156" spans="1:18" ht="14.1" customHeight="1" x14ac:dyDescent="0.2">
      <c r="A156" s="180" t="s">
        <v>83</v>
      </c>
      <c r="B156" s="180" t="s">
        <v>491</v>
      </c>
      <c r="C156" s="248"/>
      <c r="D156" s="243"/>
      <c r="E156" s="243"/>
      <c r="F156" s="243"/>
      <c r="G156" s="243"/>
      <c r="H156" s="243"/>
      <c r="I156" s="245">
        <f t="shared" si="113"/>
        <v>0</v>
      </c>
      <c r="J156" s="248"/>
      <c r="K156" s="243"/>
      <c r="L156" s="255"/>
      <c r="M156" s="249"/>
      <c r="N156" s="257">
        <f t="shared" si="114"/>
        <v>0</v>
      </c>
      <c r="O156" s="255"/>
      <c r="P156" s="257">
        <f t="shared" si="115"/>
        <v>0</v>
      </c>
      <c r="Q156" s="248">
        <f t="shared" si="116"/>
        <v>0</v>
      </c>
      <c r="R156" s="181">
        <f>+Q156/Q160*100</f>
        <v>0</v>
      </c>
    </row>
    <row r="157" spans="1:18" ht="14.1" customHeight="1" x14ac:dyDescent="0.2">
      <c r="A157" s="180"/>
      <c r="B157" s="180" t="s">
        <v>492</v>
      </c>
      <c r="C157" s="248"/>
      <c r="D157" s="243"/>
      <c r="E157" s="243"/>
      <c r="F157" s="243"/>
      <c r="G157" s="243"/>
      <c r="H157" s="243"/>
      <c r="I157" s="245">
        <f t="shared" si="113"/>
        <v>0</v>
      </c>
      <c r="J157" s="248"/>
      <c r="K157" s="243"/>
      <c r="L157" s="255"/>
      <c r="M157" s="249"/>
      <c r="N157" s="257">
        <f t="shared" si="114"/>
        <v>0</v>
      </c>
      <c r="O157" s="255"/>
      <c r="P157" s="257">
        <f t="shared" si="115"/>
        <v>0</v>
      </c>
      <c r="Q157" s="248">
        <f t="shared" si="116"/>
        <v>0</v>
      </c>
      <c r="R157" s="181">
        <f>+Q157/Q160*100</f>
        <v>0</v>
      </c>
    </row>
    <row r="158" spans="1:18" ht="14.1" customHeight="1" x14ac:dyDescent="0.2">
      <c r="A158" s="180" t="s">
        <v>83</v>
      </c>
      <c r="B158" s="180" t="s">
        <v>493</v>
      </c>
      <c r="C158" s="248"/>
      <c r="D158" s="243"/>
      <c r="E158" s="243"/>
      <c r="F158" s="243"/>
      <c r="G158" s="243"/>
      <c r="H158" s="243"/>
      <c r="I158" s="245">
        <f t="shared" si="113"/>
        <v>0</v>
      </c>
      <c r="J158" s="248"/>
      <c r="K158" s="243"/>
      <c r="L158" s="255"/>
      <c r="M158" s="249"/>
      <c r="N158" s="257">
        <f t="shared" si="114"/>
        <v>0</v>
      </c>
      <c r="O158" s="255"/>
      <c r="P158" s="257">
        <f t="shared" si="115"/>
        <v>0</v>
      </c>
      <c r="Q158" s="248">
        <f t="shared" si="116"/>
        <v>0</v>
      </c>
      <c r="R158" s="181">
        <f>+Q158/Q160*100</f>
        <v>0</v>
      </c>
    </row>
    <row r="159" spans="1:18" ht="14.1" customHeight="1" thickBot="1" x14ac:dyDescent="0.25">
      <c r="A159" s="182" t="s">
        <v>11</v>
      </c>
      <c r="B159" s="182" t="s">
        <v>494</v>
      </c>
      <c r="C159" s="250"/>
      <c r="D159" s="243"/>
      <c r="E159" s="243"/>
      <c r="F159" s="243"/>
      <c r="G159" s="243"/>
      <c r="H159" s="243"/>
      <c r="I159" s="245">
        <f t="shared" si="113"/>
        <v>0</v>
      </c>
      <c r="J159" s="250"/>
      <c r="K159" s="243"/>
      <c r="L159" s="255"/>
      <c r="M159" s="259"/>
      <c r="N159" s="257">
        <f t="shared" si="114"/>
        <v>0</v>
      </c>
      <c r="O159" s="255"/>
      <c r="P159" s="257">
        <f t="shared" si="115"/>
        <v>0</v>
      </c>
      <c r="Q159" s="248">
        <f t="shared" si="116"/>
        <v>0</v>
      </c>
      <c r="R159" s="181">
        <f>+Q159/Q160*100</f>
        <v>0</v>
      </c>
    </row>
    <row r="160" spans="1:18" ht="25.5" customHeight="1" thickBot="1" x14ac:dyDescent="0.25">
      <c r="A160" s="183" t="s">
        <v>72</v>
      </c>
      <c r="B160" s="183" t="s">
        <v>72</v>
      </c>
      <c r="C160" s="251"/>
      <c r="D160" s="252">
        <f>SUM(D127:D159)</f>
        <v>0</v>
      </c>
      <c r="E160" s="252">
        <f t="shared" ref="E160:Q160" si="117">SUM(E127:E159)</f>
        <v>0</v>
      </c>
      <c r="F160" s="252">
        <f t="shared" si="117"/>
        <v>0</v>
      </c>
      <c r="G160" s="252">
        <f t="shared" si="117"/>
        <v>0</v>
      </c>
      <c r="H160" s="252">
        <f t="shared" si="117"/>
        <v>0</v>
      </c>
      <c r="I160" s="252">
        <f t="shared" si="117"/>
        <v>0</v>
      </c>
      <c r="J160" s="252">
        <f t="shared" si="117"/>
        <v>0</v>
      </c>
      <c r="K160" s="252">
        <f t="shared" si="117"/>
        <v>0</v>
      </c>
      <c r="L160" s="252">
        <f t="shared" si="117"/>
        <v>399732427</v>
      </c>
      <c r="M160" s="252">
        <f t="shared" si="117"/>
        <v>0</v>
      </c>
      <c r="N160" s="252">
        <f t="shared" si="117"/>
        <v>399732427</v>
      </c>
      <c r="O160" s="252">
        <f t="shared" si="117"/>
        <v>0</v>
      </c>
      <c r="P160" s="252">
        <f t="shared" si="117"/>
        <v>0</v>
      </c>
      <c r="Q160" s="252">
        <f t="shared" si="117"/>
        <v>399732427</v>
      </c>
      <c r="R160" s="184">
        <f>SUM(R127:R159)</f>
        <v>99.999999999999986</v>
      </c>
    </row>
    <row r="162" spans="1:18" x14ac:dyDescent="0.2">
      <c r="A162" s="89" t="s">
        <v>398</v>
      </c>
      <c r="B162" s="89"/>
      <c r="C162" s="172"/>
      <c r="D162" s="172"/>
      <c r="E162" s="172"/>
      <c r="F162" s="172"/>
      <c r="G162" s="172"/>
      <c r="H162" s="173"/>
      <c r="I162" s="173"/>
      <c r="J162" s="173"/>
      <c r="K162" s="173"/>
      <c r="L162" s="173"/>
      <c r="M162" s="173"/>
      <c r="N162" s="173"/>
      <c r="O162" s="173"/>
      <c r="P162" s="173"/>
      <c r="Q162" s="173"/>
      <c r="R162" s="173"/>
    </row>
    <row r="163" spans="1:18" x14ac:dyDescent="0.2">
      <c r="A163" s="89" t="s">
        <v>495</v>
      </c>
      <c r="B163" s="89"/>
      <c r="C163" s="172"/>
      <c r="D163" s="172"/>
      <c r="E163" s="172"/>
      <c r="F163" s="172"/>
      <c r="G163" s="172"/>
      <c r="H163" s="173"/>
      <c r="I163" s="173"/>
      <c r="J163" s="173"/>
      <c r="K163" s="173"/>
      <c r="L163" s="173"/>
      <c r="M163" s="173"/>
      <c r="N163" s="173"/>
      <c r="O163" s="173"/>
      <c r="P163" s="173"/>
      <c r="Q163" s="173"/>
      <c r="R163" s="173"/>
    </row>
    <row r="164" spans="1:18" ht="12" thickBot="1" x14ac:dyDescent="0.25">
      <c r="A164" s="89" t="s">
        <v>500</v>
      </c>
      <c r="B164" s="91"/>
      <c r="C164" s="91"/>
      <c r="D164" s="91"/>
      <c r="E164" s="91"/>
      <c r="F164" s="91"/>
      <c r="G164" s="91"/>
      <c r="H164" s="91"/>
      <c r="I164" s="91"/>
      <c r="J164" s="91"/>
      <c r="K164" s="91"/>
      <c r="L164" s="91"/>
      <c r="M164" s="91"/>
      <c r="N164" s="91"/>
      <c r="O164" s="91"/>
      <c r="P164" s="91"/>
      <c r="Q164" s="91"/>
      <c r="R164" s="91"/>
    </row>
    <row r="165" spans="1:18" ht="28.5" customHeight="1" thickBot="1" x14ac:dyDescent="0.25">
      <c r="A165" s="1249" t="s">
        <v>293</v>
      </c>
      <c r="B165" s="1249" t="s">
        <v>278</v>
      </c>
      <c r="C165" s="1247" t="s">
        <v>103</v>
      </c>
      <c r="D165" s="1251"/>
      <c r="E165" s="1251"/>
      <c r="F165" s="1251"/>
      <c r="G165" s="1251"/>
      <c r="H165" s="1251"/>
      <c r="I165" s="1248"/>
      <c r="J165" s="1247" t="s">
        <v>91</v>
      </c>
      <c r="K165" s="1251"/>
      <c r="L165" s="1251"/>
      <c r="M165" s="1251"/>
      <c r="N165" s="1248"/>
      <c r="O165" s="1247" t="s">
        <v>81</v>
      </c>
      <c r="P165" s="1248"/>
      <c r="Q165" s="1247" t="s">
        <v>0</v>
      </c>
      <c r="R165" s="1248"/>
    </row>
    <row r="166" spans="1:18" ht="137.25" thickBot="1" x14ac:dyDescent="0.25">
      <c r="A166" s="1250"/>
      <c r="B166" s="1250"/>
      <c r="C166" s="174" t="s">
        <v>92</v>
      </c>
      <c r="D166" s="175" t="s">
        <v>93</v>
      </c>
      <c r="E166" s="175" t="s">
        <v>94</v>
      </c>
      <c r="F166" s="175" t="s">
        <v>95</v>
      </c>
      <c r="G166" s="175" t="s">
        <v>96</v>
      </c>
      <c r="H166" s="175" t="s">
        <v>97</v>
      </c>
      <c r="I166" s="176" t="s">
        <v>88</v>
      </c>
      <c r="J166" s="174" t="s">
        <v>98</v>
      </c>
      <c r="K166" s="175" t="s">
        <v>99</v>
      </c>
      <c r="L166" s="175" t="s">
        <v>100</v>
      </c>
      <c r="M166" s="175" t="s">
        <v>101</v>
      </c>
      <c r="N166" s="176" t="s">
        <v>89</v>
      </c>
      <c r="O166" s="174" t="s">
        <v>102</v>
      </c>
      <c r="P166" s="176" t="s">
        <v>90</v>
      </c>
      <c r="Q166" s="177" t="s">
        <v>126</v>
      </c>
      <c r="R166" s="178" t="s">
        <v>79</v>
      </c>
    </row>
    <row r="167" spans="1:18" ht="14.1" customHeight="1" x14ac:dyDescent="0.2">
      <c r="A167" s="179" t="s">
        <v>461</v>
      </c>
      <c r="B167" s="179" t="s">
        <v>462</v>
      </c>
      <c r="C167" s="260"/>
      <c r="D167" s="261"/>
      <c r="E167" s="261"/>
      <c r="F167" s="261">
        <v>0</v>
      </c>
      <c r="G167" s="261"/>
      <c r="H167" s="261"/>
      <c r="I167" s="262">
        <f>SUM(C167:H167)</f>
        <v>0</v>
      </c>
      <c r="J167" s="263"/>
      <c r="K167" s="261"/>
      <c r="L167" s="261">
        <v>0</v>
      </c>
      <c r="M167" s="261"/>
      <c r="N167" s="262">
        <f>SUM(J167:M167)</f>
        <v>0</v>
      </c>
      <c r="O167" s="261">
        <v>0</v>
      </c>
      <c r="P167" s="262">
        <f>+O167</f>
        <v>0</v>
      </c>
      <c r="Q167" s="263">
        <f>+I167+N167+P167</f>
        <v>0</v>
      </c>
      <c r="R167" s="264">
        <f>+Q167/Q200*100</f>
        <v>0</v>
      </c>
    </row>
    <row r="168" spans="1:18" ht="14.1" customHeight="1" x14ac:dyDescent="0.2">
      <c r="A168" s="180" t="s">
        <v>83</v>
      </c>
      <c r="B168" s="180" t="s">
        <v>463</v>
      </c>
      <c r="C168" s="244"/>
      <c r="D168" s="255"/>
      <c r="E168" s="255"/>
      <c r="F168" s="255"/>
      <c r="G168" s="255"/>
      <c r="H168" s="255"/>
      <c r="I168" s="257">
        <f>SUM(C168:H168)</f>
        <v>0</v>
      </c>
      <c r="J168" s="248"/>
      <c r="K168" s="255"/>
      <c r="L168" s="255"/>
      <c r="M168" s="249"/>
      <c r="N168" s="257">
        <f>SUM(J168:M168)</f>
        <v>0</v>
      </c>
      <c r="O168" s="255"/>
      <c r="P168" s="257">
        <f>+O168</f>
        <v>0</v>
      </c>
      <c r="Q168" s="248">
        <f>+P168+N168+I168</f>
        <v>0</v>
      </c>
      <c r="R168" s="181">
        <f>+Q168/Q200*100</f>
        <v>0</v>
      </c>
    </row>
    <row r="169" spans="1:18" ht="14.1" customHeight="1" x14ac:dyDescent="0.2">
      <c r="A169" s="180"/>
      <c r="B169" s="180" t="s">
        <v>464</v>
      </c>
      <c r="C169" s="244"/>
      <c r="D169" s="255"/>
      <c r="E169" s="255"/>
      <c r="F169" s="255"/>
      <c r="G169" s="255"/>
      <c r="H169" s="255"/>
      <c r="I169" s="257">
        <f t="shared" ref="I169:I199" si="118">SUM(C169:H169)</f>
        <v>0</v>
      </c>
      <c r="J169" s="248"/>
      <c r="K169" s="255"/>
      <c r="L169" s="255"/>
      <c r="M169" s="249"/>
      <c r="N169" s="257">
        <f t="shared" ref="N169:N199" si="119">SUM(J169:M169)</f>
        <v>0</v>
      </c>
      <c r="O169" s="255"/>
      <c r="P169" s="257">
        <f t="shared" ref="P169:P199" si="120">+O169</f>
        <v>0</v>
      </c>
      <c r="Q169" s="248">
        <f t="shared" ref="Q169:Q199" si="121">+P169+N169+I169</f>
        <v>0</v>
      </c>
      <c r="R169" s="181">
        <f>+Q169/Q200*100</f>
        <v>0</v>
      </c>
    </row>
    <row r="170" spans="1:18" ht="14.1" customHeight="1" x14ac:dyDescent="0.2">
      <c r="A170" s="180"/>
      <c r="B170" s="180" t="s">
        <v>465</v>
      </c>
      <c r="C170" s="244"/>
      <c r="D170" s="255"/>
      <c r="E170" s="255"/>
      <c r="F170" s="255"/>
      <c r="G170" s="255"/>
      <c r="H170" s="255"/>
      <c r="I170" s="257">
        <f t="shared" si="118"/>
        <v>0</v>
      </c>
      <c r="J170" s="248"/>
      <c r="K170" s="255"/>
      <c r="L170" s="255"/>
      <c r="M170" s="249"/>
      <c r="N170" s="257">
        <f t="shared" si="119"/>
        <v>0</v>
      </c>
      <c r="O170" s="255"/>
      <c r="P170" s="257">
        <f t="shared" si="120"/>
        <v>0</v>
      </c>
      <c r="Q170" s="248">
        <f t="shared" si="121"/>
        <v>0</v>
      </c>
      <c r="R170" s="181">
        <f>+Q170/Q200*100</f>
        <v>0</v>
      </c>
    </row>
    <row r="171" spans="1:18" ht="14.1" customHeight="1" x14ac:dyDescent="0.2">
      <c r="A171" s="180"/>
      <c r="B171" s="180" t="s">
        <v>466</v>
      </c>
      <c r="C171" s="244"/>
      <c r="D171" s="255"/>
      <c r="E171" s="255"/>
      <c r="F171" s="255"/>
      <c r="G171" s="255"/>
      <c r="H171" s="255"/>
      <c r="I171" s="257">
        <f t="shared" si="118"/>
        <v>0</v>
      </c>
      <c r="J171" s="248"/>
      <c r="K171" s="255"/>
      <c r="L171" s="255"/>
      <c r="M171" s="249"/>
      <c r="N171" s="257">
        <f t="shared" si="119"/>
        <v>0</v>
      </c>
      <c r="O171" s="255"/>
      <c r="P171" s="257">
        <f t="shared" si="120"/>
        <v>0</v>
      </c>
      <c r="Q171" s="248">
        <f t="shared" si="121"/>
        <v>0</v>
      </c>
      <c r="R171" s="181">
        <f>+Q171/Q200*100</f>
        <v>0</v>
      </c>
    </row>
    <row r="172" spans="1:18" ht="14.1" customHeight="1" x14ac:dyDescent="0.2">
      <c r="A172" s="180"/>
      <c r="B172" s="180" t="s">
        <v>467</v>
      </c>
      <c r="C172" s="244"/>
      <c r="D172" s="255"/>
      <c r="E172" s="255"/>
      <c r="F172" s="255"/>
      <c r="G172" s="255"/>
      <c r="H172" s="255"/>
      <c r="I172" s="257">
        <f t="shared" si="118"/>
        <v>0</v>
      </c>
      <c r="J172" s="248"/>
      <c r="K172" s="255"/>
      <c r="L172" s="255"/>
      <c r="M172" s="249"/>
      <c r="N172" s="257">
        <f t="shared" si="119"/>
        <v>0</v>
      </c>
      <c r="O172" s="255"/>
      <c r="P172" s="257">
        <f t="shared" si="120"/>
        <v>0</v>
      </c>
      <c r="Q172" s="248">
        <f t="shared" si="121"/>
        <v>0</v>
      </c>
      <c r="R172" s="181">
        <f>+Q172/Q200*100</f>
        <v>0</v>
      </c>
    </row>
    <row r="173" spans="1:18" ht="14.1" customHeight="1" x14ac:dyDescent="0.2">
      <c r="A173" s="180"/>
      <c r="B173" s="180" t="s">
        <v>468</v>
      </c>
      <c r="C173" s="244"/>
      <c r="D173" s="255"/>
      <c r="E173" s="255"/>
      <c r="F173" s="255"/>
      <c r="G173" s="255"/>
      <c r="H173" s="255"/>
      <c r="I173" s="257">
        <f t="shared" si="118"/>
        <v>0</v>
      </c>
      <c r="J173" s="248"/>
      <c r="K173" s="255"/>
      <c r="L173" s="255"/>
      <c r="M173" s="249"/>
      <c r="N173" s="257">
        <f t="shared" si="119"/>
        <v>0</v>
      </c>
      <c r="O173" s="255"/>
      <c r="P173" s="257">
        <f t="shared" si="120"/>
        <v>0</v>
      </c>
      <c r="Q173" s="248">
        <f t="shared" si="121"/>
        <v>0</v>
      </c>
      <c r="R173" s="181">
        <f>+Q173/Q200*100</f>
        <v>0</v>
      </c>
    </row>
    <row r="174" spans="1:18" ht="14.1" customHeight="1" x14ac:dyDescent="0.2">
      <c r="A174" s="180"/>
      <c r="B174" s="180" t="s">
        <v>469</v>
      </c>
      <c r="C174" s="244"/>
      <c r="D174" s="255"/>
      <c r="E174" s="255"/>
      <c r="F174" s="255"/>
      <c r="G174" s="255"/>
      <c r="H174" s="255"/>
      <c r="I174" s="257">
        <f t="shared" si="118"/>
        <v>0</v>
      </c>
      <c r="J174" s="248"/>
      <c r="K174" s="255"/>
      <c r="L174" s="255"/>
      <c r="M174" s="249"/>
      <c r="N174" s="257">
        <f t="shared" si="119"/>
        <v>0</v>
      </c>
      <c r="O174" s="255"/>
      <c r="P174" s="257">
        <f t="shared" si="120"/>
        <v>0</v>
      </c>
      <c r="Q174" s="248">
        <f t="shared" si="121"/>
        <v>0</v>
      </c>
      <c r="R174" s="181">
        <f>+Q174/Q200*100</f>
        <v>0</v>
      </c>
    </row>
    <row r="175" spans="1:18" ht="14.1" customHeight="1" x14ac:dyDescent="0.2">
      <c r="A175" s="180"/>
      <c r="B175" s="180" t="s">
        <v>470</v>
      </c>
      <c r="C175" s="244"/>
      <c r="D175" s="255"/>
      <c r="E175" s="255"/>
      <c r="F175" s="255"/>
      <c r="G175" s="255"/>
      <c r="H175" s="255"/>
      <c r="I175" s="257">
        <f t="shared" si="118"/>
        <v>0</v>
      </c>
      <c r="J175" s="248"/>
      <c r="K175" s="255"/>
      <c r="L175" s="255"/>
      <c r="M175" s="249"/>
      <c r="N175" s="257">
        <f t="shared" si="119"/>
        <v>0</v>
      </c>
      <c r="O175" s="255"/>
      <c r="P175" s="257">
        <f t="shared" si="120"/>
        <v>0</v>
      </c>
      <c r="Q175" s="248">
        <f t="shared" si="121"/>
        <v>0</v>
      </c>
      <c r="R175" s="181">
        <f>+Q175/Q200*100</f>
        <v>0</v>
      </c>
    </row>
    <row r="176" spans="1:18" ht="14.1" customHeight="1" x14ac:dyDescent="0.2">
      <c r="A176" s="180"/>
      <c r="B176" s="180" t="s">
        <v>471</v>
      </c>
      <c r="C176" s="244"/>
      <c r="D176" s="255"/>
      <c r="E176" s="255"/>
      <c r="F176" s="255"/>
      <c r="G176" s="255"/>
      <c r="H176" s="255"/>
      <c r="I176" s="257">
        <f t="shared" si="118"/>
        <v>0</v>
      </c>
      <c r="J176" s="248"/>
      <c r="K176" s="255"/>
      <c r="L176" s="255"/>
      <c r="M176" s="249"/>
      <c r="N176" s="257">
        <f t="shared" si="119"/>
        <v>0</v>
      </c>
      <c r="O176" s="255"/>
      <c r="P176" s="257">
        <f t="shared" si="120"/>
        <v>0</v>
      </c>
      <c r="Q176" s="248">
        <f t="shared" si="121"/>
        <v>0</v>
      </c>
      <c r="R176" s="181">
        <f>+Q176/Q200*100</f>
        <v>0</v>
      </c>
    </row>
    <row r="177" spans="1:18" ht="14.1" customHeight="1" x14ac:dyDescent="0.2">
      <c r="A177" s="180"/>
      <c r="B177" s="180" t="s">
        <v>472</v>
      </c>
      <c r="C177" s="244"/>
      <c r="D177" s="255"/>
      <c r="E177" s="255"/>
      <c r="F177" s="255"/>
      <c r="G177" s="255"/>
      <c r="H177" s="255"/>
      <c r="I177" s="257">
        <f t="shared" si="118"/>
        <v>0</v>
      </c>
      <c r="J177" s="248"/>
      <c r="K177" s="255"/>
      <c r="L177" s="255"/>
      <c r="M177" s="249"/>
      <c r="N177" s="257">
        <f t="shared" si="119"/>
        <v>0</v>
      </c>
      <c r="O177" s="255"/>
      <c r="P177" s="257">
        <f t="shared" si="120"/>
        <v>0</v>
      </c>
      <c r="Q177" s="248">
        <f t="shared" si="121"/>
        <v>0</v>
      </c>
      <c r="R177" s="181">
        <f>+Q177/Q200*100</f>
        <v>0</v>
      </c>
    </row>
    <row r="178" spans="1:18" ht="14.1" customHeight="1" x14ac:dyDescent="0.2">
      <c r="A178" s="180"/>
      <c r="B178" s="180" t="s">
        <v>473</v>
      </c>
      <c r="C178" s="244"/>
      <c r="D178" s="255"/>
      <c r="E178" s="255"/>
      <c r="F178" s="255"/>
      <c r="G178" s="255"/>
      <c r="H178" s="255"/>
      <c r="I178" s="257">
        <f t="shared" si="118"/>
        <v>0</v>
      </c>
      <c r="J178" s="248"/>
      <c r="K178" s="255"/>
      <c r="L178" s="255"/>
      <c r="M178" s="249"/>
      <c r="N178" s="257">
        <f t="shared" si="119"/>
        <v>0</v>
      </c>
      <c r="O178" s="255"/>
      <c r="P178" s="257">
        <f t="shared" si="120"/>
        <v>0</v>
      </c>
      <c r="Q178" s="248">
        <f t="shared" si="121"/>
        <v>0</v>
      </c>
      <c r="R178" s="181">
        <f>+Q178/Q200*100</f>
        <v>0</v>
      </c>
    </row>
    <row r="179" spans="1:18" ht="14.1" customHeight="1" x14ac:dyDescent="0.2">
      <c r="A179" s="180"/>
      <c r="B179" s="180" t="s">
        <v>474</v>
      </c>
      <c r="C179" s="244"/>
      <c r="D179" s="255"/>
      <c r="E179" s="255"/>
      <c r="F179" s="255"/>
      <c r="G179" s="255"/>
      <c r="H179" s="255"/>
      <c r="I179" s="257">
        <f t="shared" si="118"/>
        <v>0</v>
      </c>
      <c r="J179" s="248"/>
      <c r="K179" s="255"/>
      <c r="L179" s="255"/>
      <c r="M179" s="249"/>
      <c r="N179" s="257">
        <f t="shared" si="119"/>
        <v>0</v>
      </c>
      <c r="O179" s="255"/>
      <c r="P179" s="257">
        <f t="shared" si="120"/>
        <v>0</v>
      </c>
      <c r="Q179" s="248">
        <f t="shared" si="121"/>
        <v>0</v>
      </c>
      <c r="R179" s="181">
        <f>+Q179/Q200*100</f>
        <v>0</v>
      </c>
    </row>
    <row r="180" spans="1:18" ht="14.1" customHeight="1" x14ac:dyDescent="0.2">
      <c r="A180" s="180"/>
      <c r="B180" s="180" t="s">
        <v>475</v>
      </c>
      <c r="C180" s="244"/>
      <c r="D180" s="255"/>
      <c r="E180" s="255"/>
      <c r="F180" s="255"/>
      <c r="G180" s="255"/>
      <c r="H180" s="255"/>
      <c r="I180" s="257">
        <f t="shared" si="118"/>
        <v>0</v>
      </c>
      <c r="J180" s="248"/>
      <c r="K180" s="255"/>
      <c r="L180" s="255"/>
      <c r="M180" s="249"/>
      <c r="N180" s="257">
        <f t="shared" si="119"/>
        <v>0</v>
      </c>
      <c r="O180" s="255"/>
      <c r="P180" s="257">
        <f t="shared" si="120"/>
        <v>0</v>
      </c>
      <c r="Q180" s="248">
        <f t="shared" si="121"/>
        <v>0</v>
      </c>
      <c r="R180" s="181">
        <f>+Q180/Q200*100</f>
        <v>0</v>
      </c>
    </row>
    <row r="181" spans="1:18" ht="14.1" customHeight="1" x14ac:dyDescent="0.2">
      <c r="A181" s="180"/>
      <c r="B181" s="180" t="s">
        <v>476</v>
      </c>
      <c r="C181" s="244"/>
      <c r="D181" s="255"/>
      <c r="E181" s="255"/>
      <c r="F181" s="255"/>
      <c r="G181" s="255"/>
      <c r="H181" s="255"/>
      <c r="I181" s="257">
        <f t="shared" si="118"/>
        <v>0</v>
      </c>
      <c r="J181" s="248"/>
      <c r="K181" s="255"/>
      <c r="L181" s="255"/>
      <c r="M181" s="249"/>
      <c r="N181" s="257">
        <f t="shared" si="119"/>
        <v>0</v>
      </c>
      <c r="O181" s="255"/>
      <c r="P181" s="257">
        <f t="shared" si="120"/>
        <v>0</v>
      </c>
      <c r="Q181" s="248">
        <f t="shared" si="121"/>
        <v>0</v>
      </c>
      <c r="R181" s="181">
        <f>+Q181/Q200*100</f>
        <v>0</v>
      </c>
    </row>
    <row r="182" spans="1:18" ht="14.1" customHeight="1" x14ac:dyDescent="0.2">
      <c r="A182" s="180"/>
      <c r="B182" s="180" t="s">
        <v>477</v>
      </c>
      <c r="C182" s="244"/>
      <c r="D182" s="255"/>
      <c r="E182" s="255"/>
      <c r="F182" s="255"/>
      <c r="G182" s="255"/>
      <c r="H182" s="255"/>
      <c r="I182" s="257">
        <f t="shared" si="118"/>
        <v>0</v>
      </c>
      <c r="J182" s="248"/>
      <c r="K182" s="255"/>
      <c r="L182" s="255"/>
      <c r="M182" s="249"/>
      <c r="N182" s="257">
        <f t="shared" si="119"/>
        <v>0</v>
      </c>
      <c r="O182" s="255"/>
      <c r="P182" s="257">
        <f t="shared" si="120"/>
        <v>0</v>
      </c>
      <c r="Q182" s="248">
        <f t="shared" si="121"/>
        <v>0</v>
      </c>
      <c r="R182" s="181">
        <f>+Q182/Q200*100</f>
        <v>0</v>
      </c>
    </row>
    <row r="183" spans="1:18" ht="14.1" customHeight="1" x14ac:dyDescent="0.2">
      <c r="A183" s="180"/>
      <c r="B183" s="180" t="s">
        <v>478</v>
      </c>
      <c r="C183" s="244"/>
      <c r="D183" s="255"/>
      <c r="E183" s="255"/>
      <c r="F183" s="255"/>
      <c r="G183" s="255"/>
      <c r="H183" s="255"/>
      <c r="I183" s="257">
        <f t="shared" si="118"/>
        <v>0</v>
      </c>
      <c r="J183" s="248"/>
      <c r="K183" s="255"/>
      <c r="L183" s="255"/>
      <c r="M183" s="249"/>
      <c r="N183" s="257">
        <f t="shared" si="119"/>
        <v>0</v>
      </c>
      <c r="O183" s="255"/>
      <c r="P183" s="257">
        <f t="shared" si="120"/>
        <v>0</v>
      </c>
      <c r="Q183" s="248">
        <f t="shared" si="121"/>
        <v>0</v>
      </c>
      <c r="R183" s="181">
        <f>+Q183/Q200*100</f>
        <v>0</v>
      </c>
    </row>
    <row r="184" spans="1:18" ht="14.1" customHeight="1" x14ac:dyDescent="0.2">
      <c r="A184" s="180"/>
      <c r="B184" s="180" t="s">
        <v>479</v>
      </c>
      <c r="C184" s="244"/>
      <c r="D184" s="255"/>
      <c r="E184" s="255"/>
      <c r="F184" s="255"/>
      <c r="G184" s="255"/>
      <c r="H184" s="255"/>
      <c r="I184" s="257">
        <f t="shared" si="118"/>
        <v>0</v>
      </c>
      <c r="J184" s="248"/>
      <c r="K184" s="255"/>
      <c r="L184" s="255"/>
      <c r="M184" s="249"/>
      <c r="N184" s="257">
        <f t="shared" si="119"/>
        <v>0</v>
      </c>
      <c r="O184" s="255"/>
      <c r="P184" s="257">
        <f t="shared" si="120"/>
        <v>0</v>
      </c>
      <c r="Q184" s="248">
        <f t="shared" si="121"/>
        <v>0</v>
      </c>
      <c r="R184" s="181">
        <f>+Q184/Q200*100</f>
        <v>0</v>
      </c>
    </row>
    <row r="185" spans="1:18" ht="14.1" customHeight="1" x14ac:dyDescent="0.2">
      <c r="A185" s="180"/>
      <c r="B185" s="180" t="s">
        <v>480</v>
      </c>
      <c r="C185" s="244"/>
      <c r="D185" s="255"/>
      <c r="E185" s="255"/>
      <c r="F185" s="255"/>
      <c r="G185" s="255"/>
      <c r="H185" s="255"/>
      <c r="I185" s="257">
        <f t="shared" si="118"/>
        <v>0</v>
      </c>
      <c r="J185" s="248"/>
      <c r="K185" s="255"/>
      <c r="L185" s="255"/>
      <c r="M185" s="249"/>
      <c r="N185" s="257">
        <f t="shared" si="119"/>
        <v>0</v>
      </c>
      <c r="O185" s="255"/>
      <c r="P185" s="257">
        <f t="shared" si="120"/>
        <v>0</v>
      </c>
      <c r="Q185" s="248">
        <f t="shared" si="121"/>
        <v>0</v>
      </c>
      <c r="R185" s="181">
        <f>+Q185/Q200*100</f>
        <v>0</v>
      </c>
    </row>
    <row r="186" spans="1:18" ht="14.1" customHeight="1" x14ac:dyDescent="0.2">
      <c r="A186" s="180"/>
      <c r="B186" s="180" t="s">
        <v>481</v>
      </c>
      <c r="C186" s="244"/>
      <c r="D186" s="255"/>
      <c r="E186" s="255"/>
      <c r="F186" s="255"/>
      <c r="G186" s="255"/>
      <c r="H186" s="255"/>
      <c r="I186" s="257">
        <f t="shared" si="118"/>
        <v>0</v>
      </c>
      <c r="J186" s="248"/>
      <c r="K186" s="255"/>
      <c r="L186" s="255"/>
      <c r="M186" s="249"/>
      <c r="N186" s="257">
        <f t="shared" si="119"/>
        <v>0</v>
      </c>
      <c r="O186" s="255"/>
      <c r="P186" s="257">
        <f t="shared" si="120"/>
        <v>0</v>
      </c>
      <c r="Q186" s="248">
        <f t="shared" si="121"/>
        <v>0</v>
      </c>
      <c r="R186" s="181">
        <f>+Q186/Q200*100</f>
        <v>0</v>
      </c>
    </row>
    <row r="187" spans="1:18" ht="14.1" customHeight="1" x14ac:dyDescent="0.2">
      <c r="A187" s="180"/>
      <c r="B187" s="180" t="s">
        <v>482</v>
      </c>
      <c r="C187" s="244"/>
      <c r="D187" s="255"/>
      <c r="E187" s="255"/>
      <c r="F187" s="255"/>
      <c r="G187" s="255"/>
      <c r="H187" s="255"/>
      <c r="I187" s="257">
        <f t="shared" si="118"/>
        <v>0</v>
      </c>
      <c r="J187" s="248"/>
      <c r="K187" s="255"/>
      <c r="L187" s="255"/>
      <c r="M187" s="249"/>
      <c r="N187" s="257">
        <f t="shared" si="119"/>
        <v>0</v>
      </c>
      <c r="O187" s="255"/>
      <c r="P187" s="257">
        <f t="shared" si="120"/>
        <v>0</v>
      </c>
      <c r="Q187" s="248">
        <f t="shared" si="121"/>
        <v>0</v>
      </c>
      <c r="R187" s="181">
        <f>+Q187/Q200*100</f>
        <v>0</v>
      </c>
    </row>
    <row r="188" spans="1:18" ht="14.1" customHeight="1" x14ac:dyDescent="0.2">
      <c r="A188" s="180"/>
      <c r="B188" s="180" t="s">
        <v>483</v>
      </c>
      <c r="C188" s="244"/>
      <c r="D188" s="255"/>
      <c r="E188" s="255"/>
      <c r="F188" s="255">
        <v>1037565</v>
      </c>
      <c r="G188" s="255"/>
      <c r="H188" s="255"/>
      <c r="I188" s="257">
        <f t="shared" si="118"/>
        <v>1037565</v>
      </c>
      <c r="J188" s="248"/>
      <c r="K188" s="255"/>
      <c r="L188" s="255"/>
      <c r="M188" s="249"/>
      <c r="N188" s="257">
        <f t="shared" si="119"/>
        <v>0</v>
      </c>
      <c r="O188" s="255"/>
      <c r="P188" s="257">
        <f t="shared" si="120"/>
        <v>0</v>
      </c>
      <c r="Q188" s="248">
        <f t="shared" si="121"/>
        <v>1037565</v>
      </c>
      <c r="R188" s="181">
        <f>+Q188/Q200*100</f>
        <v>63.360233028917932</v>
      </c>
    </row>
    <row r="189" spans="1:18" ht="14.1" customHeight="1" x14ac:dyDescent="0.2">
      <c r="A189" s="180"/>
      <c r="B189" s="180" t="s">
        <v>484</v>
      </c>
      <c r="C189" s="244"/>
      <c r="D189" s="255"/>
      <c r="E189" s="255"/>
      <c r="F189" s="255"/>
      <c r="G189" s="255"/>
      <c r="H189" s="255"/>
      <c r="I189" s="257">
        <f t="shared" si="118"/>
        <v>0</v>
      </c>
      <c r="J189" s="248"/>
      <c r="K189" s="255"/>
      <c r="L189" s="255"/>
      <c r="M189" s="249"/>
      <c r="N189" s="257">
        <f t="shared" si="119"/>
        <v>0</v>
      </c>
      <c r="O189" s="255"/>
      <c r="P189" s="257">
        <f t="shared" si="120"/>
        <v>0</v>
      </c>
      <c r="Q189" s="248">
        <f t="shared" si="121"/>
        <v>0</v>
      </c>
      <c r="R189" s="181">
        <f>+Q189/Q200*100</f>
        <v>0</v>
      </c>
    </row>
    <row r="190" spans="1:18" ht="14.1" customHeight="1" x14ac:dyDescent="0.2">
      <c r="A190" s="180"/>
      <c r="B190" s="180" t="s">
        <v>485</v>
      </c>
      <c r="C190" s="244"/>
      <c r="D190" s="255"/>
      <c r="E190" s="255"/>
      <c r="F190" s="255">
        <v>300000</v>
      </c>
      <c r="G190" s="255"/>
      <c r="H190" s="255"/>
      <c r="I190" s="257">
        <f t="shared" si="118"/>
        <v>300000</v>
      </c>
      <c r="J190" s="248"/>
      <c r="K190" s="255"/>
      <c r="L190" s="255"/>
      <c r="M190" s="249"/>
      <c r="N190" s="257">
        <f t="shared" si="119"/>
        <v>0</v>
      </c>
      <c r="O190" s="255"/>
      <c r="P190" s="257">
        <f t="shared" si="120"/>
        <v>0</v>
      </c>
      <c r="Q190" s="248">
        <f t="shared" si="121"/>
        <v>300000</v>
      </c>
      <c r="R190" s="181">
        <f>+Q190/Q200*100</f>
        <v>18.319883485541034</v>
      </c>
    </row>
    <row r="191" spans="1:18" ht="14.1" customHeight="1" x14ac:dyDescent="0.2">
      <c r="A191" s="180"/>
      <c r="B191" s="180" t="s">
        <v>486</v>
      </c>
      <c r="C191" s="244"/>
      <c r="D191" s="255"/>
      <c r="E191" s="255"/>
      <c r="F191" s="255">
        <v>300000</v>
      </c>
      <c r="G191" s="255"/>
      <c r="H191" s="255"/>
      <c r="I191" s="257">
        <f t="shared" si="118"/>
        <v>300000</v>
      </c>
      <c r="J191" s="248"/>
      <c r="K191" s="255"/>
      <c r="L191" s="255"/>
      <c r="M191" s="249"/>
      <c r="N191" s="257">
        <f t="shared" si="119"/>
        <v>0</v>
      </c>
      <c r="O191" s="255"/>
      <c r="P191" s="257">
        <f t="shared" si="120"/>
        <v>0</v>
      </c>
      <c r="Q191" s="248">
        <f t="shared" si="121"/>
        <v>300000</v>
      </c>
      <c r="R191" s="181">
        <f>+Q191/Q200*100</f>
        <v>18.319883485541034</v>
      </c>
    </row>
    <row r="192" spans="1:18" ht="14.1" customHeight="1" x14ac:dyDescent="0.2">
      <c r="A192" s="180"/>
      <c r="B192" s="180" t="s">
        <v>487</v>
      </c>
      <c r="C192" s="244"/>
      <c r="D192" s="255"/>
      <c r="E192" s="255"/>
      <c r="F192" s="255"/>
      <c r="G192" s="255"/>
      <c r="H192" s="255"/>
      <c r="I192" s="257">
        <f t="shared" si="118"/>
        <v>0</v>
      </c>
      <c r="J192" s="248"/>
      <c r="K192" s="255"/>
      <c r="L192" s="255"/>
      <c r="M192" s="249"/>
      <c r="N192" s="257">
        <f t="shared" si="119"/>
        <v>0</v>
      </c>
      <c r="O192" s="255"/>
      <c r="P192" s="257">
        <f t="shared" si="120"/>
        <v>0</v>
      </c>
      <c r="Q192" s="248">
        <f t="shared" si="121"/>
        <v>0</v>
      </c>
      <c r="R192" s="181">
        <f>+Q192/Q200*100</f>
        <v>0</v>
      </c>
    </row>
    <row r="193" spans="1:18" ht="14.1" customHeight="1" x14ac:dyDescent="0.2">
      <c r="A193" s="180" t="s">
        <v>83</v>
      </c>
      <c r="B193" s="180" t="s">
        <v>488</v>
      </c>
      <c r="C193" s="246"/>
      <c r="D193" s="255"/>
      <c r="E193" s="255"/>
      <c r="F193" s="255"/>
      <c r="G193" s="255"/>
      <c r="H193" s="255"/>
      <c r="I193" s="257">
        <f t="shared" si="118"/>
        <v>0</v>
      </c>
      <c r="J193" s="246"/>
      <c r="K193" s="255"/>
      <c r="L193" s="255"/>
      <c r="M193" s="247"/>
      <c r="N193" s="257">
        <f t="shared" si="119"/>
        <v>0</v>
      </c>
      <c r="O193" s="255"/>
      <c r="P193" s="257">
        <f t="shared" si="120"/>
        <v>0</v>
      </c>
      <c r="Q193" s="248">
        <f t="shared" si="121"/>
        <v>0</v>
      </c>
      <c r="R193" s="181">
        <f>+Q193/Q200*100</f>
        <v>0</v>
      </c>
    </row>
    <row r="194" spans="1:18" ht="14.1" customHeight="1" x14ac:dyDescent="0.2">
      <c r="A194" s="180" t="s">
        <v>83</v>
      </c>
      <c r="B194" s="180" t="s">
        <v>489</v>
      </c>
      <c r="C194" s="246"/>
      <c r="D194" s="255"/>
      <c r="E194" s="255"/>
      <c r="F194" s="255"/>
      <c r="G194" s="255"/>
      <c r="H194" s="255"/>
      <c r="I194" s="257">
        <f t="shared" si="118"/>
        <v>0</v>
      </c>
      <c r="J194" s="246"/>
      <c r="K194" s="255"/>
      <c r="L194" s="255"/>
      <c r="M194" s="247"/>
      <c r="N194" s="257">
        <f t="shared" si="119"/>
        <v>0</v>
      </c>
      <c r="O194" s="255"/>
      <c r="P194" s="257">
        <f t="shared" si="120"/>
        <v>0</v>
      </c>
      <c r="Q194" s="248">
        <f t="shared" si="121"/>
        <v>0</v>
      </c>
      <c r="R194" s="181">
        <f>+Q194/Q200*100</f>
        <v>0</v>
      </c>
    </row>
    <row r="195" spans="1:18" ht="14.1" customHeight="1" x14ac:dyDescent="0.2">
      <c r="A195" s="180" t="s">
        <v>83</v>
      </c>
      <c r="B195" s="180" t="s">
        <v>490</v>
      </c>
      <c r="C195" s="244"/>
      <c r="D195" s="255"/>
      <c r="E195" s="255"/>
      <c r="F195" s="255"/>
      <c r="G195" s="255"/>
      <c r="H195" s="255"/>
      <c r="I195" s="257">
        <f t="shared" si="118"/>
        <v>0</v>
      </c>
      <c r="J195" s="248"/>
      <c r="K195" s="255"/>
      <c r="L195" s="255"/>
      <c r="M195" s="249"/>
      <c r="N195" s="257">
        <f t="shared" si="119"/>
        <v>0</v>
      </c>
      <c r="O195" s="255"/>
      <c r="P195" s="257">
        <f t="shared" si="120"/>
        <v>0</v>
      </c>
      <c r="Q195" s="248">
        <f t="shared" si="121"/>
        <v>0</v>
      </c>
      <c r="R195" s="181">
        <f>+Q195/Q200*100</f>
        <v>0</v>
      </c>
    </row>
    <row r="196" spans="1:18" ht="14.1" customHeight="1" x14ac:dyDescent="0.2">
      <c r="A196" s="180" t="s">
        <v>83</v>
      </c>
      <c r="B196" s="180" t="s">
        <v>491</v>
      </c>
      <c r="C196" s="248"/>
      <c r="D196" s="255"/>
      <c r="E196" s="255"/>
      <c r="F196" s="255"/>
      <c r="G196" s="255"/>
      <c r="H196" s="255"/>
      <c r="I196" s="257">
        <f t="shared" si="118"/>
        <v>0</v>
      </c>
      <c r="J196" s="248"/>
      <c r="K196" s="255"/>
      <c r="L196" s="255"/>
      <c r="M196" s="249"/>
      <c r="N196" s="257">
        <f t="shared" si="119"/>
        <v>0</v>
      </c>
      <c r="O196" s="255"/>
      <c r="P196" s="257">
        <f t="shared" si="120"/>
        <v>0</v>
      </c>
      <c r="Q196" s="248">
        <f t="shared" si="121"/>
        <v>0</v>
      </c>
      <c r="R196" s="181">
        <f>+Q196/Q200*100</f>
        <v>0</v>
      </c>
    </row>
    <row r="197" spans="1:18" ht="14.1" customHeight="1" x14ac:dyDescent="0.2">
      <c r="A197" s="180"/>
      <c r="B197" s="180" t="s">
        <v>492</v>
      </c>
      <c r="C197" s="248"/>
      <c r="D197" s="255"/>
      <c r="E197" s="255"/>
      <c r="F197" s="255"/>
      <c r="G197" s="255"/>
      <c r="H197" s="255"/>
      <c r="I197" s="257">
        <f t="shared" si="118"/>
        <v>0</v>
      </c>
      <c r="J197" s="248"/>
      <c r="K197" s="255"/>
      <c r="L197" s="255"/>
      <c r="M197" s="249"/>
      <c r="N197" s="257">
        <f t="shared" si="119"/>
        <v>0</v>
      </c>
      <c r="O197" s="255"/>
      <c r="P197" s="257">
        <f t="shared" si="120"/>
        <v>0</v>
      </c>
      <c r="Q197" s="248">
        <f t="shared" si="121"/>
        <v>0</v>
      </c>
      <c r="R197" s="181">
        <f>+Q197/Q200*100</f>
        <v>0</v>
      </c>
    </row>
    <row r="198" spans="1:18" ht="14.1" customHeight="1" x14ac:dyDescent="0.2">
      <c r="A198" s="180" t="s">
        <v>83</v>
      </c>
      <c r="B198" s="180" t="s">
        <v>493</v>
      </c>
      <c r="C198" s="248"/>
      <c r="D198" s="255"/>
      <c r="E198" s="255"/>
      <c r="F198" s="255"/>
      <c r="G198" s="255"/>
      <c r="H198" s="255"/>
      <c r="I198" s="257">
        <f t="shared" si="118"/>
        <v>0</v>
      </c>
      <c r="J198" s="248"/>
      <c r="K198" s="255"/>
      <c r="L198" s="255"/>
      <c r="M198" s="249"/>
      <c r="N198" s="257">
        <f t="shared" si="119"/>
        <v>0</v>
      </c>
      <c r="O198" s="255"/>
      <c r="P198" s="257">
        <f t="shared" si="120"/>
        <v>0</v>
      </c>
      <c r="Q198" s="248">
        <f t="shared" si="121"/>
        <v>0</v>
      </c>
      <c r="R198" s="181">
        <f>+Q198/Q200*100</f>
        <v>0</v>
      </c>
    </row>
    <row r="199" spans="1:18" ht="14.1" customHeight="1" thickBot="1" x14ac:dyDescent="0.25">
      <c r="A199" s="182" t="s">
        <v>11</v>
      </c>
      <c r="B199" s="182" t="s">
        <v>494</v>
      </c>
      <c r="C199" s="250"/>
      <c r="D199" s="255"/>
      <c r="E199" s="255"/>
      <c r="F199" s="255"/>
      <c r="G199" s="255"/>
      <c r="H199" s="255"/>
      <c r="I199" s="257">
        <f t="shared" si="118"/>
        <v>0</v>
      </c>
      <c r="J199" s="258"/>
      <c r="K199" s="255"/>
      <c r="L199" s="255"/>
      <c r="M199" s="259"/>
      <c r="N199" s="257">
        <f t="shared" si="119"/>
        <v>0</v>
      </c>
      <c r="O199" s="255"/>
      <c r="P199" s="257">
        <f t="shared" si="120"/>
        <v>0</v>
      </c>
      <c r="Q199" s="248">
        <f t="shared" si="121"/>
        <v>0</v>
      </c>
      <c r="R199" s="181">
        <f>+Q199/Q200*100</f>
        <v>0</v>
      </c>
    </row>
    <row r="200" spans="1:18" ht="27.75" customHeight="1" thickBot="1" x14ac:dyDescent="0.25">
      <c r="A200" s="183" t="s">
        <v>72</v>
      </c>
      <c r="B200" s="183" t="s">
        <v>72</v>
      </c>
      <c r="C200" s="251"/>
      <c r="D200" s="252">
        <f>SUM(D167:D199)</f>
        <v>0</v>
      </c>
      <c r="E200" s="252">
        <f t="shared" ref="E200:Q200" si="122">SUM(E167:E199)</f>
        <v>0</v>
      </c>
      <c r="F200" s="252">
        <f t="shared" si="122"/>
        <v>1637565</v>
      </c>
      <c r="G200" s="252">
        <f t="shared" si="122"/>
        <v>0</v>
      </c>
      <c r="H200" s="252">
        <f t="shared" si="122"/>
        <v>0</v>
      </c>
      <c r="I200" s="252">
        <f t="shared" si="122"/>
        <v>1637565</v>
      </c>
      <c r="J200" s="252">
        <f t="shared" si="122"/>
        <v>0</v>
      </c>
      <c r="K200" s="252">
        <f t="shared" si="122"/>
        <v>0</v>
      </c>
      <c r="L200" s="252">
        <f t="shared" si="122"/>
        <v>0</v>
      </c>
      <c r="M200" s="252">
        <f t="shared" si="122"/>
        <v>0</v>
      </c>
      <c r="N200" s="252">
        <f t="shared" si="122"/>
        <v>0</v>
      </c>
      <c r="O200" s="252">
        <f t="shared" si="122"/>
        <v>0</v>
      </c>
      <c r="P200" s="252">
        <f t="shared" si="122"/>
        <v>0</v>
      </c>
      <c r="Q200" s="252">
        <f t="shared" si="122"/>
        <v>1637565</v>
      </c>
      <c r="R200" s="184">
        <f>SUM(R167:R199)</f>
        <v>100</v>
      </c>
    </row>
    <row r="202" spans="1:18" x14ac:dyDescent="0.2">
      <c r="A202" s="89" t="s">
        <v>398</v>
      </c>
      <c r="B202" s="89"/>
      <c r="C202" s="172"/>
      <c r="D202" s="172"/>
      <c r="E202" s="172"/>
      <c r="F202" s="172"/>
      <c r="G202" s="172"/>
      <c r="H202" s="173"/>
      <c r="I202" s="173"/>
      <c r="J202" s="173"/>
      <c r="K202" s="173"/>
      <c r="L202" s="173"/>
      <c r="M202" s="173"/>
      <c r="N202" s="173"/>
      <c r="O202" s="173"/>
      <c r="P202" s="173"/>
      <c r="Q202" s="173"/>
      <c r="R202" s="173"/>
    </row>
    <row r="203" spans="1:18" x14ac:dyDescent="0.2">
      <c r="A203" s="89" t="s">
        <v>495</v>
      </c>
      <c r="B203" s="89"/>
      <c r="C203" s="172"/>
      <c r="D203" s="172"/>
      <c r="E203" s="172"/>
      <c r="F203" s="172"/>
      <c r="G203" s="172"/>
      <c r="H203" s="173"/>
      <c r="I203" s="173"/>
      <c r="J203" s="173"/>
      <c r="K203" s="173"/>
      <c r="L203" s="173"/>
      <c r="M203" s="173"/>
      <c r="N203" s="173"/>
      <c r="O203" s="173"/>
      <c r="P203" s="173"/>
      <c r="Q203" s="173"/>
      <c r="R203" s="173"/>
    </row>
    <row r="204" spans="1:18" ht="12" thickBot="1" x14ac:dyDescent="0.25">
      <c r="A204" s="89" t="s">
        <v>501</v>
      </c>
      <c r="B204" s="91"/>
      <c r="C204" s="91"/>
      <c r="D204" s="91"/>
      <c r="E204" s="91"/>
      <c r="F204" s="91"/>
      <c r="G204" s="91"/>
      <c r="H204" s="91"/>
      <c r="I204" s="91"/>
      <c r="J204" s="91"/>
      <c r="K204" s="91"/>
      <c r="L204" s="91"/>
      <c r="M204" s="91"/>
      <c r="N204" s="91"/>
      <c r="O204" s="91"/>
      <c r="P204" s="91"/>
      <c r="Q204" s="91"/>
      <c r="R204" s="91"/>
    </row>
    <row r="205" spans="1:18" ht="25.5" customHeight="1" thickBot="1" x14ac:dyDescent="0.25">
      <c r="A205" s="1249" t="s">
        <v>293</v>
      </c>
      <c r="B205" s="1249" t="s">
        <v>278</v>
      </c>
      <c r="C205" s="1247" t="s">
        <v>103</v>
      </c>
      <c r="D205" s="1251"/>
      <c r="E205" s="1251"/>
      <c r="F205" s="1251"/>
      <c r="G205" s="1251"/>
      <c r="H205" s="1251"/>
      <c r="I205" s="1248"/>
      <c r="J205" s="1247" t="s">
        <v>91</v>
      </c>
      <c r="K205" s="1251"/>
      <c r="L205" s="1251"/>
      <c r="M205" s="1251"/>
      <c r="N205" s="1248"/>
      <c r="O205" s="1247" t="s">
        <v>81</v>
      </c>
      <c r="P205" s="1248"/>
      <c r="Q205" s="1247" t="s">
        <v>0</v>
      </c>
      <c r="R205" s="1248"/>
    </row>
    <row r="206" spans="1:18" ht="137.25" thickBot="1" x14ac:dyDescent="0.25">
      <c r="A206" s="1250"/>
      <c r="B206" s="1250"/>
      <c r="C206" s="174" t="s">
        <v>92</v>
      </c>
      <c r="D206" s="175" t="s">
        <v>93</v>
      </c>
      <c r="E206" s="175" t="s">
        <v>94</v>
      </c>
      <c r="F206" s="175" t="s">
        <v>95</v>
      </c>
      <c r="G206" s="175" t="s">
        <v>96</v>
      </c>
      <c r="H206" s="175" t="s">
        <v>97</v>
      </c>
      <c r="I206" s="176" t="s">
        <v>88</v>
      </c>
      <c r="J206" s="174" t="s">
        <v>98</v>
      </c>
      <c r="K206" s="175" t="s">
        <v>99</v>
      </c>
      <c r="L206" s="175" t="s">
        <v>100</v>
      </c>
      <c r="M206" s="175" t="s">
        <v>101</v>
      </c>
      <c r="N206" s="176" t="s">
        <v>89</v>
      </c>
      <c r="O206" s="174" t="s">
        <v>102</v>
      </c>
      <c r="P206" s="176" t="s">
        <v>90</v>
      </c>
      <c r="Q206" s="177" t="s">
        <v>126</v>
      </c>
      <c r="R206" s="178" t="s">
        <v>79</v>
      </c>
    </row>
    <row r="207" spans="1:18" ht="14.1" customHeight="1" x14ac:dyDescent="0.2">
      <c r="A207" s="179" t="s">
        <v>461</v>
      </c>
      <c r="B207" s="179" t="s">
        <v>462</v>
      </c>
      <c r="C207" s="260"/>
      <c r="D207" s="254"/>
      <c r="E207" s="254"/>
      <c r="F207" s="261">
        <v>17464145</v>
      </c>
      <c r="G207" s="261"/>
      <c r="H207" s="261"/>
      <c r="I207" s="262">
        <f>SUM(C207:H207)</f>
        <v>17464145</v>
      </c>
      <c r="J207" s="263"/>
      <c r="K207" s="261"/>
      <c r="L207" s="261">
        <v>96805467</v>
      </c>
      <c r="M207" s="261"/>
      <c r="N207" s="262">
        <f>SUM(J207:M207)</f>
        <v>96805467</v>
      </c>
      <c r="O207" s="261">
        <v>41994950</v>
      </c>
      <c r="P207" s="262">
        <f>+O207</f>
        <v>41994950</v>
      </c>
      <c r="Q207" s="263">
        <f>+I207+N207+P207</f>
        <v>156264562</v>
      </c>
      <c r="R207" s="264">
        <f>+Q207/Q240*100</f>
        <v>63.604052569424915</v>
      </c>
    </row>
    <row r="208" spans="1:18" ht="14.1" customHeight="1" x14ac:dyDescent="0.2">
      <c r="A208" s="180" t="s">
        <v>83</v>
      </c>
      <c r="B208" s="180" t="s">
        <v>463</v>
      </c>
      <c r="C208" s="244"/>
      <c r="D208" s="243"/>
      <c r="E208" s="243"/>
      <c r="F208" s="255"/>
      <c r="G208" s="255"/>
      <c r="H208" s="255"/>
      <c r="I208" s="257">
        <f>SUM(C208:H208)</f>
        <v>0</v>
      </c>
      <c r="J208" s="248"/>
      <c r="K208" s="255"/>
      <c r="L208" s="255">
        <v>21853834</v>
      </c>
      <c r="M208" s="249"/>
      <c r="N208" s="257">
        <f>SUM(J208:M208)</f>
        <v>21853834</v>
      </c>
      <c r="O208" s="255"/>
      <c r="P208" s="257">
        <f>+O208</f>
        <v>0</v>
      </c>
      <c r="Q208" s="248">
        <f>+P208+N208+I208</f>
        <v>21853834</v>
      </c>
      <c r="R208" s="181">
        <f>+Q208/Q240*100</f>
        <v>8.8951224051649369</v>
      </c>
    </row>
    <row r="209" spans="1:18" ht="14.1" customHeight="1" x14ac:dyDescent="0.2">
      <c r="A209" s="180"/>
      <c r="B209" s="180" t="s">
        <v>464</v>
      </c>
      <c r="C209" s="244"/>
      <c r="D209" s="243"/>
      <c r="E209" s="243"/>
      <c r="F209" s="255"/>
      <c r="G209" s="255"/>
      <c r="H209" s="255"/>
      <c r="I209" s="257">
        <f t="shared" ref="I209:I239" si="123">SUM(C209:H209)</f>
        <v>0</v>
      </c>
      <c r="J209" s="248"/>
      <c r="K209" s="255"/>
      <c r="L209" s="255">
        <v>24816308</v>
      </c>
      <c r="M209" s="249"/>
      <c r="N209" s="257">
        <f t="shared" ref="N209:N239" si="124">SUM(J209:M209)</f>
        <v>24816308</v>
      </c>
      <c r="O209" s="255"/>
      <c r="P209" s="257">
        <f t="shared" ref="P209:P239" si="125">+O209</f>
        <v>0</v>
      </c>
      <c r="Q209" s="248">
        <f t="shared" ref="Q209:Q239" si="126">+P209+N209+I209</f>
        <v>24816308</v>
      </c>
      <c r="R209" s="181">
        <f>+Q209/Q240*100</f>
        <v>10.100932280545093</v>
      </c>
    </row>
    <row r="210" spans="1:18" ht="14.1" customHeight="1" x14ac:dyDescent="0.2">
      <c r="A210" s="180"/>
      <c r="B210" s="180" t="s">
        <v>465</v>
      </c>
      <c r="C210" s="244"/>
      <c r="D210" s="243"/>
      <c r="E210" s="243"/>
      <c r="F210" s="255"/>
      <c r="G210" s="255"/>
      <c r="H210" s="255"/>
      <c r="I210" s="257">
        <f t="shared" si="123"/>
        <v>0</v>
      </c>
      <c r="J210" s="248"/>
      <c r="K210" s="255"/>
      <c r="L210" s="255">
        <v>21657670</v>
      </c>
      <c r="M210" s="249"/>
      <c r="N210" s="257">
        <f t="shared" si="124"/>
        <v>21657670</v>
      </c>
      <c r="O210" s="255"/>
      <c r="P210" s="257">
        <f t="shared" si="125"/>
        <v>0</v>
      </c>
      <c r="Q210" s="248">
        <f t="shared" si="126"/>
        <v>21657670</v>
      </c>
      <c r="R210" s="181">
        <f>+Q210/Q240*100</f>
        <v>8.8152781640360462</v>
      </c>
    </row>
    <row r="211" spans="1:18" ht="14.1" customHeight="1" x14ac:dyDescent="0.2">
      <c r="A211" s="180"/>
      <c r="B211" s="180" t="s">
        <v>466</v>
      </c>
      <c r="C211" s="244"/>
      <c r="D211" s="243"/>
      <c r="E211" s="243"/>
      <c r="F211" s="255"/>
      <c r="G211" s="255"/>
      <c r="H211" s="255"/>
      <c r="I211" s="257">
        <f t="shared" si="123"/>
        <v>0</v>
      </c>
      <c r="J211" s="248"/>
      <c r="K211" s="255"/>
      <c r="L211" s="255">
        <v>7211532</v>
      </c>
      <c r="M211" s="249"/>
      <c r="N211" s="257">
        <f t="shared" si="124"/>
        <v>7211532</v>
      </c>
      <c r="O211" s="255"/>
      <c r="P211" s="257">
        <f t="shared" si="125"/>
        <v>0</v>
      </c>
      <c r="Q211" s="248">
        <f t="shared" si="126"/>
        <v>7211532</v>
      </c>
      <c r="R211" s="181">
        <f>+Q211/Q240*100</f>
        <v>2.9352954666336313</v>
      </c>
    </row>
    <row r="212" spans="1:18" ht="14.1" customHeight="1" x14ac:dyDescent="0.2">
      <c r="A212" s="180"/>
      <c r="B212" s="180" t="s">
        <v>467</v>
      </c>
      <c r="C212" s="244"/>
      <c r="D212" s="243"/>
      <c r="E212" s="243"/>
      <c r="F212" s="255"/>
      <c r="G212" s="255"/>
      <c r="H212" s="255"/>
      <c r="I212" s="257">
        <f t="shared" si="123"/>
        <v>0</v>
      </c>
      <c r="J212" s="248"/>
      <c r="K212" s="255"/>
      <c r="L212" s="255">
        <v>13879436</v>
      </c>
      <c r="M212" s="249"/>
      <c r="N212" s="257">
        <f t="shared" si="124"/>
        <v>13879436</v>
      </c>
      <c r="O212" s="255"/>
      <c r="P212" s="257">
        <f t="shared" si="125"/>
        <v>0</v>
      </c>
      <c r="Q212" s="248">
        <f t="shared" si="126"/>
        <v>13879436</v>
      </c>
      <c r="R212" s="181">
        <f>+Q212/Q240*100</f>
        <v>5.6493191141953769</v>
      </c>
    </row>
    <row r="213" spans="1:18" ht="14.1" customHeight="1" x14ac:dyDescent="0.2">
      <c r="A213" s="180"/>
      <c r="B213" s="180" t="s">
        <v>468</v>
      </c>
      <c r="C213" s="244"/>
      <c r="D213" s="243"/>
      <c r="E213" s="243"/>
      <c r="F213" s="255"/>
      <c r="G213" s="255"/>
      <c r="H213" s="255"/>
      <c r="I213" s="257">
        <f t="shared" si="123"/>
        <v>0</v>
      </c>
      <c r="J213" s="248"/>
      <c r="K213" s="255"/>
      <c r="L213" s="255"/>
      <c r="M213" s="249"/>
      <c r="N213" s="257">
        <f t="shared" si="124"/>
        <v>0</v>
      </c>
      <c r="O213" s="255"/>
      <c r="P213" s="257">
        <f t="shared" si="125"/>
        <v>0</v>
      </c>
      <c r="Q213" s="248">
        <f t="shared" si="126"/>
        <v>0</v>
      </c>
      <c r="R213" s="181">
        <f>+Q213/Q240*100</f>
        <v>0</v>
      </c>
    </row>
    <row r="214" spans="1:18" ht="14.1" customHeight="1" x14ac:dyDescent="0.2">
      <c r="A214" s="180"/>
      <c r="B214" s="180" t="s">
        <v>469</v>
      </c>
      <c r="C214" s="244"/>
      <c r="D214" s="243"/>
      <c r="E214" s="243"/>
      <c r="F214" s="255"/>
      <c r="G214" s="255"/>
      <c r="H214" s="255"/>
      <c r="I214" s="257">
        <f t="shared" si="123"/>
        <v>0</v>
      </c>
      <c r="J214" s="248"/>
      <c r="K214" s="255"/>
      <c r="L214" s="255"/>
      <c r="M214" s="249"/>
      <c r="N214" s="257">
        <f t="shared" si="124"/>
        <v>0</v>
      </c>
      <c r="O214" s="255"/>
      <c r="P214" s="257">
        <f t="shared" si="125"/>
        <v>0</v>
      </c>
      <c r="Q214" s="248">
        <f t="shared" si="126"/>
        <v>0</v>
      </c>
      <c r="R214" s="181">
        <f>+Q214/Q240*100</f>
        <v>0</v>
      </c>
    </row>
    <row r="215" spans="1:18" ht="14.1" customHeight="1" x14ac:dyDescent="0.2">
      <c r="A215" s="180"/>
      <c r="B215" s="180" t="s">
        <v>470</v>
      </c>
      <c r="C215" s="244"/>
      <c r="D215" s="243"/>
      <c r="E215" s="243"/>
      <c r="F215" s="255"/>
      <c r="G215" s="255"/>
      <c r="H215" s="255"/>
      <c r="I215" s="257">
        <f t="shared" si="123"/>
        <v>0</v>
      </c>
      <c r="J215" s="248"/>
      <c r="K215" s="255"/>
      <c r="L215" s="255"/>
      <c r="M215" s="249"/>
      <c r="N215" s="257">
        <f t="shared" si="124"/>
        <v>0</v>
      </c>
      <c r="O215" s="255"/>
      <c r="P215" s="257">
        <f t="shared" si="125"/>
        <v>0</v>
      </c>
      <c r="Q215" s="248">
        <f t="shared" si="126"/>
        <v>0</v>
      </c>
      <c r="R215" s="181">
        <f>+Q215/Q240*100</f>
        <v>0</v>
      </c>
    </row>
    <row r="216" spans="1:18" ht="14.1" customHeight="1" x14ac:dyDescent="0.2">
      <c r="A216" s="180"/>
      <c r="B216" s="180" t="s">
        <v>471</v>
      </c>
      <c r="C216" s="244"/>
      <c r="D216" s="243"/>
      <c r="E216" s="243"/>
      <c r="F216" s="255"/>
      <c r="G216" s="255"/>
      <c r="H216" s="255"/>
      <c r="I216" s="257">
        <f t="shared" si="123"/>
        <v>0</v>
      </c>
      <c r="J216" s="248"/>
      <c r="K216" s="255"/>
      <c r="L216" s="255"/>
      <c r="M216" s="249"/>
      <c r="N216" s="257">
        <f t="shared" si="124"/>
        <v>0</v>
      </c>
      <c r="O216" s="255"/>
      <c r="P216" s="257">
        <f t="shared" si="125"/>
        <v>0</v>
      </c>
      <c r="Q216" s="248">
        <f t="shared" si="126"/>
        <v>0</v>
      </c>
      <c r="R216" s="181">
        <f>+Q216/Q240*100</f>
        <v>0</v>
      </c>
    </row>
    <row r="217" spans="1:18" ht="14.1" customHeight="1" x14ac:dyDescent="0.2">
      <c r="A217" s="180"/>
      <c r="B217" s="180" t="s">
        <v>472</v>
      </c>
      <c r="C217" s="244"/>
      <c r="D217" s="243"/>
      <c r="E217" s="243"/>
      <c r="F217" s="255"/>
      <c r="G217" s="255"/>
      <c r="H217" s="255"/>
      <c r="I217" s="257">
        <f t="shared" si="123"/>
        <v>0</v>
      </c>
      <c r="J217" s="248"/>
      <c r="K217" s="255"/>
      <c r="L217" s="255"/>
      <c r="M217" s="249"/>
      <c r="N217" s="257">
        <f t="shared" si="124"/>
        <v>0</v>
      </c>
      <c r="O217" s="255"/>
      <c r="P217" s="257">
        <f t="shared" si="125"/>
        <v>0</v>
      </c>
      <c r="Q217" s="248">
        <f t="shared" si="126"/>
        <v>0</v>
      </c>
      <c r="R217" s="181">
        <f>+Q217/Q240*100</f>
        <v>0</v>
      </c>
    </row>
    <row r="218" spans="1:18" ht="14.1" customHeight="1" x14ac:dyDescent="0.2">
      <c r="A218" s="180"/>
      <c r="B218" s="180" t="s">
        <v>473</v>
      </c>
      <c r="C218" s="244"/>
      <c r="D218" s="243"/>
      <c r="E218" s="243"/>
      <c r="F218" s="255"/>
      <c r="G218" s="255"/>
      <c r="H218" s="255"/>
      <c r="I218" s="257">
        <f t="shared" si="123"/>
        <v>0</v>
      </c>
      <c r="J218" s="248"/>
      <c r="K218" s="255"/>
      <c r="L218" s="255"/>
      <c r="M218" s="249"/>
      <c r="N218" s="257">
        <f t="shared" si="124"/>
        <v>0</v>
      </c>
      <c r="O218" s="255"/>
      <c r="P218" s="257">
        <f t="shared" si="125"/>
        <v>0</v>
      </c>
      <c r="Q218" s="248">
        <f t="shared" si="126"/>
        <v>0</v>
      </c>
      <c r="R218" s="181">
        <f>+Q218/Q240*100</f>
        <v>0</v>
      </c>
    </row>
    <row r="219" spans="1:18" ht="14.1" customHeight="1" x14ac:dyDescent="0.2">
      <c r="A219" s="180"/>
      <c r="B219" s="180" t="s">
        <v>474</v>
      </c>
      <c r="C219" s="244"/>
      <c r="D219" s="243"/>
      <c r="E219" s="243"/>
      <c r="F219" s="255"/>
      <c r="G219" s="255"/>
      <c r="H219" s="255"/>
      <c r="I219" s="257">
        <f t="shared" si="123"/>
        <v>0</v>
      </c>
      <c r="J219" s="248"/>
      <c r="K219" s="255"/>
      <c r="L219" s="255"/>
      <c r="M219" s="249"/>
      <c r="N219" s="257">
        <f t="shared" si="124"/>
        <v>0</v>
      </c>
      <c r="O219" s="255"/>
      <c r="P219" s="257">
        <f t="shared" si="125"/>
        <v>0</v>
      </c>
      <c r="Q219" s="248">
        <f t="shared" si="126"/>
        <v>0</v>
      </c>
      <c r="R219" s="181">
        <f>+Q219/Q240*100</f>
        <v>0</v>
      </c>
    </row>
    <row r="220" spans="1:18" ht="14.1" customHeight="1" x14ac:dyDescent="0.2">
      <c r="A220" s="180"/>
      <c r="B220" s="180" t="s">
        <v>475</v>
      </c>
      <c r="C220" s="244"/>
      <c r="D220" s="243"/>
      <c r="E220" s="243"/>
      <c r="F220" s="255"/>
      <c r="G220" s="255"/>
      <c r="H220" s="255"/>
      <c r="I220" s="257">
        <f t="shared" si="123"/>
        <v>0</v>
      </c>
      <c r="J220" s="248"/>
      <c r="K220" s="255"/>
      <c r="L220" s="255"/>
      <c r="M220" s="249"/>
      <c r="N220" s="257">
        <f t="shared" si="124"/>
        <v>0</v>
      </c>
      <c r="O220" s="255"/>
      <c r="P220" s="257">
        <f t="shared" si="125"/>
        <v>0</v>
      </c>
      <c r="Q220" s="248">
        <f t="shared" si="126"/>
        <v>0</v>
      </c>
      <c r="R220" s="181">
        <f>+Q220/Q240*100</f>
        <v>0</v>
      </c>
    </row>
    <row r="221" spans="1:18" ht="14.1" customHeight="1" x14ac:dyDescent="0.2">
      <c r="A221" s="180"/>
      <c r="B221" s="180" t="s">
        <v>476</v>
      </c>
      <c r="C221" s="244"/>
      <c r="D221" s="243"/>
      <c r="E221" s="243"/>
      <c r="F221" s="255"/>
      <c r="G221" s="255"/>
      <c r="H221" s="255"/>
      <c r="I221" s="257">
        <f t="shared" si="123"/>
        <v>0</v>
      </c>
      <c r="J221" s="248"/>
      <c r="K221" s="255"/>
      <c r="L221" s="255"/>
      <c r="M221" s="249"/>
      <c r="N221" s="257">
        <f t="shared" si="124"/>
        <v>0</v>
      </c>
      <c r="O221" s="255"/>
      <c r="P221" s="257">
        <f t="shared" si="125"/>
        <v>0</v>
      </c>
      <c r="Q221" s="248">
        <f t="shared" si="126"/>
        <v>0</v>
      </c>
      <c r="R221" s="181">
        <f>+Q221/Q240*100</f>
        <v>0</v>
      </c>
    </row>
    <row r="222" spans="1:18" ht="14.1" customHeight="1" x14ac:dyDescent="0.2">
      <c r="A222" s="180"/>
      <c r="B222" s="180" t="s">
        <v>477</v>
      </c>
      <c r="C222" s="244"/>
      <c r="D222" s="243"/>
      <c r="E222" s="243"/>
      <c r="F222" s="255"/>
      <c r="G222" s="255"/>
      <c r="H222" s="255"/>
      <c r="I222" s="257">
        <f t="shared" si="123"/>
        <v>0</v>
      </c>
      <c r="J222" s="248"/>
      <c r="K222" s="255"/>
      <c r="L222" s="255"/>
      <c r="M222" s="249"/>
      <c r="N222" s="257">
        <f t="shared" si="124"/>
        <v>0</v>
      </c>
      <c r="O222" s="255"/>
      <c r="P222" s="257">
        <f t="shared" si="125"/>
        <v>0</v>
      </c>
      <c r="Q222" s="248">
        <f t="shared" si="126"/>
        <v>0</v>
      </c>
      <c r="R222" s="181">
        <f>+Q222/Q240*100</f>
        <v>0</v>
      </c>
    </row>
    <row r="223" spans="1:18" ht="14.1" customHeight="1" x14ac:dyDescent="0.2">
      <c r="A223" s="180"/>
      <c r="B223" s="180" t="s">
        <v>478</v>
      </c>
      <c r="C223" s="244"/>
      <c r="D223" s="243"/>
      <c r="E223" s="243"/>
      <c r="F223" s="255"/>
      <c r="G223" s="255"/>
      <c r="H223" s="255"/>
      <c r="I223" s="257">
        <f t="shared" si="123"/>
        <v>0</v>
      </c>
      <c r="J223" s="248"/>
      <c r="K223" s="255"/>
      <c r="L223" s="255"/>
      <c r="M223" s="249"/>
      <c r="N223" s="257">
        <f t="shared" si="124"/>
        <v>0</v>
      </c>
      <c r="O223" s="255"/>
      <c r="P223" s="257">
        <f t="shared" si="125"/>
        <v>0</v>
      </c>
      <c r="Q223" s="248">
        <f t="shared" si="126"/>
        <v>0</v>
      </c>
      <c r="R223" s="181">
        <f>+Q223/Q240*100</f>
        <v>0</v>
      </c>
    </row>
    <row r="224" spans="1:18" ht="14.1" customHeight="1" x14ac:dyDescent="0.2">
      <c r="A224" s="180"/>
      <c r="B224" s="180" t="s">
        <v>479</v>
      </c>
      <c r="C224" s="244"/>
      <c r="D224" s="243"/>
      <c r="E224" s="243"/>
      <c r="F224" s="255"/>
      <c r="G224" s="255"/>
      <c r="H224" s="255"/>
      <c r="I224" s="257">
        <f t="shared" si="123"/>
        <v>0</v>
      </c>
      <c r="J224" s="248"/>
      <c r="K224" s="255"/>
      <c r="L224" s="255"/>
      <c r="M224" s="249"/>
      <c r="N224" s="257">
        <f t="shared" si="124"/>
        <v>0</v>
      </c>
      <c r="O224" s="255"/>
      <c r="P224" s="257">
        <f t="shared" si="125"/>
        <v>0</v>
      </c>
      <c r="Q224" s="248">
        <f t="shared" si="126"/>
        <v>0</v>
      </c>
      <c r="R224" s="181">
        <f>+Q224/Q240*100</f>
        <v>0</v>
      </c>
    </row>
    <row r="225" spans="1:18" ht="14.1" customHeight="1" x14ac:dyDescent="0.2">
      <c r="A225" s="180"/>
      <c r="B225" s="180" t="s">
        <v>480</v>
      </c>
      <c r="C225" s="244"/>
      <c r="D225" s="243"/>
      <c r="E225" s="243"/>
      <c r="F225" s="255"/>
      <c r="G225" s="255"/>
      <c r="H225" s="255"/>
      <c r="I225" s="257">
        <f t="shared" si="123"/>
        <v>0</v>
      </c>
      <c r="J225" s="248"/>
      <c r="K225" s="255"/>
      <c r="L225" s="255"/>
      <c r="M225" s="249"/>
      <c r="N225" s="257">
        <f t="shared" si="124"/>
        <v>0</v>
      </c>
      <c r="O225" s="255"/>
      <c r="P225" s="257">
        <f t="shared" si="125"/>
        <v>0</v>
      </c>
      <c r="Q225" s="248">
        <f t="shared" si="126"/>
        <v>0</v>
      </c>
      <c r="R225" s="181">
        <f>+Q225/Q240*100</f>
        <v>0</v>
      </c>
    </row>
    <row r="226" spans="1:18" ht="14.1" customHeight="1" x14ac:dyDescent="0.2">
      <c r="A226" s="180"/>
      <c r="B226" s="180" t="s">
        <v>481</v>
      </c>
      <c r="C226" s="244"/>
      <c r="D226" s="243"/>
      <c r="E226" s="243"/>
      <c r="F226" s="255"/>
      <c r="G226" s="255"/>
      <c r="H226" s="255"/>
      <c r="I226" s="257">
        <f t="shared" si="123"/>
        <v>0</v>
      </c>
      <c r="J226" s="248"/>
      <c r="K226" s="255"/>
      <c r="L226" s="255"/>
      <c r="M226" s="249"/>
      <c r="N226" s="257">
        <f t="shared" si="124"/>
        <v>0</v>
      </c>
      <c r="O226" s="255"/>
      <c r="P226" s="257">
        <f t="shared" si="125"/>
        <v>0</v>
      </c>
      <c r="Q226" s="248">
        <f t="shared" si="126"/>
        <v>0</v>
      </c>
      <c r="R226" s="181">
        <f>+Q226/Q240*100</f>
        <v>0</v>
      </c>
    </row>
    <row r="227" spans="1:18" ht="14.1" customHeight="1" x14ac:dyDescent="0.2">
      <c r="A227" s="180"/>
      <c r="B227" s="180" t="s">
        <v>482</v>
      </c>
      <c r="C227" s="244"/>
      <c r="D227" s="243"/>
      <c r="E227" s="243"/>
      <c r="F227" s="255"/>
      <c r="G227" s="255"/>
      <c r="H227" s="255"/>
      <c r="I227" s="257">
        <f t="shared" si="123"/>
        <v>0</v>
      </c>
      <c r="J227" s="248"/>
      <c r="K227" s="255"/>
      <c r="L227" s="255"/>
      <c r="M227" s="249"/>
      <c r="N227" s="257">
        <f t="shared" si="124"/>
        <v>0</v>
      </c>
      <c r="O227" s="255"/>
      <c r="P227" s="257">
        <f t="shared" si="125"/>
        <v>0</v>
      </c>
      <c r="Q227" s="248">
        <f t="shared" si="126"/>
        <v>0</v>
      </c>
      <c r="R227" s="181">
        <f>+Q227/Q240*100</f>
        <v>0</v>
      </c>
    </row>
    <row r="228" spans="1:18" ht="14.1" customHeight="1" x14ac:dyDescent="0.2">
      <c r="A228" s="180"/>
      <c r="B228" s="180" t="s">
        <v>483</v>
      </c>
      <c r="C228" s="244"/>
      <c r="D228" s="243"/>
      <c r="E228" s="243"/>
      <c r="F228" s="255"/>
      <c r="G228" s="255"/>
      <c r="H228" s="255"/>
      <c r="I228" s="257">
        <f t="shared" si="123"/>
        <v>0</v>
      </c>
      <c r="J228" s="248"/>
      <c r="K228" s="255"/>
      <c r="L228" s="255"/>
      <c r="M228" s="249"/>
      <c r="N228" s="257">
        <f t="shared" si="124"/>
        <v>0</v>
      </c>
      <c r="O228" s="255"/>
      <c r="P228" s="257">
        <f t="shared" si="125"/>
        <v>0</v>
      </c>
      <c r="Q228" s="248">
        <f t="shared" si="126"/>
        <v>0</v>
      </c>
      <c r="R228" s="181">
        <f>+Q228/Q240*100</f>
        <v>0</v>
      </c>
    </row>
    <row r="229" spans="1:18" ht="14.1" customHeight="1" x14ac:dyDescent="0.2">
      <c r="A229" s="180"/>
      <c r="B229" s="180" t="s">
        <v>484</v>
      </c>
      <c r="C229" s="244"/>
      <c r="D229" s="243"/>
      <c r="E229" s="243"/>
      <c r="F229" s="255"/>
      <c r="G229" s="255"/>
      <c r="H229" s="255"/>
      <c r="I229" s="257">
        <f t="shared" si="123"/>
        <v>0</v>
      </c>
      <c r="J229" s="248"/>
      <c r="K229" s="255"/>
      <c r="L229" s="255"/>
      <c r="M229" s="249"/>
      <c r="N229" s="257">
        <f t="shared" si="124"/>
        <v>0</v>
      </c>
      <c r="O229" s="255"/>
      <c r="P229" s="257">
        <f t="shared" si="125"/>
        <v>0</v>
      </c>
      <c r="Q229" s="248">
        <f t="shared" si="126"/>
        <v>0</v>
      </c>
      <c r="R229" s="181">
        <f>+Q229/Q240*100</f>
        <v>0</v>
      </c>
    </row>
    <row r="230" spans="1:18" ht="14.1" customHeight="1" x14ac:dyDescent="0.2">
      <c r="A230" s="180"/>
      <c r="B230" s="180" t="s">
        <v>485</v>
      </c>
      <c r="C230" s="244"/>
      <c r="D230" s="243"/>
      <c r="E230" s="243"/>
      <c r="F230" s="255"/>
      <c r="G230" s="255"/>
      <c r="H230" s="255"/>
      <c r="I230" s="257">
        <f t="shared" si="123"/>
        <v>0</v>
      </c>
      <c r="J230" s="248"/>
      <c r="K230" s="255"/>
      <c r="L230" s="255"/>
      <c r="M230" s="249"/>
      <c r="N230" s="257">
        <f t="shared" si="124"/>
        <v>0</v>
      </c>
      <c r="O230" s="255"/>
      <c r="P230" s="257">
        <f t="shared" si="125"/>
        <v>0</v>
      </c>
      <c r="Q230" s="248">
        <f t="shared" si="126"/>
        <v>0</v>
      </c>
      <c r="R230" s="181">
        <f>+Q230/Q240*100</f>
        <v>0</v>
      </c>
    </row>
    <row r="231" spans="1:18" ht="14.1" customHeight="1" x14ac:dyDescent="0.2">
      <c r="A231" s="180"/>
      <c r="B231" s="180" t="s">
        <v>486</v>
      </c>
      <c r="C231" s="244"/>
      <c r="D231" s="243"/>
      <c r="E231" s="243"/>
      <c r="F231" s="255"/>
      <c r="G231" s="255"/>
      <c r="H231" s="255"/>
      <c r="I231" s="257">
        <f t="shared" si="123"/>
        <v>0</v>
      </c>
      <c r="J231" s="248"/>
      <c r="K231" s="255"/>
      <c r="L231" s="255"/>
      <c r="M231" s="249"/>
      <c r="N231" s="257">
        <f t="shared" si="124"/>
        <v>0</v>
      </c>
      <c r="O231" s="255"/>
      <c r="P231" s="257">
        <f t="shared" si="125"/>
        <v>0</v>
      </c>
      <c r="Q231" s="248">
        <f t="shared" si="126"/>
        <v>0</v>
      </c>
      <c r="R231" s="181">
        <f>+Q231/Q240*100</f>
        <v>0</v>
      </c>
    </row>
    <row r="232" spans="1:18" ht="14.1" customHeight="1" x14ac:dyDescent="0.2">
      <c r="A232" s="180"/>
      <c r="B232" s="180" t="s">
        <v>487</v>
      </c>
      <c r="C232" s="244"/>
      <c r="D232" s="243"/>
      <c r="E232" s="243"/>
      <c r="F232" s="255"/>
      <c r="G232" s="255"/>
      <c r="H232" s="255"/>
      <c r="I232" s="257">
        <f t="shared" si="123"/>
        <v>0</v>
      </c>
      <c r="J232" s="248"/>
      <c r="K232" s="255"/>
      <c r="L232" s="255"/>
      <c r="M232" s="249"/>
      <c r="N232" s="257">
        <f t="shared" si="124"/>
        <v>0</v>
      </c>
      <c r="O232" s="255"/>
      <c r="P232" s="257">
        <f t="shared" si="125"/>
        <v>0</v>
      </c>
      <c r="Q232" s="248">
        <f t="shared" si="126"/>
        <v>0</v>
      </c>
      <c r="R232" s="181">
        <f>+Q232/Q240*100</f>
        <v>0</v>
      </c>
    </row>
    <row r="233" spans="1:18" ht="14.1" customHeight="1" x14ac:dyDescent="0.2">
      <c r="A233" s="180" t="s">
        <v>83</v>
      </c>
      <c r="B233" s="180" t="s">
        <v>488</v>
      </c>
      <c r="C233" s="246"/>
      <c r="D233" s="243"/>
      <c r="E233" s="243"/>
      <c r="F233" s="255"/>
      <c r="G233" s="255"/>
      <c r="H233" s="255"/>
      <c r="I233" s="257">
        <f t="shared" si="123"/>
        <v>0</v>
      </c>
      <c r="J233" s="246"/>
      <c r="K233" s="255"/>
      <c r="L233" s="255"/>
      <c r="M233" s="247"/>
      <c r="N233" s="257">
        <f t="shared" si="124"/>
        <v>0</v>
      </c>
      <c r="O233" s="255"/>
      <c r="P233" s="257">
        <f t="shared" si="125"/>
        <v>0</v>
      </c>
      <c r="Q233" s="248">
        <f t="shared" si="126"/>
        <v>0</v>
      </c>
      <c r="R233" s="181">
        <f>+Q233/Q240*100</f>
        <v>0</v>
      </c>
    </row>
    <row r="234" spans="1:18" ht="14.1" customHeight="1" x14ac:dyDescent="0.2">
      <c r="A234" s="180" t="s">
        <v>83</v>
      </c>
      <c r="B234" s="180" t="s">
        <v>489</v>
      </c>
      <c r="C234" s="246"/>
      <c r="D234" s="243"/>
      <c r="E234" s="243"/>
      <c r="F234" s="255"/>
      <c r="G234" s="255"/>
      <c r="H234" s="255"/>
      <c r="I234" s="257">
        <f t="shared" si="123"/>
        <v>0</v>
      </c>
      <c r="J234" s="246"/>
      <c r="K234" s="255"/>
      <c r="L234" s="255"/>
      <c r="M234" s="247"/>
      <c r="N234" s="257">
        <f t="shared" si="124"/>
        <v>0</v>
      </c>
      <c r="O234" s="255"/>
      <c r="P234" s="257">
        <f t="shared" si="125"/>
        <v>0</v>
      </c>
      <c r="Q234" s="248">
        <f t="shared" si="126"/>
        <v>0</v>
      </c>
      <c r="R234" s="181">
        <f>+Q234/Q240*100</f>
        <v>0</v>
      </c>
    </row>
    <row r="235" spans="1:18" ht="14.1" customHeight="1" x14ac:dyDescent="0.2">
      <c r="A235" s="180" t="s">
        <v>83</v>
      </c>
      <c r="B235" s="180" t="s">
        <v>490</v>
      </c>
      <c r="C235" s="244"/>
      <c r="D235" s="243"/>
      <c r="E235" s="243"/>
      <c r="F235" s="255"/>
      <c r="G235" s="255"/>
      <c r="H235" s="255"/>
      <c r="I235" s="257">
        <f t="shared" si="123"/>
        <v>0</v>
      </c>
      <c r="J235" s="248"/>
      <c r="K235" s="255"/>
      <c r="L235" s="255"/>
      <c r="M235" s="249"/>
      <c r="N235" s="257">
        <f t="shared" si="124"/>
        <v>0</v>
      </c>
      <c r="O235" s="255"/>
      <c r="P235" s="257">
        <f t="shared" si="125"/>
        <v>0</v>
      </c>
      <c r="Q235" s="248">
        <f t="shared" si="126"/>
        <v>0</v>
      </c>
      <c r="R235" s="181">
        <f>+Q235/Q240*100</f>
        <v>0</v>
      </c>
    </row>
    <row r="236" spans="1:18" ht="14.1" customHeight="1" x14ac:dyDescent="0.2">
      <c r="A236" s="180" t="s">
        <v>83</v>
      </c>
      <c r="B236" s="180" t="s">
        <v>491</v>
      </c>
      <c r="C236" s="248"/>
      <c r="D236" s="243"/>
      <c r="E236" s="243"/>
      <c r="F236" s="255"/>
      <c r="G236" s="255"/>
      <c r="H236" s="255"/>
      <c r="I236" s="257">
        <f t="shared" si="123"/>
        <v>0</v>
      </c>
      <c r="J236" s="248"/>
      <c r="K236" s="255"/>
      <c r="L236" s="255"/>
      <c r="M236" s="249"/>
      <c r="N236" s="257">
        <f t="shared" si="124"/>
        <v>0</v>
      </c>
      <c r="O236" s="255"/>
      <c r="P236" s="257">
        <f t="shared" si="125"/>
        <v>0</v>
      </c>
      <c r="Q236" s="248">
        <f t="shared" si="126"/>
        <v>0</v>
      </c>
      <c r="R236" s="181">
        <f>+Q236/Q240*100</f>
        <v>0</v>
      </c>
    </row>
    <row r="237" spans="1:18" ht="14.1" customHeight="1" x14ac:dyDescent="0.2">
      <c r="A237" s="180"/>
      <c r="B237" s="180" t="s">
        <v>492</v>
      </c>
      <c r="C237" s="248"/>
      <c r="D237" s="243"/>
      <c r="E237" s="243"/>
      <c r="F237" s="255"/>
      <c r="G237" s="255"/>
      <c r="H237" s="255"/>
      <c r="I237" s="257">
        <f t="shared" si="123"/>
        <v>0</v>
      </c>
      <c r="J237" s="248"/>
      <c r="K237" s="255"/>
      <c r="L237" s="255"/>
      <c r="M237" s="249"/>
      <c r="N237" s="257">
        <f t="shared" si="124"/>
        <v>0</v>
      </c>
      <c r="O237" s="255"/>
      <c r="P237" s="257">
        <f t="shared" si="125"/>
        <v>0</v>
      </c>
      <c r="Q237" s="248">
        <f t="shared" si="126"/>
        <v>0</v>
      </c>
      <c r="R237" s="181">
        <f>+Q237/Q240*100</f>
        <v>0</v>
      </c>
    </row>
    <row r="238" spans="1:18" ht="14.1" customHeight="1" x14ac:dyDescent="0.2">
      <c r="A238" s="180" t="s">
        <v>83</v>
      </c>
      <c r="B238" s="180" t="s">
        <v>493</v>
      </c>
      <c r="C238" s="248"/>
      <c r="D238" s="243"/>
      <c r="E238" s="243"/>
      <c r="F238" s="255"/>
      <c r="G238" s="255"/>
      <c r="H238" s="255"/>
      <c r="I238" s="257">
        <f t="shared" si="123"/>
        <v>0</v>
      </c>
      <c r="J238" s="248"/>
      <c r="K238" s="255"/>
      <c r="L238" s="255"/>
      <c r="M238" s="249"/>
      <c r="N238" s="257">
        <f t="shared" si="124"/>
        <v>0</v>
      </c>
      <c r="O238" s="255"/>
      <c r="P238" s="257">
        <f t="shared" si="125"/>
        <v>0</v>
      </c>
      <c r="Q238" s="248">
        <f t="shared" si="126"/>
        <v>0</v>
      </c>
      <c r="R238" s="181">
        <f>+Q238/Q240*100</f>
        <v>0</v>
      </c>
    </row>
    <row r="239" spans="1:18" ht="14.1" customHeight="1" thickBot="1" x14ac:dyDescent="0.25">
      <c r="A239" s="182" t="s">
        <v>11</v>
      </c>
      <c r="B239" s="182" t="s">
        <v>494</v>
      </c>
      <c r="C239" s="250"/>
      <c r="D239" s="243"/>
      <c r="E239" s="243"/>
      <c r="F239" s="255"/>
      <c r="G239" s="255"/>
      <c r="H239" s="255"/>
      <c r="I239" s="257">
        <f t="shared" si="123"/>
        <v>0</v>
      </c>
      <c r="J239" s="258"/>
      <c r="K239" s="255"/>
      <c r="L239" s="255"/>
      <c r="M239" s="259"/>
      <c r="N239" s="257">
        <f t="shared" si="124"/>
        <v>0</v>
      </c>
      <c r="O239" s="255"/>
      <c r="P239" s="257">
        <f t="shared" si="125"/>
        <v>0</v>
      </c>
      <c r="Q239" s="248">
        <f t="shared" si="126"/>
        <v>0</v>
      </c>
      <c r="R239" s="181">
        <f>+Q239/Q240*100</f>
        <v>0</v>
      </c>
    </row>
    <row r="240" spans="1:18" ht="29.25" customHeight="1" thickBot="1" x14ac:dyDescent="0.25">
      <c r="A240" s="183" t="s">
        <v>72</v>
      </c>
      <c r="B240" s="183" t="s">
        <v>72</v>
      </c>
      <c r="C240" s="251"/>
      <c r="D240" s="252">
        <f>SUM(D207:D239)</f>
        <v>0</v>
      </c>
      <c r="E240" s="252">
        <f t="shared" ref="E240:Q240" si="127">SUM(E207:E239)</f>
        <v>0</v>
      </c>
      <c r="F240" s="252">
        <f t="shared" si="127"/>
        <v>17464145</v>
      </c>
      <c r="G240" s="252">
        <f t="shared" si="127"/>
        <v>0</v>
      </c>
      <c r="H240" s="252">
        <f t="shared" si="127"/>
        <v>0</v>
      </c>
      <c r="I240" s="252">
        <f t="shared" si="127"/>
        <v>17464145</v>
      </c>
      <c r="J240" s="252">
        <f t="shared" si="127"/>
        <v>0</v>
      </c>
      <c r="K240" s="252">
        <f t="shared" si="127"/>
        <v>0</v>
      </c>
      <c r="L240" s="252">
        <f t="shared" si="127"/>
        <v>186224247</v>
      </c>
      <c r="M240" s="252">
        <f t="shared" si="127"/>
        <v>0</v>
      </c>
      <c r="N240" s="252">
        <f t="shared" si="127"/>
        <v>186224247</v>
      </c>
      <c r="O240" s="252">
        <f t="shared" si="127"/>
        <v>41994950</v>
      </c>
      <c r="P240" s="252">
        <f t="shared" si="127"/>
        <v>41994950</v>
      </c>
      <c r="Q240" s="252">
        <f t="shared" si="127"/>
        <v>245683342</v>
      </c>
      <c r="R240" s="184">
        <f>SUM(R207:R239)</f>
        <v>100</v>
      </c>
    </row>
  </sheetData>
  <mergeCells count="36">
    <mergeCell ref="A4:A5"/>
    <mergeCell ref="J4:N4"/>
    <mergeCell ref="O4:P4"/>
    <mergeCell ref="Q4:R4"/>
    <mergeCell ref="C4:I4"/>
    <mergeCell ref="B4:B5"/>
    <mergeCell ref="Q45:R45"/>
    <mergeCell ref="A85:A86"/>
    <mergeCell ref="B85:B86"/>
    <mergeCell ref="C85:I85"/>
    <mergeCell ref="J85:N85"/>
    <mergeCell ref="O85:P85"/>
    <mergeCell ref="Q85:R85"/>
    <mergeCell ref="A45:A46"/>
    <mergeCell ref="B45:B46"/>
    <mergeCell ref="C45:I45"/>
    <mergeCell ref="J45:N45"/>
    <mergeCell ref="O45:P45"/>
    <mergeCell ref="Q125:R125"/>
    <mergeCell ref="A165:A166"/>
    <mergeCell ref="B165:B166"/>
    <mergeCell ref="C165:I165"/>
    <mergeCell ref="J165:N165"/>
    <mergeCell ref="O165:P165"/>
    <mergeCell ref="Q165:R165"/>
    <mergeCell ref="A125:A126"/>
    <mergeCell ref="B125:B126"/>
    <mergeCell ref="C125:I125"/>
    <mergeCell ref="J125:N125"/>
    <mergeCell ref="O125:P125"/>
    <mergeCell ref="Q205:R205"/>
    <mergeCell ref="A205:A206"/>
    <mergeCell ref="B205:B206"/>
    <mergeCell ref="C205:I205"/>
    <mergeCell ref="J205:N205"/>
    <mergeCell ref="O205:P205"/>
  </mergeCells>
  <phoneticPr fontId="0" type="noConversion"/>
  <pageMargins left="0.23622047244094491" right="0.23622047244094491" top="0.74803149606299213" bottom="0.74803149606299213" header="0.31496062992125984" footer="0.31496062992125984"/>
  <pageSetup paperSize="9" scale="71" orientation="landscape" r:id="rId1"/>
  <headerFooter alignWithMargins="0">
    <oddHeader xml:space="preserve">&amp;C&amp;"Arial,Negrita"&amp;18PROYECTO DE PRESUPUESTO 2021
</oddHeader>
    <oddFooter>&amp;L&amp;"Arial,Negrita"&amp;8PROYECTO DE PRESUPUESTO PARA EL AÑO FISCAL 2021
INFORMACIÓN PARA LA COMISIÓN DE PRESUPUESTO Y CUENTA GENERAL DE LA REPÚBLICA DEL CONGRESO DE LA REPÚBLICA</oddFooter>
  </headerFooter>
  <rowBreaks count="5" manualBreakCount="5">
    <brk id="40" max="16383" man="1"/>
    <brk id="80" max="16383" man="1"/>
    <brk id="121" max="16383" man="1"/>
    <brk id="160" max="16383" man="1"/>
    <brk id="200" max="16383" man="1"/>
  </rowBreaks>
  <colBreaks count="1" manualBreakCount="1">
    <brk id="18"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F132"/>
  <sheetViews>
    <sheetView topLeftCell="A96" zoomScaleNormal="100" workbookViewId="0">
      <selection activeCell="F130" sqref="F130"/>
    </sheetView>
  </sheetViews>
  <sheetFormatPr baseColWidth="10" defaultRowHeight="12.75" x14ac:dyDescent="0.2"/>
  <cols>
    <col min="1" max="1" width="95.7109375" customWidth="1"/>
    <col min="2" max="2" width="17.7109375" customWidth="1"/>
    <col min="3" max="3" width="18.5703125" customWidth="1"/>
    <col min="4" max="4" width="17.5703125" customWidth="1"/>
    <col min="6" max="6" width="16.5703125" bestFit="1" customWidth="1"/>
  </cols>
  <sheetData>
    <row r="1" spans="1:4" x14ac:dyDescent="0.2">
      <c r="A1" s="89" t="s">
        <v>399</v>
      </c>
    </row>
    <row r="2" spans="1:4" ht="12" customHeight="1" thickBot="1" x14ac:dyDescent="0.25">
      <c r="A2" s="282" t="s">
        <v>540</v>
      </c>
    </row>
    <row r="3" spans="1:4" s="123" customFormat="1" ht="30.75" customHeight="1" thickBot="1" x14ac:dyDescent="0.25">
      <c r="A3" s="267" t="s">
        <v>336</v>
      </c>
      <c r="B3" s="268">
        <v>2019</v>
      </c>
      <c r="C3" s="268">
        <v>2020</v>
      </c>
      <c r="D3" s="269">
        <v>2021</v>
      </c>
    </row>
    <row r="4" spans="1:4" ht="12" customHeight="1" x14ac:dyDescent="0.2">
      <c r="A4" s="284" t="s">
        <v>502</v>
      </c>
      <c r="B4" s="285">
        <v>58002084</v>
      </c>
      <c r="C4" s="281">
        <v>64568916</v>
      </c>
      <c r="D4" s="293">
        <v>62573007</v>
      </c>
    </row>
    <row r="5" spans="1:4" ht="12" customHeight="1" x14ac:dyDescent="0.2">
      <c r="A5" s="286" t="s">
        <v>503</v>
      </c>
      <c r="B5" s="283">
        <v>53167053</v>
      </c>
      <c r="C5" s="280">
        <v>58086928</v>
      </c>
      <c r="D5" s="293">
        <v>62302878</v>
      </c>
    </row>
    <row r="6" spans="1:4" ht="12" customHeight="1" x14ac:dyDescent="0.2">
      <c r="A6" s="286" t="s">
        <v>504</v>
      </c>
      <c r="B6" s="283">
        <v>15265011</v>
      </c>
      <c r="C6" s="280">
        <v>15951585</v>
      </c>
      <c r="D6" s="293">
        <v>21257231</v>
      </c>
    </row>
    <row r="7" spans="1:4" ht="12" customHeight="1" x14ac:dyDescent="0.2">
      <c r="A7" s="286" t="s">
        <v>505</v>
      </c>
      <c r="B7" s="283">
        <v>9510983</v>
      </c>
      <c r="C7" s="280">
        <v>9847004</v>
      </c>
      <c r="D7" s="293">
        <v>12708857</v>
      </c>
    </row>
    <row r="8" spans="1:4" ht="12" customHeight="1" x14ac:dyDescent="0.2">
      <c r="A8" s="286" t="s">
        <v>506</v>
      </c>
      <c r="B8" s="283">
        <v>15623473</v>
      </c>
      <c r="C8" s="280">
        <v>16733629</v>
      </c>
      <c r="D8" s="293">
        <v>17710162</v>
      </c>
    </row>
    <row r="9" spans="1:4" ht="12" customHeight="1" x14ac:dyDescent="0.2">
      <c r="A9" s="286" t="s">
        <v>507</v>
      </c>
      <c r="B9" s="283">
        <v>11824059</v>
      </c>
      <c r="C9" s="280">
        <v>12143974</v>
      </c>
      <c r="D9" s="293">
        <v>15336570</v>
      </c>
    </row>
    <row r="10" spans="1:4" ht="12" customHeight="1" x14ac:dyDescent="0.2">
      <c r="A10" s="286" t="s">
        <v>508</v>
      </c>
      <c r="B10" s="283">
        <v>0</v>
      </c>
      <c r="C10" s="280">
        <v>0</v>
      </c>
      <c r="D10" s="294"/>
    </row>
    <row r="11" spans="1:4" ht="12" customHeight="1" x14ac:dyDescent="0.2">
      <c r="A11" s="286" t="s">
        <v>509</v>
      </c>
      <c r="B11" s="283">
        <v>3396971</v>
      </c>
      <c r="C11" s="280">
        <v>0</v>
      </c>
      <c r="D11" s="293">
        <v>2000000</v>
      </c>
    </row>
    <row r="12" spans="1:4" ht="12" customHeight="1" x14ac:dyDescent="0.2">
      <c r="A12" s="286" t="s">
        <v>510</v>
      </c>
      <c r="B12" s="283">
        <v>4647587</v>
      </c>
      <c r="C12" s="280">
        <v>2295173</v>
      </c>
      <c r="D12" s="293">
        <v>50000</v>
      </c>
    </row>
    <row r="13" spans="1:4" ht="12" customHeight="1" x14ac:dyDescent="0.2">
      <c r="A13" s="286" t="s">
        <v>511</v>
      </c>
      <c r="B13" s="283">
        <v>6338527</v>
      </c>
      <c r="C13" s="280">
        <v>5068813</v>
      </c>
      <c r="D13" s="293">
        <v>13500001</v>
      </c>
    </row>
    <row r="14" spans="1:4" ht="12" customHeight="1" x14ac:dyDescent="0.2">
      <c r="A14" s="286" t="s">
        <v>512</v>
      </c>
      <c r="B14" s="283">
        <v>0</v>
      </c>
      <c r="C14" s="280">
        <v>0</v>
      </c>
      <c r="D14" s="295" t="s">
        <v>83</v>
      </c>
    </row>
    <row r="15" spans="1:4" ht="12" customHeight="1" x14ac:dyDescent="0.2">
      <c r="A15" s="286" t="s">
        <v>513</v>
      </c>
      <c r="B15" s="283">
        <v>41665165</v>
      </c>
      <c r="C15" s="280">
        <v>46381394</v>
      </c>
      <c r="D15" s="293">
        <v>90435138</v>
      </c>
    </row>
    <row r="16" spans="1:4" ht="12" customHeight="1" x14ac:dyDescent="0.2">
      <c r="A16" s="286" t="s">
        <v>514</v>
      </c>
      <c r="B16" s="283">
        <v>6250524</v>
      </c>
      <c r="C16" s="280">
        <v>9134238</v>
      </c>
      <c r="D16" s="293">
        <v>10449024</v>
      </c>
    </row>
    <row r="17" spans="1:4" ht="12" customHeight="1" x14ac:dyDescent="0.2">
      <c r="A17" s="286" t="s">
        <v>515</v>
      </c>
      <c r="B17" s="283">
        <v>1506277</v>
      </c>
      <c r="C17" s="280">
        <v>1053481</v>
      </c>
      <c r="D17" s="293">
        <v>1043341</v>
      </c>
    </row>
    <row r="18" spans="1:4" ht="12" customHeight="1" x14ac:dyDescent="0.2">
      <c r="A18" s="286" t="s">
        <v>516</v>
      </c>
      <c r="B18" s="283">
        <v>773160</v>
      </c>
      <c r="C18" s="280">
        <v>2666667</v>
      </c>
      <c r="D18" s="293">
        <v>1200000</v>
      </c>
    </row>
    <row r="19" spans="1:4" ht="12" customHeight="1" x14ac:dyDescent="0.2">
      <c r="A19" s="286" t="s">
        <v>517</v>
      </c>
      <c r="B19" s="283">
        <v>36101222</v>
      </c>
      <c r="C19" s="280">
        <v>32540720</v>
      </c>
      <c r="D19" s="293">
        <v>41886225</v>
      </c>
    </row>
    <row r="20" spans="1:4" ht="12" customHeight="1" x14ac:dyDescent="0.2">
      <c r="A20" s="286" t="s">
        <v>518</v>
      </c>
      <c r="B20" s="283">
        <v>0</v>
      </c>
      <c r="C20" s="280">
        <v>1152551</v>
      </c>
      <c r="D20" s="293">
        <v>2015796</v>
      </c>
    </row>
    <row r="21" spans="1:4" ht="12" customHeight="1" x14ac:dyDescent="0.2">
      <c r="A21" s="286" t="s">
        <v>519</v>
      </c>
      <c r="B21" s="283">
        <v>5910023</v>
      </c>
      <c r="C21" s="280">
        <v>3369999</v>
      </c>
      <c r="D21" s="293">
        <v>6745769</v>
      </c>
    </row>
    <row r="22" spans="1:4" ht="12" customHeight="1" x14ac:dyDescent="0.2">
      <c r="A22" s="286" t="s">
        <v>520</v>
      </c>
      <c r="B22" s="283">
        <v>810883360</v>
      </c>
      <c r="C22" s="280">
        <v>818054632</v>
      </c>
      <c r="D22" s="293">
        <v>803888395</v>
      </c>
    </row>
    <row r="23" spans="1:4" ht="12" customHeight="1" x14ac:dyDescent="0.2">
      <c r="A23" s="286" t="s">
        <v>521</v>
      </c>
      <c r="B23" s="283">
        <v>19201082</v>
      </c>
      <c r="C23" s="280">
        <v>0</v>
      </c>
      <c r="D23" s="294"/>
    </row>
    <row r="24" spans="1:4" ht="12" customHeight="1" x14ac:dyDescent="0.2">
      <c r="A24" s="286" t="s">
        <v>522</v>
      </c>
      <c r="B24" s="283"/>
      <c r="C24" s="280">
        <v>46000</v>
      </c>
      <c r="D24" s="293">
        <v>46000</v>
      </c>
    </row>
    <row r="25" spans="1:4" ht="12" customHeight="1" x14ac:dyDescent="0.2">
      <c r="A25" s="286" t="s">
        <v>523</v>
      </c>
      <c r="B25" s="283"/>
      <c r="C25" s="280">
        <v>46054</v>
      </c>
      <c r="D25" s="293">
        <v>46054</v>
      </c>
    </row>
    <row r="26" spans="1:4" ht="12" customHeight="1" x14ac:dyDescent="0.2">
      <c r="A26" s="286" t="s">
        <v>524</v>
      </c>
      <c r="B26" s="283">
        <v>1000000</v>
      </c>
      <c r="C26" s="280">
        <v>9000000</v>
      </c>
      <c r="D26" s="293">
        <v>2000000</v>
      </c>
    </row>
    <row r="27" spans="1:4" ht="12" customHeight="1" x14ac:dyDescent="0.2">
      <c r="A27" s="286" t="s">
        <v>525</v>
      </c>
      <c r="B27" s="283">
        <v>783850</v>
      </c>
      <c r="C27" s="280">
        <v>794130</v>
      </c>
      <c r="D27" s="293">
        <v>795947</v>
      </c>
    </row>
    <row r="28" spans="1:4" ht="12" customHeight="1" x14ac:dyDescent="0.2">
      <c r="A28" s="286" t="s">
        <v>526</v>
      </c>
      <c r="B28" s="283">
        <v>8992020</v>
      </c>
      <c r="C28" s="280">
        <v>10378812</v>
      </c>
      <c r="D28" s="293">
        <v>9372005</v>
      </c>
    </row>
    <row r="29" spans="1:4" ht="12" customHeight="1" x14ac:dyDescent="0.2">
      <c r="A29" s="286" t="s">
        <v>527</v>
      </c>
      <c r="B29" s="283">
        <v>5595614</v>
      </c>
      <c r="C29" s="280">
        <v>6612413</v>
      </c>
      <c r="D29" s="293">
        <v>7412297</v>
      </c>
    </row>
    <row r="30" spans="1:4" ht="12" customHeight="1" x14ac:dyDescent="0.2">
      <c r="A30" s="286" t="s">
        <v>528</v>
      </c>
      <c r="B30" s="283">
        <v>6855209</v>
      </c>
      <c r="C30" s="280">
        <v>5630157</v>
      </c>
      <c r="D30" s="293">
        <v>5215313</v>
      </c>
    </row>
    <row r="31" spans="1:4" ht="12" customHeight="1" x14ac:dyDescent="0.2">
      <c r="A31" s="296" t="s">
        <v>542</v>
      </c>
      <c r="B31" s="283"/>
      <c r="C31" s="280"/>
      <c r="D31" s="293">
        <v>188180</v>
      </c>
    </row>
    <row r="32" spans="1:4" ht="12" customHeight="1" x14ac:dyDescent="0.2">
      <c r="A32" s="286" t="s">
        <v>529</v>
      </c>
      <c r="B32" s="283"/>
      <c r="C32" s="280">
        <v>1394960</v>
      </c>
      <c r="D32" s="293">
        <v>1319366</v>
      </c>
    </row>
    <row r="33" spans="1:6" ht="12" customHeight="1" x14ac:dyDescent="0.2">
      <c r="A33" s="286" t="s">
        <v>530</v>
      </c>
      <c r="B33" s="283">
        <v>8433321</v>
      </c>
      <c r="C33" s="280">
        <v>8527054</v>
      </c>
      <c r="D33" s="293">
        <v>11973892</v>
      </c>
    </row>
    <row r="34" spans="1:6" ht="12" customHeight="1" x14ac:dyDescent="0.2">
      <c r="A34" s="288" t="s">
        <v>531</v>
      </c>
      <c r="B34" s="283">
        <v>0</v>
      </c>
      <c r="C34" s="280">
        <v>0</v>
      </c>
      <c r="D34" s="293">
        <v>0</v>
      </c>
    </row>
    <row r="35" spans="1:6" ht="12" customHeight="1" x14ac:dyDescent="0.2">
      <c r="A35" s="286" t="s">
        <v>532</v>
      </c>
      <c r="B35" s="283">
        <v>16173124</v>
      </c>
      <c r="C35" s="280">
        <v>11254456</v>
      </c>
      <c r="D35" s="293">
        <v>10937968</v>
      </c>
    </row>
    <row r="36" spans="1:6" s="124" customFormat="1" ht="12" customHeight="1" x14ac:dyDescent="0.2">
      <c r="A36" s="286" t="s">
        <v>533</v>
      </c>
      <c r="B36" s="283">
        <v>865994</v>
      </c>
      <c r="C36" s="280">
        <v>1207041</v>
      </c>
      <c r="D36" s="293">
        <v>1782053</v>
      </c>
    </row>
    <row r="37" spans="1:6" s="124" customFormat="1" ht="12" customHeight="1" x14ac:dyDescent="0.2">
      <c r="A37" s="286" t="s">
        <v>534</v>
      </c>
      <c r="B37" s="283">
        <v>88899</v>
      </c>
      <c r="C37" s="280">
        <v>88899</v>
      </c>
      <c r="D37" s="293">
        <v>84843</v>
      </c>
    </row>
    <row r="38" spans="1:6" s="124" customFormat="1" ht="12" customHeight="1" x14ac:dyDescent="0.2">
      <c r="A38" s="286" t="s">
        <v>535</v>
      </c>
      <c r="B38" s="283">
        <v>4786046</v>
      </c>
      <c r="C38" s="280">
        <v>10113050</v>
      </c>
      <c r="D38" s="293">
        <v>12142583</v>
      </c>
    </row>
    <row r="39" spans="1:6" s="124" customFormat="1" ht="12" customHeight="1" x14ac:dyDescent="0.2">
      <c r="A39" s="286" t="s">
        <v>536</v>
      </c>
      <c r="B39" s="283">
        <v>61358584</v>
      </c>
      <c r="C39" s="280">
        <v>75478782</v>
      </c>
      <c r="D39" s="293">
        <v>80951488</v>
      </c>
    </row>
    <row r="40" spans="1:6" s="124" customFormat="1" ht="12" customHeight="1" x14ac:dyDescent="0.2">
      <c r="A40" s="286" t="s">
        <v>537</v>
      </c>
      <c r="B40" s="283">
        <v>20684762</v>
      </c>
      <c r="C40" s="280">
        <v>18789481</v>
      </c>
      <c r="D40" s="293">
        <v>30449614</v>
      </c>
    </row>
    <row r="41" spans="1:6" s="124" customFormat="1" ht="12" customHeight="1" x14ac:dyDescent="0.2">
      <c r="A41" s="286" t="s">
        <v>538</v>
      </c>
      <c r="B41" s="283">
        <v>45800</v>
      </c>
      <c r="C41" s="287">
        <v>404700</v>
      </c>
      <c r="D41" s="293">
        <v>9437961</v>
      </c>
    </row>
    <row r="42" spans="1:6" s="124" customFormat="1" ht="12" customHeight="1" x14ac:dyDescent="0.2">
      <c r="A42" s="286" t="s">
        <v>539</v>
      </c>
      <c r="B42" s="283">
        <v>0</v>
      </c>
      <c r="C42" s="292">
        <v>11668189</v>
      </c>
      <c r="D42" s="293">
        <v>76870</v>
      </c>
    </row>
    <row r="43" spans="1:6" s="124" customFormat="1" ht="12" customHeight="1" x14ac:dyDescent="0.2">
      <c r="A43" s="297" t="s">
        <v>541</v>
      </c>
      <c r="B43" s="283"/>
      <c r="C43" s="292"/>
      <c r="D43" s="293">
        <v>180472</v>
      </c>
    </row>
    <row r="44" spans="1:6" s="126" customFormat="1" ht="15.75" customHeight="1" thickBot="1" x14ac:dyDescent="0.25">
      <c r="A44" s="289" t="s">
        <v>324</v>
      </c>
      <c r="B44" s="290">
        <f>SUM(B4:B42)</f>
        <v>1235729784</v>
      </c>
      <c r="C44" s="290">
        <f t="shared" ref="C44" si="0">SUM(C4:C42)</f>
        <v>1270483882</v>
      </c>
      <c r="D44" s="291">
        <f>SUM(D4:D43)</f>
        <v>1349515300</v>
      </c>
    </row>
    <row r="45" spans="1:6" ht="8.25" customHeight="1" thickBot="1" x14ac:dyDescent="0.25"/>
    <row r="46" spans="1:6" s="123" customFormat="1" ht="28.35" customHeight="1" thickBot="1" x14ac:dyDescent="0.25">
      <c r="A46" s="358" t="s">
        <v>337</v>
      </c>
      <c r="B46" s="359">
        <v>2019</v>
      </c>
      <c r="C46" s="371" t="s">
        <v>393</v>
      </c>
      <c r="D46" s="360" t="s">
        <v>394</v>
      </c>
    </row>
    <row r="47" spans="1:6" x14ac:dyDescent="0.2">
      <c r="A47" s="361" t="s">
        <v>502</v>
      </c>
      <c r="B47" s="357">
        <v>80952790</v>
      </c>
      <c r="C47" s="345">
        <v>72890530</v>
      </c>
      <c r="D47" s="362"/>
      <c r="F47" s="342"/>
    </row>
    <row r="48" spans="1:6" x14ac:dyDescent="0.2">
      <c r="A48" s="286" t="s">
        <v>503</v>
      </c>
      <c r="B48" s="283">
        <v>66045621</v>
      </c>
      <c r="C48" s="345">
        <v>64795467</v>
      </c>
      <c r="D48" s="363"/>
      <c r="F48" s="342"/>
    </row>
    <row r="49" spans="1:6" x14ac:dyDescent="0.2">
      <c r="A49" s="286" t="s">
        <v>504</v>
      </c>
      <c r="B49" s="283">
        <v>17221803</v>
      </c>
      <c r="C49" s="345">
        <v>16023957</v>
      </c>
      <c r="D49" s="363"/>
      <c r="F49" s="342"/>
    </row>
    <row r="50" spans="1:6" x14ac:dyDescent="0.2">
      <c r="A50" s="286" t="s">
        <v>505</v>
      </c>
      <c r="B50" s="283">
        <v>9704412</v>
      </c>
      <c r="C50" s="345">
        <v>11184402</v>
      </c>
      <c r="D50" s="363"/>
      <c r="F50" s="342"/>
    </row>
    <row r="51" spans="1:6" x14ac:dyDescent="0.2">
      <c r="A51" s="286" t="s">
        <v>506</v>
      </c>
      <c r="B51" s="283">
        <v>23480703</v>
      </c>
      <c r="C51" s="345">
        <v>21864786</v>
      </c>
      <c r="D51" s="363"/>
      <c r="F51" s="342"/>
    </row>
    <row r="52" spans="1:6" x14ac:dyDescent="0.2">
      <c r="A52" s="286" t="s">
        <v>507</v>
      </c>
      <c r="B52" s="283">
        <v>12743164</v>
      </c>
      <c r="C52" s="345">
        <v>13452709</v>
      </c>
      <c r="D52" s="363"/>
      <c r="F52" s="342"/>
    </row>
    <row r="53" spans="1:6" x14ac:dyDescent="0.2">
      <c r="A53" s="286" t="s">
        <v>508</v>
      </c>
      <c r="B53" s="283">
        <v>1411507</v>
      </c>
      <c r="C53" s="345">
        <v>882480</v>
      </c>
      <c r="D53" s="363"/>
      <c r="F53" s="342"/>
    </row>
    <row r="54" spans="1:6" x14ac:dyDescent="0.2">
      <c r="A54" s="286" t="s">
        <v>509</v>
      </c>
      <c r="B54" s="283">
        <v>5939971</v>
      </c>
      <c r="C54" s="345">
        <v>3858667</v>
      </c>
      <c r="D54" s="363"/>
      <c r="F54" s="342"/>
    </row>
    <row r="55" spans="1:6" x14ac:dyDescent="0.2">
      <c r="A55" s="286" t="s">
        <v>510</v>
      </c>
      <c r="B55" s="283">
        <v>3141282</v>
      </c>
      <c r="C55" s="345">
        <v>2295173</v>
      </c>
      <c r="D55" s="363"/>
      <c r="F55" s="342"/>
    </row>
    <row r="56" spans="1:6" x14ac:dyDescent="0.2">
      <c r="A56" s="286" t="s">
        <v>511</v>
      </c>
      <c r="B56" s="283">
        <v>7838527</v>
      </c>
      <c r="C56" s="345">
        <v>5873951</v>
      </c>
      <c r="D56" s="363"/>
      <c r="F56" s="342"/>
    </row>
    <row r="57" spans="1:6" x14ac:dyDescent="0.2">
      <c r="A57" s="286" t="s">
        <v>512</v>
      </c>
      <c r="B57" s="283">
        <v>13271</v>
      </c>
      <c r="C57" s="345"/>
      <c r="D57" s="363"/>
      <c r="F57" s="342"/>
    </row>
    <row r="58" spans="1:6" x14ac:dyDescent="0.2">
      <c r="A58" s="286" t="s">
        <v>513</v>
      </c>
      <c r="B58" s="283">
        <v>68312129</v>
      </c>
      <c r="C58" s="345">
        <v>46852061</v>
      </c>
      <c r="D58" s="363"/>
      <c r="F58" s="342"/>
    </row>
    <row r="59" spans="1:6" x14ac:dyDescent="0.2">
      <c r="A59" s="286" t="s">
        <v>514</v>
      </c>
      <c r="B59" s="283">
        <v>9787869</v>
      </c>
      <c r="C59" s="345">
        <v>10717263</v>
      </c>
      <c r="D59" s="363"/>
      <c r="F59" s="342"/>
    </row>
    <row r="60" spans="1:6" x14ac:dyDescent="0.2">
      <c r="A60" s="286" t="s">
        <v>515</v>
      </c>
      <c r="B60" s="283">
        <v>1751820</v>
      </c>
      <c r="C60" s="345">
        <v>1036172</v>
      </c>
      <c r="D60" s="363"/>
      <c r="F60" s="342"/>
    </row>
    <row r="61" spans="1:6" x14ac:dyDescent="0.2">
      <c r="A61" s="286" t="s">
        <v>516</v>
      </c>
      <c r="B61" s="283">
        <v>773160</v>
      </c>
      <c r="C61" s="345">
        <v>1166721</v>
      </c>
      <c r="D61" s="363"/>
      <c r="F61" s="342"/>
    </row>
    <row r="62" spans="1:6" x14ac:dyDescent="0.2">
      <c r="A62" s="286" t="s">
        <v>517</v>
      </c>
      <c r="B62" s="283">
        <v>52428326</v>
      </c>
      <c r="C62" s="345">
        <v>51581753</v>
      </c>
      <c r="D62" s="363"/>
      <c r="F62" s="342"/>
    </row>
    <row r="63" spans="1:6" x14ac:dyDescent="0.2">
      <c r="A63" s="368" t="s">
        <v>614</v>
      </c>
      <c r="B63" s="283"/>
      <c r="C63" s="345">
        <v>4055099</v>
      </c>
      <c r="D63" s="363"/>
      <c r="F63" s="342"/>
    </row>
    <row r="64" spans="1:6" x14ac:dyDescent="0.2">
      <c r="A64" s="286" t="s">
        <v>518</v>
      </c>
      <c r="B64" s="283">
        <v>2233745</v>
      </c>
      <c r="C64" s="345">
        <v>2854881</v>
      </c>
      <c r="D64" s="363"/>
      <c r="F64" s="342"/>
    </row>
    <row r="65" spans="1:6" x14ac:dyDescent="0.2">
      <c r="A65" s="286" t="s">
        <v>519</v>
      </c>
      <c r="B65" s="283">
        <v>8397939</v>
      </c>
      <c r="C65" s="345">
        <v>24530354</v>
      </c>
      <c r="D65" s="363"/>
      <c r="F65" s="342"/>
    </row>
    <row r="66" spans="1:6" x14ac:dyDescent="0.2">
      <c r="A66" s="286" t="s">
        <v>520</v>
      </c>
      <c r="B66" s="283">
        <v>867508421</v>
      </c>
      <c r="C66" s="345">
        <f>897152934+2351218</f>
        <v>899504152</v>
      </c>
      <c r="D66" s="363"/>
      <c r="F66" s="342"/>
    </row>
    <row r="67" spans="1:6" x14ac:dyDescent="0.2">
      <c r="A67" s="286" t="s">
        <v>521</v>
      </c>
      <c r="B67" s="283">
        <v>14973639</v>
      </c>
      <c r="C67" s="345"/>
      <c r="D67" s="363"/>
      <c r="F67" s="342"/>
    </row>
    <row r="68" spans="1:6" x14ac:dyDescent="0.2">
      <c r="A68" s="373" t="s">
        <v>522</v>
      </c>
      <c r="B68" s="283"/>
      <c r="C68" s="345">
        <v>36000</v>
      </c>
      <c r="D68" s="363"/>
      <c r="F68" s="342"/>
    </row>
    <row r="69" spans="1:6" x14ac:dyDescent="0.2">
      <c r="A69" s="373" t="s">
        <v>523</v>
      </c>
      <c r="B69" s="283"/>
      <c r="C69" s="345">
        <v>26054</v>
      </c>
      <c r="D69" s="363"/>
      <c r="F69" s="342"/>
    </row>
    <row r="70" spans="1:6" x14ac:dyDescent="0.2">
      <c r="A70" s="286" t="s">
        <v>524</v>
      </c>
      <c r="B70" s="283">
        <v>13087634</v>
      </c>
      <c r="C70" s="345">
        <v>9000000</v>
      </c>
      <c r="D70" s="363"/>
      <c r="F70" s="342"/>
    </row>
    <row r="71" spans="1:6" x14ac:dyDescent="0.2">
      <c r="A71" s="286" t="s">
        <v>525</v>
      </c>
      <c r="B71" s="283">
        <v>794130</v>
      </c>
      <c r="C71" s="345">
        <v>652563</v>
      </c>
      <c r="D71" s="363"/>
      <c r="F71" s="342"/>
    </row>
    <row r="72" spans="1:6" x14ac:dyDescent="0.2">
      <c r="A72" s="286" t="s">
        <v>526</v>
      </c>
      <c r="B72" s="283">
        <v>10253429</v>
      </c>
      <c r="C72" s="345">
        <v>13276845</v>
      </c>
      <c r="D72" s="363"/>
      <c r="F72" s="342"/>
    </row>
    <row r="73" spans="1:6" x14ac:dyDescent="0.2">
      <c r="A73" s="286" t="s">
        <v>527</v>
      </c>
      <c r="B73" s="283">
        <v>6232888</v>
      </c>
      <c r="C73" s="345">
        <v>8236823</v>
      </c>
      <c r="D73" s="363"/>
      <c r="F73" s="342"/>
    </row>
    <row r="74" spans="1:6" x14ac:dyDescent="0.2">
      <c r="A74" s="286" t="s">
        <v>528</v>
      </c>
      <c r="B74" s="283">
        <v>7355163</v>
      </c>
      <c r="C74" s="345">
        <v>7563639</v>
      </c>
      <c r="D74" s="363"/>
      <c r="F74" s="342"/>
    </row>
    <row r="75" spans="1:6" x14ac:dyDescent="0.2">
      <c r="A75" s="373" t="s">
        <v>542</v>
      </c>
      <c r="B75" s="283"/>
      <c r="C75" s="345">
        <v>177282</v>
      </c>
      <c r="D75" s="363"/>
      <c r="F75" s="342"/>
    </row>
    <row r="76" spans="1:6" x14ac:dyDescent="0.2">
      <c r="A76" s="373" t="s">
        <v>529</v>
      </c>
      <c r="B76" s="283"/>
      <c r="C76" s="345">
        <v>1466341</v>
      </c>
      <c r="D76" s="363"/>
      <c r="F76" s="342"/>
    </row>
    <row r="77" spans="1:6" x14ac:dyDescent="0.2">
      <c r="A77" s="286" t="s">
        <v>530</v>
      </c>
      <c r="B77" s="283">
        <v>6795780</v>
      </c>
      <c r="C77" s="345">
        <v>8633328</v>
      </c>
      <c r="D77" s="363"/>
      <c r="F77" s="342"/>
    </row>
    <row r="78" spans="1:6" x14ac:dyDescent="0.2">
      <c r="A78" s="288" t="s">
        <v>531</v>
      </c>
      <c r="B78" s="283">
        <v>143263</v>
      </c>
      <c r="C78" s="345">
        <v>339127</v>
      </c>
      <c r="D78" s="363"/>
      <c r="F78" s="342"/>
    </row>
    <row r="79" spans="1:6" x14ac:dyDescent="0.2">
      <c r="A79" s="286" t="s">
        <v>532</v>
      </c>
      <c r="B79" s="283">
        <v>20117641</v>
      </c>
      <c r="C79" s="345">
        <v>12297595</v>
      </c>
      <c r="D79" s="363"/>
      <c r="F79" s="342"/>
    </row>
    <row r="80" spans="1:6" x14ac:dyDescent="0.2">
      <c r="A80" s="286" t="s">
        <v>533</v>
      </c>
      <c r="B80" s="283">
        <v>868073</v>
      </c>
      <c r="C80" s="345">
        <v>1123041</v>
      </c>
      <c r="D80" s="363"/>
      <c r="F80" s="342"/>
    </row>
    <row r="81" spans="1:6" x14ac:dyDescent="0.2">
      <c r="A81" s="286" t="s">
        <v>534</v>
      </c>
      <c r="B81" s="283">
        <v>88899</v>
      </c>
      <c r="C81" s="345">
        <v>77180</v>
      </c>
      <c r="D81" s="363"/>
      <c r="F81" s="342"/>
    </row>
    <row r="82" spans="1:6" x14ac:dyDescent="0.2">
      <c r="A82" s="286" t="s">
        <v>535</v>
      </c>
      <c r="B82" s="283">
        <v>10260950</v>
      </c>
      <c r="C82" s="345">
        <v>14201116</v>
      </c>
      <c r="D82" s="363"/>
      <c r="F82" s="342"/>
    </row>
    <row r="83" spans="1:6" x14ac:dyDescent="0.2">
      <c r="A83" s="286" t="s">
        <v>536</v>
      </c>
      <c r="B83" s="283">
        <v>104301188</v>
      </c>
      <c r="C83" s="345">
        <v>88547868</v>
      </c>
      <c r="D83" s="363"/>
      <c r="F83" s="342"/>
    </row>
    <row r="84" spans="1:6" x14ac:dyDescent="0.2">
      <c r="A84" s="286" t="s">
        <v>537</v>
      </c>
      <c r="B84" s="283">
        <v>28767588</v>
      </c>
      <c r="C84" s="345">
        <v>23763039</v>
      </c>
      <c r="D84" s="363"/>
      <c r="F84" s="342"/>
    </row>
    <row r="85" spans="1:6" x14ac:dyDescent="0.2">
      <c r="A85" s="286" t="s">
        <v>538</v>
      </c>
      <c r="B85" s="283">
        <v>293225</v>
      </c>
      <c r="C85" s="345">
        <v>11343587</v>
      </c>
      <c r="D85" s="363"/>
      <c r="F85" s="342"/>
    </row>
    <row r="86" spans="1:6" ht="13.5" thickBot="1" x14ac:dyDescent="0.25">
      <c r="A86" s="369" t="s">
        <v>539</v>
      </c>
      <c r="B86" s="364">
        <v>0</v>
      </c>
      <c r="C86" s="365">
        <v>2351218</v>
      </c>
      <c r="D86" s="366"/>
      <c r="F86" s="342"/>
    </row>
    <row r="87" spans="1:6" s="126" customFormat="1" ht="22.5" customHeight="1" thickBot="1" x14ac:dyDescent="0.25">
      <c r="A87" s="289" t="s">
        <v>324</v>
      </c>
      <c r="B87" s="290">
        <f>SUM(B47:B85)</f>
        <v>1464019950</v>
      </c>
      <c r="C87" s="290">
        <f>SUM(C47:C85)</f>
        <v>1456182006</v>
      </c>
      <c r="D87" s="372"/>
      <c r="F87" s="367"/>
    </row>
    <row r="88" spans="1:6" ht="13.5" thickBot="1" x14ac:dyDescent="0.25"/>
    <row r="89" spans="1:6" s="123" customFormat="1" ht="28.35" customHeight="1" x14ac:dyDescent="0.2">
      <c r="A89" s="267" t="s">
        <v>338</v>
      </c>
      <c r="B89" s="268">
        <v>2019</v>
      </c>
      <c r="C89" s="268" t="s">
        <v>393</v>
      </c>
      <c r="D89" s="269" t="s">
        <v>394</v>
      </c>
      <c r="F89" s="377" t="s">
        <v>83</v>
      </c>
    </row>
    <row r="90" spans="1:6" x14ac:dyDescent="0.2">
      <c r="A90" s="286" t="s">
        <v>502</v>
      </c>
      <c r="B90" s="283">
        <v>80952790</v>
      </c>
      <c r="C90" s="374">
        <v>72161624.700000003</v>
      </c>
      <c r="D90" s="363"/>
    </row>
    <row r="91" spans="1:6" x14ac:dyDescent="0.2">
      <c r="A91" s="286" t="s">
        <v>503</v>
      </c>
      <c r="B91" s="283">
        <v>66045621</v>
      </c>
      <c r="C91" s="374">
        <v>64147512.329999998</v>
      </c>
      <c r="D91" s="363"/>
    </row>
    <row r="92" spans="1:6" x14ac:dyDescent="0.2">
      <c r="A92" s="286" t="s">
        <v>504</v>
      </c>
      <c r="B92" s="283">
        <v>17221803</v>
      </c>
      <c r="C92" s="374">
        <v>15863717.43</v>
      </c>
      <c r="D92" s="363"/>
    </row>
    <row r="93" spans="1:6" x14ac:dyDescent="0.2">
      <c r="A93" s="286" t="s">
        <v>505</v>
      </c>
      <c r="B93" s="283">
        <v>9704412</v>
      </c>
      <c r="C93" s="374">
        <v>11072557.98</v>
      </c>
      <c r="D93" s="363"/>
    </row>
    <row r="94" spans="1:6" x14ac:dyDescent="0.2">
      <c r="A94" s="286" t="s">
        <v>506</v>
      </c>
      <c r="B94" s="283">
        <v>23480703</v>
      </c>
      <c r="C94" s="374">
        <v>21646138.140000001</v>
      </c>
      <c r="D94" s="363"/>
    </row>
    <row r="95" spans="1:6" x14ac:dyDescent="0.2">
      <c r="A95" s="286" t="s">
        <v>507</v>
      </c>
      <c r="B95" s="283">
        <v>12743164</v>
      </c>
      <c r="C95" s="374">
        <v>13318181.91</v>
      </c>
      <c r="D95" s="363"/>
    </row>
    <row r="96" spans="1:6" x14ac:dyDescent="0.2">
      <c r="A96" s="286" t="s">
        <v>508</v>
      </c>
      <c r="B96" s="283">
        <v>1411507</v>
      </c>
      <c r="C96" s="374">
        <v>873655.2</v>
      </c>
      <c r="D96" s="363"/>
    </row>
    <row r="97" spans="1:4" x14ac:dyDescent="0.2">
      <c r="A97" s="286" t="s">
        <v>509</v>
      </c>
      <c r="B97" s="283">
        <v>5939971</v>
      </c>
      <c r="C97" s="374">
        <v>3820080.33</v>
      </c>
      <c r="D97" s="363"/>
    </row>
    <row r="98" spans="1:4" x14ac:dyDescent="0.2">
      <c r="A98" s="286" t="s">
        <v>510</v>
      </c>
      <c r="B98" s="283">
        <v>3141282</v>
      </c>
      <c r="C98" s="374">
        <v>2272221.27</v>
      </c>
      <c r="D98" s="363"/>
    </row>
    <row r="99" spans="1:4" x14ac:dyDescent="0.2">
      <c r="A99" s="286" t="s">
        <v>511</v>
      </c>
      <c r="B99" s="283">
        <v>7838527</v>
      </c>
      <c r="C99" s="374">
        <v>5815211.4900000002</v>
      </c>
      <c r="D99" s="363"/>
    </row>
    <row r="100" spans="1:4" x14ac:dyDescent="0.2">
      <c r="A100" s="286" t="s">
        <v>512</v>
      </c>
      <c r="B100" s="283">
        <v>13271</v>
      </c>
      <c r="C100" s="374">
        <v>0</v>
      </c>
      <c r="D100" s="363"/>
    </row>
    <row r="101" spans="1:4" x14ac:dyDescent="0.2">
      <c r="A101" s="286" t="s">
        <v>513</v>
      </c>
      <c r="B101" s="283">
        <v>68312129</v>
      </c>
      <c r="C101" s="374">
        <v>46383540.390000001</v>
      </c>
      <c r="D101" s="363"/>
    </row>
    <row r="102" spans="1:4" x14ac:dyDescent="0.2">
      <c r="A102" s="286" t="s">
        <v>514</v>
      </c>
      <c r="B102" s="283">
        <v>9787869</v>
      </c>
      <c r="C102" s="374">
        <v>10610090.369999999</v>
      </c>
      <c r="D102" s="363"/>
    </row>
    <row r="103" spans="1:4" x14ac:dyDescent="0.2">
      <c r="A103" s="286" t="s">
        <v>515</v>
      </c>
      <c r="B103" s="283">
        <v>1751820</v>
      </c>
      <c r="C103" s="374">
        <v>1025810.28</v>
      </c>
      <c r="D103" s="363"/>
    </row>
    <row r="104" spans="1:4" x14ac:dyDescent="0.2">
      <c r="A104" s="286" t="s">
        <v>516</v>
      </c>
      <c r="B104" s="283">
        <v>773160</v>
      </c>
      <c r="C104" s="374">
        <v>1155053.79</v>
      </c>
      <c r="D104" s="363"/>
    </row>
    <row r="105" spans="1:4" x14ac:dyDescent="0.2">
      <c r="A105" s="286" t="s">
        <v>517</v>
      </c>
      <c r="B105" s="283">
        <v>52428326</v>
      </c>
      <c r="C105" s="374">
        <v>51065935.469999999</v>
      </c>
      <c r="D105" s="363"/>
    </row>
    <row r="106" spans="1:4" x14ac:dyDescent="0.2">
      <c r="A106" s="368" t="s">
        <v>614</v>
      </c>
      <c r="B106" s="283"/>
      <c r="C106" s="374">
        <v>4014548.01</v>
      </c>
      <c r="D106" s="363"/>
    </row>
    <row r="107" spans="1:4" x14ac:dyDescent="0.2">
      <c r="A107" s="286" t="s">
        <v>518</v>
      </c>
      <c r="B107" s="283">
        <v>2233745</v>
      </c>
      <c r="C107" s="374">
        <v>2826332.19</v>
      </c>
      <c r="D107" s="363"/>
    </row>
    <row r="108" spans="1:4" x14ac:dyDescent="0.2">
      <c r="A108" s="286" t="s">
        <v>519</v>
      </c>
      <c r="B108" s="283">
        <v>8397939</v>
      </c>
      <c r="C108" s="374">
        <v>24285050.460000001</v>
      </c>
      <c r="D108" s="363"/>
    </row>
    <row r="109" spans="1:4" x14ac:dyDescent="0.2">
      <c r="A109" s="286" t="s">
        <v>520</v>
      </c>
      <c r="B109" s="283">
        <v>867508421</v>
      </c>
      <c r="C109" s="374">
        <f>890509110.48-2327705.82</f>
        <v>888181404.65999997</v>
      </c>
      <c r="D109" s="363"/>
    </row>
    <row r="110" spans="1:4" x14ac:dyDescent="0.2">
      <c r="A110" s="286" t="s">
        <v>521</v>
      </c>
      <c r="B110" s="283">
        <v>14973639</v>
      </c>
      <c r="C110" s="374">
        <v>0</v>
      </c>
      <c r="D110" s="363"/>
    </row>
    <row r="111" spans="1:4" x14ac:dyDescent="0.2">
      <c r="A111" s="373" t="s">
        <v>522</v>
      </c>
      <c r="B111" s="283"/>
      <c r="C111" s="374">
        <v>35640</v>
      </c>
      <c r="D111" s="363"/>
    </row>
    <row r="112" spans="1:4" x14ac:dyDescent="0.2">
      <c r="A112" s="373" t="s">
        <v>523</v>
      </c>
      <c r="B112" s="283"/>
      <c r="C112" s="374">
        <v>25793.46</v>
      </c>
      <c r="D112" s="363"/>
    </row>
    <row r="113" spans="1:4" x14ac:dyDescent="0.2">
      <c r="A113" s="286" t="s">
        <v>524</v>
      </c>
      <c r="B113" s="283">
        <v>13087634</v>
      </c>
      <c r="C113" s="374">
        <v>8910000</v>
      </c>
      <c r="D113" s="363"/>
    </row>
    <row r="114" spans="1:4" x14ac:dyDescent="0.2">
      <c r="A114" s="286" t="s">
        <v>525</v>
      </c>
      <c r="B114" s="283">
        <v>794130</v>
      </c>
      <c r="C114" s="374">
        <v>646037.37</v>
      </c>
      <c r="D114" s="363"/>
    </row>
    <row r="115" spans="1:4" x14ac:dyDescent="0.2">
      <c r="A115" s="286" t="s">
        <v>526</v>
      </c>
      <c r="B115" s="283">
        <v>10253429</v>
      </c>
      <c r="C115" s="374">
        <v>13144076.550000001</v>
      </c>
      <c r="D115" s="363"/>
    </row>
    <row r="116" spans="1:4" x14ac:dyDescent="0.2">
      <c r="A116" s="286" t="s">
        <v>527</v>
      </c>
      <c r="B116" s="283">
        <v>6232888</v>
      </c>
      <c r="C116" s="374">
        <v>8154454.7699999996</v>
      </c>
      <c r="D116" s="363"/>
    </row>
    <row r="117" spans="1:4" x14ac:dyDescent="0.2">
      <c r="A117" s="286" t="s">
        <v>528</v>
      </c>
      <c r="B117" s="283">
        <v>7355163</v>
      </c>
      <c r="C117" s="374">
        <v>7488002.6100000003</v>
      </c>
      <c r="D117" s="363"/>
    </row>
    <row r="118" spans="1:4" x14ac:dyDescent="0.2">
      <c r="A118" s="373" t="s">
        <v>542</v>
      </c>
      <c r="B118" s="283"/>
      <c r="C118" s="374">
        <v>175509.18</v>
      </c>
      <c r="D118" s="363"/>
    </row>
    <row r="119" spans="1:4" x14ac:dyDescent="0.2">
      <c r="A119" s="373" t="s">
        <v>529</v>
      </c>
      <c r="B119" s="283"/>
      <c r="C119" s="374">
        <v>1451677.59</v>
      </c>
      <c r="D119" s="363"/>
    </row>
    <row r="120" spans="1:4" x14ac:dyDescent="0.2">
      <c r="A120" s="286" t="s">
        <v>530</v>
      </c>
      <c r="B120" s="283">
        <v>6795780</v>
      </c>
      <c r="C120" s="374">
        <v>8546994.7200000007</v>
      </c>
      <c r="D120" s="363"/>
    </row>
    <row r="121" spans="1:4" x14ac:dyDescent="0.2">
      <c r="A121" s="288" t="s">
        <v>531</v>
      </c>
      <c r="B121" s="283">
        <v>143263</v>
      </c>
      <c r="C121" s="374">
        <v>335735.73</v>
      </c>
      <c r="D121" s="363"/>
    </row>
    <row r="122" spans="1:4" x14ac:dyDescent="0.2">
      <c r="A122" s="286" t="s">
        <v>532</v>
      </c>
      <c r="B122" s="283">
        <v>20117641</v>
      </c>
      <c r="C122" s="374">
        <v>12174619.050000001</v>
      </c>
      <c r="D122" s="363"/>
    </row>
    <row r="123" spans="1:4" x14ac:dyDescent="0.2">
      <c r="A123" s="286" t="s">
        <v>533</v>
      </c>
      <c r="B123" s="283">
        <v>868073</v>
      </c>
      <c r="C123" s="374">
        <v>1111810.5900000001</v>
      </c>
      <c r="D123" s="363"/>
    </row>
    <row r="124" spans="1:4" x14ac:dyDescent="0.2">
      <c r="A124" s="286" t="s">
        <v>534</v>
      </c>
      <c r="B124" s="283">
        <v>88899</v>
      </c>
      <c r="C124" s="374">
        <v>76408.2</v>
      </c>
      <c r="D124" s="363"/>
    </row>
    <row r="125" spans="1:4" x14ac:dyDescent="0.2">
      <c r="A125" s="286" t="s">
        <v>535</v>
      </c>
      <c r="B125" s="283">
        <v>10260950</v>
      </c>
      <c r="C125" s="374">
        <v>14059104.84</v>
      </c>
      <c r="D125" s="363"/>
    </row>
    <row r="126" spans="1:4" x14ac:dyDescent="0.2">
      <c r="A126" s="286" t="s">
        <v>536</v>
      </c>
      <c r="B126" s="283">
        <v>104301188</v>
      </c>
      <c r="C126" s="374">
        <v>87662389.319999993</v>
      </c>
      <c r="D126" s="363"/>
    </row>
    <row r="127" spans="1:4" s="124" customFormat="1" x14ac:dyDescent="0.2">
      <c r="A127" s="286" t="s">
        <v>537</v>
      </c>
      <c r="B127" s="283">
        <v>28767588</v>
      </c>
      <c r="C127" s="374">
        <v>23525408.609999999</v>
      </c>
      <c r="D127" s="348"/>
    </row>
    <row r="128" spans="1:4" s="124" customFormat="1" x14ac:dyDescent="0.2">
      <c r="A128" s="286" t="s">
        <v>538</v>
      </c>
      <c r="B128" s="283">
        <v>293225</v>
      </c>
      <c r="C128" s="374">
        <v>11230151.130000001</v>
      </c>
      <c r="D128" s="348"/>
    </row>
    <row r="129" spans="1:6" s="124" customFormat="1" ht="13.5" thickBot="1" x14ac:dyDescent="0.25">
      <c r="A129" s="379" t="s">
        <v>539</v>
      </c>
      <c r="B129" s="375">
        <v>0</v>
      </c>
      <c r="C129" s="380">
        <v>2327705.8199999998</v>
      </c>
      <c r="D129" s="376"/>
    </row>
    <row r="130" spans="1:6" s="126" customFormat="1" ht="22.5" customHeight="1" thickBot="1" x14ac:dyDescent="0.25">
      <c r="A130" s="237" t="s">
        <v>324</v>
      </c>
      <c r="B130" s="370">
        <f>SUM(B90:B128)</f>
        <v>1464019950</v>
      </c>
      <c r="C130" s="370">
        <f>SUM(C90:C129)</f>
        <v>1441620185.9399996</v>
      </c>
      <c r="D130" s="381">
        <f>SUM(D90:D128)</f>
        <v>0</v>
      </c>
      <c r="F130" s="355" t="s">
        <v>83</v>
      </c>
    </row>
    <row r="131" spans="1:6" x14ac:dyDescent="0.2">
      <c r="A131" s="232" t="s">
        <v>395</v>
      </c>
    </row>
    <row r="132" spans="1:6" x14ac:dyDescent="0.2">
      <c r="A132" s="232" t="s">
        <v>396</v>
      </c>
    </row>
  </sheetData>
  <pageMargins left="0.46875" right="0.51181102362204722" top="0.74803149606299213" bottom="0.74803149606299213" header="0.31496062992125984" footer="0.31496062992125984"/>
  <pageSetup paperSize="9" scale="83" orientation="landscape" r:id="rId1"/>
  <headerFooter>
    <oddHeader>&amp;C&amp;"Arial,Negrita"&amp;18PROYECTO DE PRESUPUESTO 2021</oddHeader>
    <oddFooter>&amp;L&amp;"Arial,Negrita"&amp;8PROYECTO DE PRESUPUESTO PARA EL AÑO FISCAL 2021
INFORMACIÓN PARA LA COMISIÓN DE PRESUPUESTO Y CUENTA GENERAL DE LA REPÚBLICA DEL CONGRESO DE LA REPÚBLICA</oddFooter>
  </headerFooter>
  <rowBreaks count="2" manualBreakCount="2">
    <brk id="44" max="16383" man="1"/>
    <brk id="87"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tabColor theme="9" tint="-0.249977111117893"/>
  </sheetPr>
  <dimension ref="A1:N51"/>
  <sheetViews>
    <sheetView zoomScaleNormal="100" zoomScaleSheetLayoutView="70" zoomScalePageLayoutView="110" workbookViewId="0">
      <selection activeCell="H17" sqref="H17:H36"/>
    </sheetView>
  </sheetViews>
  <sheetFormatPr baseColWidth="10" defaultRowHeight="11.25" x14ac:dyDescent="0.2"/>
  <cols>
    <col min="1" max="1" width="30.7109375" style="97" customWidth="1"/>
    <col min="2" max="2" width="9.5703125" style="97" customWidth="1"/>
    <col min="3" max="3" width="10.5703125" style="97" customWidth="1"/>
    <col min="4" max="4" width="11.42578125" style="127" customWidth="1"/>
    <col min="5" max="5" width="10.28515625" style="127" customWidth="1"/>
    <col min="6" max="6" width="10" style="97" customWidth="1"/>
    <col min="7" max="8" width="10.7109375" style="97" customWidth="1"/>
    <col min="9" max="14" width="8.7109375" style="97" customWidth="1"/>
    <col min="15" max="16384" width="11.42578125" style="97"/>
  </cols>
  <sheetData>
    <row r="1" spans="1:14" s="93" customFormat="1" ht="14.25" customHeight="1" x14ac:dyDescent="0.2">
      <c r="A1" s="185" t="s">
        <v>400</v>
      </c>
      <c r="B1" s="186"/>
      <c r="C1" s="186"/>
      <c r="D1" s="186"/>
      <c r="E1" s="186"/>
      <c r="F1" s="186"/>
      <c r="G1" s="186"/>
      <c r="H1" s="186"/>
      <c r="I1" s="186"/>
      <c r="J1" s="186"/>
      <c r="K1" s="186"/>
      <c r="L1" s="186"/>
      <c r="M1" s="186"/>
      <c r="N1" s="186"/>
    </row>
    <row r="2" spans="1:14" s="96" customFormat="1" ht="12" thickBot="1" x14ac:dyDescent="0.25">
      <c r="A2" s="91" t="s">
        <v>12005</v>
      </c>
      <c r="B2" s="91"/>
      <c r="C2" s="91"/>
      <c r="D2" s="91"/>
      <c r="E2" s="91"/>
      <c r="F2" s="91"/>
      <c r="G2" s="91"/>
      <c r="H2" s="91"/>
      <c r="I2" s="91"/>
      <c r="J2" s="91"/>
      <c r="K2" s="91"/>
      <c r="L2" s="91"/>
      <c r="M2" s="91"/>
      <c r="N2" s="91"/>
    </row>
    <row r="3" spans="1:14" s="98" customFormat="1" ht="36.75" customHeight="1" thickBot="1" x14ac:dyDescent="0.25">
      <c r="A3" s="1257" t="s">
        <v>187</v>
      </c>
      <c r="B3" s="1255" t="s">
        <v>220</v>
      </c>
      <c r="C3" s="1256"/>
      <c r="D3" s="1256"/>
      <c r="E3" s="1256"/>
      <c r="F3" s="1252" t="s">
        <v>221</v>
      </c>
      <c r="G3" s="1253"/>
      <c r="H3" s="1254"/>
      <c r="I3" s="1252" t="s">
        <v>219</v>
      </c>
      <c r="J3" s="1253"/>
      <c r="K3" s="1253"/>
      <c r="L3" s="1253"/>
      <c r="M3" s="1253"/>
      <c r="N3" s="1254"/>
    </row>
    <row r="4" spans="1:14" s="112" customFormat="1" ht="84.95" customHeight="1" thickBot="1" x14ac:dyDescent="0.25">
      <c r="A4" s="1258"/>
      <c r="B4" s="187">
        <v>2019</v>
      </c>
      <c r="C4" s="188">
        <v>2020</v>
      </c>
      <c r="D4" s="188" t="s">
        <v>401</v>
      </c>
      <c r="E4" s="190" t="s">
        <v>402</v>
      </c>
      <c r="F4" s="187">
        <v>2019</v>
      </c>
      <c r="G4" s="188">
        <v>2020</v>
      </c>
      <c r="H4" s="188" t="s">
        <v>401</v>
      </c>
      <c r="I4" s="187">
        <v>2019</v>
      </c>
      <c r="J4" s="188" t="s">
        <v>393</v>
      </c>
      <c r="K4" s="188" t="s">
        <v>401</v>
      </c>
      <c r="L4" s="189" t="s">
        <v>403</v>
      </c>
      <c r="M4" s="189" t="s">
        <v>402</v>
      </c>
      <c r="N4" s="190" t="s">
        <v>404</v>
      </c>
    </row>
    <row r="5" spans="1:14" x14ac:dyDescent="0.2">
      <c r="A5" s="191"/>
      <c r="B5" s="192"/>
      <c r="C5" s="1080"/>
      <c r="D5" s="1080"/>
      <c r="E5" s="1118"/>
      <c r="F5" s="192"/>
      <c r="G5" s="1080"/>
      <c r="H5" s="1073"/>
      <c r="I5" s="1123"/>
      <c r="J5" s="1132"/>
      <c r="K5" s="1134"/>
      <c r="L5" s="1123"/>
      <c r="M5" s="1080"/>
      <c r="N5" s="1073"/>
    </row>
    <row r="6" spans="1:14" ht="22.5" x14ac:dyDescent="0.2">
      <c r="A6" s="193" t="s">
        <v>218</v>
      </c>
      <c r="B6" s="1057"/>
      <c r="C6" s="1062"/>
      <c r="D6" s="194"/>
      <c r="E6" s="1072"/>
      <c r="F6" s="1057"/>
      <c r="G6" s="194"/>
      <c r="H6" s="195"/>
      <c r="I6" s="1057"/>
      <c r="J6" s="1062"/>
      <c r="K6" s="1131"/>
      <c r="L6" s="1057"/>
      <c r="M6" s="1062"/>
      <c r="N6" s="1131"/>
    </row>
    <row r="7" spans="1:14" x14ac:dyDescent="0.2">
      <c r="A7" s="196" t="s">
        <v>188</v>
      </c>
      <c r="B7" s="1056"/>
      <c r="C7" s="1063"/>
      <c r="D7" s="1063"/>
      <c r="E7" s="1063"/>
      <c r="F7" s="1056"/>
      <c r="G7" s="198"/>
      <c r="H7" s="199"/>
      <c r="I7" s="1056"/>
      <c r="J7" s="1063"/>
      <c r="K7" s="1067"/>
      <c r="L7" s="1056"/>
      <c r="M7" s="1063"/>
      <c r="N7" s="1067"/>
    </row>
    <row r="8" spans="1:14" s="98" customFormat="1" x14ac:dyDescent="0.2">
      <c r="A8" s="200"/>
      <c r="B8" s="1056"/>
      <c r="C8" s="1063"/>
      <c r="D8" s="1063"/>
      <c r="E8" s="1063"/>
      <c r="F8" s="1056"/>
      <c r="G8" s="1063"/>
      <c r="H8" s="1067"/>
      <c r="I8" s="1056"/>
      <c r="J8" s="1063"/>
      <c r="K8" s="1067"/>
      <c r="L8" s="1056"/>
      <c r="M8" s="1063"/>
      <c r="N8" s="1067"/>
    </row>
    <row r="9" spans="1:14" x14ac:dyDescent="0.2">
      <c r="A9" s="193" t="s">
        <v>193</v>
      </c>
      <c r="B9" s="1055">
        <v>62159073</v>
      </c>
      <c r="C9" s="1064">
        <v>68465740</v>
      </c>
      <c r="D9" s="1064">
        <v>-6306667</v>
      </c>
      <c r="E9" s="1064">
        <v>75312314</v>
      </c>
      <c r="F9" s="1055">
        <v>77823217</v>
      </c>
      <c r="G9" s="1064">
        <v>78072312</v>
      </c>
      <c r="H9" s="1069">
        <v>-249095</v>
      </c>
      <c r="I9" s="1055">
        <v>636505</v>
      </c>
      <c r="J9" s="1064">
        <v>679084.2</v>
      </c>
      <c r="K9" s="1069">
        <v>-42579.200000000012</v>
      </c>
      <c r="L9" s="1055">
        <v>953208.3</v>
      </c>
      <c r="M9" s="1064">
        <v>1125860.01</v>
      </c>
      <c r="N9" s="1069">
        <v>-172651.71000000002</v>
      </c>
    </row>
    <row r="10" spans="1:14" x14ac:dyDescent="0.2">
      <c r="A10" s="201" t="s">
        <v>189</v>
      </c>
      <c r="B10" s="1059">
        <v>8992020</v>
      </c>
      <c r="C10" s="1065">
        <v>10378812</v>
      </c>
      <c r="D10" s="1065">
        <v>-1386792</v>
      </c>
      <c r="E10" s="1065">
        <v>11416693.199999999</v>
      </c>
      <c r="F10" s="1059">
        <v>10223807</v>
      </c>
      <c r="G10" s="1065">
        <v>13276845</v>
      </c>
      <c r="H10" s="1068">
        <v>-3053038</v>
      </c>
      <c r="I10" s="1059">
        <v>167833</v>
      </c>
      <c r="J10" s="1065">
        <v>163545</v>
      </c>
      <c r="K10" s="1068">
        <v>4288</v>
      </c>
      <c r="L10" s="1059">
        <v>179899.5</v>
      </c>
      <c r="M10" s="1065">
        <v>197889.45</v>
      </c>
      <c r="N10" s="1068">
        <v>-17989.950000000012</v>
      </c>
    </row>
    <row r="11" spans="1:14" x14ac:dyDescent="0.2">
      <c r="A11" s="201" t="s">
        <v>190</v>
      </c>
      <c r="B11" s="1059">
        <v>53167053</v>
      </c>
      <c r="C11" s="1065">
        <v>58086928</v>
      </c>
      <c r="D11" s="1065">
        <v>-4919875</v>
      </c>
      <c r="E11" s="1065">
        <v>63895620.799999997</v>
      </c>
      <c r="F11" s="1059">
        <v>67599410</v>
      </c>
      <c r="G11" s="1065">
        <v>64795467</v>
      </c>
      <c r="H11" s="1068">
        <v>2803943</v>
      </c>
      <c r="I11" s="1125">
        <v>468672</v>
      </c>
      <c r="J11" s="1065">
        <v>515539.20000000001</v>
      </c>
      <c r="K11" s="1124">
        <v>-46867.200000000012</v>
      </c>
      <c r="L11" s="1059">
        <v>773308.8</v>
      </c>
      <c r="M11" s="1065">
        <v>927970.56</v>
      </c>
      <c r="N11" s="1068">
        <v>-154661.76000000001</v>
      </c>
    </row>
    <row r="12" spans="1:14" x14ac:dyDescent="0.2">
      <c r="A12" s="201" t="s">
        <v>191</v>
      </c>
      <c r="B12" s="1059"/>
      <c r="C12" s="1065"/>
      <c r="D12" s="1065"/>
      <c r="E12" s="1065"/>
      <c r="F12" s="1059"/>
      <c r="G12" s="1065"/>
      <c r="H12" s="1068"/>
      <c r="I12" s="1059"/>
      <c r="J12" s="1065"/>
      <c r="K12" s="1068"/>
      <c r="L12" s="1059"/>
      <c r="M12" s="1065"/>
      <c r="N12" s="1068"/>
    </row>
    <row r="13" spans="1:14" x14ac:dyDescent="0.2">
      <c r="A13" s="201" t="s">
        <v>192</v>
      </c>
      <c r="B13" s="1059"/>
      <c r="C13" s="1065"/>
      <c r="D13" s="1065"/>
      <c r="E13" s="1065"/>
      <c r="F13" s="1059"/>
      <c r="G13" s="1065"/>
      <c r="H13" s="1068"/>
      <c r="I13" s="1059"/>
      <c r="J13" s="1065"/>
      <c r="K13" s="1068"/>
      <c r="L13" s="1059"/>
      <c r="M13" s="1065"/>
      <c r="N13" s="1068"/>
    </row>
    <row r="14" spans="1:14" x14ac:dyDescent="0.2">
      <c r="A14" s="201"/>
      <c r="B14" s="1055"/>
      <c r="C14" s="1064"/>
      <c r="D14" s="1064"/>
      <c r="E14" s="1064"/>
      <c r="F14" s="1055"/>
      <c r="G14" s="1064"/>
      <c r="H14" s="1069"/>
      <c r="I14" s="1055"/>
      <c r="J14" s="1064"/>
      <c r="K14" s="1069"/>
      <c r="L14" s="1055"/>
      <c r="M14" s="1064"/>
      <c r="N14" s="1069"/>
    </row>
    <row r="15" spans="1:14" x14ac:dyDescent="0.2">
      <c r="A15" s="193" t="s">
        <v>212</v>
      </c>
      <c r="B15" s="1055">
        <v>58002084</v>
      </c>
      <c r="C15" s="1064">
        <v>64568916</v>
      </c>
      <c r="D15" s="1064">
        <v>-6566832</v>
      </c>
      <c r="E15" s="1064">
        <v>71025807.599999994</v>
      </c>
      <c r="F15" s="1055">
        <v>80295996</v>
      </c>
      <c r="G15" s="1064">
        <v>72890530</v>
      </c>
      <c r="H15" s="1069">
        <v>7405466</v>
      </c>
      <c r="I15" s="1055">
        <v>696294</v>
      </c>
      <c r="J15" s="1064">
        <v>765923.4</v>
      </c>
      <c r="K15" s="1069">
        <v>-69629.400000000023</v>
      </c>
      <c r="L15" s="1055">
        <v>842515.74</v>
      </c>
      <c r="M15" s="1064">
        <v>1011018.888</v>
      </c>
      <c r="N15" s="1069">
        <v>-168503.14800000004</v>
      </c>
    </row>
    <row r="16" spans="1:14" x14ac:dyDescent="0.2">
      <c r="A16" s="201" t="s">
        <v>194</v>
      </c>
      <c r="B16" s="1059">
        <v>58002084</v>
      </c>
      <c r="C16" s="1065">
        <v>64568916</v>
      </c>
      <c r="D16" s="1065">
        <v>-6566832</v>
      </c>
      <c r="E16" s="1065">
        <v>71025807.599999994</v>
      </c>
      <c r="F16" s="1059">
        <v>80295996</v>
      </c>
      <c r="G16" s="1065">
        <v>72890530</v>
      </c>
      <c r="H16" s="1068">
        <v>7405466</v>
      </c>
      <c r="I16" s="1059">
        <v>696294</v>
      </c>
      <c r="J16" s="1065">
        <v>765923.4</v>
      </c>
      <c r="K16" s="1068">
        <v>-69629.400000000023</v>
      </c>
      <c r="L16" s="1059">
        <v>842515.74</v>
      </c>
      <c r="M16" s="1065">
        <v>1011018.888</v>
      </c>
      <c r="N16" s="1068">
        <v>-168503.14800000004</v>
      </c>
    </row>
    <row r="17" spans="1:14" x14ac:dyDescent="0.2">
      <c r="A17" s="201" t="s">
        <v>195</v>
      </c>
      <c r="B17" s="1058"/>
      <c r="C17" s="1066"/>
      <c r="D17" s="1066"/>
      <c r="E17" s="1066"/>
      <c r="F17" s="1058"/>
      <c r="G17" s="1066"/>
      <c r="H17" s="1070"/>
      <c r="I17" s="1058"/>
      <c r="J17" s="1066"/>
      <c r="K17" s="1070"/>
      <c r="L17" s="1058"/>
      <c r="M17" s="1065"/>
      <c r="N17" s="1068"/>
    </row>
    <row r="18" spans="1:14" x14ac:dyDescent="0.2">
      <c r="A18" s="201" t="s">
        <v>196</v>
      </c>
      <c r="B18" s="1058"/>
      <c r="C18" s="1066"/>
      <c r="D18" s="1066"/>
      <c r="E18" s="1066"/>
      <c r="F18" s="1058"/>
      <c r="G18" s="1066"/>
      <c r="H18" s="1070"/>
      <c r="I18" s="1058"/>
      <c r="J18" s="1066"/>
      <c r="K18" s="1070"/>
      <c r="L18" s="1058"/>
      <c r="M18" s="1065"/>
      <c r="N18" s="1068"/>
    </row>
    <row r="19" spans="1:14" x14ac:dyDescent="0.2">
      <c r="A19" s="201" t="s">
        <v>197</v>
      </c>
      <c r="B19" s="1058"/>
      <c r="C19" s="1066"/>
      <c r="D19" s="1066"/>
      <c r="E19" s="1066"/>
      <c r="F19" s="1058"/>
      <c r="G19" s="1066"/>
      <c r="H19" s="1070"/>
      <c r="I19" s="1058"/>
      <c r="J19" s="1066"/>
      <c r="K19" s="1070"/>
      <c r="L19" s="1058"/>
      <c r="M19" s="1065"/>
      <c r="N19" s="1068"/>
    </row>
    <row r="20" spans="1:14" ht="22.5" x14ac:dyDescent="0.2">
      <c r="A20" s="201" t="s">
        <v>198</v>
      </c>
      <c r="B20" s="1058"/>
      <c r="C20" s="1066"/>
      <c r="D20" s="1066"/>
      <c r="E20" s="1070"/>
      <c r="F20" s="1058"/>
      <c r="G20" s="1066"/>
      <c r="H20" s="1070"/>
      <c r="I20" s="1058"/>
      <c r="J20" s="1066"/>
      <c r="K20" s="1070"/>
      <c r="L20" s="1058"/>
      <c r="M20" s="1065"/>
      <c r="N20" s="1068"/>
    </row>
    <row r="21" spans="1:14" x14ac:dyDescent="0.2">
      <c r="A21" s="202"/>
      <c r="B21" s="1058"/>
      <c r="C21" s="1066"/>
      <c r="D21" s="1066"/>
      <c r="E21" s="1070"/>
      <c r="F21" s="1058"/>
      <c r="G21" s="1066"/>
      <c r="H21" s="1070"/>
      <c r="I21" s="1058"/>
      <c r="J21" s="1066"/>
      <c r="K21" s="1070"/>
      <c r="L21" s="1058"/>
      <c r="M21" s="1065"/>
      <c r="N21" s="1068"/>
    </row>
    <row r="22" spans="1:14" x14ac:dyDescent="0.2">
      <c r="A22" s="203" t="s">
        <v>213</v>
      </c>
      <c r="B22" s="1117">
        <f>+B23</f>
        <v>113356754</v>
      </c>
      <c r="C22" s="1130">
        <f t="shared" ref="C22:H22" si="0">+C23</f>
        <v>118408599</v>
      </c>
      <c r="D22" s="1130">
        <f t="shared" si="0"/>
        <v>-5051845</v>
      </c>
      <c r="E22" s="1135">
        <f t="shared" si="0"/>
        <v>103739005</v>
      </c>
      <c r="F22" s="1117">
        <f t="shared" si="0"/>
        <v>131026978</v>
      </c>
      <c r="G22" s="1130">
        <f t="shared" si="0"/>
        <v>138637673</v>
      </c>
      <c r="H22" s="1135">
        <f t="shared" si="0"/>
        <v>-7610695</v>
      </c>
      <c r="I22" s="1117">
        <f>+I23</f>
        <v>3958</v>
      </c>
      <c r="J22" s="1130">
        <f t="shared" ref="J22:N22" si="1">+J23</f>
        <v>4108</v>
      </c>
      <c r="K22" s="1135">
        <f t="shared" si="1"/>
        <v>-150</v>
      </c>
      <c r="L22" s="1117">
        <f t="shared" si="1"/>
        <v>4300</v>
      </c>
      <c r="M22" s="1130">
        <f t="shared" si="1"/>
        <v>4201</v>
      </c>
      <c r="N22" s="1135">
        <f t="shared" si="1"/>
        <v>99</v>
      </c>
    </row>
    <row r="23" spans="1:14" x14ac:dyDescent="0.2">
      <c r="A23" s="201" t="s">
        <v>199</v>
      </c>
      <c r="B23" s="1056">
        <v>113356754</v>
      </c>
      <c r="C23" s="1063">
        <v>118408599</v>
      </c>
      <c r="D23" s="1063">
        <f>B23-C23</f>
        <v>-5051845</v>
      </c>
      <c r="E23" s="1067">
        <v>103739005</v>
      </c>
      <c r="F23" s="1056">
        <v>131026978</v>
      </c>
      <c r="G23" s="1063">
        <v>138637673</v>
      </c>
      <c r="H23" s="1067">
        <f>F23-G23</f>
        <v>-7610695</v>
      </c>
      <c r="I23" s="1056">
        <v>3958</v>
      </c>
      <c r="J23" s="1063">
        <v>4108</v>
      </c>
      <c r="K23" s="1067">
        <v>-150</v>
      </c>
      <c r="L23" s="1056">
        <v>4300</v>
      </c>
      <c r="M23" s="1063">
        <v>4201</v>
      </c>
      <c r="N23" s="1067">
        <v>99</v>
      </c>
    </row>
    <row r="24" spans="1:14" x14ac:dyDescent="0.2">
      <c r="A24" s="201" t="s">
        <v>200</v>
      </c>
      <c r="B24" s="1056"/>
      <c r="C24" s="1063"/>
      <c r="D24" s="1063"/>
      <c r="E24" s="1067"/>
      <c r="F24" s="1056"/>
      <c r="G24" s="1063"/>
      <c r="H24" s="1067"/>
      <c r="I24" s="1056"/>
      <c r="J24" s="1063"/>
      <c r="K24" s="1067"/>
      <c r="L24" s="1056"/>
      <c r="M24" s="1063"/>
      <c r="N24" s="1067"/>
    </row>
    <row r="25" spans="1:14" x14ac:dyDescent="0.2">
      <c r="A25" s="201" t="s">
        <v>201</v>
      </c>
      <c r="B25" s="1056"/>
      <c r="C25" s="1063"/>
      <c r="D25" s="1063"/>
      <c r="E25" s="1067"/>
      <c r="F25" s="1056"/>
      <c r="G25" s="1063"/>
      <c r="H25" s="1067"/>
      <c r="I25" s="1056"/>
      <c r="J25" s="1063"/>
      <c r="K25" s="1067"/>
      <c r="L25" s="1056"/>
      <c r="M25" s="1063"/>
      <c r="N25" s="1067"/>
    </row>
    <row r="26" spans="1:14" x14ac:dyDescent="0.2">
      <c r="A26" s="201"/>
      <c r="B26" s="1056"/>
      <c r="C26" s="1063"/>
      <c r="D26" s="1063"/>
      <c r="E26" s="1067"/>
      <c r="F26" s="1056"/>
      <c r="G26" s="1063"/>
      <c r="H26" s="1067"/>
      <c r="I26" s="1056"/>
      <c r="J26" s="1063"/>
      <c r="K26" s="1067"/>
      <c r="L26" s="1056"/>
      <c r="M26" s="1063"/>
      <c r="N26" s="1067"/>
    </row>
    <row r="27" spans="1:14" x14ac:dyDescent="0.2">
      <c r="A27" s="203" t="s">
        <v>214</v>
      </c>
      <c r="B27" s="1057">
        <f>+B28</f>
        <v>307256673</v>
      </c>
      <c r="C27" s="1062">
        <f>+C28</f>
        <v>326001436</v>
      </c>
      <c r="D27" s="1062">
        <f t="shared" ref="D27:H27" si="2">+D28</f>
        <v>-18744763</v>
      </c>
      <c r="E27" s="1131">
        <f t="shared" si="2"/>
        <v>293464093</v>
      </c>
      <c r="F27" s="1057">
        <f t="shared" si="2"/>
        <v>339665212</v>
      </c>
      <c r="G27" s="1062">
        <f t="shared" si="2"/>
        <v>367784477</v>
      </c>
      <c r="H27" s="1131">
        <f t="shared" si="2"/>
        <v>-28119265</v>
      </c>
      <c r="I27" s="1057">
        <f>+I28</f>
        <v>45016</v>
      </c>
      <c r="J27" s="1062">
        <f t="shared" ref="J27:N27" si="3">+J28</f>
        <v>44965</v>
      </c>
      <c r="K27" s="1131">
        <f t="shared" si="3"/>
        <v>51</v>
      </c>
      <c r="L27" s="1057">
        <f t="shared" si="3"/>
        <v>44800</v>
      </c>
      <c r="M27" s="1062">
        <f t="shared" si="3"/>
        <v>44638</v>
      </c>
      <c r="N27" s="1131">
        <f t="shared" si="3"/>
        <v>162</v>
      </c>
    </row>
    <row r="28" spans="1:14" x14ac:dyDescent="0.2">
      <c r="A28" s="201" t="s">
        <v>202</v>
      </c>
      <c r="B28" s="1056">
        <v>307256673</v>
      </c>
      <c r="C28" s="1063">
        <v>326001436</v>
      </c>
      <c r="D28" s="1063">
        <f>B28-C28</f>
        <v>-18744763</v>
      </c>
      <c r="E28" s="1067">
        <v>293464093</v>
      </c>
      <c r="F28" s="1056">
        <v>339665212</v>
      </c>
      <c r="G28" s="1063">
        <v>367784477</v>
      </c>
      <c r="H28" s="1067">
        <f>F28-G28</f>
        <v>-28119265</v>
      </c>
      <c r="I28" s="1056">
        <v>45016</v>
      </c>
      <c r="J28" s="1063">
        <v>44965</v>
      </c>
      <c r="K28" s="1067">
        <v>51</v>
      </c>
      <c r="L28" s="1056">
        <v>44800</v>
      </c>
      <c r="M28" s="1063">
        <v>44638</v>
      </c>
      <c r="N28" s="1067">
        <v>162</v>
      </c>
    </row>
    <row r="29" spans="1:14" x14ac:dyDescent="0.2">
      <c r="A29" s="201" t="s">
        <v>200</v>
      </c>
      <c r="B29" s="1056"/>
      <c r="C29" s="1063"/>
      <c r="D29" s="1063"/>
      <c r="E29" s="1067"/>
      <c r="F29" s="1056"/>
      <c r="G29" s="1063"/>
      <c r="H29" s="1067"/>
      <c r="I29" s="1056"/>
      <c r="J29" s="1063"/>
      <c r="K29" s="1067"/>
      <c r="L29" s="1056"/>
      <c r="M29" s="1063"/>
      <c r="N29" s="1067"/>
    </row>
    <row r="30" spans="1:14" x14ac:dyDescent="0.2">
      <c r="A30" s="201"/>
      <c r="B30" s="1056"/>
      <c r="C30" s="1063"/>
      <c r="D30" s="1063"/>
      <c r="E30" s="1067"/>
      <c r="F30" s="1056"/>
      <c r="G30" s="1063"/>
      <c r="H30" s="1067"/>
      <c r="I30" s="1056"/>
      <c r="J30" s="1063"/>
      <c r="K30" s="1067"/>
      <c r="L30" s="1056"/>
      <c r="M30" s="1063"/>
      <c r="N30" s="1067"/>
    </row>
    <row r="31" spans="1:14" x14ac:dyDescent="0.2">
      <c r="A31" s="203" t="s">
        <v>215</v>
      </c>
      <c r="B31" s="1057">
        <f>+B32</f>
        <v>306318838</v>
      </c>
      <c r="C31" s="1062">
        <f>+C32</f>
        <v>318370324</v>
      </c>
      <c r="D31" s="1062">
        <f t="shared" ref="D31:H31" si="4">+D32</f>
        <v>-12051486</v>
      </c>
      <c r="E31" s="1131">
        <f t="shared" si="4"/>
        <v>271630431</v>
      </c>
      <c r="F31" s="1057">
        <f t="shared" si="4"/>
        <v>331848400</v>
      </c>
      <c r="G31" s="1062">
        <f t="shared" si="4"/>
        <v>361342773</v>
      </c>
      <c r="H31" s="1131">
        <f t="shared" si="4"/>
        <v>-29494373</v>
      </c>
      <c r="I31" s="1057">
        <f>+I32</f>
        <v>14652</v>
      </c>
      <c r="J31" s="1062">
        <f t="shared" ref="J31:N31" si="5">+J32</f>
        <v>14704</v>
      </c>
      <c r="K31" s="1131">
        <f t="shared" si="5"/>
        <v>-52</v>
      </c>
      <c r="L31" s="1057">
        <f t="shared" si="5"/>
        <v>15000</v>
      </c>
      <c r="M31" s="1062">
        <f t="shared" si="5"/>
        <v>15210</v>
      </c>
      <c r="N31" s="1131">
        <f t="shared" si="5"/>
        <v>-210</v>
      </c>
    </row>
    <row r="32" spans="1:14" x14ac:dyDescent="0.2">
      <c r="A32" s="201" t="s">
        <v>203</v>
      </c>
      <c r="B32" s="1056">
        <v>306318838</v>
      </c>
      <c r="C32" s="1063">
        <v>318370324</v>
      </c>
      <c r="D32" s="1063">
        <f>B32-C32</f>
        <v>-12051486</v>
      </c>
      <c r="E32" s="1067">
        <v>271630431</v>
      </c>
      <c r="F32" s="1056">
        <v>331848400</v>
      </c>
      <c r="G32" s="1063">
        <v>361342773</v>
      </c>
      <c r="H32" s="1067">
        <f>F32-G32</f>
        <v>-29494373</v>
      </c>
      <c r="I32" s="1056">
        <v>14652</v>
      </c>
      <c r="J32" s="1063">
        <v>14704</v>
      </c>
      <c r="K32" s="1067">
        <v>-52</v>
      </c>
      <c r="L32" s="1056">
        <v>15000</v>
      </c>
      <c r="M32" s="1063">
        <v>15210</v>
      </c>
      <c r="N32" s="1067">
        <v>-210</v>
      </c>
    </row>
    <row r="33" spans="1:14" x14ac:dyDescent="0.2">
      <c r="A33" s="201" t="s">
        <v>201</v>
      </c>
      <c r="B33" s="1058"/>
      <c r="C33" s="1066"/>
      <c r="D33" s="1066"/>
      <c r="E33" s="1070"/>
      <c r="F33" s="1058"/>
      <c r="G33" s="1066"/>
      <c r="H33" s="1070"/>
      <c r="I33" s="1058"/>
      <c r="J33" s="1066"/>
      <c r="K33" s="1070"/>
      <c r="L33" s="1058"/>
      <c r="M33" s="1065"/>
      <c r="N33" s="1068"/>
    </row>
    <row r="34" spans="1:14" x14ac:dyDescent="0.2">
      <c r="A34" s="201" t="s">
        <v>204</v>
      </c>
      <c r="B34" s="1058"/>
      <c r="C34" s="1066"/>
      <c r="D34" s="1066"/>
      <c r="E34" s="1070"/>
      <c r="F34" s="1058"/>
      <c r="G34" s="1066"/>
      <c r="H34" s="1070"/>
      <c r="I34" s="1058"/>
      <c r="J34" s="1066"/>
      <c r="K34" s="1070"/>
      <c r="L34" s="1058"/>
      <c r="M34" s="1065"/>
      <c r="N34" s="1068"/>
    </row>
    <row r="35" spans="1:14" x14ac:dyDescent="0.2">
      <c r="A35" s="201" t="s">
        <v>205</v>
      </c>
      <c r="B35" s="1060"/>
      <c r="C35" s="1133"/>
      <c r="D35" s="1133"/>
      <c r="E35" s="1136"/>
      <c r="F35" s="1060"/>
      <c r="G35" s="1133"/>
      <c r="H35" s="1136"/>
      <c r="I35" s="1060"/>
      <c r="J35" s="1133"/>
      <c r="K35" s="1136"/>
      <c r="L35" s="1060"/>
      <c r="M35" s="1063"/>
      <c r="N35" s="1067"/>
    </row>
    <row r="36" spans="1:14" x14ac:dyDescent="0.2">
      <c r="A36" s="201"/>
      <c r="B36" s="1056"/>
      <c r="C36" s="1063"/>
      <c r="D36" s="1063"/>
      <c r="E36" s="1067"/>
      <c r="F36" s="1056"/>
      <c r="G36" s="1063"/>
      <c r="H36" s="1067"/>
      <c r="I36" s="1056"/>
      <c r="J36" s="1063"/>
      <c r="K36" s="1067"/>
      <c r="L36" s="1056"/>
      <c r="M36" s="1063"/>
      <c r="N36" s="1067"/>
    </row>
    <row r="37" spans="1:14" x14ac:dyDescent="0.2">
      <c r="A37" s="203" t="s">
        <v>216</v>
      </c>
      <c r="B37" s="1056"/>
      <c r="C37" s="1063"/>
      <c r="D37" s="1063"/>
      <c r="E37" s="1067"/>
      <c r="F37" s="1056"/>
      <c r="G37" s="1126"/>
      <c r="H37" s="199"/>
      <c r="I37" s="1056"/>
      <c r="J37" s="1063"/>
      <c r="K37" s="1067"/>
      <c r="L37" s="1056"/>
      <c r="M37" s="1126"/>
      <c r="N37" s="199"/>
    </row>
    <row r="38" spans="1:14" x14ac:dyDescent="0.2">
      <c r="A38" s="201" t="s">
        <v>206</v>
      </c>
      <c r="B38" s="1056"/>
      <c r="C38" s="1063"/>
      <c r="D38" s="1063"/>
      <c r="E38" s="1067"/>
      <c r="F38" s="1056"/>
      <c r="G38" s="1126"/>
      <c r="H38" s="199"/>
      <c r="I38" s="1056"/>
      <c r="J38" s="1063"/>
      <c r="K38" s="1067"/>
      <c r="L38" s="1056"/>
      <c r="M38" s="1126"/>
      <c r="N38" s="199"/>
    </row>
    <row r="39" spans="1:14" x14ac:dyDescent="0.2">
      <c r="A39" s="201" t="s">
        <v>207</v>
      </c>
      <c r="B39" s="1056"/>
      <c r="C39" s="1063"/>
      <c r="D39" s="1063"/>
      <c r="E39" s="1067"/>
      <c r="F39" s="1056"/>
      <c r="G39" s="1126"/>
      <c r="H39" s="199"/>
      <c r="I39" s="1056"/>
      <c r="J39" s="1126"/>
      <c r="K39" s="199"/>
      <c r="L39" s="1128"/>
      <c r="M39" s="1127"/>
      <c r="N39" s="199"/>
    </row>
    <row r="40" spans="1:14" ht="22.5" x14ac:dyDescent="0.2">
      <c r="A40" s="201" t="s">
        <v>208</v>
      </c>
      <c r="B40" s="1056"/>
      <c r="C40" s="198"/>
      <c r="D40" s="1063"/>
      <c r="E40" s="1067"/>
      <c r="F40" s="1056"/>
      <c r="G40" s="1126"/>
      <c r="H40" s="199"/>
      <c r="I40" s="1056"/>
      <c r="J40" s="1126"/>
      <c r="K40" s="199"/>
      <c r="L40" s="1128"/>
      <c r="M40" s="1127"/>
      <c r="N40" s="199"/>
    </row>
    <row r="41" spans="1:14" ht="22.5" x14ac:dyDescent="0.2">
      <c r="A41" s="201" t="s">
        <v>209</v>
      </c>
      <c r="B41" s="1056"/>
      <c r="C41" s="198"/>
      <c r="D41" s="198"/>
      <c r="E41" s="1071"/>
      <c r="F41" s="197"/>
      <c r="G41" s="198"/>
      <c r="H41" s="199"/>
      <c r="I41" s="1056"/>
      <c r="J41" s="1126"/>
      <c r="K41" s="199"/>
      <c r="L41" s="1128"/>
      <c r="M41" s="1127"/>
      <c r="N41" s="199"/>
    </row>
    <row r="42" spans="1:14" x14ac:dyDescent="0.2">
      <c r="A42" s="201"/>
      <c r="B42" s="1056"/>
      <c r="C42" s="198"/>
      <c r="D42" s="198"/>
      <c r="E42" s="1071"/>
      <c r="F42" s="197"/>
      <c r="G42" s="198"/>
      <c r="H42" s="199"/>
      <c r="I42" s="1056"/>
      <c r="J42" s="1126"/>
      <c r="K42" s="199"/>
      <c r="L42" s="1128"/>
      <c r="M42" s="1127"/>
      <c r="N42" s="199"/>
    </row>
    <row r="43" spans="1:14" x14ac:dyDescent="0.2">
      <c r="A43" s="203" t="s">
        <v>217</v>
      </c>
      <c r="B43" s="1056"/>
      <c r="C43" s="198"/>
      <c r="D43" s="198"/>
      <c r="E43" s="1071"/>
      <c r="F43" s="197"/>
      <c r="G43" s="198"/>
      <c r="H43" s="199"/>
      <c r="I43" s="1056"/>
      <c r="J43" s="1126"/>
      <c r="K43" s="199"/>
      <c r="L43" s="1128"/>
      <c r="M43" s="1127"/>
      <c r="N43" s="199"/>
    </row>
    <row r="44" spans="1:14" x14ac:dyDescent="0.2">
      <c r="A44" s="201" t="s">
        <v>210</v>
      </c>
      <c r="B44" s="1056"/>
      <c r="C44" s="198"/>
      <c r="D44" s="198"/>
      <c r="E44" s="1071"/>
      <c r="F44" s="197"/>
      <c r="G44" s="198"/>
      <c r="H44" s="199"/>
      <c r="I44" s="1056"/>
      <c r="J44" s="1126"/>
      <c r="K44" s="199"/>
      <c r="L44" s="1128"/>
      <c r="M44" s="1127"/>
      <c r="N44" s="199"/>
    </row>
    <row r="45" spans="1:14" s="98" customFormat="1" ht="22.5" x14ac:dyDescent="0.2">
      <c r="A45" s="201" t="s">
        <v>211</v>
      </c>
      <c r="B45" s="1056"/>
      <c r="C45" s="198"/>
      <c r="D45" s="198"/>
      <c r="E45" s="1071"/>
      <c r="F45" s="197"/>
      <c r="G45" s="198"/>
      <c r="H45" s="199"/>
      <c r="I45" s="1056"/>
      <c r="J45" s="1126"/>
      <c r="K45" s="199"/>
      <c r="L45" s="1128"/>
      <c r="M45" s="1127"/>
      <c r="N45" s="199"/>
    </row>
    <row r="46" spans="1:14" ht="12" thickBot="1" x14ac:dyDescent="0.25">
      <c r="A46" s="204"/>
      <c r="B46" s="1074"/>
      <c r="C46" s="1119"/>
      <c r="D46" s="1119"/>
      <c r="E46" s="1120"/>
      <c r="F46" s="1074"/>
      <c r="G46" s="1119"/>
      <c r="H46" s="1076"/>
      <c r="I46" s="1129"/>
      <c r="J46" s="1119"/>
      <c r="K46" s="1076"/>
      <c r="L46" s="1074"/>
      <c r="M46" s="1075"/>
      <c r="N46" s="1076"/>
    </row>
    <row r="47" spans="1:14" s="96" customFormat="1" x14ac:dyDescent="0.2">
      <c r="A47" s="205"/>
      <c r="B47" s="213"/>
      <c r="C47" s="214"/>
      <c r="D47" s="219"/>
      <c r="E47" s="214"/>
      <c r="F47" s="213"/>
      <c r="G47" s="216"/>
      <c r="H47" s="217"/>
      <c r="I47" s="216"/>
      <c r="J47" s="214"/>
      <c r="K47" s="215"/>
      <c r="L47" s="216"/>
      <c r="M47" s="216"/>
      <c r="N47" s="217"/>
    </row>
    <row r="48" spans="1:14" s="96" customFormat="1" ht="12" thickBot="1" x14ac:dyDescent="0.25">
      <c r="A48" s="206" t="s">
        <v>0</v>
      </c>
      <c r="B48" s="207">
        <f>SUM(B9+B15+B22+B27+B31)</f>
        <v>847093422</v>
      </c>
      <c r="C48" s="207">
        <f t="shared" ref="C48:N48" si="6">SUM(C9+C15+C22+C27+C31)</f>
        <v>895815015</v>
      </c>
      <c r="D48" s="207">
        <f t="shared" si="6"/>
        <v>-48721593</v>
      </c>
      <c r="E48" s="207">
        <f t="shared" si="6"/>
        <v>815171650.60000002</v>
      </c>
      <c r="F48" s="1077">
        <f t="shared" si="6"/>
        <v>960659803</v>
      </c>
      <c r="G48" s="1077">
        <f t="shared" si="6"/>
        <v>1018727765</v>
      </c>
      <c r="H48" s="1121">
        <f t="shared" si="6"/>
        <v>-58067962</v>
      </c>
      <c r="I48" s="1121">
        <f t="shared" si="6"/>
        <v>1396425</v>
      </c>
      <c r="J48" s="1121">
        <f t="shared" si="6"/>
        <v>1508784.6</v>
      </c>
      <c r="K48" s="1121">
        <f t="shared" si="6"/>
        <v>-112359.60000000003</v>
      </c>
      <c r="L48" s="1121">
        <f t="shared" si="6"/>
        <v>1859824.04</v>
      </c>
      <c r="M48" s="1121">
        <f t="shared" si="6"/>
        <v>2200927.898</v>
      </c>
      <c r="N48" s="1121">
        <f t="shared" si="6"/>
        <v>-341103.85800000007</v>
      </c>
    </row>
    <row r="49" spans="1:14" s="96" customFormat="1" ht="12.75" thickTop="1" thickBot="1" x14ac:dyDescent="0.25">
      <c r="A49" s="208" t="s">
        <v>8</v>
      </c>
      <c r="B49" s="209"/>
      <c r="C49" s="210"/>
      <c r="D49" s="220"/>
      <c r="E49" s="212"/>
      <c r="F49" s="1077"/>
      <c r="G49" s="1078"/>
      <c r="H49" s="1079"/>
      <c r="I49" s="209"/>
      <c r="J49" s="210"/>
      <c r="K49" s="218"/>
      <c r="L49" s="211"/>
      <c r="M49" s="211"/>
      <c r="N49" s="212"/>
    </row>
    <row r="50" spans="1:14" x14ac:dyDescent="0.2">
      <c r="A50" s="46" t="s">
        <v>405</v>
      </c>
      <c r="B50" s="46"/>
      <c r="C50" s="46"/>
      <c r="D50" s="46"/>
      <c r="E50" s="46"/>
      <c r="F50" s="46"/>
      <c r="G50" s="46"/>
      <c r="H50" s="46"/>
      <c r="I50" s="46"/>
      <c r="J50" s="46"/>
      <c r="K50" s="46"/>
      <c r="L50" s="46"/>
      <c r="M50" s="46"/>
      <c r="N50" s="46"/>
    </row>
    <row r="51" spans="1:14" x14ac:dyDescent="0.2">
      <c r="A51" s="46" t="s">
        <v>406</v>
      </c>
      <c r="B51" s="46"/>
      <c r="C51" s="46"/>
      <c r="D51" s="46"/>
      <c r="E51" s="46"/>
      <c r="F51" s="46"/>
      <c r="G51" s="46"/>
      <c r="H51" s="46"/>
      <c r="I51" s="46"/>
      <c r="J51" s="46"/>
      <c r="K51" s="46"/>
      <c r="L51" s="46"/>
      <c r="M51" s="46"/>
      <c r="N51" s="46"/>
    </row>
  </sheetData>
  <mergeCells count="4">
    <mergeCell ref="I3:N3"/>
    <mergeCell ref="B3:E3"/>
    <mergeCell ref="F3:H3"/>
    <mergeCell ref="A3:A4"/>
  </mergeCells>
  <pageMargins left="0.23622047244094491" right="0.23622047244094491" top="0.74803149606299213" bottom="0.74803149606299213" header="0.31496062992125984" footer="0.31496062992125984"/>
  <pageSetup paperSize="9" scale="93" orientation="landscape" r:id="rId1"/>
  <headerFooter alignWithMargins="0">
    <oddHeader>&amp;C&amp;"Arial,Negrita"&amp;18PROYECTO DE PRESUPUESTO 2021</oddHeader>
    <oddFooter>&amp;L&amp;"Arial,Negrita"&amp;8PROYECTO DE PRESUPUESTO PARA EL AÑO FISCAL 2021
INFORMACIÓN PARA LA COMISIÓN DE PRESUPUESTO Y CUENTA GENERAL DE LA REPÚBLICA DEL CONGRESO DE LA REPÚBLICA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tabColor theme="9" tint="-0.249977111117893"/>
  </sheetPr>
  <dimension ref="A1:V25"/>
  <sheetViews>
    <sheetView view="pageBreakPreview" zoomScale="90" zoomScaleNormal="100" zoomScaleSheetLayoutView="90" workbookViewId="0">
      <selection activeCell="B18" sqref="B18"/>
    </sheetView>
  </sheetViews>
  <sheetFormatPr baseColWidth="10" defaultColWidth="11.28515625" defaultRowHeight="11.25" x14ac:dyDescent="0.2"/>
  <cols>
    <col min="1" max="1" width="25.5703125" style="97" customWidth="1"/>
    <col min="2" max="2" width="7" style="97" customWidth="1"/>
    <col min="3" max="3" width="14.5703125" style="97" customWidth="1"/>
    <col min="4" max="4" width="13.28515625" style="97" customWidth="1"/>
    <col min="5" max="5" width="14.28515625" style="97" customWidth="1"/>
    <col min="6" max="6" width="5.28515625" style="97" customWidth="1"/>
    <col min="7" max="7" width="10.7109375" style="97" customWidth="1"/>
    <col min="8" max="8" width="13.85546875" style="97" customWidth="1"/>
    <col min="9" max="10" width="7" style="97" customWidth="1"/>
    <col min="11" max="11" width="13.85546875" style="97" customWidth="1"/>
    <col min="12" max="12" width="7" style="97" customWidth="1"/>
    <col min="13" max="13" width="13.28515625" style="97" customWidth="1"/>
    <col min="14" max="14" width="10.7109375" style="97" customWidth="1"/>
    <col min="15" max="15" width="12" style="97" customWidth="1"/>
    <col min="16" max="16" width="13.42578125" style="97" customWidth="1"/>
    <col min="17" max="17" width="7" style="97" customWidth="1"/>
    <col min="18" max="16384" width="11.28515625" style="97"/>
  </cols>
  <sheetData>
    <row r="1" spans="1:22" s="96" customFormat="1" x14ac:dyDescent="0.2">
      <c r="A1" s="94" t="s">
        <v>407</v>
      </c>
      <c r="B1" s="99"/>
      <c r="C1" s="99"/>
      <c r="D1" s="99"/>
      <c r="E1" s="99"/>
    </row>
    <row r="2" spans="1:22" s="96" customFormat="1" ht="13.5" thickBot="1" x14ac:dyDescent="0.25">
      <c r="A2" s="242" t="s">
        <v>460</v>
      </c>
      <c r="B2" s="95"/>
      <c r="C2" s="95"/>
      <c r="D2" s="95"/>
      <c r="E2" s="95"/>
      <c r="F2" s="95"/>
      <c r="G2" s="95"/>
      <c r="H2" s="95"/>
      <c r="I2" s="95"/>
      <c r="J2" s="95"/>
      <c r="K2" s="95"/>
      <c r="L2" s="95"/>
      <c r="M2" s="95"/>
      <c r="N2" s="95"/>
      <c r="O2" s="95"/>
      <c r="P2" s="95"/>
      <c r="Q2" s="95"/>
      <c r="R2" s="95"/>
      <c r="S2" s="95"/>
      <c r="T2" s="95"/>
      <c r="U2" s="95"/>
      <c r="V2" s="95"/>
    </row>
    <row r="3" spans="1:22" ht="39.75" customHeight="1" thickBot="1" x14ac:dyDescent="0.25">
      <c r="A3" s="1261" t="s">
        <v>1</v>
      </c>
      <c r="B3" s="1261" t="s">
        <v>408</v>
      </c>
      <c r="C3" s="1262"/>
      <c r="D3" s="1262"/>
      <c r="E3" s="1262"/>
      <c r="F3" s="1262"/>
      <c r="G3" s="1262"/>
      <c r="H3" s="1260"/>
      <c r="I3" s="1259" t="s">
        <v>409</v>
      </c>
      <c r="J3" s="1262"/>
      <c r="K3" s="1262"/>
      <c r="L3" s="1262"/>
      <c r="M3" s="1260"/>
      <c r="N3" s="1259" t="s">
        <v>410</v>
      </c>
      <c r="O3" s="1260"/>
      <c r="P3" s="1259" t="s">
        <v>0</v>
      </c>
      <c r="Q3" s="1260"/>
    </row>
    <row r="4" spans="1:22" s="114" customFormat="1" ht="80.25" customHeight="1" thickBot="1" x14ac:dyDescent="0.25">
      <c r="A4" s="1263"/>
      <c r="B4" s="131" t="s">
        <v>279</v>
      </c>
      <c r="C4" s="132" t="s">
        <v>280</v>
      </c>
      <c r="D4" s="131" t="s">
        <v>281</v>
      </c>
      <c r="E4" s="131" t="s">
        <v>282</v>
      </c>
      <c r="F4" s="131" t="s">
        <v>283</v>
      </c>
      <c r="G4" s="130" t="s">
        <v>284</v>
      </c>
      <c r="H4" s="130" t="s">
        <v>285</v>
      </c>
      <c r="I4" s="131" t="s">
        <v>286</v>
      </c>
      <c r="J4" s="130" t="s">
        <v>284</v>
      </c>
      <c r="K4" s="130" t="s">
        <v>287</v>
      </c>
      <c r="L4" s="130" t="s">
        <v>288</v>
      </c>
      <c r="M4" s="130" t="s">
        <v>289</v>
      </c>
      <c r="N4" s="130" t="s">
        <v>290</v>
      </c>
      <c r="O4" s="132" t="s">
        <v>291</v>
      </c>
      <c r="P4" s="131" t="s">
        <v>7</v>
      </c>
      <c r="Q4" s="130" t="s">
        <v>9</v>
      </c>
    </row>
    <row r="5" spans="1:22" x14ac:dyDescent="0.2">
      <c r="A5" s="115"/>
      <c r="B5" s="106"/>
      <c r="C5" s="107"/>
      <c r="D5" s="106"/>
      <c r="E5" s="108"/>
      <c r="F5" s="108"/>
      <c r="G5" s="108"/>
      <c r="H5" s="108"/>
      <c r="I5" s="108"/>
      <c r="J5" s="108"/>
      <c r="K5" s="108"/>
      <c r="L5" s="108"/>
      <c r="M5" s="108"/>
      <c r="N5" s="108"/>
      <c r="O5" s="108"/>
      <c r="P5" s="107"/>
      <c r="Q5" s="115"/>
    </row>
    <row r="6" spans="1:22" x14ac:dyDescent="0.2">
      <c r="A6" s="115" t="s">
        <v>35</v>
      </c>
      <c r="B6" s="106"/>
      <c r="C6" s="107">
        <v>1185457737</v>
      </c>
      <c r="D6" s="106">
        <v>131731622</v>
      </c>
      <c r="E6" s="108">
        <v>139507553</v>
      </c>
      <c r="F6" s="108"/>
      <c r="G6" s="108">
        <v>1140135</v>
      </c>
      <c r="H6" s="108">
        <f>SUM(B6:G6)</f>
        <v>1457837047</v>
      </c>
      <c r="I6" s="108"/>
      <c r="J6" s="108"/>
      <c r="K6" s="108">
        <v>12744390</v>
      </c>
      <c r="L6" s="108"/>
      <c r="M6" s="108">
        <f>SUM(K6:L6)</f>
        <v>12744390</v>
      </c>
      <c r="N6" s="108"/>
      <c r="O6" s="108"/>
      <c r="P6" s="107">
        <f>+H6+M6</f>
        <v>1470581437</v>
      </c>
      <c r="Q6" s="241">
        <f>+P6/P24*100</f>
        <v>68.433198608585386</v>
      </c>
    </row>
    <row r="7" spans="1:22" x14ac:dyDescent="0.2">
      <c r="A7" s="115"/>
      <c r="B7" s="106"/>
      <c r="C7" s="107"/>
      <c r="D7" s="106"/>
      <c r="E7" s="108"/>
      <c r="F7" s="108"/>
      <c r="G7" s="108"/>
      <c r="H7" s="108"/>
      <c r="I7" s="108"/>
      <c r="J7" s="108"/>
      <c r="K7" s="108"/>
      <c r="L7" s="108"/>
      <c r="M7" s="108"/>
      <c r="N7" s="108"/>
      <c r="O7" s="108"/>
      <c r="P7" s="107"/>
      <c r="Q7" s="115"/>
    </row>
    <row r="8" spans="1:22" x14ac:dyDescent="0.2">
      <c r="A8" s="115" t="s">
        <v>36</v>
      </c>
      <c r="B8" s="106" t="s">
        <v>83</v>
      </c>
      <c r="C8" s="107">
        <v>0</v>
      </c>
      <c r="D8" s="106">
        <v>29731152</v>
      </c>
      <c r="E8" s="108">
        <v>0</v>
      </c>
      <c r="F8" s="108"/>
      <c r="G8" s="108">
        <v>1563934</v>
      </c>
      <c r="H8" s="108">
        <f>SUM(B8:G8)</f>
        <v>31295086</v>
      </c>
      <c r="I8" s="108"/>
      <c r="J8" s="108"/>
      <c r="K8" s="108">
        <v>0</v>
      </c>
      <c r="L8" s="108"/>
      <c r="M8" s="108">
        <f>SUM(K8:L8)</f>
        <v>0</v>
      </c>
      <c r="N8" s="108"/>
      <c r="O8" s="108"/>
      <c r="P8" s="107">
        <f>+H8+M8</f>
        <v>31295086</v>
      </c>
      <c r="Q8" s="241">
        <f>+P8/P24*100</f>
        <v>1.4563102605726419</v>
      </c>
    </row>
    <row r="9" spans="1:22" x14ac:dyDescent="0.2">
      <c r="A9" s="115"/>
      <c r="B9" s="106"/>
      <c r="C9" s="107"/>
      <c r="D9" s="106"/>
      <c r="E9" s="108"/>
      <c r="F9" s="108"/>
      <c r="G9" s="108"/>
      <c r="H9" s="108"/>
      <c r="I9" s="108"/>
      <c r="J9" s="108"/>
      <c r="K9" s="108"/>
      <c r="L9" s="108"/>
      <c r="M9" s="108"/>
      <c r="N9" s="108"/>
      <c r="O9" s="108"/>
      <c r="P9" s="107"/>
      <c r="Q9" s="115"/>
    </row>
    <row r="10" spans="1:22" x14ac:dyDescent="0.2">
      <c r="A10" s="115" t="s">
        <v>37</v>
      </c>
      <c r="B10" s="106"/>
      <c r="C10" s="107"/>
      <c r="D10" s="106"/>
      <c r="E10" s="108"/>
      <c r="F10" s="108"/>
      <c r="G10" s="108"/>
      <c r="H10" s="108"/>
      <c r="I10" s="108"/>
      <c r="J10" s="108"/>
      <c r="K10" s="108"/>
      <c r="L10" s="108"/>
      <c r="M10" s="108"/>
      <c r="N10" s="108"/>
      <c r="O10" s="108"/>
      <c r="P10" s="107"/>
      <c r="Q10" s="115"/>
    </row>
    <row r="11" spans="1:22" x14ac:dyDescent="0.2">
      <c r="A11" s="115" t="s">
        <v>80</v>
      </c>
      <c r="B11" s="106"/>
      <c r="C11" s="107">
        <v>0</v>
      </c>
      <c r="D11" s="106">
        <v>0</v>
      </c>
      <c r="E11" s="108">
        <v>0</v>
      </c>
      <c r="F11" s="108"/>
      <c r="G11" s="108">
        <v>0</v>
      </c>
      <c r="H11" s="108">
        <f>SUM(B11:G11)</f>
        <v>0</v>
      </c>
      <c r="I11" s="108"/>
      <c r="J11" s="108"/>
      <c r="K11" s="108">
        <v>399732427</v>
      </c>
      <c r="L11" s="108"/>
      <c r="M11" s="108">
        <f>SUM(K11:L11)</f>
        <v>399732427</v>
      </c>
      <c r="N11" s="108"/>
      <c r="O11" s="108"/>
      <c r="P11" s="107">
        <f>+H11+M11</f>
        <v>399732427</v>
      </c>
      <c r="Q11" s="241">
        <f>+P11/P24*100</f>
        <v>18.601464617279039</v>
      </c>
    </row>
    <row r="12" spans="1:22" x14ac:dyDescent="0.2">
      <c r="A12" s="113"/>
      <c r="B12" s="106"/>
      <c r="C12" s="109"/>
      <c r="D12" s="110"/>
      <c r="E12" s="116"/>
      <c r="F12" s="116"/>
      <c r="G12" s="108"/>
      <c r="H12" s="108"/>
      <c r="I12" s="108"/>
      <c r="J12" s="108"/>
      <c r="K12" s="108"/>
      <c r="L12" s="108"/>
      <c r="M12" s="108"/>
      <c r="N12" s="108"/>
      <c r="O12" s="108"/>
      <c r="P12" s="107"/>
      <c r="Q12" s="115"/>
    </row>
    <row r="13" spans="1:22" x14ac:dyDescent="0.2">
      <c r="A13" s="115" t="s">
        <v>38</v>
      </c>
      <c r="B13" s="106" t="s">
        <v>83</v>
      </c>
      <c r="C13" s="107">
        <v>0</v>
      </c>
      <c r="D13" s="106">
        <v>0</v>
      </c>
      <c r="E13" s="108">
        <v>1637565</v>
      </c>
      <c r="F13" s="108"/>
      <c r="G13" s="108">
        <v>0</v>
      </c>
      <c r="H13" s="108">
        <f>SUM(B13:G13)</f>
        <v>1637565</v>
      </c>
      <c r="I13" s="108"/>
      <c r="J13" s="108"/>
      <c r="K13" s="108">
        <v>0</v>
      </c>
      <c r="L13" s="108"/>
      <c r="M13" s="108">
        <f>SUM(K13:L13)</f>
        <v>0</v>
      </c>
      <c r="N13" s="108"/>
      <c r="O13" s="108"/>
      <c r="P13" s="107">
        <f>+H13+M13</f>
        <v>1637565</v>
      </c>
      <c r="Q13" s="241">
        <f>+P13/P24*100</f>
        <v>7.6203743675752736E-2</v>
      </c>
    </row>
    <row r="14" spans="1:22" x14ac:dyDescent="0.2">
      <c r="A14" s="115"/>
      <c r="B14" s="106"/>
      <c r="C14" s="107"/>
      <c r="D14" s="106"/>
      <c r="E14" s="108"/>
      <c r="F14" s="108"/>
      <c r="G14" s="108"/>
      <c r="H14" s="108"/>
      <c r="I14" s="108"/>
      <c r="J14" s="108"/>
      <c r="K14" s="108"/>
      <c r="L14" s="108"/>
      <c r="M14" s="108"/>
      <c r="N14" s="108"/>
      <c r="O14" s="108"/>
      <c r="P14" s="107"/>
      <c r="Q14" s="115"/>
    </row>
    <row r="15" spans="1:22" x14ac:dyDescent="0.2">
      <c r="A15" s="115" t="s">
        <v>39</v>
      </c>
      <c r="B15" s="106"/>
      <c r="C15" s="107">
        <f>+C18</f>
        <v>0</v>
      </c>
      <c r="D15" s="106">
        <f>+D18</f>
        <v>0</v>
      </c>
      <c r="E15" s="106">
        <f t="shared" ref="E15:P15" si="0">+E18</f>
        <v>17464145</v>
      </c>
      <c r="F15" s="106">
        <f t="shared" si="0"/>
        <v>0</v>
      </c>
      <c r="G15" s="106">
        <f t="shared" si="0"/>
        <v>0</v>
      </c>
      <c r="H15" s="106">
        <f t="shared" si="0"/>
        <v>17464145</v>
      </c>
      <c r="I15" s="106">
        <f t="shared" si="0"/>
        <v>0</v>
      </c>
      <c r="J15" s="106">
        <f t="shared" si="0"/>
        <v>0</v>
      </c>
      <c r="K15" s="106">
        <f t="shared" si="0"/>
        <v>186224247</v>
      </c>
      <c r="L15" s="106">
        <f t="shared" si="0"/>
        <v>0</v>
      </c>
      <c r="M15" s="106">
        <f t="shared" si="0"/>
        <v>186224247</v>
      </c>
      <c r="N15" s="106">
        <f t="shared" si="0"/>
        <v>41994950</v>
      </c>
      <c r="O15" s="106">
        <f t="shared" si="0"/>
        <v>41994950</v>
      </c>
      <c r="P15" s="106">
        <f t="shared" si="0"/>
        <v>245683342</v>
      </c>
      <c r="Q15" s="241">
        <f>+P15/P24*100</f>
        <v>11.43282276988718</v>
      </c>
    </row>
    <row r="16" spans="1:22" x14ac:dyDescent="0.2">
      <c r="A16" s="115"/>
      <c r="B16" s="106"/>
      <c r="C16" s="107"/>
      <c r="D16" s="106"/>
      <c r="E16" s="108"/>
      <c r="F16" s="108"/>
      <c r="G16" s="108"/>
      <c r="H16" s="108"/>
      <c r="I16" s="108"/>
      <c r="J16" s="108"/>
      <c r="K16" s="108"/>
      <c r="L16" s="108"/>
      <c r="M16" s="108"/>
      <c r="N16" s="108"/>
      <c r="O16" s="108"/>
      <c r="P16" s="107"/>
      <c r="Q16" s="115"/>
    </row>
    <row r="17" spans="1:17" x14ac:dyDescent="0.2">
      <c r="A17" s="115" t="s">
        <v>43</v>
      </c>
      <c r="B17" s="106" t="s">
        <v>83</v>
      </c>
      <c r="C17" s="107"/>
      <c r="D17" s="106"/>
      <c r="E17" s="108"/>
      <c r="F17" s="108"/>
      <c r="G17" s="108"/>
      <c r="H17" s="108"/>
      <c r="I17" s="108"/>
      <c r="J17" s="108"/>
      <c r="K17" s="108"/>
      <c r="L17" s="108"/>
      <c r="M17" s="108"/>
      <c r="N17" s="108"/>
      <c r="O17" s="108"/>
      <c r="P17" s="107"/>
      <c r="Q17" s="115"/>
    </row>
    <row r="18" spans="1:17" x14ac:dyDescent="0.2">
      <c r="A18" s="115" t="s">
        <v>44</v>
      </c>
      <c r="B18" s="106"/>
      <c r="C18" s="107">
        <v>0</v>
      </c>
      <c r="D18" s="106">
        <v>0</v>
      </c>
      <c r="E18" s="108">
        <v>17464145</v>
      </c>
      <c r="F18" s="108"/>
      <c r="G18" s="108">
        <v>0</v>
      </c>
      <c r="H18" s="108">
        <f>SUM(B18:G18)</f>
        <v>17464145</v>
      </c>
      <c r="I18" s="108"/>
      <c r="J18" s="108"/>
      <c r="K18" s="108">
        <v>186224247</v>
      </c>
      <c r="L18" s="108"/>
      <c r="M18" s="108">
        <f>SUM(K18:L18)</f>
        <v>186224247</v>
      </c>
      <c r="N18" s="108">
        <v>41994950</v>
      </c>
      <c r="O18" s="108">
        <f>+N18</f>
        <v>41994950</v>
      </c>
      <c r="P18" s="107">
        <f>+H18+M18+O18</f>
        <v>245683342</v>
      </c>
      <c r="Q18" s="241">
        <f>+P18/P24*100</f>
        <v>11.43282276988718</v>
      </c>
    </row>
    <row r="19" spans="1:17" x14ac:dyDescent="0.2">
      <c r="A19" s="115" t="s">
        <v>40</v>
      </c>
      <c r="B19" s="106"/>
      <c r="C19" s="107"/>
      <c r="D19" s="106"/>
      <c r="E19" s="108"/>
      <c r="F19" s="108"/>
      <c r="G19" s="108"/>
      <c r="H19" s="108"/>
      <c r="I19" s="108"/>
      <c r="J19" s="108"/>
      <c r="K19" s="108"/>
      <c r="L19" s="108"/>
      <c r="M19" s="108"/>
      <c r="N19" s="108"/>
      <c r="O19" s="108"/>
      <c r="P19" s="107"/>
      <c r="Q19" s="115"/>
    </row>
    <row r="20" spans="1:17" x14ac:dyDescent="0.2">
      <c r="A20" s="115" t="s">
        <v>41</v>
      </c>
      <c r="B20" s="106" t="s">
        <v>83</v>
      </c>
      <c r="C20" s="107"/>
      <c r="D20" s="106"/>
      <c r="E20" s="108"/>
      <c r="F20" s="108"/>
      <c r="G20" s="108"/>
      <c r="H20" s="108"/>
      <c r="I20" s="108"/>
      <c r="J20" s="108"/>
      <c r="K20" s="108"/>
      <c r="L20" s="108"/>
      <c r="M20" s="108"/>
      <c r="N20" s="108"/>
      <c r="O20" s="108"/>
      <c r="P20" s="107"/>
      <c r="Q20" s="115"/>
    </row>
    <row r="21" spans="1:17" x14ac:dyDescent="0.2">
      <c r="A21" s="115" t="s">
        <v>42</v>
      </c>
      <c r="B21" s="106"/>
      <c r="C21" s="107"/>
      <c r="D21" s="106"/>
      <c r="E21" s="108"/>
      <c r="F21" s="108"/>
      <c r="G21" s="108"/>
      <c r="H21" s="108"/>
      <c r="I21" s="108"/>
      <c r="J21" s="108"/>
      <c r="K21" s="108"/>
      <c r="L21" s="108"/>
      <c r="M21" s="108"/>
      <c r="N21" s="108"/>
      <c r="O21" s="108"/>
      <c r="P21" s="107"/>
      <c r="Q21" s="115"/>
    </row>
    <row r="22" spans="1:17" x14ac:dyDescent="0.2">
      <c r="A22" s="115" t="s">
        <v>71</v>
      </c>
      <c r="B22" s="106"/>
      <c r="C22" s="107"/>
      <c r="D22" s="106"/>
      <c r="E22" s="108"/>
      <c r="F22" s="108"/>
      <c r="G22" s="108"/>
      <c r="H22" s="108"/>
      <c r="I22" s="108"/>
      <c r="J22" s="108"/>
      <c r="K22" s="108"/>
      <c r="L22" s="108"/>
      <c r="M22" s="108"/>
      <c r="N22" s="108"/>
      <c r="O22" s="108"/>
      <c r="P22" s="107"/>
      <c r="Q22" s="115"/>
    </row>
    <row r="23" spans="1:17" ht="12" thickBot="1" x14ac:dyDescent="0.25">
      <c r="A23" s="111"/>
      <c r="B23" s="111"/>
      <c r="C23" s="117"/>
      <c r="D23" s="115"/>
      <c r="E23" s="118"/>
      <c r="F23" s="118"/>
      <c r="G23" s="118"/>
      <c r="H23" s="118"/>
      <c r="I23" s="118"/>
      <c r="J23" s="118"/>
      <c r="K23" s="118"/>
      <c r="L23" s="118"/>
      <c r="M23" s="118"/>
      <c r="N23" s="118"/>
      <c r="O23" s="118"/>
      <c r="P23" s="117"/>
      <c r="Q23" s="115"/>
    </row>
    <row r="24" spans="1:17" ht="27" customHeight="1" thickBot="1" x14ac:dyDescent="0.25">
      <c r="A24" s="240" t="s">
        <v>0</v>
      </c>
      <c r="B24" s="382"/>
      <c r="C24" s="383">
        <f>SUM(C6+C8+C11+C13+C15)</f>
        <v>1185457737</v>
      </c>
      <c r="D24" s="383">
        <f t="shared" ref="D24:P24" si="1">SUM(D6+D8+D11+D13+D15)</f>
        <v>161462774</v>
      </c>
      <c r="E24" s="383">
        <f t="shared" si="1"/>
        <v>158609263</v>
      </c>
      <c r="F24" s="383">
        <f t="shared" si="1"/>
        <v>0</v>
      </c>
      <c r="G24" s="383">
        <f t="shared" si="1"/>
        <v>2704069</v>
      </c>
      <c r="H24" s="383">
        <f t="shared" si="1"/>
        <v>1508233843</v>
      </c>
      <c r="I24" s="383">
        <f t="shared" si="1"/>
        <v>0</v>
      </c>
      <c r="J24" s="383">
        <f t="shared" si="1"/>
        <v>0</v>
      </c>
      <c r="K24" s="383">
        <f t="shared" si="1"/>
        <v>598701064</v>
      </c>
      <c r="L24" s="383">
        <f t="shared" si="1"/>
        <v>0</v>
      </c>
      <c r="M24" s="383">
        <f t="shared" si="1"/>
        <v>598701064</v>
      </c>
      <c r="N24" s="383">
        <f t="shared" si="1"/>
        <v>41994950</v>
      </c>
      <c r="O24" s="383">
        <f t="shared" si="1"/>
        <v>41994950</v>
      </c>
      <c r="P24" s="383">
        <f t="shared" si="1"/>
        <v>2148929857</v>
      </c>
      <c r="Q24" s="384">
        <f>SUM(Q6:Q15)</f>
        <v>99.999999999999986</v>
      </c>
    </row>
    <row r="25" spans="1:17" x14ac:dyDescent="0.2">
      <c r="A25" s="102"/>
      <c r="B25" s="117"/>
      <c r="C25" s="117"/>
      <c r="D25" s="117"/>
      <c r="E25" s="117"/>
      <c r="F25" s="117"/>
      <c r="G25" s="117"/>
      <c r="H25" s="117"/>
      <c r="I25" s="117"/>
      <c r="J25" s="117"/>
      <c r="K25" s="117"/>
      <c r="L25" s="117"/>
      <c r="M25" s="117"/>
      <c r="N25" s="117"/>
      <c r="O25" s="117"/>
      <c r="P25" s="117"/>
      <c r="Q25" s="117"/>
    </row>
  </sheetData>
  <mergeCells count="5">
    <mergeCell ref="P3:Q3"/>
    <mergeCell ref="B3:H3"/>
    <mergeCell ref="I3:M3"/>
    <mergeCell ref="A3:A4"/>
    <mergeCell ref="N3:O3"/>
  </mergeCells>
  <phoneticPr fontId="0" type="noConversion"/>
  <pageMargins left="0.23622047244094491" right="0.23622047244094491" top="0.74803149606299213" bottom="0.74803149606299213" header="0.31496062992125984" footer="0.31496062992125984"/>
  <pageSetup paperSize="9" scale="74" orientation="landscape" r:id="rId1"/>
  <headerFooter alignWithMargins="0">
    <oddHeader xml:space="preserve">&amp;C&amp;"Arial,Negrita"&amp;18PROYECTO DEL PRESUPUESTO 2021
</oddHeader>
    <oddFooter>&amp;L&amp;"Arial,Negrita"&amp;8PROYECTO DE PRESUPUESTO PARA EL AÑO FISCAL 2021
INFORMACIÓN PARA LA COMISIÓN DE PRESUPUESTO Y CUENTA GENERAL DE LA REPÚBLICA DEL CONGRESO DE LA REPÚBLICA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tabColor theme="9" tint="-0.249977111117893"/>
  </sheetPr>
  <dimension ref="A1:V112"/>
  <sheetViews>
    <sheetView topLeftCell="E1" zoomScaleNormal="100" zoomScaleSheetLayoutView="70" zoomScalePageLayoutView="130" workbookViewId="0">
      <selection activeCell="L6" sqref="L6"/>
    </sheetView>
  </sheetViews>
  <sheetFormatPr baseColWidth="10" defaultColWidth="11.42578125" defaultRowHeight="12" x14ac:dyDescent="0.2"/>
  <cols>
    <col min="1" max="1" width="25" style="66" customWidth="1"/>
    <col min="2" max="2" width="16.28515625" style="66" bestFit="1" customWidth="1"/>
    <col min="3" max="3" width="8.7109375" style="66" customWidth="1"/>
    <col min="4" max="4" width="12.7109375" style="66" customWidth="1"/>
    <col min="5" max="5" width="11.5703125" style="66" customWidth="1"/>
    <col min="6" max="6" width="11.42578125" style="66" customWidth="1"/>
    <col min="7" max="7" width="8.7109375" style="66" customWidth="1"/>
    <col min="8" max="8" width="10.85546875" style="66" customWidth="1"/>
    <col min="9" max="9" width="15.85546875" style="66" customWidth="1"/>
    <col min="10" max="11" width="8.7109375" style="66" customWidth="1"/>
    <col min="12" max="12" width="12" style="66" customWidth="1"/>
    <col min="13" max="13" width="8.7109375" style="66" customWidth="1"/>
    <col min="14" max="14" width="12.140625" style="66" customWidth="1"/>
    <col min="15" max="15" width="11.5703125" style="66" customWidth="1"/>
    <col min="16" max="16" width="12" style="66" customWidth="1"/>
    <col min="17" max="17" width="12.7109375" style="66" customWidth="1"/>
    <col min="18" max="18" width="8.7109375" style="66" customWidth="1"/>
    <col min="19" max="16384" width="11.42578125" style="66"/>
  </cols>
  <sheetData>
    <row r="1" spans="1:22" s="5" customFormat="1" x14ac:dyDescent="0.2">
      <c r="A1" s="89" t="s">
        <v>411</v>
      </c>
      <c r="B1" s="6"/>
      <c r="C1" s="6"/>
      <c r="D1" s="6"/>
      <c r="E1" s="6"/>
      <c r="F1" s="6"/>
      <c r="G1" s="6"/>
      <c r="H1" s="6"/>
      <c r="I1" s="6"/>
      <c r="J1" s="6"/>
      <c r="K1" s="6"/>
      <c r="L1" s="6"/>
      <c r="M1" s="6"/>
      <c r="N1" s="6"/>
      <c r="O1" s="6"/>
      <c r="P1" s="6"/>
      <c r="Q1" s="6"/>
      <c r="R1" s="6"/>
    </row>
    <row r="2" spans="1:22" s="5" customFormat="1" ht="12.75" thickBot="1" x14ac:dyDescent="0.25">
      <c r="A2" s="91" t="s">
        <v>453</v>
      </c>
      <c r="B2" s="82"/>
      <c r="C2" s="82"/>
      <c r="D2" s="82"/>
      <c r="E2" s="82"/>
      <c r="F2" s="82"/>
      <c r="G2" s="82"/>
      <c r="H2" s="82"/>
      <c r="I2" s="82"/>
      <c r="J2" s="82"/>
      <c r="K2" s="82"/>
      <c r="L2" s="82"/>
      <c r="M2" s="82"/>
      <c r="N2" s="82"/>
      <c r="O2" s="82"/>
      <c r="P2" s="82"/>
      <c r="Q2" s="82"/>
      <c r="R2" s="82"/>
      <c r="S2" s="82"/>
      <c r="T2" s="82"/>
      <c r="U2" s="82"/>
      <c r="V2" s="82"/>
    </row>
    <row r="3" spans="1:22" ht="27" customHeight="1" x14ac:dyDescent="0.2">
      <c r="A3" s="1266" t="s">
        <v>109</v>
      </c>
      <c r="B3" s="1273" t="s">
        <v>110</v>
      </c>
      <c r="C3" s="1268" t="s">
        <v>10</v>
      </c>
      <c r="D3" s="1269"/>
      <c r="E3" s="1269"/>
      <c r="F3" s="1269"/>
      <c r="G3" s="1269"/>
      <c r="H3" s="1269"/>
      <c r="I3" s="1270"/>
      <c r="J3" s="1271" t="s">
        <v>91</v>
      </c>
      <c r="K3" s="1264"/>
      <c r="L3" s="1264"/>
      <c r="M3" s="1264"/>
      <c r="N3" s="1265"/>
      <c r="O3" s="1272" t="s">
        <v>81</v>
      </c>
      <c r="P3" s="1264"/>
      <c r="Q3" s="1264" t="s">
        <v>0</v>
      </c>
      <c r="R3" s="1265"/>
    </row>
    <row r="4" spans="1:22" ht="112.5" customHeight="1" thickBot="1" x14ac:dyDescent="0.25">
      <c r="A4" s="1267"/>
      <c r="B4" s="1274"/>
      <c r="C4" s="133" t="s">
        <v>223</v>
      </c>
      <c r="D4" s="134" t="s">
        <v>224</v>
      </c>
      <c r="E4" s="134" t="s">
        <v>225</v>
      </c>
      <c r="F4" s="134" t="s">
        <v>226</v>
      </c>
      <c r="G4" s="134" t="s">
        <v>227</v>
      </c>
      <c r="H4" s="134" t="s">
        <v>228</v>
      </c>
      <c r="I4" s="135" t="s">
        <v>88</v>
      </c>
      <c r="J4" s="133" t="s">
        <v>227</v>
      </c>
      <c r="K4" s="134" t="s">
        <v>228</v>
      </c>
      <c r="L4" s="134" t="s">
        <v>229</v>
      </c>
      <c r="M4" s="134" t="s">
        <v>230</v>
      </c>
      <c r="N4" s="135" t="s">
        <v>89</v>
      </c>
      <c r="O4" s="136" t="s">
        <v>231</v>
      </c>
      <c r="P4" s="134" t="s">
        <v>90</v>
      </c>
      <c r="Q4" s="137" t="s">
        <v>31</v>
      </c>
      <c r="R4" s="138" t="s">
        <v>79</v>
      </c>
    </row>
    <row r="5" spans="1:22" x14ac:dyDescent="0.2">
      <c r="A5" s="17" t="s">
        <v>111</v>
      </c>
      <c r="B5" s="28">
        <v>2019</v>
      </c>
      <c r="C5" s="52"/>
      <c r="D5" s="298">
        <v>14996549</v>
      </c>
      <c r="E5" s="298">
        <v>36466</v>
      </c>
      <c r="F5" s="298">
        <v>25332804</v>
      </c>
      <c r="G5" s="298"/>
      <c r="H5" s="298">
        <v>1853487</v>
      </c>
      <c r="I5" s="299">
        <f>SUM(D5:H5)</f>
        <v>42219306</v>
      </c>
      <c r="J5" s="300"/>
      <c r="K5" s="298"/>
      <c r="L5" s="298">
        <v>61912733</v>
      </c>
      <c r="M5" s="298"/>
      <c r="N5" s="312">
        <f>SUM(J5:M5)</f>
        <v>61912733</v>
      </c>
      <c r="O5" s="300"/>
      <c r="P5" s="298">
        <f>+O5</f>
        <v>0</v>
      </c>
      <c r="Q5" s="298">
        <f>+I5+N5+P5</f>
        <v>104132039</v>
      </c>
      <c r="R5" s="319">
        <f>+Q5/Q105*100</f>
        <v>5.2120777015003412</v>
      </c>
    </row>
    <row r="6" spans="1:22" x14ac:dyDescent="0.2">
      <c r="A6" s="18"/>
      <c r="B6" s="12">
        <v>2020</v>
      </c>
      <c r="C6" s="53"/>
      <c r="D6" s="301">
        <v>32368300</v>
      </c>
      <c r="E6" s="301">
        <v>36400</v>
      </c>
      <c r="F6" s="301">
        <v>57267990</v>
      </c>
      <c r="G6" s="301"/>
      <c r="H6" s="301">
        <v>621522</v>
      </c>
      <c r="I6" s="309">
        <f>SUM(D6:H6)</f>
        <v>90294212</v>
      </c>
      <c r="J6" s="303"/>
      <c r="K6" s="301"/>
      <c r="L6" s="301">
        <v>26425330</v>
      </c>
      <c r="M6" s="301"/>
      <c r="N6" s="1137">
        <f>SUM(J6:M6)</f>
        <v>26425330</v>
      </c>
      <c r="O6" s="303">
        <v>0</v>
      </c>
      <c r="P6" s="301">
        <f ca="1">SUM(O6:P6)</f>
        <v>0</v>
      </c>
      <c r="Q6" s="301">
        <f>+I6+N6</f>
        <v>116719542</v>
      </c>
      <c r="R6" s="320">
        <f>+Q6/Q106*100</f>
        <v>5.4457070185409195</v>
      </c>
    </row>
    <row r="7" spans="1:22" x14ac:dyDescent="0.2">
      <c r="A7" s="18"/>
      <c r="B7" s="12">
        <v>2021</v>
      </c>
      <c r="C7" s="55"/>
      <c r="D7" s="304">
        <v>12952233</v>
      </c>
      <c r="E7" s="304">
        <v>36400</v>
      </c>
      <c r="F7" s="304">
        <v>29252560</v>
      </c>
      <c r="G7" s="304"/>
      <c r="H7" s="304">
        <v>949957</v>
      </c>
      <c r="I7" s="309">
        <f>SUM(D7:H7)</f>
        <v>43191150</v>
      </c>
      <c r="J7" s="305"/>
      <c r="K7" s="304"/>
      <c r="L7" s="304">
        <v>16971368</v>
      </c>
      <c r="M7" s="304"/>
      <c r="N7" s="1137">
        <f>SUM(J7:M7)</f>
        <v>16971368</v>
      </c>
      <c r="O7" s="305"/>
      <c r="P7" s="304"/>
      <c r="Q7" s="301">
        <f>+I7+N7+P7</f>
        <v>60162518</v>
      </c>
      <c r="R7" s="320">
        <f>+Q7/Q107*100</f>
        <v>2.7996501516335903</v>
      </c>
    </row>
    <row r="8" spans="1:22" ht="12.75" thickBot="1" x14ac:dyDescent="0.25">
      <c r="A8" s="39"/>
      <c r="B8" s="50" t="s">
        <v>412</v>
      </c>
      <c r="C8" s="56"/>
      <c r="D8" s="321">
        <f t="shared" ref="D8:I8" si="0">+(D7-D6)/D7*100</f>
        <v>-149.90517079178548</v>
      </c>
      <c r="E8" s="321">
        <f t="shared" si="0"/>
        <v>0</v>
      </c>
      <c r="F8" s="321">
        <f t="shared" si="0"/>
        <v>-95.770865866098546</v>
      </c>
      <c r="G8" s="321" t="s">
        <v>83</v>
      </c>
      <c r="H8" s="321">
        <f t="shared" si="0"/>
        <v>34.573670176650104</v>
      </c>
      <c r="I8" s="321">
        <f t="shared" si="0"/>
        <v>-109.05720732140729</v>
      </c>
      <c r="J8" s="307"/>
      <c r="K8" s="306"/>
      <c r="L8" s="321">
        <f t="shared" ref="L8:N8" si="1">+(L7-L6)/L7*100</f>
        <v>-55.705362113413607</v>
      </c>
      <c r="M8" s="306"/>
      <c r="N8" s="1138">
        <f t="shared" si="1"/>
        <v>-55.705362113413607</v>
      </c>
      <c r="O8" s="307"/>
      <c r="P8" s="306"/>
      <c r="Q8" s="321">
        <f t="shared" ref="Q8:R8" si="2">+(Q7-Q6)/Q7*100</f>
        <v>-94.007075967132891</v>
      </c>
      <c r="R8" s="322">
        <f t="shared" si="2"/>
        <v>-94.513840072601937</v>
      </c>
    </row>
    <row r="9" spans="1:22" x14ac:dyDescent="0.2">
      <c r="A9" s="4" t="s">
        <v>112</v>
      </c>
      <c r="B9" s="28">
        <v>2019</v>
      </c>
      <c r="C9" s="57"/>
      <c r="D9" s="308"/>
      <c r="E9" s="308"/>
      <c r="F9" s="308"/>
      <c r="G9" s="308"/>
      <c r="H9" s="308"/>
      <c r="I9" s="309"/>
      <c r="J9" s="310"/>
      <c r="K9" s="308"/>
      <c r="L9" s="308"/>
      <c r="M9" s="308"/>
      <c r="N9" s="313"/>
      <c r="O9" s="310"/>
      <c r="P9" s="308"/>
      <c r="Q9" s="308"/>
      <c r="R9" s="58"/>
    </row>
    <row r="10" spans="1:22" x14ac:dyDescent="0.2">
      <c r="A10" s="18"/>
      <c r="B10" s="12">
        <v>2020</v>
      </c>
      <c r="C10" s="53"/>
      <c r="D10" s="301"/>
      <c r="E10" s="301"/>
      <c r="F10" s="301"/>
      <c r="G10" s="301"/>
      <c r="H10" s="301"/>
      <c r="I10" s="302"/>
      <c r="J10" s="303"/>
      <c r="K10" s="301"/>
      <c r="L10" s="301"/>
      <c r="M10" s="301"/>
      <c r="N10" s="1137"/>
      <c r="O10" s="303"/>
      <c r="P10" s="301"/>
      <c r="Q10" s="301"/>
      <c r="R10" s="54"/>
    </row>
    <row r="11" spans="1:22" x14ac:dyDescent="0.2">
      <c r="A11" s="18"/>
      <c r="B11" s="12">
        <v>2021</v>
      </c>
      <c r="C11" s="53"/>
      <c r="D11" s="301"/>
      <c r="E11" s="301"/>
      <c r="F11" s="301"/>
      <c r="G11" s="301"/>
      <c r="H11" s="301"/>
      <c r="I11" s="302"/>
      <c r="J11" s="303"/>
      <c r="K11" s="301"/>
      <c r="L11" s="301"/>
      <c r="M11" s="301"/>
      <c r="N11" s="1137"/>
      <c r="O11" s="303"/>
      <c r="P11" s="301"/>
      <c r="Q11" s="301"/>
      <c r="R11" s="54"/>
    </row>
    <row r="12" spans="1:22" ht="12.75" thickBot="1" x14ac:dyDescent="0.25">
      <c r="A12" s="19"/>
      <c r="B12" s="50" t="s">
        <v>412</v>
      </c>
      <c r="C12" s="56"/>
      <c r="D12" s="321"/>
      <c r="E12" s="321"/>
      <c r="F12" s="321"/>
      <c r="G12" s="321"/>
      <c r="H12" s="321"/>
      <c r="I12" s="321"/>
      <c r="J12" s="307"/>
      <c r="K12" s="306"/>
      <c r="L12" s="321"/>
      <c r="M12" s="306"/>
      <c r="N12" s="1138"/>
      <c r="O12" s="307"/>
      <c r="P12" s="306"/>
      <c r="Q12" s="321"/>
      <c r="R12" s="322"/>
    </row>
    <row r="13" spans="1:22" x14ac:dyDescent="0.2">
      <c r="A13" s="17" t="s">
        <v>113</v>
      </c>
      <c r="B13" s="28">
        <v>2019</v>
      </c>
      <c r="C13" s="52"/>
      <c r="D13" s="298"/>
      <c r="E13" s="298"/>
      <c r="F13" s="298"/>
      <c r="G13" s="298"/>
      <c r="H13" s="298"/>
      <c r="I13" s="299"/>
      <c r="J13" s="300"/>
      <c r="K13" s="298"/>
      <c r="L13" s="298"/>
      <c r="M13" s="298"/>
      <c r="N13" s="312"/>
      <c r="O13" s="300"/>
      <c r="P13" s="298"/>
      <c r="Q13" s="298"/>
      <c r="R13" s="51"/>
    </row>
    <row r="14" spans="1:22" x14ac:dyDescent="0.2">
      <c r="A14" s="18"/>
      <c r="B14" s="12">
        <v>2020</v>
      </c>
      <c r="C14" s="53"/>
      <c r="D14" s="301"/>
      <c r="E14" s="301"/>
      <c r="F14" s="301"/>
      <c r="G14" s="301"/>
      <c r="H14" s="301"/>
      <c r="I14" s="302"/>
      <c r="J14" s="303"/>
      <c r="K14" s="301"/>
      <c r="L14" s="301"/>
      <c r="M14" s="301"/>
      <c r="N14" s="1137"/>
      <c r="O14" s="303"/>
      <c r="P14" s="301"/>
      <c r="Q14" s="301"/>
      <c r="R14" s="54"/>
    </row>
    <row r="15" spans="1:22" x14ac:dyDescent="0.2">
      <c r="A15" s="18"/>
      <c r="B15" s="12">
        <v>2021</v>
      </c>
      <c r="C15" s="53"/>
      <c r="D15" s="301"/>
      <c r="E15" s="301"/>
      <c r="F15" s="301"/>
      <c r="G15" s="301"/>
      <c r="H15" s="301"/>
      <c r="I15" s="302"/>
      <c r="J15" s="303"/>
      <c r="K15" s="301"/>
      <c r="L15" s="301"/>
      <c r="M15" s="301"/>
      <c r="N15" s="1137"/>
      <c r="O15" s="303"/>
      <c r="P15" s="301"/>
      <c r="Q15" s="301"/>
      <c r="R15" s="54"/>
    </row>
    <row r="16" spans="1:22" ht="12.75" thickBot="1" x14ac:dyDescent="0.25">
      <c r="A16" s="19"/>
      <c r="B16" s="50" t="s">
        <v>412</v>
      </c>
      <c r="C16" s="56"/>
      <c r="D16" s="321"/>
      <c r="E16" s="321"/>
      <c r="F16" s="321"/>
      <c r="G16" s="321"/>
      <c r="H16" s="321"/>
      <c r="I16" s="321"/>
      <c r="J16" s="307"/>
      <c r="K16" s="306"/>
      <c r="L16" s="321"/>
      <c r="M16" s="306"/>
      <c r="N16" s="1138"/>
      <c r="O16" s="307"/>
      <c r="P16" s="306"/>
      <c r="Q16" s="321"/>
      <c r="R16" s="322"/>
    </row>
    <row r="17" spans="1:18" x14ac:dyDescent="0.2">
      <c r="A17" s="17" t="s">
        <v>232</v>
      </c>
      <c r="B17" s="28">
        <v>2019</v>
      </c>
      <c r="C17" s="52"/>
      <c r="D17" s="298"/>
      <c r="E17" s="298"/>
      <c r="F17" s="298"/>
      <c r="G17" s="298"/>
      <c r="H17" s="298"/>
      <c r="I17" s="299"/>
      <c r="J17" s="300"/>
      <c r="K17" s="298"/>
      <c r="L17" s="298"/>
      <c r="M17" s="298"/>
      <c r="N17" s="312"/>
      <c r="O17" s="300"/>
      <c r="P17" s="298"/>
      <c r="Q17" s="298"/>
      <c r="R17" s="51"/>
    </row>
    <row r="18" spans="1:18" x14ac:dyDescent="0.2">
      <c r="A18" s="18"/>
      <c r="B18" s="12">
        <v>2020</v>
      </c>
      <c r="C18" s="53"/>
      <c r="D18" s="301"/>
      <c r="E18" s="301"/>
      <c r="F18" s="301"/>
      <c r="G18" s="301"/>
      <c r="H18" s="301"/>
      <c r="I18" s="302"/>
      <c r="J18" s="303"/>
      <c r="K18" s="301"/>
      <c r="L18" s="301"/>
      <c r="M18" s="301"/>
      <c r="N18" s="1137"/>
      <c r="O18" s="303"/>
      <c r="P18" s="301"/>
      <c r="Q18" s="301"/>
      <c r="R18" s="54"/>
    </row>
    <row r="19" spans="1:18" x14ac:dyDescent="0.2">
      <c r="A19" s="18"/>
      <c r="B19" s="12">
        <v>2021</v>
      </c>
      <c r="C19" s="53"/>
      <c r="D19" s="301"/>
      <c r="E19" s="301"/>
      <c r="F19" s="301"/>
      <c r="G19" s="301"/>
      <c r="H19" s="301"/>
      <c r="I19" s="302"/>
      <c r="J19" s="303"/>
      <c r="K19" s="301"/>
      <c r="L19" s="301"/>
      <c r="M19" s="301"/>
      <c r="N19" s="1137"/>
      <c r="O19" s="303"/>
      <c r="P19" s="301"/>
      <c r="Q19" s="301"/>
      <c r="R19" s="54"/>
    </row>
    <row r="20" spans="1:18" ht="12.75" thickBot="1" x14ac:dyDescent="0.25">
      <c r="A20" s="19"/>
      <c r="B20" s="50" t="s">
        <v>412</v>
      </c>
      <c r="C20" s="56"/>
      <c r="D20" s="321"/>
      <c r="E20" s="321"/>
      <c r="F20" s="321"/>
      <c r="G20" s="321"/>
      <c r="H20" s="321"/>
      <c r="I20" s="321"/>
      <c r="J20" s="307"/>
      <c r="K20" s="306"/>
      <c r="L20" s="321"/>
      <c r="M20" s="306"/>
      <c r="N20" s="1138"/>
      <c r="O20" s="307"/>
      <c r="P20" s="306"/>
      <c r="Q20" s="321"/>
      <c r="R20" s="322"/>
    </row>
    <row r="21" spans="1:18" x14ac:dyDescent="0.2">
      <c r="A21" s="17" t="s">
        <v>233</v>
      </c>
      <c r="B21" s="28">
        <v>2019</v>
      </c>
      <c r="C21" s="52"/>
      <c r="D21" s="298">
        <v>184056</v>
      </c>
      <c r="E21" s="298">
        <v>1400000</v>
      </c>
      <c r="F21" s="298">
        <v>1184162</v>
      </c>
      <c r="G21" s="298"/>
      <c r="H21" s="298"/>
      <c r="I21" s="299">
        <f>SUM(D21:H21)</f>
        <v>2768218</v>
      </c>
      <c r="J21" s="300"/>
      <c r="K21" s="298"/>
      <c r="L21" s="298">
        <v>13138871</v>
      </c>
      <c r="M21" s="298"/>
      <c r="N21" s="312">
        <f>SUM(J21:M21)</f>
        <v>13138871</v>
      </c>
      <c r="O21" s="300"/>
      <c r="P21" s="298"/>
      <c r="Q21" s="298">
        <f>+I21+N21+P21</f>
        <v>15907089</v>
      </c>
      <c r="R21" s="319">
        <f>+Q21/Q105*100</f>
        <v>0.7961909194218445</v>
      </c>
    </row>
    <row r="22" spans="1:18" x14ac:dyDescent="0.2">
      <c r="A22" s="18"/>
      <c r="B22" s="12">
        <v>2020</v>
      </c>
      <c r="C22" s="53"/>
      <c r="D22" s="308">
        <v>177470</v>
      </c>
      <c r="E22" s="308">
        <v>1400000</v>
      </c>
      <c r="F22" s="308">
        <v>1173864</v>
      </c>
      <c r="G22" s="308"/>
      <c r="H22" s="308"/>
      <c r="I22" s="309">
        <f>SUM(D22:H22)</f>
        <v>2751334</v>
      </c>
      <c r="J22" s="310"/>
      <c r="K22" s="308"/>
      <c r="L22" s="308">
        <v>16973089</v>
      </c>
      <c r="M22" s="308"/>
      <c r="N22" s="313">
        <f>SUM(J22:M22)</f>
        <v>16973089</v>
      </c>
      <c r="O22" s="310"/>
      <c r="P22" s="308"/>
      <c r="Q22" s="301">
        <f>+I22+N22</f>
        <v>19724423</v>
      </c>
      <c r="R22" s="320">
        <f>+Q22/Q106*100</f>
        <v>0.92026945040419994</v>
      </c>
    </row>
    <row r="23" spans="1:18" x14ac:dyDescent="0.2">
      <c r="A23" s="18"/>
      <c r="B23" s="12">
        <v>2021</v>
      </c>
      <c r="C23" s="53"/>
      <c r="D23" s="301">
        <v>177352</v>
      </c>
      <c r="E23" s="301">
        <v>1400000</v>
      </c>
      <c r="F23" s="301">
        <v>971851</v>
      </c>
      <c r="G23" s="301"/>
      <c r="H23" s="301"/>
      <c r="I23" s="309">
        <f>SUM(D23:H23)</f>
        <v>2549203</v>
      </c>
      <c r="J23" s="303"/>
      <c r="K23" s="301"/>
      <c r="L23" s="301">
        <v>20719142</v>
      </c>
      <c r="M23" s="301"/>
      <c r="N23" s="313">
        <f>SUM(J23:M23)</f>
        <v>20719142</v>
      </c>
      <c r="O23" s="303"/>
      <c r="P23" s="301"/>
      <c r="Q23" s="301">
        <f>+I23+N23</f>
        <v>23268345</v>
      </c>
      <c r="R23" s="320">
        <f>+Q23/Q107*100</f>
        <v>1.0827875523347061</v>
      </c>
    </row>
    <row r="24" spans="1:18" ht="12.75" thickBot="1" x14ac:dyDescent="0.25">
      <c r="A24" s="19"/>
      <c r="B24" s="50" t="s">
        <v>412</v>
      </c>
      <c r="C24" s="56"/>
      <c r="D24" s="321">
        <f>+(D23-D22)/D23*100</f>
        <v>-6.6534349767693624E-2</v>
      </c>
      <c r="E24" s="321">
        <f t="shared" ref="E24" si="3">+(E23-E22)/E23*100</f>
        <v>0</v>
      </c>
      <c r="F24" s="321">
        <f t="shared" ref="F24" si="4">+(F23-F22)/F23*100</f>
        <v>-20.786416847850134</v>
      </c>
      <c r="G24" s="321" t="s">
        <v>83</v>
      </c>
      <c r="H24" s="321"/>
      <c r="I24" s="321">
        <f t="shared" ref="I24" si="5">+(I23-I22)/I23*100</f>
        <v>-7.9291841410825263</v>
      </c>
      <c r="J24" s="307"/>
      <c r="K24" s="306"/>
      <c r="L24" s="321">
        <f t="shared" ref="L24" si="6">+(L23-L22)/L23*100</f>
        <v>18.08015505661383</v>
      </c>
      <c r="M24" s="306"/>
      <c r="N24" s="1138">
        <f t="shared" ref="N24" si="7">+(N23-N22)/N23*100</f>
        <v>18.08015505661383</v>
      </c>
      <c r="O24" s="307"/>
      <c r="P24" s="306"/>
      <c r="Q24" s="321">
        <f t="shared" ref="Q24" si="8">+(Q23-Q22)/Q23*100</f>
        <v>15.230657788510529</v>
      </c>
      <c r="R24" s="322">
        <f t="shared" ref="R24" si="9">+(R23-R22)/R23*100</f>
        <v>15.009232566451722</v>
      </c>
    </row>
    <row r="25" spans="1:18" x14ac:dyDescent="0.2">
      <c r="A25" s="17" t="s">
        <v>234</v>
      </c>
      <c r="B25" s="28">
        <v>2019</v>
      </c>
      <c r="C25" s="52"/>
      <c r="D25" s="298"/>
      <c r="E25" s="298"/>
      <c r="F25" s="298"/>
      <c r="G25" s="298"/>
      <c r="H25" s="298"/>
      <c r="I25" s="299"/>
      <c r="J25" s="300"/>
      <c r="K25" s="298"/>
      <c r="L25" s="298"/>
      <c r="M25" s="298"/>
      <c r="N25" s="312"/>
      <c r="O25" s="300"/>
      <c r="P25" s="298"/>
      <c r="Q25" s="298"/>
      <c r="R25" s="51"/>
    </row>
    <row r="26" spans="1:18" x14ac:dyDescent="0.2">
      <c r="A26" s="18"/>
      <c r="B26" s="12">
        <v>2020</v>
      </c>
      <c r="C26" s="53"/>
      <c r="D26" s="301"/>
      <c r="E26" s="301"/>
      <c r="F26" s="301"/>
      <c r="G26" s="301"/>
      <c r="H26" s="301"/>
      <c r="I26" s="302"/>
      <c r="J26" s="303"/>
      <c r="K26" s="301"/>
      <c r="L26" s="301"/>
      <c r="M26" s="301"/>
      <c r="N26" s="1137"/>
      <c r="O26" s="303"/>
      <c r="P26" s="301"/>
      <c r="Q26" s="301"/>
      <c r="R26" s="54"/>
    </row>
    <row r="27" spans="1:18" x14ac:dyDescent="0.2">
      <c r="A27" s="18"/>
      <c r="B27" s="12">
        <v>2021</v>
      </c>
      <c r="C27" s="53"/>
      <c r="D27" s="301"/>
      <c r="E27" s="301"/>
      <c r="F27" s="301"/>
      <c r="G27" s="301"/>
      <c r="H27" s="301"/>
      <c r="I27" s="302"/>
      <c r="J27" s="303"/>
      <c r="K27" s="301"/>
      <c r="L27" s="301"/>
      <c r="M27" s="301"/>
      <c r="N27" s="1137"/>
      <c r="O27" s="303"/>
      <c r="P27" s="301"/>
      <c r="Q27" s="301"/>
      <c r="R27" s="54"/>
    </row>
    <row r="28" spans="1:18" ht="12.75" thickBot="1" x14ac:dyDescent="0.25">
      <c r="A28" s="19"/>
      <c r="B28" s="50" t="s">
        <v>412</v>
      </c>
      <c r="C28" s="56"/>
      <c r="D28" s="321"/>
      <c r="E28" s="321"/>
      <c r="F28" s="321"/>
      <c r="G28" s="321"/>
      <c r="H28" s="321"/>
      <c r="I28" s="321"/>
      <c r="J28" s="307"/>
      <c r="K28" s="306"/>
      <c r="L28" s="321"/>
      <c r="M28" s="306"/>
      <c r="N28" s="1138"/>
      <c r="O28" s="307"/>
      <c r="P28" s="306"/>
      <c r="Q28" s="321"/>
      <c r="R28" s="322"/>
    </row>
    <row r="29" spans="1:18" x14ac:dyDescent="0.2">
      <c r="A29" s="17" t="s">
        <v>235</v>
      </c>
      <c r="B29" s="28">
        <v>2019</v>
      </c>
      <c r="C29" s="52"/>
      <c r="D29" s="298">
        <v>883104</v>
      </c>
      <c r="E29" s="298">
        <v>0</v>
      </c>
      <c r="F29" s="298">
        <v>2033654</v>
      </c>
      <c r="G29" s="298"/>
      <c r="H29" s="298"/>
      <c r="I29" s="309">
        <f>SUM(D29:H29)</f>
        <v>2916758</v>
      </c>
      <c r="J29" s="300"/>
      <c r="K29" s="298"/>
      <c r="L29" s="298">
        <v>0</v>
      </c>
      <c r="M29" s="298"/>
      <c r="N29" s="1137">
        <f>SUM(J29:M29)</f>
        <v>0</v>
      </c>
      <c r="O29" s="300"/>
      <c r="P29" s="298"/>
      <c r="Q29" s="298">
        <f>+I29+N29+P29</f>
        <v>2916758</v>
      </c>
      <c r="R29" s="319">
        <f>+Q29/Q105*100</f>
        <v>0.14599127682953306</v>
      </c>
    </row>
    <row r="30" spans="1:18" x14ac:dyDescent="0.2">
      <c r="A30" s="18"/>
      <c r="B30" s="12">
        <v>2020</v>
      </c>
      <c r="C30" s="53"/>
      <c r="D30" s="308">
        <v>852705</v>
      </c>
      <c r="E30" s="308">
        <v>0</v>
      </c>
      <c r="F30" s="308">
        <v>2012032</v>
      </c>
      <c r="G30" s="308"/>
      <c r="H30" s="308"/>
      <c r="I30" s="309">
        <f>SUM(D30:H30)</f>
        <v>2864737</v>
      </c>
      <c r="J30" s="310"/>
      <c r="K30" s="308"/>
      <c r="L30" s="308">
        <v>0</v>
      </c>
      <c r="M30" s="308"/>
      <c r="N30" s="313">
        <f>SUM(J30:M30)</f>
        <v>0</v>
      </c>
      <c r="O30" s="310"/>
      <c r="P30" s="308"/>
      <c r="Q30" s="308">
        <f>+I30+N30+P30</f>
        <v>2864737</v>
      </c>
      <c r="R30" s="320">
        <f>+Q30/Q106*100</f>
        <v>0.13365815286675695</v>
      </c>
    </row>
    <row r="31" spans="1:18" x14ac:dyDescent="0.2">
      <c r="A31" s="18"/>
      <c r="B31" s="12">
        <v>2021</v>
      </c>
      <c r="C31" s="53"/>
      <c r="D31" s="301">
        <v>778484</v>
      </c>
      <c r="E31" s="301"/>
      <c r="F31" s="301">
        <v>1986931</v>
      </c>
      <c r="G31" s="301"/>
      <c r="H31" s="301"/>
      <c r="I31" s="309">
        <f>SUM(D31:H31)</f>
        <v>2765415</v>
      </c>
      <c r="J31" s="303"/>
      <c r="K31" s="301"/>
      <c r="L31" s="301"/>
      <c r="M31" s="301"/>
      <c r="N31" s="1137"/>
      <c r="O31" s="303"/>
      <c r="P31" s="301"/>
      <c r="Q31" s="308">
        <f>+I31+N31+P31</f>
        <v>2765415</v>
      </c>
      <c r="R31" s="320">
        <f>+Q31/Q107*100</f>
        <v>0.12868800677657483</v>
      </c>
    </row>
    <row r="32" spans="1:18" ht="12.75" thickBot="1" x14ac:dyDescent="0.25">
      <c r="A32" s="19"/>
      <c r="B32" s="50" t="s">
        <v>412</v>
      </c>
      <c r="C32" s="56"/>
      <c r="D32" s="321">
        <f>+(D31-D30)/D31*100</f>
        <v>-9.5340430888753005</v>
      </c>
      <c r="E32" s="321"/>
      <c r="F32" s="321">
        <f t="shared" ref="F32" si="10">+(F31-F30)/F31*100</f>
        <v>-1.2633050669600505</v>
      </c>
      <c r="G32" s="321" t="s">
        <v>83</v>
      </c>
      <c r="H32" s="321"/>
      <c r="I32" s="321">
        <f t="shared" ref="I32" si="11">+(I31-I30)/I31*100</f>
        <v>-3.5915766711325423</v>
      </c>
      <c r="J32" s="307"/>
      <c r="K32" s="306"/>
      <c r="L32" s="321"/>
      <c r="M32" s="306"/>
      <c r="N32" s="1138"/>
      <c r="O32" s="307"/>
      <c r="P32" s="306"/>
      <c r="Q32" s="321">
        <f t="shared" ref="Q32" si="12">+(Q31-Q30)/Q31*100</f>
        <v>-3.5915766711325423</v>
      </c>
      <c r="R32" s="322">
        <f t="shared" ref="R32" si="13">+(R31-R30)/R31*100</f>
        <v>-3.8621672793574104</v>
      </c>
    </row>
    <row r="33" spans="1:18" x14ac:dyDescent="0.2">
      <c r="A33" s="17" t="s">
        <v>236</v>
      </c>
      <c r="B33" s="28">
        <v>2019</v>
      </c>
      <c r="C33" s="52"/>
      <c r="D33" s="298">
        <v>99435</v>
      </c>
      <c r="E33" s="298"/>
      <c r="F33" s="298">
        <v>1620000</v>
      </c>
      <c r="G33" s="298"/>
      <c r="H33" s="298"/>
      <c r="I33" s="309">
        <f>SUM(D33:H33)</f>
        <v>1719435</v>
      </c>
      <c r="J33" s="300"/>
      <c r="K33" s="298"/>
      <c r="L33" s="298"/>
      <c r="M33" s="298"/>
      <c r="N33" s="1137"/>
      <c r="O33" s="300"/>
      <c r="P33" s="298"/>
      <c r="Q33" s="298">
        <f>+I33+N33+P33</f>
        <v>1719435</v>
      </c>
      <c r="R33" s="319">
        <f>+Q33/Q105*100</f>
        <v>8.6062165964878867E-2</v>
      </c>
    </row>
    <row r="34" spans="1:18" x14ac:dyDescent="0.2">
      <c r="A34" s="18"/>
      <c r="B34" s="12">
        <v>2020</v>
      </c>
      <c r="C34" s="53"/>
      <c r="D34" s="308">
        <v>100864</v>
      </c>
      <c r="E34" s="308"/>
      <c r="F34" s="308">
        <v>2063150</v>
      </c>
      <c r="G34" s="308"/>
      <c r="H34" s="308"/>
      <c r="I34" s="309">
        <f>SUM(D34:H34)</f>
        <v>2164014</v>
      </c>
      <c r="J34" s="310"/>
      <c r="K34" s="308"/>
      <c r="L34" s="308"/>
      <c r="M34" s="308"/>
      <c r="N34" s="313"/>
      <c r="O34" s="310"/>
      <c r="P34" s="308"/>
      <c r="Q34" s="308">
        <f>+I34+N34+P34</f>
        <v>2164014</v>
      </c>
      <c r="R34" s="408">
        <f>+Q34/Q106*100</f>
        <v>0.10096498003753999</v>
      </c>
    </row>
    <row r="35" spans="1:18" x14ac:dyDescent="0.2">
      <c r="A35" s="18"/>
      <c r="B35" s="12">
        <v>2021</v>
      </c>
      <c r="C35" s="53"/>
      <c r="D35" s="301">
        <v>95286</v>
      </c>
      <c r="E35" s="301"/>
      <c r="F35" s="301">
        <v>1768098</v>
      </c>
      <c r="G35" s="301"/>
      <c r="H35" s="301"/>
      <c r="I35" s="309">
        <f>SUM(D35:H35)</f>
        <v>1863384</v>
      </c>
      <c r="J35" s="303"/>
      <c r="K35" s="301"/>
      <c r="L35" s="301"/>
      <c r="M35" s="301"/>
      <c r="N35" s="1137"/>
      <c r="O35" s="303"/>
      <c r="P35" s="301"/>
      <c r="Q35" s="308">
        <f>+I35+N35+P35</f>
        <v>1863384</v>
      </c>
      <c r="R35" s="320">
        <f>+Q35/Q107*100</f>
        <v>8.6712183458671169E-2</v>
      </c>
    </row>
    <row r="36" spans="1:18" ht="12.75" thickBot="1" x14ac:dyDescent="0.25">
      <c r="A36" s="19"/>
      <c r="B36" s="50" t="s">
        <v>412</v>
      </c>
      <c r="C36" s="56"/>
      <c r="D36" s="321">
        <f>+(D35-D34)/D35*100</f>
        <v>-5.8539554604034167</v>
      </c>
      <c r="E36" s="321"/>
      <c r="F36" s="321">
        <f t="shared" ref="F36" si="14">+(F35-F34)/F35*100</f>
        <v>-16.687536550575814</v>
      </c>
      <c r="G36" s="321" t="s">
        <v>83</v>
      </c>
      <c r="H36" s="321"/>
      <c r="I36" s="321">
        <f t="shared" ref="I36" si="15">+(I35-I34)/I35*100</f>
        <v>-16.133550572506795</v>
      </c>
      <c r="J36" s="307"/>
      <c r="K36" s="306"/>
      <c r="L36" s="321"/>
      <c r="M36" s="306"/>
      <c r="N36" s="1138"/>
      <c r="O36" s="307"/>
      <c r="P36" s="306"/>
      <c r="Q36" s="321">
        <f t="shared" ref="Q36" si="16">+(Q35-Q34)/Q35*100</f>
        <v>-16.133550572506795</v>
      </c>
      <c r="R36" s="322">
        <f t="shared" ref="R36" si="17">+(R35-R34)/R35*100</f>
        <v>-16.436901955838774</v>
      </c>
    </row>
    <row r="37" spans="1:18" x14ac:dyDescent="0.2">
      <c r="A37" s="17" t="s">
        <v>237</v>
      </c>
      <c r="B37" s="28">
        <v>2019</v>
      </c>
      <c r="C37" s="52"/>
      <c r="D37" s="298">
        <v>519582</v>
      </c>
      <c r="E37" s="298"/>
      <c r="F37" s="298">
        <v>4176674</v>
      </c>
      <c r="G37" s="298"/>
      <c r="H37" s="298"/>
      <c r="I37" s="309">
        <f>SUM(D37:H37)</f>
        <v>4696256</v>
      </c>
      <c r="J37" s="300"/>
      <c r="K37" s="298"/>
      <c r="L37" s="298">
        <v>16603124</v>
      </c>
      <c r="M37" s="298"/>
      <c r="N37" s="1137">
        <f>SUM(J37:M37)</f>
        <v>16603124</v>
      </c>
      <c r="O37" s="300"/>
      <c r="P37" s="298"/>
      <c r="Q37" s="298">
        <f>+I37+N37+P37</f>
        <v>21299380</v>
      </c>
      <c r="R37" s="319">
        <f>+Q37/Q105*100</f>
        <v>1.0660890213989023</v>
      </c>
    </row>
    <row r="38" spans="1:18" x14ac:dyDescent="0.2">
      <c r="A38" s="18"/>
      <c r="B38" s="12">
        <v>2020</v>
      </c>
      <c r="C38" s="53"/>
      <c r="D38" s="308">
        <v>453663</v>
      </c>
      <c r="E38" s="308"/>
      <c r="F38" s="308">
        <v>7765115</v>
      </c>
      <c r="G38" s="308"/>
      <c r="H38" s="308"/>
      <c r="I38" s="309">
        <f>SUM(D38:H38)</f>
        <v>8218778</v>
      </c>
      <c r="J38" s="310"/>
      <c r="K38" s="308"/>
      <c r="L38" s="308">
        <v>14234752</v>
      </c>
      <c r="M38" s="308"/>
      <c r="N38" s="313">
        <f>SUM(J38:M38)</f>
        <v>14234752</v>
      </c>
      <c r="O38" s="310"/>
      <c r="P38" s="308"/>
      <c r="Q38" s="308">
        <f>+I38+N38+P38</f>
        <v>22453530</v>
      </c>
      <c r="R38" s="408">
        <f t="shared" ref="R38:R39" si="18">+Q38/Q106*100</f>
        <v>1.0475996034324662</v>
      </c>
    </row>
    <row r="39" spans="1:18" x14ac:dyDescent="0.2">
      <c r="A39" s="18"/>
      <c r="B39" s="12">
        <v>2021</v>
      </c>
      <c r="C39" s="53"/>
      <c r="D39" s="301">
        <v>414507</v>
      </c>
      <c r="E39" s="301"/>
      <c r="F39" s="301">
        <v>6145776</v>
      </c>
      <c r="G39" s="301"/>
      <c r="H39" s="301"/>
      <c r="I39" s="309">
        <f>SUM(D39:H39)</f>
        <v>6560283</v>
      </c>
      <c r="J39" s="303"/>
      <c r="K39" s="301"/>
      <c r="L39" s="301">
        <v>10937968</v>
      </c>
      <c r="M39" s="301"/>
      <c r="N39" s="313">
        <f>SUM(J39:M39)</f>
        <v>10937968</v>
      </c>
      <c r="O39" s="303"/>
      <c r="P39" s="301"/>
      <c r="Q39" s="308">
        <f>+I39+N39+P39</f>
        <v>17498251</v>
      </c>
      <c r="R39" s="320">
        <f t="shared" si="18"/>
        <v>0.81427743874471192</v>
      </c>
    </row>
    <row r="40" spans="1:18" ht="12.75" thickBot="1" x14ac:dyDescent="0.25">
      <c r="A40" s="19"/>
      <c r="B40" s="50" t="s">
        <v>412</v>
      </c>
      <c r="C40" s="56"/>
      <c r="D40" s="321">
        <f>+(D39-D38)/D39*100</f>
        <v>-9.4464025939248319</v>
      </c>
      <c r="E40" s="321"/>
      <c r="F40" s="321">
        <f t="shared" ref="F40" si="19">+(F39-F38)/F39*100</f>
        <v>-26.348812582821111</v>
      </c>
      <c r="G40" s="321" t="s">
        <v>83</v>
      </c>
      <c r="H40" s="321"/>
      <c r="I40" s="321">
        <f t="shared" ref="I40" si="20">+(I39-I38)/I39*100</f>
        <v>-25.280845353775135</v>
      </c>
      <c r="J40" s="307"/>
      <c r="K40" s="306"/>
      <c r="L40" s="321">
        <f t="shared" ref="L40" si="21">+(L39-L38)/L39*100</f>
        <v>-30.140735463844837</v>
      </c>
      <c r="M40" s="306"/>
      <c r="N40" s="1138">
        <f t="shared" ref="N40" si="22">+(N39-N38)/N39*100</f>
        <v>-30.140735463844837</v>
      </c>
      <c r="O40" s="307"/>
      <c r="P40" s="306"/>
      <c r="Q40" s="321">
        <f t="shared" ref="Q40" si="23">+(Q39-Q38)/Q39*100</f>
        <v>-28.318710252813268</v>
      </c>
      <c r="R40" s="322">
        <f t="shared" ref="R40" si="24">+(R39-R38)/R39*100</f>
        <v>-28.653890380094911</v>
      </c>
    </row>
    <row r="41" spans="1:18" x14ac:dyDescent="0.2">
      <c r="A41" s="17" t="s">
        <v>238</v>
      </c>
      <c r="B41" s="28">
        <v>2019</v>
      </c>
      <c r="C41" s="52"/>
      <c r="D41" s="298">
        <v>4266410</v>
      </c>
      <c r="E41" s="298">
        <v>15826</v>
      </c>
      <c r="F41" s="298">
        <v>4998798</v>
      </c>
      <c r="G41" s="298"/>
      <c r="H41" s="298"/>
      <c r="I41" s="309">
        <f>SUM(D41:H41)</f>
        <v>9281034</v>
      </c>
      <c r="J41" s="300"/>
      <c r="K41" s="298"/>
      <c r="L41" s="298">
        <v>69041291</v>
      </c>
      <c r="M41" s="298"/>
      <c r="N41" s="1137">
        <f>SUM(J41:M41)</f>
        <v>69041291</v>
      </c>
      <c r="O41" s="300"/>
      <c r="P41" s="298"/>
      <c r="Q41" s="298">
        <f>+I41+N41+P41</f>
        <v>78322325</v>
      </c>
      <c r="R41" s="319">
        <f>+Q41/Q105*100</f>
        <v>3.9202348055641427</v>
      </c>
    </row>
    <row r="42" spans="1:18" x14ac:dyDescent="0.2">
      <c r="A42" s="18"/>
      <c r="B42" s="12">
        <v>2020</v>
      </c>
      <c r="C42" s="53"/>
      <c r="D42" s="308">
        <v>3853874</v>
      </c>
      <c r="E42" s="308">
        <v>15826</v>
      </c>
      <c r="F42" s="308">
        <v>4841630</v>
      </c>
      <c r="G42" s="308"/>
      <c r="H42" s="308">
        <v>118752</v>
      </c>
      <c r="I42" s="309">
        <f>SUM(D42:H42)</f>
        <v>8830082</v>
      </c>
      <c r="J42" s="310"/>
      <c r="K42" s="308"/>
      <c r="L42" s="308">
        <v>76235217</v>
      </c>
      <c r="M42" s="308"/>
      <c r="N42" s="313">
        <f>SUM(J42:M42)</f>
        <v>76235217</v>
      </c>
      <c r="O42" s="310"/>
      <c r="P42" s="308"/>
      <c r="Q42" s="308">
        <f>+I42+N42+P42</f>
        <v>85065299</v>
      </c>
      <c r="R42" s="408">
        <f>+Q42/Q106*100</f>
        <v>3.9688357909987504</v>
      </c>
    </row>
    <row r="43" spans="1:18" x14ac:dyDescent="0.2">
      <c r="A43" s="18"/>
      <c r="B43" s="12">
        <v>2021</v>
      </c>
      <c r="C43" s="53"/>
      <c r="D43" s="301">
        <v>3808214</v>
      </c>
      <c r="E43" s="301">
        <v>15826</v>
      </c>
      <c r="F43" s="301">
        <v>4114897</v>
      </c>
      <c r="G43" s="301"/>
      <c r="H43" s="301">
        <v>118752</v>
      </c>
      <c r="I43" s="309">
        <f>SUM(D43:H43)</f>
        <v>8057689</v>
      </c>
      <c r="J43" s="303"/>
      <c r="K43" s="301"/>
      <c r="L43" s="301">
        <v>128692849</v>
      </c>
      <c r="M43" s="301"/>
      <c r="N43" s="1137">
        <f>SUM(J43:M43)</f>
        <v>128692849</v>
      </c>
      <c r="O43" s="303"/>
      <c r="P43" s="301"/>
      <c r="Q43" s="308">
        <f>+I43+N43+P43</f>
        <v>136750538</v>
      </c>
      <c r="R43" s="320">
        <f>+Q43/Q107*100</f>
        <v>6.363657592384599</v>
      </c>
    </row>
    <row r="44" spans="1:18" ht="12.75" thickBot="1" x14ac:dyDescent="0.25">
      <c r="A44" s="19"/>
      <c r="B44" s="50" t="s">
        <v>412</v>
      </c>
      <c r="C44" s="56"/>
      <c r="D44" s="321">
        <f>+(D43-D42)/D43*100</f>
        <v>-1.1989872417884078</v>
      </c>
      <c r="E44" s="321">
        <f t="shared" ref="E44" si="25">+(E43-E42)/E43*100</f>
        <v>0</v>
      </c>
      <c r="F44" s="321">
        <f t="shared" ref="F44" si="26">+(F43-F42)/F43*100</f>
        <v>-17.661025294193269</v>
      </c>
      <c r="G44" s="321" t="s">
        <v>83</v>
      </c>
      <c r="H44" s="321">
        <f t="shared" ref="H44" si="27">+(H43-H42)/H43*100</f>
        <v>0</v>
      </c>
      <c r="I44" s="321">
        <f t="shared" ref="I44" si="28">+(I43-I42)/I43*100</f>
        <v>-9.5857881831875122</v>
      </c>
      <c r="J44" s="307"/>
      <c r="K44" s="306"/>
      <c r="L44" s="321">
        <f t="shared" ref="L44" si="29">+(L43-L42)/L43*100</f>
        <v>40.76188568954597</v>
      </c>
      <c r="M44" s="306"/>
      <c r="N44" s="1138">
        <f t="shared" ref="N44" si="30">+(N43-N42)/N43*100</f>
        <v>40.76188568954597</v>
      </c>
      <c r="O44" s="307"/>
      <c r="P44" s="306"/>
      <c r="Q44" s="321">
        <f t="shared" ref="Q44" si="31">+(Q43-Q42)/Q43*100</f>
        <v>37.795272878560816</v>
      </c>
      <c r="R44" s="322">
        <f t="shared" ref="R44" si="32">+(R43-R42)/R43*100</f>
        <v>37.632788480821731</v>
      </c>
    </row>
    <row r="45" spans="1:18" x14ac:dyDescent="0.2">
      <c r="A45" s="17" t="s">
        <v>239</v>
      </c>
      <c r="B45" s="28">
        <v>2019</v>
      </c>
      <c r="C45" s="52"/>
      <c r="D45" s="298">
        <v>847245</v>
      </c>
      <c r="E45" s="298">
        <v>0</v>
      </c>
      <c r="F45" s="298">
        <v>564970</v>
      </c>
      <c r="G45" s="298"/>
      <c r="H45" s="298"/>
      <c r="I45" s="309">
        <f>SUM(D45:H45)</f>
        <v>1412215</v>
      </c>
      <c r="J45" s="300"/>
      <c r="K45" s="298"/>
      <c r="L45" s="298">
        <v>0</v>
      </c>
      <c r="M45" s="298"/>
      <c r="N45" s="1137">
        <f>SUM(J45:M45)</f>
        <v>0</v>
      </c>
      <c r="O45" s="300"/>
      <c r="P45" s="298"/>
      <c r="Q45" s="298">
        <f>+I45+N45+P45</f>
        <v>1412215</v>
      </c>
      <c r="R45" s="319">
        <f>+Q45/Q105*100</f>
        <v>7.0685010894911082E-2</v>
      </c>
    </row>
    <row r="46" spans="1:18" x14ac:dyDescent="0.2">
      <c r="A46" s="18"/>
      <c r="B46" s="12">
        <v>2020</v>
      </c>
      <c r="C46" s="53"/>
      <c r="D46" s="308">
        <v>747822</v>
      </c>
      <c r="E46" s="308">
        <v>0</v>
      </c>
      <c r="F46" s="308">
        <v>757012</v>
      </c>
      <c r="G46" s="308"/>
      <c r="H46" s="308"/>
      <c r="I46" s="309">
        <f>SUM(D46:H46)</f>
        <v>1504834</v>
      </c>
      <c r="J46" s="310"/>
      <c r="K46" s="308"/>
      <c r="L46" s="308">
        <v>0</v>
      </c>
      <c r="M46" s="308"/>
      <c r="N46" s="313">
        <f>SUM(J46:M46)</f>
        <v>0</v>
      </c>
      <c r="O46" s="310"/>
      <c r="P46" s="308"/>
      <c r="Q46" s="308">
        <f>+I46+N46+P46</f>
        <v>1504834</v>
      </c>
      <c r="R46" s="408">
        <f>+Q46/Q106*100</f>
        <v>7.0210051677027707E-2</v>
      </c>
    </row>
    <row r="47" spans="1:18" x14ac:dyDescent="0.2">
      <c r="A47" s="18"/>
      <c r="B47" s="12">
        <v>2021</v>
      </c>
      <c r="C47" s="53"/>
      <c r="D47" s="301">
        <v>686932</v>
      </c>
      <c r="E47" s="301"/>
      <c r="F47" s="301">
        <v>441502</v>
      </c>
      <c r="G47" s="301"/>
      <c r="H47" s="301"/>
      <c r="I47" s="309">
        <f>SUM(D47:H47)</f>
        <v>1128434</v>
      </c>
      <c r="J47" s="303"/>
      <c r="K47" s="301"/>
      <c r="L47" s="301"/>
      <c r="M47" s="301"/>
      <c r="N47" s="1137"/>
      <c r="O47" s="303"/>
      <c r="P47" s="301"/>
      <c r="Q47" s="308">
        <f>+I47+N47+P47</f>
        <v>1128434</v>
      </c>
      <c r="R47" s="320">
        <f>+Q47/Q107*100</f>
        <v>5.2511439418285302E-2</v>
      </c>
    </row>
    <row r="48" spans="1:18" ht="12.75" thickBot="1" x14ac:dyDescent="0.25">
      <c r="A48" s="19"/>
      <c r="B48" s="50" t="s">
        <v>412</v>
      </c>
      <c r="C48" s="56"/>
      <c r="D48" s="321">
        <f>+(D47-D46)/D47*100</f>
        <v>-8.8640505901603071</v>
      </c>
      <c r="E48" s="321"/>
      <c r="F48" s="321">
        <f t="shared" ref="F48" si="33">+(F47-F46)/F47*100</f>
        <v>-71.46286993037404</v>
      </c>
      <c r="G48" s="321" t="s">
        <v>83</v>
      </c>
      <c r="H48" s="321"/>
      <c r="I48" s="321">
        <f t="shared" ref="I48" si="34">+(I47-I46)/I47*100</f>
        <v>-33.355960561273413</v>
      </c>
      <c r="J48" s="307"/>
      <c r="K48" s="306"/>
      <c r="L48" s="321"/>
      <c r="M48" s="306"/>
      <c r="N48" s="1138"/>
      <c r="O48" s="307"/>
      <c r="P48" s="306"/>
      <c r="Q48" s="321">
        <f t="shared" ref="Q48" si="35">+(Q47-Q46)/Q47*100</f>
        <v>-33.355960561273413</v>
      </c>
      <c r="R48" s="322">
        <f t="shared" ref="R48" si="36">+(R47-R46)/R47*100</f>
        <v>-33.70429844393005</v>
      </c>
    </row>
    <row r="49" spans="1:18" x14ac:dyDescent="0.2">
      <c r="A49" s="17" t="s">
        <v>240</v>
      </c>
      <c r="B49" s="28">
        <v>2019</v>
      </c>
      <c r="C49" s="52"/>
      <c r="D49" s="298">
        <v>0</v>
      </c>
      <c r="E49" s="298"/>
      <c r="F49" s="298">
        <v>0</v>
      </c>
      <c r="G49" s="298"/>
      <c r="H49" s="298"/>
      <c r="I49" s="309">
        <f>SUM(D49:H49)</f>
        <v>0</v>
      </c>
      <c r="J49" s="300"/>
      <c r="K49" s="298"/>
      <c r="L49" s="298">
        <v>12689219</v>
      </c>
      <c r="M49" s="298"/>
      <c r="N49" s="1137">
        <f>SUM(J49:M49)</f>
        <v>12689219</v>
      </c>
      <c r="O49" s="300"/>
      <c r="P49" s="298"/>
      <c r="Q49" s="298">
        <f>+I49+N49+P49</f>
        <v>12689219</v>
      </c>
      <c r="R49" s="319">
        <f>+Q49/Q105*100</f>
        <v>0.63512820870966002</v>
      </c>
    </row>
    <row r="50" spans="1:18" x14ac:dyDescent="0.2">
      <c r="A50" s="18"/>
      <c r="B50" s="12">
        <v>2020</v>
      </c>
      <c r="C50" s="53"/>
      <c r="D50" s="308">
        <v>0</v>
      </c>
      <c r="E50" s="308"/>
      <c r="F50" s="308">
        <v>0</v>
      </c>
      <c r="G50" s="308"/>
      <c r="H50" s="308"/>
      <c r="I50" s="309">
        <f>SUM(D50:H50)</f>
        <v>0</v>
      </c>
      <c r="J50" s="310"/>
      <c r="K50" s="308"/>
      <c r="L50" s="308">
        <v>9134238</v>
      </c>
      <c r="M50" s="308"/>
      <c r="N50" s="313">
        <f>SUM(J50:M50)</f>
        <v>9134238</v>
      </c>
      <c r="O50" s="310"/>
      <c r="P50" s="308"/>
      <c r="Q50" s="308">
        <f>+I50+N50+P50</f>
        <v>9134238</v>
      </c>
      <c r="R50" s="408">
        <f>+Q50/Q106*100</f>
        <v>0.42617014369044703</v>
      </c>
    </row>
    <row r="51" spans="1:18" x14ac:dyDescent="0.2">
      <c r="A51" s="18"/>
      <c r="B51" s="12">
        <v>2021</v>
      </c>
      <c r="C51" s="53"/>
      <c r="D51" s="301"/>
      <c r="E51" s="301"/>
      <c r="F51" s="301"/>
      <c r="G51" s="301"/>
      <c r="H51" s="301"/>
      <c r="I51" s="302"/>
      <c r="J51" s="303"/>
      <c r="K51" s="301"/>
      <c r="L51" s="301">
        <v>10449024</v>
      </c>
      <c r="M51" s="301"/>
      <c r="N51" s="313">
        <f>SUM(J51:M51)</f>
        <v>10449024</v>
      </c>
      <c r="O51" s="303"/>
      <c r="P51" s="301"/>
      <c r="Q51" s="308">
        <f>+I51+N51+P51</f>
        <v>10449024</v>
      </c>
      <c r="R51" s="320">
        <f>+Q51/Q107*100</f>
        <v>0.48624313939158975</v>
      </c>
    </row>
    <row r="52" spans="1:18" ht="12.75" thickBot="1" x14ac:dyDescent="0.25">
      <c r="A52" s="19"/>
      <c r="B52" s="50" t="s">
        <v>412</v>
      </c>
      <c r="C52" s="56"/>
      <c r="D52" s="321"/>
      <c r="E52" s="321"/>
      <c r="F52" s="321"/>
      <c r="G52" s="321"/>
      <c r="H52" s="321"/>
      <c r="I52" s="321"/>
      <c r="J52" s="307"/>
      <c r="K52" s="306"/>
      <c r="L52" s="321">
        <f t="shared" ref="L52" si="37">+(L51-L50)/L51*100</f>
        <v>12.582859413472491</v>
      </c>
      <c r="M52" s="306"/>
      <c r="N52" s="1138">
        <f t="shared" ref="N52" si="38">+(N51-N50)/N51*100</f>
        <v>12.582859413472491</v>
      </c>
      <c r="O52" s="307"/>
      <c r="P52" s="306"/>
      <c r="Q52" s="321">
        <f t="shared" ref="Q52" si="39">+(Q51-Q50)/Q51*100</f>
        <v>12.582859413472491</v>
      </c>
      <c r="R52" s="322">
        <f t="shared" ref="R52" si="40">+(R51-R50)/R51*100</f>
        <v>12.354517901539726</v>
      </c>
    </row>
    <row r="53" spans="1:18" x14ac:dyDescent="0.2">
      <c r="A53" s="17" t="s">
        <v>241</v>
      </c>
      <c r="B53" s="28">
        <v>2019</v>
      </c>
      <c r="C53" s="52"/>
      <c r="D53" s="298">
        <v>332223</v>
      </c>
      <c r="E53" s="298"/>
      <c r="F53" s="298">
        <v>298917</v>
      </c>
      <c r="G53" s="298"/>
      <c r="H53" s="298"/>
      <c r="I53" s="309">
        <f>SUM(D53:H53)</f>
        <v>631140</v>
      </c>
      <c r="J53" s="300"/>
      <c r="K53" s="298"/>
      <c r="L53" s="298">
        <v>0</v>
      </c>
      <c r="M53" s="298"/>
      <c r="N53" s="1137">
        <f>SUM(J53:M53)</f>
        <v>0</v>
      </c>
      <c r="O53" s="300"/>
      <c r="P53" s="298"/>
      <c r="Q53" s="298">
        <f>+I53+N53+P53</f>
        <v>631140</v>
      </c>
      <c r="R53" s="319">
        <f>+Q53/Q105*100</f>
        <v>3.1590188304340468E-2</v>
      </c>
    </row>
    <row r="54" spans="1:18" x14ac:dyDescent="0.2">
      <c r="A54" s="18"/>
      <c r="B54" s="12">
        <v>2020</v>
      </c>
      <c r="C54" s="53"/>
      <c r="D54" s="308">
        <v>306768</v>
      </c>
      <c r="E54" s="308"/>
      <c r="F54" s="308">
        <v>636458</v>
      </c>
      <c r="G54" s="308"/>
      <c r="H54" s="308"/>
      <c r="I54" s="309">
        <f>SUM(D54:H54)</f>
        <v>943226</v>
      </c>
      <c r="J54" s="310"/>
      <c r="K54" s="308"/>
      <c r="L54" s="308">
        <v>0</v>
      </c>
      <c r="M54" s="308"/>
      <c r="N54" s="313">
        <f>SUM(J54:M54)</f>
        <v>0</v>
      </c>
      <c r="O54" s="310"/>
      <c r="P54" s="308"/>
      <c r="Q54" s="308">
        <f>+I54+N54+P54</f>
        <v>943226</v>
      </c>
      <c r="R54" s="320">
        <f>+Q54/Q106*100</f>
        <v>4.4007476042617413E-2</v>
      </c>
    </row>
    <row r="55" spans="1:18" x14ac:dyDescent="0.2">
      <c r="A55" s="18"/>
      <c r="B55" s="12">
        <v>2021</v>
      </c>
      <c r="C55" s="53"/>
      <c r="D55" s="301">
        <v>292885</v>
      </c>
      <c r="E55" s="301"/>
      <c r="F55" s="301">
        <v>663580</v>
      </c>
      <c r="G55" s="301"/>
      <c r="H55" s="301"/>
      <c r="I55" s="309">
        <f>SUM(D55:H55)</f>
        <v>956465</v>
      </c>
      <c r="J55" s="303"/>
      <c r="K55" s="301"/>
      <c r="L55" s="301"/>
      <c r="M55" s="301"/>
      <c r="N55" s="1137"/>
      <c r="O55" s="303"/>
      <c r="P55" s="301"/>
      <c r="Q55" s="308">
        <f>+I55+N55+P55</f>
        <v>956465</v>
      </c>
      <c r="R55" s="320">
        <f>+Q55/Q107*100</f>
        <v>4.4508898086383655E-2</v>
      </c>
    </row>
    <row r="56" spans="1:18" ht="12.75" thickBot="1" x14ac:dyDescent="0.25">
      <c r="A56" s="19"/>
      <c r="B56" s="50" t="s">
        <v>412</v>
      </c>
      <c r="C56" s="56"/>
      <c r="D56" s="321">
        <f>+(D55-D54)/D55*100</f>
        <v>-4.7400856991652018</v>
      </c>
      <c r="E56" s="321"/>
      <c r="F56" s="321">
        <f t="shared" ref="F56" si="41">+(F55-F54)/F55*100</f>
        <v>4.0872238464088735</v>
      </c>
      <c r="G56" s="321" t="s">
        <v>83</v>
      </c>
      <c r="H56" s="321"/>
      <c r="I56" s="321">
        <f t="shared" ref="I56" si="42">+(I55-I54)/I55*100</f>
        <v>1.3841593785449546</v>
      </c>
      <c r="J56" s="307"/>
      <c r="K56" s="306"/>
      <c r="L56" s="321"/>
      <c r="M56" s="306"/>
      <c r="N56" s="1138"/>
      <c r="O56" s="307"/>
      <c r="P56" s="306"/>
      <c r="Q56" s="321">
        <f t="shared" ref="Q56" si="43">+(Q55-Q54)/Q55*100</f>
        <v>1.3841593785449546</v>
      </c>
      <c r="R56" s="322">
        <f t="shared" ref="R56" si="44">+(R55-R54)/R55*100</f>
        <v>1.1265658448633646</v>
      </c>
    </row>
    <row r="57" spans="1:18" x14ac:dyDescent="0.2">
      <c r="A57" s="17" t="s">
        <v>242</v>
      </c>
      <c r="B57" s="28">
        <v>2019</v>
      </c>
      <c r="C57" s="52"/>
      <c r="D57" s="298">
        <v>103911</v>
      </c>
      <c r="E57" s="298"/>
      <c r="F57" s="298">
        <v>0</v>
      </c>
      <c r="G57" s="298"/>
      <c r="H57" s="298"/>
      <c r="I57" s="309">
        <f>SUM(D57:H57)</f>
        <v>103911</v>
      </c>
      <c r="J57" s="300"/>
      <c r="K57" s="298"/>
      <c r="L57" s="298"/>
      <c r="M57" s="298"/>
      <c r="N57" s="1137"/>
      <c r="O57" s="300"/>
      <c r="P57" s="298"/>
      <c r="Q57" s="298">
        <f>+I57+N57+P57</f>
        <v>103911</v>
      </c>
      <c r="R57" s="319">
        <f>+Q57/Q105*100</f>
        <v>5.2010141282319653E-3</v>
      </c>
    </row>
    <row r="58" spans="1:18" x14ac:dyDescent="0.2">
      <c r="A58" s="18"/>
      <c r="B58" s="12">
        <v>2020</v>
      </c>
      <c r="C58" s="53"/>
      <c r="D58" s="308">
        <v>97120</v>
      </c>
      <c r="E58" s="308"/>
      <c r="F58" s="308">
        <v>46000</v>
      </c>
      <c r="G58" s="308"/>
      <c r="H58" s="308"/>
      <c r="I58" s="309">
        <f>SUM(D58:H58)</f>
        <v>143120</v>
      </c>
      <c r="J58" s="310"/>
      <c r="K58" s="308"/>
      <c r="L58" s="308"/>
      <c r="M58" s="308"/>
      <c r="N58" s="313"/>
      <c r="O58" s="310"/>
      <c r="P58" s="308"/>
      <c r="Q58" s="308">
        <f>+I58+N58+P58</f>
        <v>143120</v>
      </c>
      <c r="R58" s="320">
        <f>+Q58/Q106*100</f>
        <v>6.6774558496260766E-3</v>
      </c>
    </row>
    <row r="59" spans="1:18" x14ac:dyDescent="0.2">
      <c r="A59" s="18"/>
      <c r="B59" s="12">
        <v>2021</v>
      </c>
      <c r="C59" s="53"/>
      <c r="D59" s="301">
        <v>84221</v>
      </c>
      <c r="E59" s="301"/>
      <c r="F59" s="301">
        <v>46000</v>
      </c>
      <c r="G59" s="301"/>
      <c r="H59" s="301"/>
      <c r="I59" s="309">
        <f>SUM(D59:H59)</f>
        <v>130221</v>
      </c>
      <c r="J59" s="303"/>
      <c r="K59" s="301"/>
      <c r="L59" s="301"/>
      <c r="M59" s="301"/>
      <c r="N59" s="1137"/>
      <c r="O59" s="303"/>
      <c r="P59" s="301"/>
      <c r="Q59" s="308">
        <f>+I59+N59+P59</f>
        <v>130221</v>
      </c>
      <c r="R59" s="320">
        <f>+Q59/Q107*100</f>
        <v>6.0598069116036294E-3</v>
      </c>
    </row>
    <row r="60" spans="1:18" ht="12.75" thickBot="1" x14ac:dyDescent="0.25">
      <c r="A60" s="19"/>
      <c r="B60" s="50" t="s">
        <v>412</v>
      </c>
      <c r="C60" s="56"/>
      <c r="D60" s="321">
        <f>+(D59-D58)/D59*100</f>
        <v>-15.315657615084124</v>
      </c>
      <c r="E60" s="321"/>
      <c r="F60" s="321">
        <f t="shared" ref="F60" si="45">+(F59-F58)/F59*100</f>
        <v>0</v>
      </c>
      <c r="G60" s="321" t="s">
        <v>83</v>
      </c>
      <c r="H60" s="321"/>
      <c r="I60" s="321">
        <f t="shared" ref="I60" si="46">+(I59-I58)/I59*100</f>
        <v>-9.9054683960344327</v>
      </c>
      <c r="J60" s="307"/>
      <c r="K60" s="306"/>
      <c r="L60" s="321"/>
      <c r="M60" s="306"/>
      <c r="N60" s="1138"/>
      <c r="O60" s="307"/>
      <c r="P60" s="306"/>
      <c r="Q60" s="321">
        <f t="shared" ref="Q60" si="47">+(Q59-Q58)/Q59*100</f>
        <v>-9.9054683960344327</v>
      </c>
      <c r="R60" s="322">
        <f t="shared" ref="R60" si="48">+(R59-R58)/R59*100</f>
        <v>-10.192551462980468</v>
      </c>
    </row>
    <row r="61" spans="1:18" x14ac:dyDescent="0.2">
      <c r="A61" s="17" t="s">
        <v>243</v>
      </c>
      <c r="B61" s="28">
        <v>2019</v>
      </c>
      <c r="C61" s="52"/>
      <c r="D61" s="298">
        <v>4539935</v>
      </c>
      <c r="E61" s="298">
        <v>32500</v>
      </c>
      <c r="F61" s="298">
        <v>11511072</v>
      </c>
      <c r="G61" s="298">
        <v>0</v>
      </c>
      <c r="H61" s="298">
        <v>4000</v>
      </c>
      <c r="I61" s="309">
        <f>SUM(D61:H61)</f>
        <v>16087507</v>
      </c>
      <c r="J61" s="300"/>
      <c r="K61" s="298"/>
      <c r="L61" s="298">
        <v>72832430</v>
      </c>
      <c r="M61" s="298"/>
      <c r="N61" s="1137">
        <f>SUM(J61:M61)</f>
        <v>72832430</v>
      </c>
      <c r="O61" s="300"/>
      <c r="P61" s="298"/>
      <c r="Q61" s="298">
        <f>+I61+N61+P61</f>
        <v>88919937</v>
      </c>
      <c r="R61" s="319">
        <f>+Q61/Q105*100</f>
        <v>4.4506726777578534</v>
      </c>
    </row>
    <row r="62" spans="1:18" x14ac:dyDescent="0.2">
      <c r="A62" s="18"/>
      <c r="B62" s="12">
        <v>2020</v>
      </c>
      <c r="C62" s="53"/>
      <c r="D62" s="308">
        <v>4521096</v>
      </c>
      <c r="E62" s="308">
        <v>32502</v>
      </c>
      <c r="F62" s="308">
        <v>28512224</v>
      </c>
      <c r="G62" s="308"/>
      <c r="H62" s="308">
        <v>290646</v>
      </c>
      <c r="I62" s="309">
        <f>SUM(D62:H62)</f>
        <v>33356468</v>
      </c>
      <c r="J62" s="310"/>
      <c r="K62" s="308"/>
      <c r="L62" s="308">
        <v>256732914</v>
      </c>
      <c r="M62" s="308"/>
      <c r="N62" s="313">
        <f>SUM(J62:M62)</f>
        <v>256732914</v>
      </c>
      <c r="O62" s="310"/>
      <c r="P62" s="308"/>
      <c r="Q62" s="308">
        <f>+I62+N62+P62</f>
        <v>290089382</v>
      </c>
      <c r="R62" s="320">
        <f>+Q62/Q106*100</f>
        <v>13.534509787243664</v>
      </c>
    </row>
    <row r="63" spans="1:18" x14ac:dyDescent="0.2">
      <c r="A63" s="18"/>
      <c r="B63" s="12">
        <v>2021</v>
      </c>
      <c r="C63" s="53"/>
      <c r="D63" s="301">
        <v>4571904</v>
      </c>
      <c r="E63" s="301">
        <v>32502</v>
      </c>
      <c r="F63" s="301">
        <v>4900289</v>
      </c>
      <c r="G63" s="301"/>
      <c r="H63" s="301">
        <v>290646</v>
      </c>
      <c r="I63" s="309">
        <f>SUM(D63:H63)</f>
        <v>9795341</v>
      </c>
      <c r="J63" s="303"/>
      <c r="K63" s="301"/>
      <c r="L63" s="301">
        <v>287716643</v>
      </c>
      <c r="M63" s="301"/>
      <c r="N63" s="313">
        <f>SUM(J63:M63)</f>
        <v>287716643</v>
      </c>
      <c r="O63" s="303"/>
      <c r="P63" s="301"/>
      <c r="Q63" s="308">
        <f>+I63+N63+P63</f>
        <v>297511984</v>
      </c>
      <c r="R63" s="320">
        <f>+Q63/Q107*100</f>
        <v>13.844657750501904</v>
      </c>
    </row>
    <row r="64" spans="1:18" ht="12.75" thickBot="1" x14ac:dyDescent="0.25">
      <c r="A64" s="19"/>
      <c r="B64" s="50" t="s">
        <v>412</v>
      </c>
      <c r="C64" s="56"/>
      <c r="D64" s="321">
        <f>+(D63-D62)/D63*100</f>
        <v>1.1113094238199228</v>
      </c>
      <c r="E64" s="321">
        <f t="shared" ref="E64" si="49">+(E63-E62)/E63*100</f>
        <v>0</v>
      </c>
      <c r="F64" s="321">
        <f t="shared" ref="F64" si="50">+(F63-F62)/F63*100</f>
        <v>-481.84780530291169</v>
      </c>
      <c r="G64" s="321" t="s">
        <v>83</v>
      </c>
      <c r="H64" s="321">
        <f t="shared" ref="H64" si="51">+(H63-H62)/H63*100</f>
        <v>0</v>
      </c>
      <c r="I64" s="321">
        <f t="shared" ref="I64" si="52">+(I63-I62)/I63*100</f>
        <v>-240.53401509962748</v>
      </c>
      <c r="J64" s="307"/>
      <c r="K64" s="306"/>
      <c r="L64" s="321">
        <f t="shared" ref="L64" si="53">+(L63-L62)/L63*100</f>
        <v>10.76883446050773</v>
      </c>
      <c r="M64" s="306"/>
      <c r="N64" s="1138">
        <f t="shared" ref="N64" si="54">+(N63-N62)/N63*100</f>
        <v>10.76883446050773</v>
      </c>
      <c r="O64" s="307"/>
      <c r="P64" s="306"/>
      <c r="Q64" s="321">
        <f t="shared" ref="Q64" si="55">+(Q63-Q62)/Q63*100</f>
        <v>2.4948917687967822</v>
      </c>
      <c r="R64" s="322">
        <f t="shared" ref="R64" si="56">+(R63-R62)/R63*100</f>
        <v>2.2401995690142384</v>
      </c>
    </row>
    <row r="65" spans="1:18" x14ac:dyDescent="0.2">
      <c r="A65" s="17" t="s">
        <v>244</v>
      </c>
      <c r="B65" s="28">
        <v>2019</v>
      </c>
      <c r="C65" s="52"/>
      <c r="D65" s="298">
        <v>0</v>
      </c>
      <c r="E65" s="298">
        <v>0</v>
      </c>
      <c r="F65" s="298">
        <v>171921</v>
      </c>
      <c r="G65" s="298"/>
      <c r="H65" s="298"/>
      <c r="I65" s="309">
        <f>SUM(D65:H65)</f>
        <v>171921</v>
      </c>
      <c r="J65" s="300"/>
      <c r="K65" s="298"/>
      <c r="L65" s="298">
        <v>0</v>
      </c>
      <c r="M65" s="298"/>
      <c r="N65" s="1137">
        <f>SUM(J65:M65)</f>
        <v>0</v>
      </c>
      <c r="O65" s="300"/>
      <c r="P65" s="298"/>
      <c r="Q65" s="298">
        <f>+I65+N65+P65</f>
        <v>171921</v>
      </c>
      <c r="R65" s="319">
        <f>+Q65/Q105*100</f>
        <v>8.6050904133322531E-3</v>
      </c>
    </row>
    <row r="66" spans="1:18" x14ac:dyDescent="0.2">
      <c r="A66" s="18"/>
      <c r="B66" s="12">
        <v>2020</v>
      </c>
      <c r="C66" s="53"/>
      <c r="D66" s="308">
        <v>0</v>
      </c>
      <c r="E66" s="308">
        <v>0</v>
      </c>
      <c r="F66" s="308">
        <v>545389</v>
      </c>
      <c r="G66" s="308"/>
      <c r="H66" s="308"/>
      <c r="I66" s="309">
        <f>SUM(D66:H66)</f>
        <v>545389</v>
      </c>
      <c r="J66" s="310"/>
      <c r="K66" s="308"/>
      <c r="L66" s="308">
        <v>0</v>
      </c>
      <c r="M66" s="308"/>
      <c r="N66" s="313">
        <f>SUM(J66:M66)</f>
        <v>0</v>
      </c>
      <c r="O66" s="310"/>
      <c r="P66" s="308"/>
      <c r="Q66" s="308">
        <f>+I66+N66+P66</f>
        <v>545389</v>
      </c>
      <c r="R66" s="320">
        <f>+Q66/Q106*100</f>
        <v>2.5445856402820821E-2</v>
      </c>
    </row>
    <row r="67" spans="1:18" x14ac:dyDescent="0.2">
      <c r="A67" s="18"/>
      <c r="B67" s="12">
        <v>2021</v>
      </c>
      <c r="C67" s="53"/>
      <c r="D67" s="301"/>
      <c r="E67" s="301"/>
      <c r="F67" s="301">
        <v>75960</v>
      </c>
      <c r="G67" s="301"/>
      <c r="H67" s="301"/>
      <c r="I67" s="309">
        <f>SUM(D67:H67)</f>
        <v>75960</v>
      </c>
      <c r="J67" s="303"/>
      <c r="K67" s="301"/>
      <c r="L67" s="301"/>
      <c r="M67" s="301"/>
      <c r="N67" s="1137"/>
      <c r="O67" s="303"/>
      <c r="P67" s="301"/>
      <c r="Q67" s="308">
        <f>+I67+N67+P67</f>
        <v>75960</v>
      </c>
      <c r="R67" s="320">
        <f>+Q67/Q107*100</f>
        <v>3.5347826618242198E-3</v>
      </c>
    </row>
    <row r="68" spans="1:18" ht="12.75" thickBot="1" x14ac:dyDescent="0.25">
      <c r="A68" s="19"/>
      <c r="B68" s="50" t="s">
        <v>412</v>
      </c>
      <c r="C68" s="56"/>
      <c r="D68" s="321"/>
      <c r="E68" s="321"/>
      <c r="F68" s="321">
        <f t="shared" ref="F68" si="57">+(F67-F66)/F67*100</f>
        <v>-617.99499736703524</v>
      </c>
      <c r="G68" s="321" t="s">
        <v>83</v>
      </c>
      <c r="H68" s="321"/>
      <c r="I68" s="321">
        <f t="shared" ref="I68" si="58">+(I67-I66)/I67*100</f>
        <v>-617.99499736703524</v>
      </c>
      <c r="J68" s="307"/>
      <c r="K68" s="306"/>
      <c r="L68" s="321"/>
      <c r="M68" s="306"/>
      <c r="N68" s="1138"/>
      <c r="O68" s="307"/>
      <c r="P68" s="306"/>
      <c r="Q68" s="321">
        <f t="shared" ref="Q68" si="59">+(Q67-Q66)/Q67*100</f>
        <v>-617.99499736703524</v>
      </c>
      <c r="R68" s="322">
        <f t="shared" ref="R68" si="60">+(R67-R66)/R67*100</f>
        <v>-619.8704655207514</v>
      </c>
    </row>
    <row r="69" spans="1:18" x14ac:dyDescent="0.2">
      <c r="A69" s="17" t="s">
        <v>245</v>
      </c>
      <c r="B69" s="28">
        <v>2019</v>
      </c>
      <c r="C69" s="52"/>
      <c r="D69" s="298"/>
      <c r="E69" s="298"/>
      <c r="F69" s="298">
        <v>0</v>
      </c>
      <c r="G69" s="298"/>
      <c r="H69" s="298"/>
      <c r="I69" s="309">
        <f>SUM(D69:H69)</f>
        <v>0</v>
      </c>
      <c r="J69" s="300"/>
      <c r="K69" s="298"/>
      <c r="L69" s="298">
        <v>28034805</v>
      </c>
      <c r="M69" s="298"/>
      <c r="N69" s="1137">
        <f>SUM(J69:M69)</f>
        <v>28034805</v>
      </c>
      <c r="O69" s="300"/>
      <c r="P69" s="298"/>
      <c r="Q69" s="298">
        <f>+I69+N69+P69</f>
        <v>28034805</v>
      </c>
      <c r="R69" s="319">
        <f>+Q69/Q105*100</f>
        <v>1.4032144516675629</v>
      </c>
    </row>
    <row r="70" spans="1:18" x14ac:dyDescent="0.2">
      <c r="A70" s="18"/>
      <c r="B70" s="12">
        <v>2020</v>
      </c>
      <c r="C70" s="53"/>
      <c r="D70" s="308"/>
      <c r="E70" s="308"/>
      <c r="F70" s="308">
        <v>0</v>
      </c>
      <c r="G70" s="308"/>
      <c r="H70" s="308"/>
      <c r="I70" s="309">
        <f>SUM(D70:H70)</f>
        <v>0</v>
      </c>
      <c r="J70" s="310"/>
      <c r="K70" s="308"/>
      <c r="L70" s="308">
        <v>24198522</v>
      </c>
      <c r="M70" s="308"/>
      <c r="N70" s="313">
        <f>SUM(J70:M70)</f>
        <v>24198522</v>
      </c>
      <c r="O70" s="310"/>
      <c r="P70" s="308"/>
      <c r="Q70" s="308">
        <f>+I70+N70+P70</f>
        <v>24198522</v>
      </c>
      <c r="R70" s="320">
        <f>+Q70/Q106*100</f>
        <v>1.1290145491979129</v>
      </c>
    </row>
    <row r="71" spans="1:18" x14ac:dyDescent="0.2">
      <c r="A71" s="18"/>
      <c r="B71" s="12">
        <v>2021</v>
      </c>
      <c r="C71" s="53"/>
      <c r="D71" s="301"/>
      <c r="E71" s="301"/>
      <c r="F71" s="301"/>
      <c r="G71" s="301"/>
      <c r="H71" s="301"/>
      <c r="I71" s="302"/>
      <c r="J71" s="303"/>
      <c r="K71" s="301"/>
      <c r="L71" s="301">
        <v>40810164</v>
      </c>
      <c r="M71" s="301"/>
      <c r="N71" s="313">
        <f>SUM(J71:M71)</f>
        <v>40810164</v>
      </c>
      <c r="O71" s="303"/>
      <c r="P71" s="301"/>
      <c r="Q71" s="308">
        <f>+I71+N71+P71</f>
        <v>40810164</v>
      </c>
      <c r="R71" s="320">
        <f>+Q71/Q107*100</f>
        <v>1.8990924188178375</v>
      </c>
    </row>
    <row r="72" spans="1:18" ht="12.75" thickBot="1" x14ac:dyDescent="0.25">
      <c r="A72" s="19"/>
      <c r="B72" s="50" t="s">
        <v>412</v>
      </c>
      <c r="C72" s="56"/>
      <c r="D72" s="321"/>
      <c r="E72" s="321"/>
      <c r="F72" s="321"/>
      <c r="G72" s="321"/>
      <c r="H72" s="321"/>
      <c r="I72" s="321"/>
      <c r="J72" s="307"/>
      <c r="K72" s="306"/>
      <c r="L72" s="321">
        <f t="shared" ref="L72" si="61">+(L71-L70)/L71*100</f>
        <v>40.704668572270378</v>
      </c>
      <c r="M72" s="306"/>
      <c r="N72" s="1138">
        <f t="shared" ref="N72" si="62">+(N71-N70)/N71*100</f>
        <v>40.704668572270378</v>
      </c>
      <c r="O72" s="307"/>
      <c r="P72" s="306"/>
      <c r="Q72" s="321">
        <f t="shared" ref="Q72" si="63">+(Q71-Q70)/Q71*100</f>
        <v>40.704668572270378</v>
      </c>
      <c r="R72" s="322">
        <f t="shared" ref="R72" si="64">+(R71-R70)/R71*100</f>
        <v>40.549783780364358</v>
      </c>
    </row>
    <row r="73" spans="1:18" x14ac:dyDescent="0.2">
      <c r="A73" s="17" t="s">
        <v>615</v>
      </c>
      <c r="B73" s="28">
        <v>2019</v>
      </c>
      <c r="C73" s="52"/>
      <c r="D73" s="298">
        <v>185296</v>
      </c>
      <c r="E73" s="298">
        <v>0</v>
      </c>
      <c r="F73" s="298">
        <v>436090</v>
      </c>
      <c r="G73" s="298"/>
      <c r="H73" s="298"/>
      <c r="I73" s="309">
        <f>SUM(D73:H73)</f>
        <v>621386</v>
      </c>
      <c r="J73" s="300"/>
      <c r="K73" s="298"/>
      <c r="L73" s="298">
        <v>13755694</v>
      </c>
      <c r="M73" s="298"/>
      <c r="N73" s="1137">
        <f>SUM(J73:M73)</f>
        <v>13755694</v>
      </c>
      <c r="O73" s="300"/>
      <c r="P73" s="298"/>
      <c r="Q73" s="298">
        <f>+I73+N73+P73</f>
        <v>14377080</v>
      </c>
      <c r="R73" s="319">
        <f>+Q73/Q105*100</f>
        <v>0.71961001436538208</v>
      </c>
    </row>
    <row r="74" spans="1:18" x14ac:dyDescent="0.2">
      <c r="A74" s="18"/>
      <c r="B74" s="12">
        <v>2020</v>
      </c>
      <c r="C74" s="53"/>
      <c r="D74" s="308">
        <v>175312</v>
      </c>
      <c r="E74" s="308">
        <v>0</v>
      </c>
      <c r="F74" s="308">
        <v>564694</v>
      </c>
      <c r="G74" s="308"/>
      <c r="H74" s="308"/>
      <c r="I74" s="309">
        <f>SUM(D74:H74)</f>
        <v>740006</v>
      </c>
      <c r="J74" s="310"/>
      <c r="K74" s="308"/>
      <c r="L74" s="308">
        <v>4498171</v>
      </c>
      <c r="M74" s="308"/>
      <c r="N74" s="313">
        <f>SUM(J74:M74)</f>
        <v>4498171</v>
      </c>
      <c r="O74" s="310"/>
      <c r="P74" s="308"/>
      <c r="Q74" s="308">
        <f>+I74+N74+P74</f>
        <v>5238177</v>
      </c>
      <c r="R74" s="408">
        <f>+Q74/Q106*100</f>
        <v>0.24439418425116521</v>
      </c>
    </row>
    <row r="75" spans="1:18" x14ac:dyDescent="0.2">
      <c r="A75" s="18"/>
      <c r="B75" s="12">
        <v>2021</v>
      </c>
      <c r="C75" s="53"/>
      <c r="D75" s="301">
        <v>167380</v>
      </c>
      <c r="E75" s="301"/>
      <c r="F75" s="301">
        <v>565956</v>
      </c>
      <c r="G75" s="301"/>
      <c r="H75" s="301"/>
      <c r="I75" s="309">
        <f>SUM(D75:H75)</f>
        <v>733336</v>
      </c>
      <c r="J75" s="303"/>
      <c r="K75" s="301"/>
      <c r="L75" s="301">
        <v>20964880</v>
      </c>
      <c r="M75" s="301"/>
      <c r="N75" s="1137">
        <f>SUM(J75:M75)</f>
        <v>20964880</v>
      </c>
      <c r="O75" s="303"/>
      <c r="P75" s="301"/>
      <c r="Q75" s="301">
        <f>+I75+N75+P75</f>
        <v>21698216</v>
      </c>
      <c r="R75" s="320">
        <f>+Q75/Q107*100</f>
        <v>1.0097219287693111</v>
      </c>
    </row>
    <row r="76" spans="1:18" ht="12.75" thickBot="1" x14ac:dyDescent="0.25">
      <c r="A76" s="19"/>
      <c r="B76" s="50" t="s">
        <v>412</v>
      </c>
      <c r="C76" s="56"/>
      <c r="D76" s="321">
        <f>+(D75-D74)/D75*100</f>
        <v>-4.7389174333851116</v>
      </c>
      <c r="E76" s="321"/>
      <c r="F76" s="321">
        <f t="shared" ref="F76" si="65">+(F75-F74)/F75*100</f>
        <v>0.22298553244421829</v>
      </c>
      <c r="G76" s="321" t="s">
        <v>83</v>
      </c>
      <c r="H76" s="321"/>
      <c r="I76" s="321">
        <f t="shared" ref="I76" si="66">+(I75-I74)/I75*100</f>
        <v>-0.90954214711946502</v>
      </c>
      <c r="J76" s="307"/>
      <c r="K76" s="306"/>
      <c r="L76" s="321">
        <f t="shared" ref="L76" si="67">+(L75-L74)/L75*100</f>
        <v>78.544255917515386</v>
      </c>
      <c r="M76" s="306"/>
      <c r="N76" s="1138">
        <f t="shared" ref="N76" si="68">+(N75-N74)/N75*100</f>
        <v>78.544255917515386</v>
      </c>
      <c r="O76" s="307"/>
      <c r="P76" s="306"/>
      <c r="Q76" s="321">
        <f t="shared" ref="Q76" si="69">+(Q75-Q74)/Q75*100</f>
        <v>75.858950800379162</v>
      </c>
      <c r="R76" s="322">
        <f t="shared" ref="R76" si="70">+(R75-R74)/R75*100</f>
        <v>75.795892186966512</v>
      </c>
    </row>
    <row r="77" spans="1:18" x14ac:dyDescent="0.2">
      <c r="A77" s="17" t="s">
        <v>246</v>
      </c>
      <c r="B77" s="28">
        <v>2019</v>
      </c>
      <c r="C77" s="52"/>
      <c r="D77" s="298">
        <v>103101</v>
      </c>
      <c r="E77" s="298"/>
      <c r="F77" s="298">
        <v>161734</v>
      </c>
      <c r="G77" s="298"/>
      <c r="H77" s="298"/>
      <c r="I77" s="309">
        <f>SUM(D77:H77)</f>
        <v>264835</v>
      </c>
      <c r="J77" s="300"/>
      <c r="K77" s="298"/>
      <c r="L77" s="298">
        <v>0</v>
      </c>
      <c r="M77" s="298"/>
      <c r="N77" s="1137">
        <f>SUM(J77:M77)</f>
        <v>0</v>
      </c>
      <c r="O77" s="300"/>
      <c r="P77" s="298"/>
      <c r="Q77" s="298">
        <f>+I77+N77+P77</f>
        <v>264835</v>
      </c>
      <c r="R77" s="319">
        <f>+Q77/Q105*100</f>
        <v>1.3255676267674378E-2</v>
      </c>
    </row>
    <row r="78" spans="1:18" x14ac:dyDescent="0.2">
      <c r="A78" s="18"/>
      <c r="B78" s="12">
        <v>2020</v>
      </c>
      <c r="C78" s="53"/>
      <c r="D78" s="308">
        <v>98160</v>
      </c>
      <c r="E78" s="308"/>
      <c r="F78" s="308">
        <v>174734</v>
      </c>
      <c r="G78" s="308"/>
      <c r="H78" s="308"/>
      <c r="I78" s="309">
        <f>SUM(D78:H78)</f>
        <v>272894</v>
      </c>
      <c r="J78" s="310"/>
      <c r="K78" s="308"/>
      <c r="L78" s="308">
        <v>0</v>
      </c>
      <c r="M78" s="308"/>
      <c r="N78" s="313">
        <f>SUM(J78:M78)</f>
        <v>0</v>
      </c>
      <c r="O78" s="310"/>
      <c r="P78" s="308"/>
      <c r="Q78" s="308">
        <f>+I78+N78+P78</f>
        <v>272894</v>
      </c>
      <c r="R78" s="408">
        <f t="shared" ref="R78:R79" si="71">+Q78/Q106*100</f>
        <v>1.2732236141893923E-2</v>
      </c>
    </row>
    <row r="79" spans="1:18" x14ac:dyDescent="0.2">
      <c r="A79" s="18"/>
      <c r="B79" s="12">
        <v>2021</v>
      </c>
      <c r="C79" s="53"/>
      <c r="D79" s="301">
        <v>95380</v>
      </c>
      <c r="E79" s="301"/>
      <c r="F79" s="301">
        <v>229631</v>
      </c>
      <c r="G79" s="301"/>
      <c r="H79" s="301"/>
      <c r="I79" s="309">
        <f>SUM(D79:H79)</f>
        <v>325011</v>
      </c>
      <c r="J79" s="303"/>
      <c r="K79" s="301"/>
      <c r="L79" s="301"/>
      <c r="M79" s="301"/>
      <c r="N79" s="1137"/>
      <c r="O79" s="303"/>
      <c r="P79" s="301"/>
      <c r="Q79" s="308">
        <f>+I79+N79+P79</f>
        <v>325011</v>
      </c>
      <c r="R79" s="320">
        <f t="shared" si="71"/>
        <v>1.5124318690128377E-2</v>
      </c>
    </row>
    <row r="80" spans="1:18" ht="12.75" thickBot="1" x14ac:dyDescent="0.25">
      <c r="A80" s="19"/>
      <c r="B80" s="50" t="s">
        <v>412</v>
      </c>
      <c r="C80" s="56"/>
      <c r="D80" s="321">
        <f>+(D79-D78)/D79*100</f>
        <v>-2.9146571608303629</v>
      </c>
      <c r="E80" s="321"/>
      <c r="F80" s="321">
        <f t="shared" ref="F80" si="72">+(F79-F78)/F79*100</f>
        <v>23.906615396004895</v>
      </c>
      <c r="G80" s="321" t="s">
        <v>83</v>
      </c>
      <c r="H80" s="321"/>
      <c r="I80" s="321">
        <f t="shared" ref="I80" si="73">+(I79-I78)/I79*100</f>
        <v>16.035457261446538</v>
      </c>
      <c r="J80" s="307"/>
      <c r="K80" s="306"/>
      <c r="L80" s="321"/>
      <c r="M80" s="306"/>
      <c r="N80" s="1138"/>
      <c r="O80" s="307"/>
      <c r="P80" s="306"/>
      <c r="Q80" s="321">
        <f t="shared" ref="Q80" si="74">+(Q79-Q78)/Q79*100</f>
        <v>16.035457261446538</v>
      </c>
      <c r="R80" s="322">
        <f t="shared" ref="R80" si="75">+(R79-R78)/R79*100</f>
        <v>15.816134248716695</v>
      </c>
    </row>
    <row r="81" spans="1:18" x14ac:dyDescent="0.2">
      <c r="A81" s="17" t="s">
        <v>247</v>
      </c>
      <c r="B81" s="28">
        <v>2019</v>
      </c>
      <c r="C81" s="52"/>
      <c r="D81" s="298">
        <v>245445226</v>
      </c>
      <c r="E81" s="298">
        <v>168884</v>
      </c>
      <c r="F81" s="298">
        <v>92591779</v>
      </c>
      <c r="G81" s="298"/>
      <c r="H81" s="298">
        <v>1251824</v>
      </c>
      <c r="I81" s="309">
        <f>SUM(D81:H81)</f>
        <v>339457713</v>
      </c>
      <c r="J81" s="300"/>
      <c r="K81" s="298"/>
      <c r="L81" s="298">
        <v>129459260</v>
      </c>
      <c r="M81" s="298"/>
      <c r="N81" s="1137">
        <f>SUM(J81:M81)</f>
        <v>129459260</v>
      </c>
      <c r="O81" s="300"/>
      <c r="P81" s="298"/>
      <c r="Q81" s="298">
        <f>+I81+N81+P81</f>
        <v>468916973</v>
      </c>
      <c r="R81" s="319">
        <f>+Q81/Q105*100</f>
        <v>23.470506505959591</v>
      </c>
    </row>
    <row r="82" spans="1:18" x14ac:dyDescent="0.2">
      <c r="A82" s="18"/>
      <c r="B82" s="12">
        <v>2020</v>
      </c>
      <c r="C82" s="53"/>
      <c r="D82" s="308">
        <v>270477996</v>
      </c>
      <c r="E82" s="308">
        <v>161569</v>
      </c>
      <c r="F82" s="308">
        <v>95466449</v>
      </c>
      <c r="G82" s="308"/>
      <c r="H82" s="308">
        <v>1590784</v>
      </c>
      <c r="I82" s="309">
        <f>SUM(D82:H82)</f>
        <v>367696798</v>
      </c>
      <c r="J82" s="310"/>
      <c r="K82" s="308"/>
      <c r="L82" s="308">
        <v>61132731</v>
      </c>
      <c r="M82" s="308"/>
      <c r="N82" s="313">
        <f>SUM(J82:M82)</f>
        <v>61132731</v>
      </c>
      <c r="O82" s="310"/>
      <c r="P82" s="308"/>
      <c r="Q82" s="308">
        <f>+I82+N82+P82</f>
        <v>428829529</v>
      </c>
      <c r="R82" s="320">
        <f t="shared" ref="R82:R83" si="76">+Q82/Q106*100</f>
        <v>20.007617711804393</v>
      </c>
    </row>
    <row r="83" spans="1:18" x14ac:dyDescent="0.2">
      <c r="A83" s="18"/>
      <c r="B83" s="12">
        <v>2021</v>
      </c>
      <c r="C83" s="53"/>
      <c r="D83" s="301">
        <v>287079363</v>
      </c>
      <c r="E83" s="301">
        <v>78884</v>
      </c>
      <c r="F83" s="301">
        <v>106038118</v>
      </c>
      <c r="G83" s="301"/>
      <c r="H83" s="301">
        <v>1344714</v>
      </c>
      <c r="I83" s="309">
        <f>SUM(D83:H83)</f>
        <v>394541079</v>
      </c>
      <c r="J83" s="303"/>
      <c r="K83" s="301"/>
      <c r="L83" s="301">
        <v>24007649</v>
      </c>
      <c r="M83" s="301"/>
      <c r="N83" s="313">
        <f>SUM(J83:M83)</f>
        <v>24007649</v>
      </c>
      <c r="O83" s="303"/>
      <c r="P83" s="301"/>
      <c r="Q83" s="308">
        <f>+I83+N83+P83</f>
        <v>418548728</v>
      </c>
      <c r="R83" s="320">
        <f t="shared" si="76"/>
        <v>19.477077236216182</v>
      </c>
    </row>
    <row r="84" spans="1:18" ht="12.75" thickBot="1" x14ac:dyDescent="0.25">
      <c r="A84" s="19"/>
      <c r="B84" s="50" t="s">
        <v>412</v>
      </c>
      <c r="C84" s="56"/>
      <c r="D84" s="321">
        <f>+(D83-D82)/D83*100</f>
        <v>5.7828493230981568</v>
      </c>
      <c r="E84" s="321">
        <f t="shared" ref="E84" si="77">+(E83-E82)/E83*100</f>
        <v>-104.81846762334568</v>
      </c>
      <c r="F84" s="321">
        <f t="shared" ref="F84" si="78">+(F83-F82)/F83*100</f>
        <v>9.9696875042614383</v>
      </c>
      <c r="G84" s="321" t="s">
        <v>83</v>
      </c>
      <c r="H84" s="321">
        <f t="shared" ref="H84" si="79">+(H83-H82)/H83*100</f>
        <v>-18.299058387136597</v>
      </c>
      <c r="I84" s="321">
        <f t="shared" ref="I84" si="80">+(I83-I82)/I83*100</f>
        <v>6.8039254792021291</v>
      </c>
      <c r="J84" s="307"/>
      <c r="K84" s="306"/>
      <c r="L84" s="321">
        <f t="shared" ref="L84" si="81">+(L83-L82)/L83*100</f>
        <v>-154.63855706987385</v>
      </c>
      <c r="M84" s="306"/>
      <c r="N84" s="1138">
        <f t="shared" ref="N84" si="82">+(N83-N82)/N83*100</f>
        <v>-154.63855706987385</v>
      </c>
      <c r="O84" s="307"/>
      <c r="P84" s="306"/>
      <c r="Q84" s="321">
        <f t="shared" ref="Q84" si="83">+(Q83-Q82)/Q83*100</f>
        <v>-2.4562972749017651</v>
      </c>
      <c r="R84" s="322">
        <f t="shared" ref="R84" si="84">+(R83-R82)/R83*100</f>
        <v>-2.7239224302181753</v>
      </c>
    </row>
    <row r="85" spans="1:18" x14ac:dyDescent="0.2">
      <c r="A85" s="17" t="s">
        <v>248</v>
      </c>
      <c r="B85" s="28">
        <v>2019</v>
      </c>
      <c r="C85" s="52"/>
      <c r="D85" s="298">
        <v>0</v>
      </c>
      <c r="E85" s="298">
        <v>0</v>
      </c>
      <c r="F85" s="298">
        <v>105660</v>
      </c>
      <c r="G85" s="298"/>
      <c r="H85" s="298"/>
      <c r="I85" s="309">
        <f>SUM(D85:H85)</f>
        <v>105660</v>
      </c>
      <c r="J85" s="300"/>
      <c r="K85" s="298"/>
      <c r="L85" s="298">
        <v>1000000</v>
      </c>
      <c r="M85" s="298"/>
      <c r="N85" s="1137">
        <f>SUM(J85:M85)</f>
        <v>1000000</v>
      </c>
      <c r="O85" s="300"/>
      <c r="P85" s="298"/>
      <c r="Q85" s="298">
        <f>+I85+N85+P85</f>
        <v>1105660</v>
      </c>
      <c r="R85" s="319">
        <f>+Q85/Q105*100</f>
        <v>5.5341140793765377E-2</v>
      </c>
    </row>
    <row r="86" spans="1:18" x14ac:dyDescent="0.2">
      <c r="A86" s="18"/>
      <c r="B86" s="12">
        <v>2020</v>
      </c>
      <c r="C86" s="53"/>
      <c r="D86" s="308">
        <v>0</v>
      </c>
      <c r="E86" s="308">
        <v>0</v>
      </c>
      <c r="F86" s="308">
        <v>105660</v>
      </c>
      <c r="G86" s="308"/>
      <c r="H86" s="308"/>
      <c r="I86" s="309">
        <f>SUM(D86:H86)</f>
        <v>105660</v>
      </c>
      <c r="J86" s="310"/>
      <c r="K86" s="308"/>
      <c r="L86" s="308">
        <v>9205616</v>
      </c>
      <c r="M86" s="308"/>
      <c r="N86" s="313">
        <f>SUM(J86:M86)</f>
        <v>9205616</v>
      </c>
      <c r="O86" s="310"/>
      <c r="P86" s="308"/>
      <c r="Q86" s="308">
        <f>+I86+N86+P86</f>
        <v>9311276</v>
      </c>
      <c r="R86" s="408">
        <f t="shared" ref="R86:R87" si="85">+Q86/Q106*100</f>
        <v>0.43443008939130023</v>
      </c>
    </row>
    <row r="87" spans="1:18" x14ac:dyDescent="0.2">
      <c r="A87" s="18"/>
      <c r="B87" s="12">
        <v>2021</v>
      </c>
      <c r="C87" s="53"/>
      <c r="D87" s="301"/>
      <c r="E87" s="301"/>
      <c r="F87" s="301">
        <v>105660</v>
      </c>
      <c r="G87" s="301"/>
      <c r="H87" s="301"/>
      <c r="I87" s="309">
        <f>SUM(D87:H87)</f>
        <v>105660</v>
      </c>
      <c r="J87" s="303"/>
      <c r="K87" s="301"/>
      <c r="L87" s="301">
        <v>2000000</v>
      </c>
      <c r="M87" s="301"/>
      <c r="N87" s="1137">
        <f>SUM(J87:M87)</f>
        <v>2000000</v>
      </c>
      <c r="O87" s="303"/>
      <c r="P87" s="301"/>
      <c r="Q87" s="308">
        <f>+I87+N87+P87</f>
        <v>2105660</v>
      </c>
      <c r="R87" s="320">
        <f t="shared" si="85"/>
        <v>9.7986446283527984E-2</v>
      </c>
    </row>
    <row r="88" spans="1:18" ht="12.75" thickBot="1" x14ac:dyDescent="0.25">
      <c r="A88" s="19"/>
      <c r="B88" s="50" t="s">
        <v>412</v>
      </c>
      <c r="C88" s="56"/>
      <c r="D88" s="321"/>
      <c r="E88" s="321"/>
      <c r="F88" s="321"/>
      <c r="G88" s="321"/>
      <c r="H88" s="321"/>
      <c r="I88" s="321"/>
      <c r="J88" s="307"/>
      <c r="K88" s="306"/>
      <c r="L88" s="321">
        <f t="shared" ref="L88" si="86">+(L87-L86)/L87*100</f>
        <v>-360.2808</v>
      </c>
      <c r="M88" s="306"/>
      <c r="N88" s="1138">
        <f t="shared" ref="N88" si="87">+(N87-N86)/N87*100</f>
        <v>-360.2808</v>
      </c>
      <c r="O88" s="307"/>
      <c r="P88" s="306"/>
      <c r="Q88" s="321">
        <f t="shared" ref="Q88" si="88">+(Q87-Q86)/Q87*100</f>
        <v>-342.20225487495605</v>
      </c>
      <c r="R88" s="322">
        <f t="shared" ref="R88" si="89">+(R87-R86)/R87*100</f>
        <v>-343.35732733306622</v>
      </c>
    </row>
    <row r="89" spans="1:18" x14ac:dyDescent="0.2">
      <c r="A89" s="17" t="s">
        <v>249</v>
      </c>
      <c r="B89" s="28">
        <v>2019</v>
      </c>
      <c r="C89" s="52"/>
      <c r="D89" s="298">
        <v>750790770</v>
      </c>
      <c r="E89" s="298">
        <v>171441</v>
      </c>
      <c r="F89" s="298">
        <v>101352424</v>
      </c>
      <c r="G89" s="298"/>
      <c r="H89" s="298"/>
      <c r="I89" s="309">
        <f>SUM(D89:H89)</f>
        <v>852314635</v>
      </c>
      <c r="J89" s="300"/>
      <c r="K89" s="298"/>
      <c r="L89" s="298">
        <v>102917228</v>
      </c>
      <c r="M89" s="298"/>
      <c r="N89" s="1137">
        <f>SUM(J89:M89)</f>
        <v>102917228</v>
      </c>
      <c r="O89" s="300"/>
      <c r="P89" s="298"/>
      <c r="Q89" s="298">
        <f>+I89+N89+P89</f>
        <v>955231863</v>
      </c>
      <c r="R89" s="319">
        <f>+Q89/Q105*100</f>
        <v>47.811823726076561</v>
      </c>
    </row>
    <row r="90" spans="1:18" x14ac:dyDescent="0.2">
      <c r="A90" s="18"/>
      <c r="B90" s="12">
        <v>2020</v>
      </c>
      <c r="C90" s="53"/>
      <c r="D90" s="308">
        <v>792348961</v>
      </c>
      <c r="E90" s="308">
        <v>171441</v>
      </c>
      <c r="F90" s="308">
        <v>91115678</v>
      </c>
      <c r="G90" s="308"/>
      <c r="H90" s="308">
        <v>82365</v>
      </c>
      <c r="I90" s="309">
        <f>SUM(D90:H90)</f>
        <v>883718445</v>
      </c>
      <c r="J90" s="310"/>
      <c r="K90" s="308"/>
      <c r="L90" s="308">
        <v>66622639</v>
      </c>
      <c r="M90" s="308"/>
      <c r="N90" s="313">
        <f>SUM(J90:M90)</f>
        <v>66622639</v>
      </c>
      <c r="O90" s="310"/>
      <c r="P90" s="308"/>
      <c r="Q90" s="308">
        <f>+I90+N90+P90</f>
        <v>950341084</v>
      </c>
      <c r="R90" s="408">
        <f t="shared" ref="R90:R91" si="90">+Q90/Q106*100</f>
        <v>44.339439844157255</v>
      </c>
    </row>
    <row r="91" spans="1:18" x14ac:dyDescent="0.2">
      <c r="A91" s="18"/>
      <c r="B91" s="12">
        <v>2021</v>
      </c>
      <c r="C91" s="53"/>
      <c r="D91" s="301">
        <v>873171428</v>
      </c>
      <c r="E91" s="301">
        <v>1682441</v>
      </c>
      <c r="F91" s="301">
        <v>29580376</v>
      </c>
      <c r="G91" s="301"/>
      <c r="H91" s="301"/>
      <c r="I91" s="309">
        <f>SUM(D91:H91)</f>
        <v>904434245</v>
      </c>
      <c r="J91" s="303"/>
      <c r="K91" s="301"/>
      <c r="L91" s="301">
        <v>33431377</v>
      </c>
      <c r="M91" s="301"/>
      <c r="N91" s="1137">
        <f>SUM(J91:M91)</f>
        <v>33431377</v>
      </c>
      <c r="O91" s="303"/>
      <c r="P91" s="301"/>
      <c r="Q91" s="301">
        <f>+I91+N91+P91</f>
        <v>937865622</v>
      </c>
      <c r="R91" s="320">
        <f t="shared" si="90"/>
        <v>43.643379933736014</v>
      </c>
    </row>
    <row r="92" spans="1:18" ht="12.75" thickBot="1" x14ac:dyDescent="0.25">
      <c r="A92" s="19"/>
      <c r="B92" s="50" t="s">
        <v>412</v>
      </c>
      <c r="C92" s="56"/>
      <c r="D92" s="321">
        <f>+(D91-D90)/D91*100</f>
        <v>9.2561969400583735</v>
      </c>
      <c r="E92" s="321">
        <f t="shared" ref="E92" si="91">+(E91-E90)/E91*100</f>
        <v>89.809984421444796</v>
      </c>
      <c r="F92" s="321">
        <f t="shared" ref="F92" si="92">+(F91-F90)/F91*100</f>
        <v>-208.02745036100961</v>
      </c>
      <c r="G92" s="321" t="s">
        <v>83</v>
      </c>
      <c r="H92" s="321" t="e">
        <f t="shared" ref="H92:I92" si="93">+(H91-H90)/H91*100</f>
        <v>#DIV/0!</v>
      </c>
      <c r="I92" s="321">
        <f t="shared" si="93"/>
        <v>2.2904705471429825</v>
      </c>
      <c r="J92" s="307"/>
      <c r="K92" s="306"/>
      <c r="L92" s="321">
        <f t="shared" ref="L92" si="94">+(L91-L90)/L91*100</f>
        <v>-99.281767544304273</v>
      </c>
      <c r="M92" s="306"/>
      <c r="N92" s="1138">
        <f t="shared" ref="N92" si="95">+(N91-N90)/N91*100</f>
        <v>-99.281767544304273</v>
      </c>
      <c r="O92" s="307"/>
      <c r="P92" s="306"/>
      <c r="Q92" s="321">
        <f t="shared" ref="Q92" si="96">+(Q91-Q90)/Q91*100</f>
        <v>-1.3301971740254277</v>
      </c>
      <c r="R92" s="322">
        <f t="shared" ref="R92" si="97">+(R91-R90)/R91*100</f>
        <v>-1.5948808535866659</v>
      </c>
    </row>
    <row r="93" spans="1:18" x14ac:dyDescent="0.2">
      <c r="A93" s="17" t="s">
        <v>250</v>
      </c>
      <c r="B93" s="28">
        <v>2019</v>
      </c>
      <c r="C93" s="52"/>
      <c r="D93" s="298">
        <v>1090701</v>
      </c>
      <c r="E93" s="298">
        <v>0</v>
      </c>
      <c r="F93" s="298">
        <v>1483357</v>
      </c>
      <c r="G93" s="298"/>
      <c r="H93" s="298"/>
      <c r="I93" s="309">
        <f>SUM(D93:H93)</f>
        <v>2574058</v>
      </c>
      <c r="J93" s="300"/>
      <c r="K93" s="298"/>
      <c r="L93" s="298">
        <v>2949078</v>
      </c>
      <c r="M93" s="298"/>
      <c r="N93" s="1137">
        <f>SUM(J93:M93)</f>
        <v>2949078</v>
      </c>
      <c r="O93" s="300"/>
      <c r="P93" s="298"/>
      <c r="Q93" s="298">
        <f>+I93+N93+P93</f>
        <v>5523136</v>
      </c>
      <c r="R93" s="319">
        <f>+Q93/Q105*100</f>
        <v>0.27644723242146241</v>
      </c>
    </row>
    <row r="94" spans="1:18" x14ac:dyDescent="0.2">
      <c r="A94" s="18"/>
      <c r="B94" s="12">
        <v>2020</v>
      </c>
      <c r="C94" s="53"/>
      <c r="D94" s="308">
        <v>679195</v>
      </c>
      <c r="E94" s="308">
        <v>0</v>
      </c>
      <c r="F94" s="308">
        <v>1527068</v>
      </c>
      <c r="G94" s="308"/>
      <c r="H94" s="308"/>
      <c r="I94" s="309">
        <f>SUM(D94:H94)</f>
        <v>2206263</v>
      </c>
      <c r="J94" s="310"/>
      <c r="K94" s="308"/>
      <c r="L94" s="308">
        <v>2591262</v>
      </c>
      <c r="M94" s="308"/>
      <c r="N94" s="313">
        <f>SUM(J94:M94)</f>
        <v>2591262</v>
      </c>
      <c r="O94" s="310"/>
      <c r="P94" s="308"/>
      <c r="Q94" s="308">
        <f>+I94+N94+P94</f>
        <v>4797525</v>
      </c>
      <c r="R94" s="408">
        <f>+Q94/Q106*100</f>
        <v>0.22383497327401716</v>
      </c>
    </row>
    <row r="95" spans="1:18" x14ac:dyDescent="0.2">
      <c r="A95" s="18"/>
      <c r="B95" s="12">
        <v>2021</v>
      </c>
      <c r="C95" s="53"/>
      <c r="D95" s="301">
        <v>1082168</v>
      </c>
      <c r="E95" s="301"/>
      <c r="F95" s="301">
        <v>1453230</v>
      </c>
      <c r="G95" s="301"/>
      <c r="H95" s="301"/>
      <c r="I95" s="309">
        <f>SUM(D95:H95)</f>
        <v>2535398</v>
      </c>
      <c r="J95" s="303"/>
      <c r="K95" s="301"/>
      <c r="L95" s="301">
        <v>2000000</v>
      </c>
      <c r="M95" s="301"/>
      <c r="N95" s="1137">
        <f>SUM(J95:M95)</f>
        <v>2000000</v>
      </c>
      <c r="O95" s="303"/>
      <c r="P95" s="301"/>
      <c r="Q95" s="301">
        <f>+I95+N95+P95</f>
        <v>4535398</v>
      </c>
      <c r="R95" s="320">
        <f>+Q95/Q107*100</f>
        <v>0.21105379429794949</v>
      </c>
    </row>
    <row r="96" spans="1:18" ht="12.75" thickBot="1" x14ac:dyDescent="0.25">
      <c r="A96" s="19"/>
      <c r="B96" s="50" t="s">
        <v>412</v>
      </c>
      <c r="C96" s="56"/>
      <c r="D96" s="321">
        <f>+(D95-D94)/D95*100</f>
        <v>37.237563853301893</v>
      </c>
      <c r="E96" s="321" t="e">
        <f t="shared" ref="E96" si="98">+(E95-E94)/E95*100</f>
        <v>#DIV/0!</v>
      </c>
      <c r="F96" s="321">
        <f t="shared" ref="F96" si="99">+(F95-F94)/F95*100</f>
        <v>-5.08095759102138</v>
      </c>
      <c r="G96" s="321" t="s">
        <v>83</v>
      </c>
      <c r="H96" s="321" t="s">
        <v>83</v>
      </c>
      <c r="I96" s="321">
        <f t="shared" ref="I96" si="100">+(I95-I94)/I95*100</f>
        <v>12.981591055921005</v>
      </c>
      <c r="J96" s="307"/>
      <c r="K96" s="306"/>
      <c r="L96" s="321">
        <f t="shared" ref="L96" si="101">+(L95-L94)/L95*100</f>
        <v>-29.563099999999999</v>
      </c>
      <c r="M96" s="306"/>
      <c r="N96" s="1138">
        <f t="shared" ref="N96" si="102">+(N95-N94)/N95*100</f>
        <v>-29.563099999999999</v>
      </c>
      <c r="O96" s="307"/>
      <c r="P96" s="306"/>
      <c r="Q96" s="321">
        <f t="shared" ref="Q96" si="103">+(Q95-Q94)/Q95*100</f>
        <v>-5.7795809761348398</v>
      </c>
      <c r="R96" s="322">
        <f t="shared" ref="R96" si="104">+(R95-R94)/R95*100</f>
        <v>-6.0558868503563561</v>
      </c>
    </row>
    <row r="97" spans="1:18" x14ac:dyDescent="0.2">
      <c r="A97" s="17" t="s">
        <v>251</v>
      </c>
      <c r="B97" s="28">
        <v>2019</v>
      </c>
      <c r="C97" s="52"/>
      <c r="D97" s="298">
        <v>0</v>
      </c>
      <c r="E97" s="298">
        <v>128754033</v>
      </c>
      <c r="F97" s="298">
        <v>0</v>
      </c>
      <c r="G97" s="298"/>
      <c r="H97" s="298">
        <v>161000</v>
      </c>
      <c r="I97" s="309">
        <f>SUM(D97:H97)</f>
        <v>128915033</v>
      </c>
      <c r="J97" s="300"/>
      <c r="K97" s="298"/>
      <c r="L97" s="298">
        <v>0</v>
      </c>
      <c r="M97" s="298"/>
      <c r="N97" s="1137">
        <f>SUM(J97:M97)</f>
        <v>0</v>
      </c>
      <c r="O97" s="300"/>
      <c r="P97" s="298"/>
      <c r="Q97" s="298">
        <f>+I97+N97+P97</f>
        <v>128915033</v>
      </c>
      <c r="R97" s="319">
        <f>+Q97/Q105*100</f>
        <v>6.4525306076785904</v>
      </c>
    </row>
    <row r="98" spans="1:18" x14ac:dyDescent="0.2">
      <c r="A98" s="18"/>
      <c r="B98" s="12">
        <v>2020</v>
      </c>
      <c r="C98" s="53"/>
      <c r="D98" s="308">
        <v>0</v>
      </c>
      <c r="E98" s="308">
        <v>131860180</v>
      </c>
      <c r="F98" s="308">
        <v>0</v>
      </c>
      <c r="G98" s="308"/>
      <c r="H98" s="308"/>
      <c r="I98" s="309">
        <f>SUM(D98:H98)</f>
        <v>131860180</v>
      </c>
      <c r="J98" s="310"/>
      <c r="K98" s="308"/>
      <c r="L98" s="308">
        <v>0</v>
      </c>
      <c r="M98" s="308"/>
      <c r="N98" s="313">
        <f>SUM(J98:M98)</f>
        <v>0</v>
      </c>
      <c r="O98" s="310"/>
      <c r="P98" s="308"/>
      <c r="Q98" s="308">
        <f>+I98+N98+P98</f>
        <v>131860180</v>
      </c>
      <c r="R98" s="408">
        <f>+Q98/Q106*100</f>
        <v>6.1521138224828622</v>
      </c>
    </row>
    <row r="99" spans="1:18" x14ac:dyDescent="0.2">
      <c r="A99" s="18"/>
      <c r="B99" s="12">
        <v>2021</v>
      </c>
      <c r="C99" s="53"/>
      <c r="D99" s="301"/>
      <c r="E99" s="301">
        <v>128485569</v>
      </c>
      <c r="F99" s="301"/>
      <c r="G99" s="301"/>
      <c r="H99" s="301"/>
      <c r="I99" s="309">
        <f>SUM(D99:H99)</f>
        <v>128485569</v>
      </c>
      <c r="J99" s="303"/>
      <c r="K99" s="301"/>
      <c r="L99" s="301"/>
      <c r="M99" s="301"/>
      <c r="N99" s="1137"/>
      <c r="O99" s="303"/>
      <c r="P99" s="301"/>
      <c r="Q99" s="308">
        <f>+I99+N99+P99</f>
        <v>128485569</v>
      </c>
      <c r="R99" s="320">
        <f>+Q99/Q107*100</f>
        <v>5.9790489941524418</v>
      </c>
    </row>
    <row r="100" spans="1:18" ht="12.75" thickBot="1" x14ac:dyDescent="0.25">
      <c r="A100" s="19"/>
      <c r="B100" s="50" t="s">
        <v>412</v>
      </c>
      <c r="C100" s="56"/>
      <c r="D100" s="321" t="s">
        <v>83</v>
      </c>
      <c r="E100" s="321">
        <f t="shared" ref="E100" si="105">+(E99-E98)/E99*100</f>
        <v>-2.626451379921118</v>
      </c>
      <c r="F100" s="321"/>
      <c r="G100" s="321"/>
      <c r="H100" s="321" t="e">
        <f t="shared" ref="H100:I100" si="106">+(H99-H98)/H99*100</f>
        <v>#DIV/0!</v>
      </c>
      <c r="I100" s="321">
        <f t="shared" si="106"/>
        <v>-2.626451379921118</v>
      </c>
      <c r="J100" s="307"/>
      <c r="K100" s="306"/>
      <c r="L100" s="321"/>
      <c r="M100" s="306"/>
      <c r="N100" s="1138"/>
      <c r="O100" s="307"/>
      <c r="P100" s="306"/>
      <c r="Q100" s="321">
        <f t="shared" ref="Q100" si="107">+(Q99-Q98)/Q99*100</f>
        <v>-2.626451379921118</v>
      </c>
      <c r="R100" s="322">
        <f t="shared" ref="R100" si="108">+(R99-R98)/R99*100</f>
        <v>-2.8945209932161311</v>
      </c>
    </row>
    <row r="101" spans="1:18" x14ac:dyDescent="0.2">
      <c r="A101" s="17" t="s">
        <v>252</v>
      </c>
      <c r="B101" s="28">
        <v>2019</v>
      </c>
      <c r="C101" s="52"/>
      <c r="D101" s="298">
        <v>103911</v>
      </c>
      <c r="E101" s="298">
        <v>0</v>
      </c>
      <c r="F101" s="298">
        <v>0</v>
      </c>
      <c r="G101" s="298"/>
      <c r="H101" s="298"/>
      <c r="I101" s="309">
        <f>SUM(D101:H101)</f>
        <v>103911</v>
      </c>
      <c r="J101" s="300"/>
      <c r="K101" s="298"/>
      <c r="L101" s="298">
        <v>0</v>
      </c>
      <c r="M101" s="298"/>
      <c r="N101" s="1137">
        <f>SUM(J101:M101)</f>
        <v>0</v>
      </c>
      <c r="O101" s="300">
        <v>67304068</v>
      </c>
      <c r="P101" s="298">
        <f t="shared" ref="P101:Q103" si="109">+O101</f>
        <v>67304068</v>
      </c>
      <c r="Q101" s="298">
        <f t="shared" si="109"/>
        <v>67304068</v>
      </c>
      <c r="R101" s="319">
        <f>+Q101/Q105*100</f>
        <v>3.3687425638814461</v>
      </c>
    </row>
    <row r="102" spans="1:18" x14ac:dyDescent="0.2">
      <c r="A102" s="18"/>
      <c r="B102" s="12">
        <v>2020</v>
      </c>
      <c r="C102" s="53"/>
      <c r="D102" s="308">
        <v>0</v>
      </c>
      <c r="E102" s="308">
        <v>0</v>
      </c>
      <c r="F102" s="308">
        <v>0</v>
      </c>
      <c r="G102" s="308"/>
      <c r="H102" s="308"/>
      <c r="I102" s="309">
        <f>SUM(D102:H102)</f>
        <v>0</v>
      </c>
      <c r="J102" s="310"/>
      <c r="K102" s="308"/>
      <c r="L102" s="308">
        <v>0</v>
      </c>
      <c r="M102" s="308"/>
      <c r="N102" s="313">
        <f>SUM(J102:M102)</f>
        <v>0</v>
      </c>
      <c r="O102" s="310">
        <v>37130360</v>
      </c>
      <c r="P102" s="308">
        <f t="shared" si="109"/>
        <v>37130360</v>
      </c>
      <c r="Q102" s="308">
        <f t="shared" si="109"/>
        <v>37130360</v>
      </c>
      <c r="R102" s="408">
        <f t="shared" ref="R102:R103" si="110">+Q102/Q106*100</f>
        <v>1.7323668221123676</v>
      </c>
    </row>
    <row r="103" spans="1:18" x14ac:dyDescent="0.2">
      <c r="A103" s="18"/>
      <c r="B103" s="12">
        <v>2021</v>
      </c>
      <c r="C103" s="53"/>
      <c r="D103" s="301"/>
      <c r="E103" s="301"/>
      <c r="F103" s="301"/>
      <c r="G103" s="301"/>
      <c r="H103" s="301"/>
      <c r="I103" s="302"/>
      <c r="J103" s="303"/>
      <c r="K103" s="301"/>
      <c r="L103" s="301"/>
      <c r="M103" s="301"/>
      <c r="N103" s="1137"/>
      <c r="O103" s="303">
        <v>41994950</v>
      </c>
      <c r="P103" s="308">
        <f t="shared" si="109"/>
        <v>41994950</v>
      </c>
      <c r="Q103" s="308">
        <f t="shared" si="109"/>
        <v>41994950</v>
      </c>
      <c r="R103" s="320">
        <f t="shared" si="110"/>
        <v>1.954226186732162</v>
      </c>
    </row>
    <row r="104" spans="1:18" ht="12.75" thickBot="1" x14ac:dyDescent="0.25">
      <c r="A104" s="19"/>
      <c r="B104" s="50" t="s">
        <v>412</v>
      </c>
      <c r="C104" s="56"/>
      <c r="D104" s="321"/>
      <c r="E104" s="321"/>
      <c r="F104" s="321"/>
      <c r="G104" s="321"/>
      <c r="H104" s="321"/>
      <c r="I104" s="321"/>
      <c r="J104" s="307"/>
      <c r="K104" s="306"/>
      <c r="L104" s="321"/>
      <c r="M104" s="306"/>
      <c r="N104" s="1138"/>
      <c r="O104" s="307"/>
      <c r="P104" s="306"/>
      <c r="Q104" s="321">
        <f t="shared" ref="Q104" si="111">+(Q103-Q102)/Q103*100</f>
        <v>11.583749950886951</v>
      </c>
      <c r="R104" s="322">
        <f t="shared" ref="R104" si="112">+(R103-R102)/R103*100</f>
        <v>11.352798674281683</v>
      </c>
    </row>
    <row r="105" spans="1:18" x14ac:dyDescent="0.2">
      <c r="A105" s="40" t="s">
        <v>0</v>
      </c>
      <c r="B105" s="28">
        <v>2019</v>
      </c>
      <c r="C105" s="311">
        <f>SUM(C5+C9+C13+C17+C21+C25+C29+C33+C37+C41+C45+C49+C53+C57+C61+C65+C69+C73+C77+C81+C85+C89+C93+C97+C101)</f>
        <v>0</v>
      </c>
      <c r="D105" s="312">
        <f t="shared" ref="D105:I105" si="113">SUM(D5+D9+D13+D17+D21+D25+D29+D33+D37+D41+D45+D49+D53+D57+D61+D65+D69+D73+D77+D81+D85+D89+D93+D97+D101)</f>
        <v>1024491455</v>
      </c>
      <c r="E105" s="312">
        <f t="shared" si="113"/>
        <v>130579150</v>
      </c>
      <c r="F105" s="298">
        <f t="shared" si="113"/>
        <v>248024016</v>
      </c>
      <c r="G105" s="298">
        <f t="shared" si="113"/>
        <v>0</v>
      </c>
      <c r="H105" s="311">
        <f t="shared" si="113"/>
        <v>3270311</v>
      </c>
      <c r="I105" s="299">
        <f t="shared" si="113"/>
        <v>1406364932</v>
      </c>
      <c r="J105" s="311">
        <f t="shared" ref="J105:K105" si="114">SUM(J5+J9+J13+J17+J21+J25+J29+J33+J37+J41+J45+J49+J53+J57+J61+J65+J69+J73+J77+J81+J85+J89+J93+J97+J101)</f>
        <v>0</v>
      </c>
      <c r="K105" s="298">
        <f t="shared" si="114"/>
        <v>0</v>
      </c>
      <c r="L105" s="298">
        <f t="shared" ref="L105:N105" si="115">SUM(L5+L9+L13+L17+L21+L25+L29+L33+L37+L41+L45+L49+L53+L57+L61+L65+L69+L73+L77+L81+L85+L89+L93+L97+L101)</f>
        <v>524333733</v>
      </c>
      <c r="M105" s="298">
        <f t="shared" si="115"/>
        <v>0</v>
      </c>
      <c r="N105" s="312">
        <f t="shared" si="115"/>
        <v>524333733</v>
      </c>
      <c r="O105" s="300">
        <f t="shared" ref="O105:Q105" si="116">SUM(O5+O9+O13+O17+O21+O25+O29+O33+O37+O41+O45+O49+O53+O57+O61+O65+O69+O73+O77+O81+O85+O89+O93+O97+O101)</f>
        <v>67304068</v>
      </c>
      <c r="P105" s="298">
        <f t="shared" si="116"/>
        <v>67304068</v>
      </c>
      <c r="Q105" s="298">
        <f t="shared" si="116"/>
        <v>1997898822</v>
      </c>
      <c r="R105" s="309"/>
    </row>
    <row r="106" spans="1:18" x14ac:dyDescent="0.2">
      <c r="A106" s="20"/>
      <c r="B106" s="12">
        <v>2020</v>
      </c>
      <c r="C106" s="311">
        <f t="shared" ref="C106:I107" si="117">SUM(C6+C10+C14+C18+C22+C26+C30+C34+C38+C42+C46+C50+C54+C58+C62+C66+C70+C74+C78+C82+C86+C90+C94+C98+C102)</f>
        <v>0</v>
      </c>
      <c r="D106" s="313">
        <f t="shared" si="117"/>
        <v>1107259306</v>
      </c>
      <c r="E106" s="313">
        <f t="shared" si="117"/>
        <v>133677918</v>
      </c>
      <c r="F106" s="308">
        <f t="shared" si="117"/>
        <v>294575147</v>
      </c>
      <c r="G106" s="308">
        <f t="shared" si="117"/>
        <v>0</v>
      </c>
      <c r="H106" s="311">
        <f t="shared" si="117"/>
        <v>2704069</v>
      </c>
      <c r="I106" s="309">
        <f t="shared" si="117"/>
        <v>1538216440</v>
      </c>
      <c r="J106" s="311">
        <f t="shared" ref="J106:K106" si="118">SUM(J6+J10+J14+J18+J22+J26+J30+J34+J38+J42+J46+J50+J54+J58+J62+J66+J70+J74+J78+J82+J86+J90+J94+J98+J102)</f>
        <v>0</v>
      </c>
      <c r="K106" s="308">
        <f t="shared" si="118"/>
        <v>0</v>
      </c>
      <c r="L106" s="308">
        <f t="shared" ref="L106:N106" si="119">SUM(L6+L10+L14+L18+L22+L26+L30+L34+L38+L42+L46+L50+L54+L58+L62+L66+L70+L74+L78+L82+L86+L90+L94+L98+L102)</f>
        <v>567984481</v>
      </c>
      <c r="M106" s="308">
        <f t="shared" si="119"/>
        <v>0</v>
      </c>
      <c r="N106" s="313">
        <f t="shared" si="119"/>
        <v>567984481</v>
      </c>
      <c r="O106" s="310">
        <f t="shared" ref="O106:Q106" si="120">SUM(O6+O10+O14+O18+O22+O26+O30+O34+O38+O42+O46+O50+O54+O58+O62+O66+O70+O74+O78+O82+O86+O90+O94+O98+O102)</f>
        <v>37130360</v>
      </c>
      <c r="P106" s="308">
        <f t="shared" ca="1" si="120"/>
        <v>386914021</v>
      </c>
      <c r="Q106" s="308">
        <f t="shared" si="120"/>
        <v>2143331281</v>
      </c>
      <c r="R106" s="302"/>
    </row>
    <row r="107" spans="1:18" ht="12.75" thickBot="1" x14ac:dyDescent="0.25">
      <c r="A107" s="20"/>
      <c r="B107" s="12">
        <v>2021</v>
      </c>
      <c r="C107" s="314">
        <f t="shared" si="117"/>
        <v>0</v>
      </c>
      <c r="D107" s="315">
        <f t="shared" si="117"/>
        <v>1185457737</v>
      </c>
      <c r="E107" s="315">
        <f t="shared" si="117"/>
        <v>131731622</v>
      </c>
      <c r="F107" s="316">
        <f t="shared" si="117"/>
        <v>188340415</v>
      </c>
      <c r="G107" s="316">
        <f t="shared" si="117"/>
        <v>0</v>
      </c>
      <c r="H107" s="314">
        <f t="shared" si="117"/>
        <v>2704069</v>
      </c>
      <c r="I107" s="317">
        <f t="shared" si="117"/>
        <v>1508233843</v>
      </c>
      <c r="J107" s="314">
        <f t="shared" ref="J107:K107" si="121">SUM(J7+J11+J15+J19+J23+J27+J31+J35+J39+J43+J47+J51+J55+J59+J63+J67+J71+J75+J79+J83+J87+J91+J95+J99+J103)</f>
        <v>0</v>
      </c>
      <c r="K107" s="316">
        <f t="shared" si="121"/>
        <v>0</v>
      </c>
      <c r="L107" s="316">
        <f t="shared" ref="L107:N107" si="122">SUM(L7+L11+L15+L19+L23+L27+L31+L35+L39+L43+L47+L51+L55+L59+L63+L67+L71+L75+L79+L83+L87+L91+L95+L99+L103)</f>
        <v>598701064</v>
      </c>
      <c r="M107" s="316">
        <f t="shared" si="122"/>
        <v>0</v>
      </c>
      <c r="N107" s="315">
        <f t="shared" si="122"/>
        <v>598701064</v>
      </c>
      <c r="O107" s="1139">
        <f t="shared" ref="O107:Q107" si="123">SUM(O7+O11+O15+O19+O23+O27+O31+O35+O39+O43+O47+O51+O55+O59+O63+O67+O71+O75+O79+O83+O87+O91+O95+O99+O103)</f>
        <v>41994950</v>
      </c>
      <c r="P107" s="1140">
        <f t="shared" si="123"/>
        <v>41994950</v>
      </c>
      <c r="Q107" s="1140">
        <f t="shared" si="123"/>
        <v>2148929857</v>
      </c>
      <c r="R107" s="1141"/>
    </row>
    <row r="108" spans="1:18" ht="18.75" customHeight="1" thickBot="1" x14ac:dyDescent="0.25">
      <c r="A108" s="19"/>
      <c r="B108" s="50" t="s">
        <v>412</v>
      </c>
      <c r="C108" s="409"/>
      <c r="D108" s="410">
        <f>+(D107-D106)/D107*100</f>
        <v>6.5964756531847577</v>
      </c>
      <c r="E108" s="410">
        <f t="shared" ref="E108" si="124">+(E107-E106)/E107*100</f>
        <v>-1.4774706106632469</v>
      </c>
      <c r="F108" s="410">
        <f t="shared" ref="F108" si="125">+(F107-F106)/F107*100</f>
        <v>-56.405701346681226</v>
      </c>
      <c r="G108" s="410" t="s">
        <v>83</v>
      </c>
      <c r="H108" s="410">
        <f t="shared" ref="H108:I108" si="126">+(H107-H106)/H107*100</f>
        <v>0</v>
      </c>
      <c r="I108" s="410">
        <f t="shared" si="126"/>
        <v>-1.9879276107716937</v>
      </c>
      <c r="J108" s="411"/>
      <c r="K108" s="412"/>
      <c r="L108" s="410">
        <f t="shared" ref="L108" si="127">+(L107-L106)/L107*100</f>
        <v>5.1305375665742927</v>
      </c>
      <c r="M108" s="412"/>
      <c r="N108" s="410">
        <f t="shared" ref="N108:P108" si="128">+(N107-N106)/N107*100</f>
        <v>5.1305375665742927</v>
      </c>
      <c r="O108" s="410">
        <f t="shared" si="128"/>
        <v>11.583749950886951</v>
      </c>
      <c r="P108" s="410">
        <f t="shared" ca="1" si="128"/>
        <v>5.1305375665742927</v>
      </c>
      <c r="Q108" s="410">
        <f t="shared" ref="Q108" si="129">+(Q107-Q106)/Q107*100</f>
        <v>0.26052855944846226</v>
      </c>
      <c r="R108" s="413" t="s">
        <v>83</v>
      </c>
    </row>
    <row r="109" spans="1:18" x14ac:dyDescent="0.2">
      <c r="C109" s="318"/>
      <c r="D109" s="318"/>
      <c r="E109" s="318"/>
      <c r="F109" s="318"/>
      <c r="G109" s="318"/>
      <c r="H109" s="318"/>
      <c r="I109" s="318"/>
      <c r="J109" s="318"/>
      <c r="K109" s="318"/>
      <c r="L109" s="318"/>
      <c r="M109" s="318"/>
      <c r="N109" s="318"/>
      <c r="O109" s="318"/>
      <c r="P109" s="318"/>
      <c r="Q109" s="318"/>
      <c r="R109" s="318"/>
    </row>
    <row r="110" spans="1:18" x14ac:dyDescent="0.2">
      <c r="C110" s="318"/>
      <c r="D110" s="318"/>
      <c r="E110" s="318"/>
      <c r="F110" s="318"/>
      <c r="G110" s="318"/>
      <c r="H110" s="318"/>
      <c r="I110" s="318"/>
      <c r="J110" s="318"/>
      <c r="K110" s="318"/>
      <c r="L110" s="318"/>
      <c r="M110" s="318"/>
      <c r="N110" s="318"/>
      <c r="O110" s="318"/>
      <c r="P110" s="318"/>
      <c r="Q110" s="318">
        <f>1997898822-Q105</f>
        <v>0</v>
      </c>
      <c r="R110" s="318"/>
    </row>
    <row r="111" spans="1:18" x14ac:dyDescent="0.2">
      <c r="C111" s="318"/>
      <c r="D111" s="318"/>
      <c r="E111" s="318"/>
      <c r="F111" s="318"/>
      <c r="G111" s="318"/>
      <c r="H111" s="318"/>
      <c r="I111" s="318"/>
      <c r="J111" s="318"/>
      <c r="K111" s="318"/>
      <c r="L111" s="318"/>
      <c r="M111" s="318"/>
      <c r="N111" s="318"/>
      <c r="O111" s="318"/>
      <c r="P111" s="318"/>
      <c r="Q111" s="318"/>
      <c r="R111" s="318"/>
    </row>
    <row r="112" spans="1:18" x14ac:dyDescent="0.2">
      <c r="C112" s="318"/>
      <c r="D112" s="318"/>
      <c r="E112" s="318"/>
      <c r="F112" s="318"/>
      <c r="G112" s="318"/>
      <c r="H112" s="318"/>
      <c r="I112" s="318"/>
      <c r="J112" s="318"/>
      <c r="K112" s="318"/>
      <c r="L112" s="318"/>
      <c r="M112" s="318"/>
      <c r="N112" s="318"/>
      <c r="O112" s="318"/>
      <c r="P112" s="318"/>
      <c r="Q112" s="318"/>
      <c r="R112" s="318"/>
    </row>
  </sheetData>
  <mergeCells count="6">
    <mergeCell ref="Q3:R3"/>
    <mergeCell ref="A3:A4"/>
    <mergeCell ref="C3:I3"/>
    <mergeCell ref="J3:N3"/>
    <mergeCell ref="O3:P3"/>
    <mergeCell ref="B3:B4"/>
  </mergeCells>
  <phoneticPr fontId="0" type="noConversion"/>
  <printOptions horizontalCentered="1"/>
  <pageMargins left="0.23622047244094491" right="0.23622047244094491" top="0.74803149606299213" bottom="0.74803149606299213" header="0.31496062992125984" footer="0.31496062992125984"/>
  <pageSetup paperSize="9" scale="60" orientation="landscape" r:id="rId1"/>
  <headerFooter alignWithMargins="0">
    <oddHeader xml:space="preserve">&amp;C&amp;"Arial,Negrita"&amp;18PROYECTO DE PRESUPUESTO 2021
</oddHeader>
    <oddFooter>&amp;L&amp;"Arial,Negrita"&amp;8PROYECTO DE PRESUPUESTO PARA EL AÑO FISCAL 2021
INFORMACIÓN PARA LA COMISIÓN DE PRESUPUESTO Y CUENTA GENERAL DE LA REPÚBLICA DEL CONGRESO DE LA REPÚBLICA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21</vt:i4>
      </vt:variant>
      <vt:variant>
        <vt:lpstr>Rangos con nombre</vt:lpstr>
      </vt:variant>
      <vt:variant>
        <vt:i4>28</vt:i4>
      </vt:variant>
    </vt:vector>
  </HeadingPairs>
  <TitlesOfParts>
    <vt:vector size="49" baseType="lpstr">
      <vt:lpstr>Índice</vt:lpstr>
      <vt:lpstr>F-01</vt:lpstr>
      <vt:lpstr>F-02</vt:lpstr>
      <vt:lpstr>F-03</vt:lpstr>
      <vt:lpstr>F-04</vt:lpstr>
      <vt:lpstr>F-05</vt:lpstr>
      <vt:lpstr>F-06</vt:lpstr>
      <vt:lpstr>F-07</vt:lpstr>
      <vt:lpstr>F-08</vt:lpstr>
      <vt:lpstr>F-09</vt:lpstr>
      <vt:lpstr>F-10</vt:lpstr>
      <vt:lpstr>F-11</vt:lpstr>
      <vt:lpstr>F-12</vt:lpstr>
      <vt:lpstr>F-13</vt:lpstr>
      <vt:lpstr>F-14</vt:lpstr>
      <vt:lpstr>F-15</vt:lpstr>
      <vt:lpstr>F-16</vt:lpstr>
      <vt:lpstr>F-17</vt:lpstr>
      <vt:lpstr>F-18</vt:lpstr>
      <vt:lpstr>Hoja2</vt:lpstr>
      <vt:lpstr>Hoja1</vt:lpstr>
      <vt:lpstr>'F-01'!Área_de_impresión</vt:lpstr>
      <vt:lpstr>'F-02'!Área_de_impresión</vt:lpstr>
      <vt:lpstr>'F-03'!Área_de_impresión</vt:lpstr>
      <vt:lpstr>'F-05'!Área_de_impresión</vt:lpstr>
      <vt:lpstr>'F-06'!Área_de_impresión</vt:lpstr>
      <vt:lpstr>'F-07'!Área_de_impresión</vt:lpstr>
      <vt:lpstr>'F-08'!Área_de_impresión</vt:lpstr>
      <vt:lpstr>'F-09'!Área_de_impresión</vt:lpstr>
      <vt:lpstr>'F-10'!Área_de_impresión</vt:lpstr>
      <vt:lpstr>'F-11'!Área_de_impresión</vt:lpstr>
      <vt:lpstr>'F-12'!Área_de_impresión</vt:lpstr>
      <vt:lpstr>'F-13'!Área_de_impresión</vt:lpstr>
      <vt:lpstr>'F-14'!Área_de_impresión</vt:lpstr>
      <vt:lpstr>'F-15'!Área_de_impresión</vt:lpstr>
      <vt:lpstr>'F-16'!Área_de_impresión</vt:lpstr>
      <vt:lpstr>'F-17'!Área_de_impresión</vt:lpstr>
      <vt:lpstr>'F-18'!Área_de_impresión</vt:lpstr>
      <vt:lpstr>Índice!Área_de_impresión</vt:lpstr>
      <vt:lpstr>'F-01'!Títulos_a_imprimir</vt:lpstr>
      <vt:lpstr>'F-06'!Títulos_a_imprimir</vt:lpstr>
      <vt:lpstr>'F-08'!Títulos_a_imprimir</vt:lpstr>
      <vt:lpstr>'F-09'!Títulos_a_imprimir</vt:lpstr>
      <vt:lpstr>'F-11'!Títulos_a_imprimir</vt:lpstr>
      <vt:lpstr>'F-15'!Títulos_a_imprimir</vt:lpstr>
      <vt:lpstr>'F-16'!Títulos_a_imprimir</vt:lpstr>
      <vt:lpstr>'F-17'!Títulos_a_imprimir</vt:lpstr>
      <vt:lpstr>'F-18'!Títulos_a_imprimir</vt:lpstr>
      <vt:lpstr>Índice!Títulos_a_imprimir</vt:lpstr>
    </vt:vector>
  </TitlesOfParts>
  <Company>Congreso de la República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Directiva Formulaicón de Presupuesto (V 2008)</dc:title>
  <dc:creator>Asesoria de Presupuesto</dc:creator>
  <cp:lastModifiedBy>Luis Enrique Pineda Larzo</cp:lastModifiedBy>
  <cp:lastPrinted>2020-10-13T15:54:29Z</cp:lastPrinted>
  <dcterms:created xsi:type="dcterms:W3CDTF">1998-08-20T20:27:58Z</dcterms:created>
  <dcterms:modified xsi:type="dcterms:W3CDTF">2021-11-22T21:30:45Z</dcterms:modified>
</cp:coreProperties>
</file>